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8.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omments1.xml" ContentType="application/vnd.openxmlformats-officedocument.spreadsheetml.comments+xml"/>
  <Override PartName="/xl/drawings/drawing31.xml" ContentType="application/vnd.openxmlformats-officedocument.drawing+xml"/>
  <Override PartName="/xl/charts/chart9.xml" ContentType="application/vnd.openxmlformats-officedocument.drawingml.chart+xml"/>
  <Override PartName="/xl/drawings/drawing32.xml" ContentType="application/vnd.openxmlformats-officedocument.drawingml.chartshapes+xml"/>
  <Override PartName="/xl/comments2.xml" ContentType="application/vnd.openxmlformats-officedocument.spreadsheetml.comments+xml"/>
  <Override PartName="/xl/comments3.xml" ContentType="application/vnd.openxmlformats-officedocument.spreadsheetml.comments+xml"/>
  <Override PartName="/xl/drawings/drawing33.xml" ContentType="application/vnd.openxmlformats-officedocument.drawing+xml"/>
  <Override PartName="/xl/charts/chart10.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11.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3.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14.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15.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6.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17.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8.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9.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1.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charts/chart22.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charts/chart24.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charts/chart25.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2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charts/chart27.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28.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29.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harts/chart30.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31.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32.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33.xml" ContentType="application/vnd.openxmlformats-officedocument.drawingml.chart+xml"/>
  <Override PartName="/xl/drawings/drawing123.xml" ContentType="application/vnd.openxmlformats-officedocument.drawingml.chartshapes+xml"/>
  <Override PartName="/xl/drawings/drawing124.xml" ContentType="application/vnd.openxmlformats-officedocument.drawing+xml"/>
  <Override PartName="/xl/charts/chart3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35.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3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37.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38.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39.xml" ContentType="application/vnd.openxmlformats-officedocument.drawingml.chart+xml"/>
  <Override PartName="/xl/drawings/drawing13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0"/>
  <workbookPr/>
  <mc:AlternateContent xmlns:mc="http://schemas.openxmlformats.org/markup-compatibility/2006">
    <mc:Choice Requires="x15">
      <x15ac:absPath xmlns:x15ac="http://schemas.microsoft.com/office/spreadsheetml/2010/11/ac" url="/Users/josue/Dropbox/Mi Mac (MacBook-Air-de-josue.local)/Documents/UCR/Estadísticas Anuales/"/>
    </mc:Choice>
  </mc:AlternateContent>
  <xr:revisionPtr revIDLastSave="0" documentId="13_ncr:1_{E45BDDAF-CD0D-DE41-973C-6EC88496B7E9}" xr6:coauthVersionLast="45" xr6:coauthVersionMax="45" xr10:uidLastSave="{00000000-0000-0000-0000-000000000000}"/>
  <bookViews>
    <workbookView xWindow="0" yWindow="460" windowWidth="19200" windowHeight="11460" tabRatio="821" activeTab="32" xr2:uid="{00000000-000D-0000-FFFF-FFFF00000000}"/>
  </bookViews>
  <sheets>
    <sheet name="DEFINICIONES" sheetId="1" r:id="rId1"/>
    <sheet name="SIMBOLOGIA" sheetId="2" r:id="rId2"/>
    <sheet name="INDICE RECURSOS HUMANOS" sheetId="3" state="hidden" r:id="rId3"/>
    <sheet name="CUADRO RH1" sheetId="4" state="hidden" r:id="rId4"/>
    <sheet name="GRAFICO RH1" sheetId="5" state="hidden" r:id="rId5"/>
    <sheet name="CUADRO RH2" sheetId="6" state="hidden" r:id="rId6"/>
    <sheet name="CUADRO RH3" sheetId="7" state="hidden" r:id="rId7"/>
    <sheet name="GRAFICO RH2" sheetId="8" state="hidden" r:id="rId8"/>
    <sheet name="CUADRO RH4" sheetId="9" state="hidden" r:id="rId9"/>
    <sheet name="CUADRO RH5" sheetId="10" state="hidden" r:id="rId10"/>
    <sheet name="GRAFICO RH3" sheetId="11" state="hidden" r:id="rId11"/>
    <sheet name="CUADRO RH6" sheetId="12" state="hidden" r:id="rId12"/>
    <sheet name="CUADRO RH7" sheetId="13" state="hidden" r:id="rId13"/>
    <sheet name="GRAFICO RH4" sheetId="14" state="hidden" r:id="rId14"/>
    <sheet name="CUADRO RH8" sheetId="15" state="hidden" r:id="rId15"/>
    <sheet name="CUADRO RH9" sheetId="16" state="hidden" r:id="rId16"/>
    <sheet name="GRAFICO RH5" sheetId="17" state="hidden" r:id="rId17"/>
    <sheet name="CUADRO RH10" sheetId="18" state="hidden" r:id="rId18"/>
    <sheet name="CUADRO RH11" sheetId="19" state="hidden" r:id="rId19"/>
    <sheet name="GRAFICO RH6" sheetId="20" state="hidden" r:id="rId20"/>
    <sheet name="CUADRO RH12" sheetId="21" state="hidden" r:id="rId21"/>
    <sheet name="CUADRO RH13" sheetId="22" state="hidden" r:id="rId22"/>
    <sheet name="GRAFICO RH7" sheetId="23" state="hidden" r:id="rId23"/>
    <sheet name="CUADRO RH14" sheetId="24" state="hidden" r:id="rId24"/>
    <sheet name="CUADRO RH15" sheetId="25" state="hidden" r:id="rId25"/>
    <sheet name="GRAFICO RH8" sheetId="27" state="hidden" r:id="rId26"/>
    <sheet name="INDICE RECURSOS FINANCIEROS" sheetId="26" state="hidden" r:id="rId27"/>
    <sheet name="CUADRO RF1" sheetId="147" state="hidden" r:id="rId28"/>
    <sheet name="GRAFICO RF1" sheetId="31" state="hidden" r:id="rId29"/>
    <sheet name="CUADRO RF2" sheetId="29" state="hidden" r:id="rId30"/>
    <sheet name="CUADRO RF3" sheetId="30" state="hidden" r:id="rId31"/>
    <sheet name="CUADRO RF4" sheetId="32" state="hidden" r:id="rId32"/>
    <sheet name="INDICE DE DOCENCIA" sheetId="33" r:id="rId33"/>
    <sheet name="CUADRO D1" sheetId="34" r:id="rId34"/>
    <sheet name="GRAFICO D1" sheetId="35" r:id="rId35"/>
    <sheet name="CUADRO D2" sheetId="145" r:id="rId36"/>
    <sheet name="GRAFICO D2" sheetId="37" r:id="rId37"/>
    <sheet name="CUADRO D3" sheetId="38" r:id="rId38"/>
    <sheet name="GRAFICO D3" sheetId="39" r:id="rId39"/>
    <sheet name="CUADRO D4" sheetId="40" r:id="rId40"/>
    <sheet name="CUADRO D5" sheetId="42" r:id="rId41"/>
    <sheet name="CUADRO D6" sheetId="43" r:id="rId42"/>
    <sheet name="CUADRO D7" sheetId="44" r:id="rId43"/>
    <sheet name="GRAFICO D4" sheetId="41" r:id="rId44"/>
    <sheet name="CUADR0 D8" sheetId="45" r:id="rId45"/>
    <sheet name="CUADRO D9" sheetId="46" r:id="rId46"/>
    <sheet name="CUADRO D10" sheetId="47" r:id="rId47"/>
    <sheet name="CUADRO D11" sheetId="48" r:id="rId48"/>
    <sheet name="GRAFICO D5" sheetId="49" r:id="rId49"/>
    <sheet name="CUADRO D12" sheetId="50" r:id="rId50"/>
    <sheet name="CUADRO D13" sheetId="51" r:id="rId51"/>
    <sheet name="CUADRO D14" sheetId="52" r:id="rId52"/>
    <sheet name="CUADRO D15" sheetId="53" r:id="rId53"/>
    <sheet name="CUADRO D16" sheetId="54" r:id="rId54"/>
    <sheet name="GRAFICO D6" sheetId="146" r:id="rId55"/>
    <sheet name="CUADRO D17" sheetId="55" r:id="rId56"/>
    <sheet name="GRAFICO D7" sheetId="61" r:id="rId57"/>
    <sheet name="GRAFICO D7.1" sheetId="60" r:id="rId58"/>
    <sheet name="CUADRO D18" sheetId="56" r:id="rId59"/>
    <sheet name="GRAFICO D8" sheetId="63" r:id="rId60"/>
    <sheet name="GRAFICO D 8.1" sheetId="62" r:id="rId61"/>
    <sheet name="CUADR0 D19" sheetId="57" r:id="rId62"/>
    <sheet name="GRAFICO D9" sheetId="64" r:id="rId63"/>
    <sheet name="INDICE INVESTIGACION" sheetId="58" state="hidden" r:id="rId64"/>
    <sheet name="CUADRO I-1" sheetId="65" state="hidden" r:id="rId65"/>
    <sheet name="GRAFICO I-1" sheetId="66" state="hidden" r:id="rId66"/>
    <sheet name="CUADRO I-2" sheetId="68" state="hidden" r:id="rId67"/>
    <sheet name="GRAFICO I-2" sheetId="67" state="hidden" r:id="rId68"/>
    <sheet name="CUADRO I-3" sheetId="69" state="hidden" r:id="rId69"/>
    <sheet name="CUADRO I-4" sheetId="70" state="hidden" r:id="rId70"/>
    <sheet name="GRAFICO 1-3" sheetId="71" state="hidden" r:id="rId71"/>
    <sheet name="CUADRO I-5" sheetId="72" state="hidden" r:id="rId72"/>
    <sheet name="GRGAFICO I-4" sheetId="73" state="hidden" r:id="rId73"/>
    <sheet name="CUADRO I-6" sheetId="74" state="hidden" r:id="rId74"/>
    <sheet name="CUADRO I-7" sheetId="75" state="hidden" r:id="rId75"/>
    <sheet name="CUADRO I-8" sheetId="76" state="hidden" r:id="rId76"/>
    <sheet name="GRAFICO I-5" sheetId="77" state="hidden" r:id="rId77"/>
    <sheet name="CUADRO I-9" sheetId="78" state="hidden" r:id="rId78"/>
    <sheet name="CUADRO I-10" sheetId="79" state="hidden" r:id="rId79"/>
    <sheet name="CUADRO I-11" sheetId="80" state="hidden" r:id="rId80"/>
    <sheet name="CUADRO I-12" sheetId="81" state="hidden" r:id="rId81"/>
    <sheet name="CUADRO I-13" sheetId="82" state="hidden" r:id="rId82"/>
    <sheet name="INDICE ACCIÓN SOCIAL" sheetId="83" state="hidden" r:id="rId83"/>
    <sheet name="CUADRO AS1" sheetId="84" state="hidden" r:id="rId84"/>
    <sheet name="GRAFICO AS1" sheetId="90" state="hidden" r:id="rId85"/>
    <sheet name="CUADRO AS2" sheetId="91" state="hidden" r:id="rId86"/>
    <sheet name="GRAFICO AS2" sheetId="93" state="hidden" r:id="rId87"/>
    <sheet name="CUADRO AS3" sheetId="92" state="hidden" r:id="rId88"/>
    <sheet name="CUADRO AS4" sheetId="94" state="hidden" r:id="rId89"/>
    <sheet name="GRAFICO AS3" sheetId="151" state="hidden" r:id="rId90"/>
    <sheet name="CUADRO AS5" sheetId="97" state="hidden" r:id="rId91"/>
    <sheet name="CUADRO AS6" sheetId="100" state="hidden" r:id="rId92"/>
    <sheet name="GRAFICO AS4" sheetId="99" state="hidden" r:id="rId93"/>
    <sheet name="CUADRO AS7" sheetId="101" state="hidden" r:id="rId94"/>
    <sheet name="CUADRO AS8" sheetId="148" state="hidden" r:id="rId95"/>
    <sheet name="CUADRO AS9" sheetId="102" state="hidden" r:id="rId96"/>
    <sheet name="CUADRO AS10" sheetId="98" state="hidden" r:id="rId97"/>
    <sheet name="CUADRO AS11" sheetId="103" state="hidden" r:id="rId98"/>
    <sheet name="GRAFICO AS5" sheetId="96" state="hidden" r:id="rId99"/>
    <sheet name="INDICE DE VIDA ESTUDIANTIL" sheetId="85" state="hidden" r:id="rId100"/>
    <sheet name="CUADRO VE1" sheetId="113" state="hidden" r:id="rId101"/>
    <sheet name="GRAFICO VE1" sheetId="112" state="hidden" r:id="rId102"/>
    <sheet name="CUADRO VE2" sheetId="111" state="hidden" r:id="rId103"/>
    <sheet name="CUADRO VE3" sheetId="110" state="hidden" r:id="rId104"/>
    <sheet name="GRAFICO VE2" sheetId="109" state="hidden" r:id="rId105"/>
    <sheet name="CUADRO VE4" sheetId="108" state="hidden" r:id="rId106"/>
    <sheet name="CUADRO VE5" sheetId="107" state="hidden" r:id="rId107"/>
    <sheet name="GRAFICO VE3" sheetId="106" state="hidden" r:id="rId108"/>
    <sheet name="CUADRO VE6" sheetId="105" state="hidden" r:id="rId109"/>
    <sheet name="CUADRO VE7" sheetId="104" state="hidden" r:id="rId110"/>
    <sheet name="GRAFICO VE4" sheetId="86" state="hidden" r:id="rId111"/>
    <sheet name="CUADRO VE8" sheetId="122" state="hidden" r:id="rId112"/>
    <sheet name="CUADRO VE9" sheetId="121" state="hidden" r:id="rId113"/>
    <sheet name="GRAFICO VE5" sheetId="120" state="hidden" r:id="rId114"/>
    <sheet name="CUADRO VE10" sheetId="119" state="hidden" r:id="rId115"/>
    <sheet name="CUADRO VE11" sheetId="118" state="hidden" r:id="rId116"/>
    <sheet name="GRAFICO VE6" sheetId="117" state="hidden" r:id="rId117"/>
    <sheet name="CUADRO VE12" sheetId="149" state="hidden" r:id="rId118"/>
    <sheet name="CUADRO VE13" sheetId="150" state="hidden" r:id="rId119"/>
    <sheet name="CUADRO VE 14" sheetId="133" state="hidden" r:id="rId120"/>
    <sheet name="GRAFICO VE7" sheetId="132" state="hidden" r:id="rId121"/>
    <sheet name="CUADRO VE15" sheetId="131" state="hidden" r:id="rId122"/>
    <sheet name="CUADRO VE16" sheetId="130" state="hidden" r:id="rId123"/>
    <sheet name="GRAFICO VE8" sheetId="129" state="hidden" r:id="rId124"/>
    <sheet name="CUADRO VE17" sheetId="128" state="hidden" r:id="rId125"/>
    <sheet name="CUADRO VE18" sheetId="127" state="hidden" r:id="rId126"/>
    <sheet name="GRAFICO VE9" sheetId="126" state="hidden" r:id="rId127"/>
    <sheet name="CUADRO VE19" sheetId="125" state="hidden" r:id="rId128"/>
    <sheet name="CUADRO VE20" sheetId="124" state="hidden" r:id="rId129"/>
    <sheet name="CUADRO VE21" sheetId="123" state="hidden" r:id="rId130"/>
    <sheet name="CUADRO VE22" sheetId="114" state="hidden" r:id="rId131"/>
    <sheet name="CUADRO VE23" sheetId="138" state="hidden" r:id="rId132"/>
    <sheet name="CUADRO VE24" sheetId="137" state="hidden" r:id="rId133"/>
    <sheet name="CUADRO VE25" sheetId="136" state="hidden" r:id="rId134"/>
    <sheet name="CUADRO VE26" sheetId="135" state="hidden" r:id="rId135"/>
    <sheet name="GRAFICO VE10" sheetId="134" state="hidden" r:id="rId136"/>
    <sheet name="INDICE DE ADMINISTRACIÓN" sheetId="87" state="hidden" r:id="rId137"/>
    <sheet name="CUADRO AD1" sheetId="139" state="hidden" r:id="rId138"/>
    <sheet name="GRAFICO AD1" sheetId="88" state="hidden" r:id="rId139"/>
    <sheet name="INDICE DE DIRECCIÓN SUPERIOR" sheetId="89" state="hidden" r:id="rId140"/>
    <sheet name="CUADRO DS1" sheetId="144" state="hidden" r:id="rId141"/>
    <sheet name="GRAFICO DS1" sheetId="143" state="hidden" r:id="rId142"/>
    <sheet name="CUADRO AI-1" sheetId="142" state="hidden" r:id="rId143"/>
    <sheet name="CUADRO AI-2" sheetId="141" state="hidden" r:id="rId144"/>
    <sheet name="GRAFICO AI-1" sheetId="140" state="hidden" r:id="rId145"/>
  </sheets>
  <externalReferences>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s>
  <definedNames>
    <definedName name="_xlnm.Print_Area" localSheetId="39">'CUADRO D4'!$A$1:$R$112</definedName>
    <definedName name="_xlnm.Print_Titles" localSheetId="44">'CUADR0 D8'!$6:$10</definedName>
    <definedName name="_xlnm.Print_Titles" localSheetId="39">'CUADRO D4'!$6:$9</definedName>
    <definedName name="_xlnm.Print_Titles" localSheetId="45">'CUADRO D9'!$6:$10</definedName>
    <definedName name="_xlnm.Print_Titles" localSheetId="64">'CUADRO I-1'!$6:$10</definedName>
    <definedName name="_xlnm.Print_Titles" localSheetId="66">'CUADRO I-2'!$5:$9</definedName>
    <definedName name="_xlnm.Print_Titles" localSheetId="69">'CUADRO I-4'!$6:$10</definedName>
    <definedName name="_xlnm.Print_Titles" localSheetId="71">'CUADRO I-5'!$7:$12</definedName>
    <definedName name="_xlnm.Print_Titles" localSheetId="102">'CUADRO VE2'!$6:$10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25" i="72" l="1"/>
  <c r="B11" i="141" l="1"/>
  <c r="C10" i="141"/>
  <c r="B10" i="141"/>
  <c r="C16" i="142"/>
  <c r="C12" i="142" s="1"/>
  <c r="C14" i="142"/>
  <c r="B12" i="142"/>
  <c r="C56" i="144"/>
  <c r="M56" i="144" s="1"/>
  <c r="M55" i="144"/>
  <c r="J55" i="144"/>
  <c r="G55" i="144"/>
  <c r="D55" i="144"/>
  <c r="C55" i="144"/>
  <c r="L54" i="144"/>
  <c r="I54" i="144"/>
  <c r="F54" i="144"/>
  <c r="M53" i="144"/>
  <c r="J53" i="144"/>
  <c r="G53" i="144"/>
  <c r="D53" i="144"/>
  <c r="C53" i="144"/>
  <c r="C52" i="144"/>
  <c r="J52" i="144" s="1"/>
  <c r="C51" i="144"/>
  <c r="M51" i="144" s="1"/>
  <c r="C50" i="144"/>
  <c r="M50" i="144" s="1"/>
  <c r="C49" i="144"/>
  <c r="G49" i="144" s="1"/>
  <c r="C48" i="144"/>
  <c r="J48" i="144" s="1"/>
  <c r="C47" i="144"/>
  <c r="M47" i="144" s="1"/>
  <c r="C46" i="144"/>
  <c r="M46" i="144" s="1"/>
  <c r="C45" i="144"/>
  <c r="G45" i="144" s="1"/>
  <c r="C44" i="144"/>
  <c r="J44" i="144" s="1"/>
  <c r="C43" i="144"/>
  <c r="M43" i="144" s="1"/>
  <c r="C42" i="144"/>
  <c r="M42" i="144" s="1"/>
  <c r="M41" i="144"/>
  <c r="J41" i="144"/>
  <c r="G41" i="144"/>
  <c r="D41" i="144"/>
  <c r="C41" i="144"/>
  <c r="L40" i="144"/>
  <c r="I40" i="144"/>
  <c r="F40" i="144"/>
  <c r="M39" i="144"/>
  <c r="J39" i="144"/>
  <c r="G39" i="144"/>
  <c r="D39" i="144"/>
  <c r="C39" i="144"/>
  <c r="C38" i="144"/>
  <c r="M38" i="144" s="1"/>
  <c r="C37" i="144"/>
  <c r="M37" i="144" s="1"/>
  <c r="G36" i="144"/>
  <c r="C36" i="144"/>
  <c r="M36" i="144" s="1"/>
  <c r="C35" i="144"/>
  <c r="J35" i="144" s="1"/>
  <c r="C34" i="144"/>
  <c r="M34" i="144" s="1"/>
  <c r="C33" i="144"/>
  <c r="M33" i="144" s="1"/>
  <c r="C32" i="144"/>
  <c r="M32" i="144" s="1"/>
  <c r="C31" i="144"/>
  <c r="J31" i="144" s="1"/>
  <c r="C30" i="144"/>
  <c r="M30" i="144" s="1"/>
  <c r="M29" i="144"/>
  <c r="J29" i="144"/>
  <c r="G29" i="144"/>
  <c r="D29" i="144"/>
  <c r="C29" i="144"/>
  <c r="L28" i="144"/>
  <c r="I28" i="144"/>
  <c r="F28" i="144"/>
  <c r="M27" i="144"/>
  <c r="J27" i="144"/>
  <c r="G27" i="144"/>
  <c r="D27" i="144"/>
  <c r="C27" i="144"/>
  <c r="C26" i="144"/>
  <c r="J26" i="144" s="1"/>
  <c r="C25" i="144"/>
  <c r="M25" i="144" s="1"/>
  <c r="C24" i="144"/>
  <c r="M24" i="144" s="1"/>
  <c r="J23" i="144"/>
  <c r="G23" i="144"/>
  <c r="C23" i="144"/>
  <c r="M23" i="144" s="1"/>
  <c r="C22" i="144"/>
  <c r="J22" i="144" s="1"/>
  <c r="M21" i="144"/>
  <c r="J21" i="144"/>
  <c r="G21" i="144"/>
  <c r="D21" i="144"/>
  <c r="C21" i="144"/>
  <c r="L20" i="144"/>
  <c r="I20" i="144"/>
  <c r="F20" i="144"/>
  <c r="M19" i="144"/>
  <c r="J19" i="144"/>
  <c r="G19" i="144"/>
  <c r="D19" i="144"/>
  <c r="C19" i="144"/>
  <c r="C18" i="144"/>
  <c r="M18" i="144" s="1"/>
  <c r="M17" i="144"/>
  <c r="J17" i="144"/>
  <c r="G17" i="144"/>
  <c r="D17" i="144"/>
  <c r="C17" i="144"/>
  <c r="C16" i="144"/>
  <c r="M16" i="144" s="1"/>
  <c r="M15" i="144"/>
  <c r="J15" i="144"/>
  <c r="G15" i="144"/>
  <c r="D15" i="144"/>
  <c r="C15" i="144"/>
  <c r="F14" i="144"/>
  <c r="F12" i="144" s="1"/>
  <c r="M13" i="144"/>
  <c r="J13" i="144"/>
  <c r="G13" i="144"/>
  <c r="D13" i="144"/>
  <c r="C13" i="144"/>
  <c r="C39" i="139"/>
  <c r="M39" i="139" s="1"/>
  <c r="C38" i="139"/>
  <c r="M38" i="139" s="1"/>
  <c r="C37" i="139"/>
  <c r="G37" i="139" s="1"/>
  <c r="C36" i="139"/>
  <c r="J36" i="139" s="1"/>
  <c r="C35" i="139"/>
  <c r="M35" i="139" s="1"/>
  <c r="M34" i="139"/>
  <c r="J34" i="139"/>
  <c r="G34" i="139"/>
  <c r="D34" i="139"/>
  <c r="C34" i="139"/>
  <c r="L33" i="139"/>
  <c r="I33" i="139"/>
  <c r="F33" i="139"/>
  <c r="C33" i="139" s="1"/>
  <c r="M32" i="139"/>
  <c r="J32" i="139"/>
  <c r="G32" i="139"/>
  <c r="D32" i="139"/>
  <c r="C32" i="139"/>
  <c r="C31" i="139"/>
  <c r="J31" i="139" s="1"/>
  <c r="C30" i="139"/>
  <c r="M30" i="139" s="1"/>
  <c r="C29" i="139"/>
  <c r="M29" i="139" s="1"/>
  <c r="C28" i="139"/>
  <c r="G28" i="139" s="1"/>
  <c r="C27" i="139"/>
  <c r="J27" i="139" s="1"/>
  <c r="G26" i="139"/>
  <c r="C26" i="139"/>
  <c r="M26" i="139" s="1"/>
  <c r="C25" i="139"/>
  <c r="M25" i="139" s="1"/>
  <c r="C24" i="139"/>
  <c r="G24" i="139" s="1"/>
  <c r="C23" i="139"/>
  <c r="J23" i="139" s="1"/>
  <c r="M22" i="139"/>
  <c r="J22" i="139"/>
  <c r="G22" i="139"/>
  <c r="D22" i="139"/>
  <c r="C22" i="139"/>
  <c r="L21" i="139"/>
  <c r="I21" i="139"/>
  <c r="F21" i="139"/>
  <c r="M20" i="139"/>
  <c r="J20" i="139"/>
  <c r="G20" i="139"/>
  <c r="D20" i="139"/>
  <c r="C20" i="139"/>
  <c r="C19" i="139"/>
  <c r="G19" i="139" s="1"/>
  <c r="C18" i="139"/>
  <c r="J18" i="139" s="1"/>
  <c r="M17" i="139"/>
  <c r="J17" i="139"/>
  <c r="G17" i="139"/>
  <c r="D17" i="139"/>
  <c r="C17" i="139"/>
  <c r="L16" i="139"/>
  <c r="I16" i="139"/>
  <c r="F16" i="139"/>
  <c r="M15" i="139"/>
  <c r="J15" i="139"/>
  <c r="G15" i="139"/>
  <c r="D15" i="139"/>
  <c r="C15" i="139"/>
  <c r="L14" i="139"/>
  <c r="L12" i="139" s="1"/>
  <c r="I14" i="139"/>
  <c r="F14" i="139"/>
  <c r="M13" i="139"/>
  <c r="J13" i="139"/>
  <c r="G13" i="139"/>
  <c r="D13" i="139"/>
  <c r="C13" i="139"/>
  <c r="I12" i="139"/>
  <c r="C28" i="135"/>
  <c r="E27" i="135"/>
  <c r="C21" i="135"/>
  <c r="E20" i="135"/>
  <c r="C15" i="135"/>
  <c r="E14" i="136"/>
  <c r="C13" i="136"/>
  <c r="E24" i="136" s="1"/>
  <c r="C24" i="137"/>
  <c r="E23" i="137"/>
  <c r="C15" i="137"/>
  <c r="E58" i="138"/>
  <c r="E56" i="138"/>
  <c r="E54" i="138"/>
  <c r="E52" i="138"/>
  <c r="E50" i="138"/>
  <c r="E48" i="138"/>
  <c r="E46" i="138"/>
  <c r="C45" i="138"/>
  <c r="E44" i="138"/>
  <c r="E42" i="138"/>
  <c r="E40" i="138"/>
  <c r="E38" i="138"/>
  <c r="E36" i="138"/>
  <c r="E34" i="138"/>
  <c r="E32" i="138"/>
  <c r="E30" i="138"/>
  <c r="E28" i="138"/>
  <c r="E26" i="138"/>
  <c r="E24" i="138"/>
  <c r="E22" i="138"/>
  <c r="E20" i="138"/>
  <c r="E18" i="138"/>
  <c r="E16" i="138"/>
  <c r="C15" i="138"/>
  <c r="E14" i="138"/>
  <c r="D24" i="114"/>
  <c r="D22" i="114"/>
  <c r="D20" i="114"/>
  <c r="D18" i="114"/>
  <c r="D16" i="114"/>
  <c r="D14" i="114"/>
  <c r="C13" i="114"/>
  <c r="D25" i="114" s="1"/>
  <c r="B23" i="123"/>
  <c r="X22" i="123"/>
  <c r="U22" i="123"/>
  <c r="R22" i="123"/>
  <c r="O22" i="123"/>
  <c r="L22" i="123"/>
  <c r="I22" i="123"/>
  <c r="F22" i="123"/>
  <c r="C22" i="123"/>
  <c r="B22" i="123"/>
  <c r="B21" i="123"/>
  <c r="X20" i="123"/>
  <c r="U20" i="123"/>
  <c r="R20" i="123"/>
  <c r="O20" i="123"/>
  <c r="L20" i="123"/>
  <c r="I20" i="123"/>
  <c r="F20" i="123"/>
  <c r="C20" i="123"/>
  <c r="B20" i="123"/>
  <c r="B19" i="123"/>
  <c r="X18" i="123"/>
  <c r="U18" i="123"/>
  <c r="R18" i="123"/>
  <c r="O18" i="123"/>
  <c r="L18" i="123"/>
  <c r="I18" i="123"/>
  <c r="F18" i="123"/>
  <c r="C18" i="123"/>
  <c r="B18" i="123"/>
  <c r="B17" i="123"/>
  <c r="X16" i="123"/>
  <c r="U16" i="123"/>
  <c r="R16" i="123"/>
  <c r="O16" i="123"/>
  <c r="L16" i="123"/>
  <c r="I16" i="123"/>
  <c r="F16" i="123"/>
  <c r="C16" i="123"/>
  <c r="B15" i="123"/>
  <c r="B13" i="123"/>
  <c r="X12" i="123"/>
  <c r="U12" i="123"/>
  <c r="R12" i="123"/>
  <c r="O12" i="123"/>
  <c r="L12" i="123"/>
  <c r="I12" i="123"/>
  <c r="F12" i="123"/>
  <c r="C12" i="123"/>
  <c r="B12" i="123"/>
  <c r="W11" i="123"/>
  <c r="X23" i="123" s="1"/>
  <c r="T11" i="123"/>
  <c r="U15" i="123" s="1"/>
  <c r="Q11" i="123"/>
  <c r="R21" i="123" s="1"/>
  <c r="N11" i="123"/>
  <c r="O21" i="123" s="1"/>
  <c r="K11" i="123"/>
  <c r="L23" i="123" s="1"/>
  <c r="H11" i="123"/>
  <c r="I15" i="123" s="1"/>
  <c r="E11" i="123"/>
  <c r="F21" i="123" s="1"/>
  <c r="B17" i="124"/>
  <c r="C16" i="124"/>
  <c r="B16" i="124"/>
  <c r="B15" i="124"/>
  <c r="C14" i="124"/>
  <c r="B14" i="124"/>
  <c r="B13" i="124"/>
  <c r="R12" i="124"/>
  <c r="O12" i="124"/>
  <c r="L12" i="124"/>
  <c r="I12" i="124"/>
  <c r="F12" i="124"/>
  <c r="C12" i="124"/>
  <c r="B12" i="124"/>
  <c r="X11" i="124"/>
  <c r="W11" i="124"/>
  <c r="U11" i="124"/>
  <c r="T11" i="124"/>
  <c r="R11" i="124"/>
  <c r="Q11" i="124"/>
  <c r="O11" i="124"/>
  <c r="N11" i="124"/>
  <c r="L11" i="124"/>
  <c r="K11" i="124"/>
  <c r="I11" i="124"/>
  <c r="H11" i="124"/>
  <c r="F11" i="124"/>
  <c r="B11" i="124" s="1"/>
  <c r="E11" i="124"/>
  <c r="R27" i="125"/>
  <c r="R25" i="125"/>
  <c r="O25" i="125"/>
  <c r="L25" i="125"/>
  <c r="I25" i="125"/>
  <c r="F25" i="125"/>
  <c r="C25" i="125"/>
  <c r="R23" i="125"/>
  <c r="O23" i="125"/>
  <c r="L23" i="125"/>
  <c r="I23" i="125"/>
  <c r="F23" i="125"/>
  <c r="C23" i="125"/>
  <c r="R21" i="125"/>
  <c r="O21" i="125"/>
  <c r="L21" i="125"/>
  <c r="I21" i="125"/>
  <c r="F21" i="125"/>
  <c r="C21" i="125"/>
  <c r="R19" i="125"/>
  <c r="O19" i="125"/>
  <c r="L19" i="125"/>
  <c r="I19" i="125"/>
  <c r="F19" i="125"/>
  <c r="C19" i="125"/>
  <c r="R17" i="125"/>
  <c r="O17" i="125"/>
  <c r="L17" i="125"/>
  <c r="I17" i="125"/>
  <c r="F17" i="125"/>
  <c r="C17" i="125"/>
  <c r="R15" i="125"/>
  <c r="O15" i="125"/>
  <c r="L15" i="125"/>
  <c r="I15" i="125"/>
  <c r="F15" i="125"/>
  <c r="C15" i="125"/>
  <c r="Q14" i="125"/>
  <c r="R28" i="125" s="1"/>
  <c r="N14" i="125"/>
  <c r="O26" i="125" s="1"/>
  <c r="K14" i="125"/>
  <c r="L26" i="125" s="1"/>
  <c r="H14" i="125"/>
  <c r="I22" i="125" s="1"/>
  <c r="E14" i="125"/>
  <c r="F28" i="125" s="1"/>
  <c r="B14" i="125"/>
  <c r="C26" i="125" s="1"/>
  <c r="B26" i="127"/>
  <c r="B21" i="127"/>
  <c r="X20" i="127"/>
  <c r="U20" i="127"/>
  <c r="R20" i="127"/>
  <c r="O20" i="127"/>
  <c r="L20" i="127"/>
  <c r="I20" i="127"/>
  <c r="F20" i="127"/>
  <c r="C20" i="127"/>
  <c r="B20" i="127"/>
  <c r="B19" i="127"/>
  <c r="X18" i="127"/>
  <c r="U18" i="127"/>
  <c r="R18" i="127"/>
  <c r="O18" i="127"/>
  <c r="L18" i="127"/>
  <c r="I18" i="127"/>
  <c r="F18" i="127"/>
  <c r="C18" i="127"/>
  <c r="B18" i="127"/>
  <c r="B17" i="127"/>
  <c r="X16" i="127"/>
  <c r="U16" i="127"/>
  <c r="R16" i="127"/>
  <c r="O16" i="127"/>
  <c r="L16" i="127"/>
  <c r="I16" i="127"/>
  <c r="F16" i="127"/>
  <c r="C16" i="127"/>
  <c r="B16" i="127"/>
  <c r="B15" i="127"/>
  <c r="X14" i="127"/>
  <c r="U14" i="127"/>
  <c r="R14" i="127"/>
  <c r="O14" i="127"/>
  <c r="L14" i="127"/>
  <c r="I14" i="127"/>
  <c r="F14" i="127"/>
  <c r="C14" i="127"/>
  <c r="B14" i="127"/>
  <c r="B13" i="127"/>
  <c r="R12" i="127"/>
  <c r="O12" i="127"/>
  <c r="L12" i="127"/>
  <c r="I12" i="127"/>
  <c r="F12" i="127"/>
  <c r="C12" i="127"/>
  <c r="B12" i="127"/>
  <c r="W11" i="127"/>
  <c r="X26" i="127" s="1"/>
  <c r="T11" i="127"/>
  <c r="U19" i="127" s="1"/>
  <c r="Q11" i="127"/>
  <c r="R19" i="127" s="1"/>
  <c r="N11" i="127"/>
  <c r="O15" i="127" s="1"/>
  <c r="K11" i="127"/>
  <c r="L26" i="127" s="1"/>
  <c r="H11" i="127"/>
  <c r="I19" i="127" s="1"/>
  <c r="E11" i="127"/>
  <c r="F19" i="127" s="1"/>
  <c r="B26" i="128"/>
  <c r="B21" i="128"/>
  <c r="X20" i="128"/>
  <c r="U20" i="128"/>
  <c r="R20" i="128"/>
  <c r="O20" i="128"/>
  <c r="L20" i="128"/>
  <c r="I20" i="128"/>
  <c r="F20" i="128"/>
  <c r="C20" i="128"/>
  <c r="B20" i="128"/>
  <c r="B19" i="128"/>
  <c r="X18" i="128"/>
  <c r="U18" i="128"/>
  <c r="R18" i="128"/>
  <c r="O18" i="128"/>
  <c r="L18" i="128"/>
  <c r="I18" i="128"/>
  <c r="F18" i="128"/>
  <c r="C18" i="128"/>
  <c r="B18" i="128"/>
  <c r="B17" i="128"/>
  <c r="X16" i="128"/>
  <c r="U16" i="128"/>
  <c r="R16" i="128"/>
  <c r="O16" i="128"/>
  <c r="L16" i="128"/>
  <c r="I16" i="128"/>
  <c r="F16" i="128"/>
  <c r="C16" i="128"/>
  <c r="B16" i="128"/>
  <c r="B15" i="128"/>
  <c r="X14" i="128"/>
  <c r="U14" i="128"/>
  <c r="R14" i="128"/>
  <c r="O14" i="128"/>
  <c r="L14" i="128"/>
  <c r="I14" i="128"/>
  <c r="F14" i="128"/>
  <c r="C14" i="128"/>
  <c r="B14" i="128"/>
  <c r="B13" i="128"/>
  <c r="B11" i="128" s="1"/>
  <c r="C21" i="128" s="1"/>
  <c r="R12" i="128"/>
  <c r="O12" i="128"/>
  <c r="L12" i="128"/>
  <c r="I12" i="128"/>
  <c r="F12" i="128"/>
  <c r="C12" i="128"/>
  <c r="B12" i="128"/>
  <c r="W11" i="128"/>
  <c r="T11" i="128"/>
  <c r="U26" i="128" s="1"/>
  <c r="Q11" i="128"/>
  <c r="R19" i="128" s="1"/>
  <c r="N11" i="128"/>
  <c r="O19" i="128" s="1"/>
  <c r="K11" i="128"/>
  <c r="L26" i="128" s="1"/>
  <c r="H11" i="128"/>
  <c r="I26" i="128" s="1"/>
  <c r="E11" i="128"/>
  <c r="F19" i="128" s="1"/>
  <c r="B26" i="130"/>
  <c r="B21" i="130"/>
  <c r="X20" i="130"/>
  <c r="U20" i="130"/>
  <c r="R20" i="130"/>
  <c r="O20" i="130"/>
  <c r="L20" i="130"/>
  <c r="I20" i="130"/>
  <c r="F20" i="130"/>
  <c r="C20" i="130"/>
  <c r="B20" i="130"/>
  <c r="B19" i="130"/>
  <c r="X18" i="130"/>
  <c r="U18" i="130"/>
  <c r="R18" i="130"/>
  <c r="O18" i="130"/>
  <c r="L18" i="130"/>
  <c r="I18" i="130"/>
  <c r="F18" i="130"/>
  <c r="C18" i="130"/>
  <c r="B18" i="130"/>
  <c r="B17" i="130"/>
  <c r="X16" i="130"/>
  <c r="U16" i="130"/>
  <c r="R16" i="130"/>
  <c r="O16" i="130"/>
  <c r="L16" i="130"/>
  <c r="I16" i="130"/>
  <c r="F16" i="130"/>
  <c r="C16" i="130"/>
  <c r="B16" i="130"/>
  <c r="O15" i="130"/>
  <c r="B15" i="130"/>
  <c r="X14" i="130"/>
  <c r="U14" i="130"/>
  <c r="R14" i="130"/>
  <c r="O14" i="130"/>
  <c r="L14" i="130"/>
  <c r="I14" i="130"/>
  <c r="F14" i="130"/>
  <c r="C14" i="130"/>
  <c r="B14" i="130"/>
  <c r="B13" i="130"/>
  <c r="R12" i="130"/>
  <c r="O12" i="130"/>
  <c r="L12" i="130"/>
  <c r="I12" i="130"/>
  <c r="F12" i="130"/>
  <c r="C12" i="130"/>
  <c r="B12" i="130"/>
  <c r="W11" i="130"/>
  <c r="X26" i="130" s="1"/>
  <c r="T11" i="130"/>
  <c r="U19" i="130" s="1"/>
  <c r="Q11" i="130"/>
  <c r="R19" i="130" s="1"/>
  <c r="N11" i="130"/>
  <c r="O26" i="130" s="1"/>
  <c r="K11" i="130"/>
  <c r="L26" i="130" s="1"/>
  <c r="H11" i="130"/>
  <c r="I19" i="130" s="1"/>
  <c r="E11" i="130"/>
  <c r="F19" i="130" s="1"/>
  <c r="F21" i="131"/>
  <c r="B21" i="131"/>
  <c r="X20" i="131"/>
  <c r="U20" i="131"/>
  <c r="R20" i="131"/>
  <c r="O20" i="131"/>
  <c r="L20" i="131"/>
  <c r="I20" i="131"/>
  <c r="F20" i="131"/>
  <c r="C20" i="131"/>
  <c r="B20" i="131"/>
  <c r="B19" i="131"/>
  <c r="X18" i="131"/>
  <c r="U18" i="131"/>
  <c r="R18" i="131"/>
  <c r="O18" i="131"/>
  <c r="L18" i="131"/>
  <c r="I18" i="131"/>
  <c r="F18" i="131"/>
  <c r="C18" i="131"/>
  <c r="B18" i="131"/>
  <c r="B17" i="131"/>
  <c r="X16" i="131"/>
  <c r="U16" i="131"/>
  <c r="R16" i="131"/>
  <c r="O16" i="131"/>
  <c r="L16" i="131"/>
  <c r="I16" i="131"/>
  <c r="F16" i="131"/>
  <c r="C16" i="131"/>
  <c r="B16" i="131"/>
  <c r="B15" i="131"/>
  <c r="X14" i="131"/>
  <c r="U14" i="131"/>
  <c r="R14" i="131"/>
  <c r="O14" i="131"/>
  <c r="L14" i="131"/>
  <c r="I14" i="131"/>
  <c r="F14" i="131"/>
  <c r="C14" i="131"/>
  <c r="B14" i="131"/>
  <c r="F13" i="131"/>
  <c r="B13" i="131"/>
  <c r="R12" i="131"/>
  <c r="O12" i="131"/>
  <c r="L12" i="131"/>
  <c r="I12" i="131"/>
  <c r="F12" i="131"/>
  <c r="C12" i="131"/>
  <c r="B12" i="131"/>
  <c r="W11" i="131"/>
  <c r="X19" i="131" s="1"/>
  <c r="T11" i="131"/>
  <c r="Q11" i="131"/>
  <c r="R19" i="131" s="1"/>
  <c r="N11" i="131"/>
  <c r="O13" i="131" s="1"/>
  <c r="K11" i="131"/>
  <c r="H11" i="131"/>
  <c r="I15" i="131" s="1"/>
  <c r="E11" i="131"/>
  <c r="F19" i="131" s="1"/>
  <c r="B11" i="131"/>
  <c r="F23" i="131" s="1"/>
  <c r="L22" i="133"/>
  <c r="X20" i="133"/>
  <c r="U20" i="133"/>
  <c r="R20" i="133"/>
  <c r="O20" i="133"/>
  <c r="L20" i="133"/>
  <c r="I20" i="133"/>
  <c r="F20" i="133"/>
  <c r="C20" i="133"/>
  <c r="X18" i="133"/>
  <c r="U18" i="133"/>
  <c r="R18" i="133"/>
  <c r="O18" i="133"/>
  <c r="L18" i="133"/>
  <c r="I18" i="133"/>
  <c r="F18" i="133"/>
  <c r="C18" i="133"/>
  <c r="X16" i="133"/>
  <c r="U16" i="133"/>
  <c r="R16" i="133"/>
  <c r="O16" i="133"/>
  <c r="L16" i="133"/>
  <c r="I16" i="133"/>
  <c r="F16" i="133"/>
  <c r="C16" i="133"/>
  <c r="C15" i="133"/>
  <c r="X14" i="133"/>
  <c r="U14" i="133"/>
  <c r="R14" i="133"/>
  <c r="O14" i="133"/>
  <c r="L14" i="133"/>
  <c r="I14" i="133"/>
  <c r="F14" i="133"/>
  <c r="C14" i="133"/>
  <c r="R12" i="133"/>
  <c r="O12" i="133"/>
  <c r="L12" i="133"/>
  <c r="I12" i="133"/>
  <c r="F12" i="133"/>
  <c r="C12" i="133"/>
  <c r="B12" i="133"/>
  <c r="W11" i="133"/>
  <c r="X21" i="133" s="1"/>
  <c r="T11" i="133"/>
  <c r="U21" i="133" s="1"/>
  <c r="Q11" i="133"/>
  <c r="R21" i="133" s="1"/>
  <c r="N11" i="133"/>
  <c r="O21" i="133" s="1"/>
  <c r="K11" i="133"/>
  <c r="L21" i="133" s="1"/>
  <c r="H11" i="133"/>
  <c r="I21" i="133" s="1"/>
  <c r="E11" i="133"/>
  <c r="F17" i="133" s="1"/>
  <c r="B11" i="133"/>
  <c r="C21" i="133" s="1"/>
  <c r="R21" i="130" l="1"/>
  <c r="J19" i="139"/>
  <c r="J24" i="139"/>
  <c r="G29" i="139"/>
  <c r="C17" i="133"/>
  <c r="R13" i="131"/>
  <c r="R21" i="131"/>
  <c r="F13" i="130"/>
  <c r="J38" i="139"/>
  <c r="G18" i="144"/>
  <c r="G24" i="144"/>
  <c r="G50" i="144"/>
  <c r="C13" i="133"/>
  <c r="O17" i="133"/>
  <c r="F17" i="131"/>
  <c r="R13" i="127"/>
  <c r="C13" i="137"/>
  <c r="E24" i="137" s="1"/>
  <c r="J28" i="139"/>
  <c r="G30" i="139"/>
  <c r="J18" i="144"/>
  <c r="O13" i="133"/>
  <c r="R17" i="131"/>
  <c r="I21" i="130"/>
  <c r="F15" i="128"/>
  <c r="I17" i="127"/>
  <c r="I21" i="123"/>
  <c r="L14" i="144"/>
  <c r="L12" i="144" s="1"/>
  <c r="C12" i="144" s="1"/>
  <c r="J12" i="144" s="1"/>
  <c r="M31" i="144"/>
  <c r="G37" i="144"/>
  <c r="G42" i="144"/>
  <c r="J45" i="144"/>
  <c r="E53" i="137"/>
  <c r="E34" i="137"/>
  <c r="E50" i="137"/>
  <c r="E15" i="137"/>
  <c r="E46" i="137"/>
  <c r="E21" i="137"/>
  <c r="E42" i="137"/>
  <c r="E19" i="137"/>
  <c r="E38" i="137"/>
  <c r="E17" i="137"/>
  <c r="E30" i="137"/>
  <c r="U13" i="127"/>
  <c r="F17" i="127"/>
  <c r="X19" i="127"/>
  <c r="C15" i="124"/>
  <c r="X15" i="123"/>
  <c r="C13" i="135"/>
  <c r="C54" i="144"/>
  <c r="G54" i="144" s="1"/>
  <c r="E12" i="142"/>
  <c r="R13" i="133"/>
  <c r="R17" i="133"/>
  <c r="I13" i="130"/>
  <c r="L19" i="130"/>
  <c r="U21" i="130"/>
  <c r="R15" i="128"/>
  <c r="B11" i="127"/>
  <c r="C21" i="127" s="1"/>
  <c r="R17" i="127"/>
  <c r="I17" i="123"/>
  <c r="U21" i="123"/>
  <c r="F12" i="139"/>
  <c r="C12" i="139" s="1"/>
  <c r="G12" i="139" s="1"/>
  <c r="C16" i="139"/>
  <c r="J16" i="139" s="1"/>
  <c r="C21" i="139"/>
  <c r="J21" i="139" s="1"/>
  <c r="J30" i="139"/>
  <c r="G35" i="139"/>
  <c r="G39" i="139"/>
  <c r="I14" i="144"/>
  <c r="I12" i="144" s="1"/>
  <c r="G32" i="144"/>
  <c r="J36" i="144"/>
  <c r="D36" i="144" s="1"/>
  <c r="G46" i="144"/>
  <c r="F13" i="133"/>
  <c r="C15" i="128"/>
  <c r="F19" i="133"/>
  <c r="L23" i="131"/>
  <c r="C15" i="131"/>
  <c r="C19" i="131"/>
  <c r="R13" i="130"/>
  <c r="O19" i="130"/>
  <c r="L15" i="127"/>
  <c r="U17" i="127"/>
  <c r="F21" i="127"/>
  <c r="F16" i="125"/>
  <c r="F18" i="125"/>
  <c r="F20" i="125"/>
  <c r="F22" i="125"/>
  <c r="F24" i="125"/>
  <c r="F26" i="125"/>
  <c r="U17" i="123"/>
  <c r="M33" i="139"/>
  <c r="M20" i="144"/>
  <c r="J32" i="144"/>
  <c r="C40" i="144"/>
  <c r="F15" i="133"/>
  <c r="R19" i="133"/>
  <c r="L15" i="131"/>
  <c r="L19" i="131"/>
  <c r="U13" i="130"/>
  <c r="F17" i="130"/>
  <c r="X19" i="130"/>
  <c r="X23" i="128"/>
  <c r="C13" i="127"/>
  <c r="R21" i="127"/>
  <c r="R16" i="125"/>
  <c r="R18" i="125"/>
  <c r="R20" i="125"/>
  <c r="R22" i="125"/>
  <c r="R24" i="125"/>
  <c r="R26" i="125"/>
  <c r="B11" i="123"/>
  <c r="C15" i="123" s="1"/>
  <c r="L23" i="128"/>
  <c r="O15" i="133"/>
  <c r="F21" i="133"/>
  <c r="X15" i="131"/>
  <c r="O23" i="130"/>
  <c r="I17" i="130"/>
  <c r="L13" i="128"/>
  <c r="L17" i="128"/>
  <c r="X26" i="128"/>
  <c r="F13" i="127"/>
  <c r="X15" i="127"/>
  <c r="C19" i="127"/>
  <c r="O13" i="123"/>
  <c r="O23" i="123"/>
  <c r="E21" i="135"/>
  <c r="J37" i="139"/>
  <c r="G33" i="144"/>
  <c r="C19" i="128"/>
  <c r="X15" i="130"/>
  <c r="O23" i="127"/>
  <c r="R15" i="133"/>
  <c r="U23" i="131"/>
  <c r="B11" i="130"/>
  <c r="C19" i="130" s="1"/>
  <c r="R17" i="130"/>
  <c r="X13" i="128"/>
  <c r="X17" i="128"/>
  <c r="I13" i="127"/>
  <c r="L19" i="127"/>
  <c r="O26" i="127"/>
  <c r="I28" i="125"/>
  <c r="O19" i="123"/>
  <c r="G25" i="139"/>
  <c r="C28" i="144"/>
  <c r="J28" i="144" s="1"/>
  <c r="J49" i="144"/>
  <c r="X23" i="131"/>
  <c r="L15" i="130"/>
  <c r="U17" i="130"/>
  <c r="F21" i="130"/>
  <c r="O19" i="127"/>
  <c r="L28" i="125"/>
  <c r="L15" i="123"/>
  <c r="J25" i="139"/>
  <c r="J29" i="139"/>
  <c r="G38" i="139"/>
  <c r="D38" i="139" s="1"/>
  <c r="C20" i="144"/>
  <c r="J20" i="144" s="1"/>
  <c r="D32" i="144"/>
  <c r="D23" i="144"/>
  <c r="G40" i="144"/>
  <c r="M40" i="144"/>
  <c r="D18" i="144"/>
  <c r="J40" i="144"/>
  <c r="M22" i="144"/>
  <c r="M44" i="144"/>
  <c r="M48" i="144"/>
  <c r="M52" i="144"/>
  <c r="M26" i="144"/>
  <c r="G16" i="144"/>
  <c r="J24" i="144"/>
  <c r="G25" i="144"/>
  <c r="G30" i="144"/>
  <c r="J33" i="144"/>
  <c r="G34" i="144"/>
  <c r="J37" i="144"/>
  <c r="D37" i="144" s="1"/>
  <c r="G38" i="144"/>
  <c r="J42" i="144"/>
  <c r="D42" i="144" s="1"/>
  <c r="G43" i="144"/>
  <c r="M45" i="144"/>
  <c r="J46" i="144"/>
  <c r="G47" i="144"/>
  <c r="M49" i="144"/>
  <c r="D49" i="144" s="1"/>
  <c r="J50" i="144"/>
  <c r="D50" i="144" s="1"/>
  <c r="G51" i="144"/>
  <c r="G56" i="144"/>
  <c r="M35" i="144"/>
  <c r="J16" i="144"/>
  <c r="G22" i="144"/>
  <c r="D22" i="144" s="1"/>
  <c r="J25" i="144"/>
  <c r="G26" i="144"/>
  <c r="J30" i="144"/>
  <c r="G31" i="144"/>
  <c r="D31" i="144" s="1"/>
  <c r="J34" i="144"/>
  <c r="G35" i="144"/>
  <c r="J38" i="144"/>
  <c r="J43" i="144"/>
  <c r="G44" i="144"/>
  <c r="D44" i="144" s="1"/>
  <c r="J47" i="144"/>
  <c r="G48" i="144"/>
  <c r="J51" i="144"/>
  <c r="G52" i="144"/>
  <c r="J56" i="144"/>
  <c r="D29" i="139"/>
  <c r="J33" i="139"/>
  <c r="G33" i="139"/>
  <c r="M37" i="139"/>
  <c r="C14" i="139"/>
  <c r="M14" i="139" s="1"/>
  <c r="G18" i="139"/>
  <c r="G21" i="139"/>
  <c r="G23" i="139"/>
  <c r="J26" i="139"/>
  <c r="D26" i="139" s="1"/>
  <c r="G27" i="139"/>
  <c r="G31" i="139"/>
  <c r="J35" i="139"/>
  <c r="G36" i="139"/>
  <c r="J39" i="139"/>
  <c r="D39" i="139" s="1"/>
  <c r="M18" i="139"/>
  <c r="M23" i="139"/>
  <c r="M27" i="139"/>
  <c r="M31" i="139"/>
  <c r="M36" i="139"/>
  <c r="M19" i="139"/>
  <c r="D19" i="139" s="1"/>
  <c r="M24" i="139"/>
  <c r="D24" i="139" s="1"/>
  <c r="M28" i="139"/>
  <c r="E16" i="135"/>
  <c r="E23" i="135"/>
  <c r="E30" i="135"/>
  <c r="E34" i="135"/>
  <c r="E17" i="135"/>
  <c r="E24" i="135"/>
  <c r="E31" i="135"/>
  <c r="E35" i="135"/>
  <c r="E18" i="135"/>
  <c r="E25" i="135"/>
  <c r="E32" i="135"/>
  <c r="E15" i="136"/>
  <c r="E13" i="136" s="1"/>
  <c r="E18" i="137"/>
  <c r="E22" i="137"/>
  <c r="E25" i="137"/>
  <c r="E31" i="137"/>
  <c r="E35" i="137"/>
  <c r="E39" i="137"/>
  <c r="E43" i="137"/>
  <c r="E47" i="137"/>
  <c r="E51" i="137"/>
  <c r="E26" i="137"/>
  <c r="E32" i="137"/>
  <c r="E36" i="137"/>
  <c r="E40" i="137"/>
  <c r="E44" i="137"/>
  <c r="E48" i="137"/>
  <c r="E52" i="137"/>
  <c r="E16" i="137"/>
  <c r="E20" i="137"/>
  <c r="E29" i="137"/>
  <c r="E33" i="137"/>
  <c r="E37" i="137"/>
  <c r="E41" i="137"/>
  <c r="E45" i="137"/>
  <c r="E49" i="137"/>
  <c r="C13" i="138"/>
  <c r="D15" i="114"/>
  <c r="D19" i="114"/>
  <c r="D23" i="114"/>
  <c r="D17" i="114"/>
  <c r="D21" i="114"/>
  <c r="F13" i="123"/>
  <c r="R13" i="123"/>
  <c r="O15" i="123"/>
  <c r="L17" i="123"/>
  <c r="X17" i="123"/>
  <c r="F19" i="123"/>
  <c r="R19" i="123"/>
  <c r="L21" i="123"/>
  <c r="X21" i="123"/>
  <c r="F23" i="123"/>
  <c r="R23" i="123"/>
  <c r="I13" i="123"/>
  <c r="U13" i="123"/>
  <c r="F15" i="123"/>
  <c r="R15" i="123"/>
  <c r="O17" i="123"/>
  <c r="I19" i="123"/>
  <c r="U19" i="123"/>
  <c r="I23" i="123"/>
  <c r="U23" i="123"/>
  <c r="L13" i="123"/>
  <c r="X13" i="123"/>
  <c r="F17" i="123"/>
  <c r="R17" i="123"/>
  <c r="L19" i="123"/>
  <c r="X19" i="123"/>
  <c r="C13" i="124"/>
  <c r="C17" i="124"/>
  <c r="I18" i="125"/>
  <c r="I20" i="125"/>
  <c r="I24" i="125"/>
  <c r="I26" i="125"/>
  <c r="L16" i="125"/>
  <c r="L18" i="125"/>
  <c r="L20" i="125"/>
  <c r="L22" i="125"/>
  <c r="L24" i="125"/>
  <c r="C28" i="125"/>
  <c r="O28" i="125"/>
  <c r="I16" i="125"/>
  <c r="C16" i="125"/>
  <c r="O16" i="125"/>
  <c r="C18" i="125"/>
  <c r="O18" i="125"/>
  <c r="C20" i="125"/>
  <c r="O20" i="125"/>
  <c r="C22" i="125"/>
  <c r="O22" i="125"/>
  <c r="C24" i="125"/>
  <c r="O24" i="125"/>
  <c r="F23" i="127"/>
  <c r="R23" i="127"/>
  <c r="I21" i="127"/>
  <c r="U21" i="127"/>
  <c r="F26" i="127"/>
  <c r="R26" i="127"/>
  <c r="L13" i="127"/>
  <c r="X13" i="127"/>
  <c r="F15" i="127"/>
  <c r="R15" i="127"/>
  <c r="R11" i="127" s="1"/>
  <c r="L17" i="127"/>
  <c r="X17" i="127"/>
  <c r="L21" i="127"/>
  <c r="X21" i="127"/>
  <c r="I26" i="127"/>
  <c r="U26" i="127"/>
  <c r="O13" i="127"/>
  <c r="I15" i="127"/>
  <c r="U15" i="127"/>
  <c r="O17" i="127"/>
  <c r="O21" i="127"/>
  <c r="O13" i="128"/>
  <c r="I15" i="128"/>
  <c r="C17" i="128"/>
  <c r="U19" i="128"/>
  <c r="O21" i="128"/>
  <c r="O23" i="128"/>
  <c r="F13" i="128"/>
  <c r="R13" i="128"/>
  <c r="L15" i="128"/>
  <c r="X15" i="128"/>
  <c r="F17" i="128"/>
  <c r="R17" i="128"/>
  <c r="L19" i="128"/>
  <c r="X19" i="128"/>
  <c r="F21" i="128"/>
  <c r="R21" i="128"/>
  <c r="F23" i="128"/>
  <c r="R23" i="128"/>
  <c r="C26" i="128"/>
  <c r="O26" i="128"/>
  <c r="C13" i="128"/>
  <c r="U15" i="128"/>
  <c r="O17" i="128"/>
  <c r="I19" i="128"/>
  <c r="I13" i="128"/>
  <c r="U13" i="128"/>
  <c r="O15" i="128"/>
  <c r="I17" i="128"/>
  <c r="U17" i="128"/>
  <c r="I21" i="128"/>
  <c r="U21" i="128"/>
  <c r="I23" i="128"/>
  <c r="U23" i="128"/>
  <c r="F26" i="128"/>
  <c r="R26" i="128"/>
  <c r="L21" i="128"/>
  <c r="X21" i="128"/>
  <c r="C21" i="130"/>
  <c r="C17" i="130"/>
  <c r="C13" i="130"/>
  <c r="U23" i="130"/>
  <c r="I23" i="130"/>
  <c r="C26" i="130"/>
  <c r="R23" i="130"/>
  <c r="F23" i="130"/>
  <c r="F26" i="130"/>
  <c r="R26" i="130"/>
  <c r="L13" i="130"/>
  <c r="X13" i="130"/>
  <c r="F15" i="130"/>
  <c r="F11" i="130" s="1"/>
  <c r="R15" i="130"/>
  <c r="R11" i="130" s="1"/>
  <c r="L17" i="130"/>
  <c r="X17" i="130"/>
  <c r="L21" i="130"/>
  <c r="X21" i="130"/>
  <c r="L23" i="130"/>
  <c r="X23" i="130"/>
  <c r="I26" i="130"/>
  <c r="U26" i="130"/>
  <c r="C15" i="130"/>
  <c r="O13" i="130"/>
  <c r="I15" i="130"/>
  <c r="U15" i="130"/>
  <c r="O17" i="130"/>
  <c r="O21" i="130"/>
  <c r="F11" i="131"/>
  <c r="R11" i="131"/>
  <c r="C13" i="131"/>
  <c r="U15" i="131"/>
  <c r="O17" i="131"/>
  <c r="I19" i="131"/>
  <c r="U19" i="131"/>
  <c r="O21" i="131"/>
  <c r="O23" i="131"/>
  <c r="R23" i="131"/>
  <c r="I13" i="131"/>
  <c r="U13" i="131"/>
  <c r="O15" i="131"/>
  <c r="O11" i="131" s="1"/>
  <c r="I17" i="131"/>
  <c r="U17" i="131"/>
  <c r="O19" i="131"/>
  <c r="I21" i="131"/>
  <c r="U21" i="131"/>
  <c r="I23" i="131"/>
  <c r="C17" i="131"/>
  <c r="C21" i="131"/>
  <c r="L13" i="131"/>
  <c r="X13" i="131"/>
  <c r="F15" i="131"/>
  <c r="R15" i="131"/>
  <c r="L17" i="131"/>
  <c r="X17" i="131"/>
  <c r="L21" i="131"/>
  <c r="X21" i="131"/>
  <c r="I13" i="133"/>
  <c r="U13" i="133"/>
  <c r="I15" i="133"/>
  <c r="U15" i="133"/>
  <c r="I17" i="133"/>
  <c r="U17" i="133"/>
  <c r="I19" i="133"/>
  <c r="U19" i="133"/>
  <c r="L13" i="133"/>
  <c r="X13" i="133"/>
  <c r="L15" i="133"/>
  <c r="X15" i="133"/>
  <c r="L17" i="133"/>
  <c r="X17" i="133"/>
  <c r="L19" i="133"/>
  <c r="X19" i="133"/>
  <c r="C19" i="133"/>
  <c r="C11" i="133" s="1"/>
  <c r="O19" i="133"/>
  <c r="O11" i="133" s="1"/>
  <c r="B51" i="150"/>
  <c r="R51" i="150" s="1"/>
  <c r="R50" i="150"/>
  <c r="I50" i="150"/>
  <c r="B50" i="150"/>
  <c r="O50" i="150" s="1"/>
  <c r="B49" i="150"/>
  <c r="L49" i="150" s="1"/>
  <c r="B48" i="150"/>
  <c r="I48" i="150" s="1"/>
  <c r="B47" i="150"/>
  <c r="R47" i="150" s="1"/>
  <c r="B46" i="150"/>
  <c r="O46" i="150" s="1"/>
  <c r="B45" i="150"/>
  <c r="L45" i="150" s="1"/>
  <c r="B44" i="150"/>
  <c r="I44" i="150" s="1"/>
  <c r="B43" i="150"/>
  <c r="R43" i="150" s="1"/>
  <c r="B42" i="150"/>
  <c r="O42" i="150" s="1"/>
  <c r="B41" i="150"/>
  <c r="L41" i="150" s="1"/>
  <c r="B40" i="150"/>
  <c r="I40" i="150" s="1"/>
  <c r="B39" i="150"/>
  <c r="R39" i="150" s="1"/>
  <c r="B38" i="150"/>
  <c r="O38" i="150" s="1"/>
  <c r="B37" i="150"/>
  <c r="R37" i="150" s="1"/>
  <c r="R36" i="150"/>
  <c r="B36" i="150"/>
  <c r="L36" i="150" s="1"/>
  <c r="B35" i="150"/>
  <c r="I35" i="150" s="1"/>
  <c r="B34" i="150"/>
  <c r="R34" i="150" s="1"/>
  <c r="B33" i="150"/>
  <c r="O33" i="150" s="1"/>
  <c r="B32" i="150"/>
  <c r="L32" i="150" s="1"/>
  <c r="B31" i="150"/>
  <c r="R31" i="150" s="1"/>
  <c r="B30" i="150"/>
  <c r="I30" i="150" s="1"/>
  <c r="B29" i="150"/>
  <c r="R29" i="150" s="1"/>
  <c r="R28" i="150"/>
  <c r="I28" i="150"/>
  <c r="B28" i="150"/>
  <c r="O28" i="150" s="1"/>
  <c r="B27" i="150"/>
  <c r="L27" i="150" s="1"/>
  <c r="B26" i="150"/>
  <c r="I26" i="150" s="1"/>
  <c r="B25" i="150"/>
  <c r="R25" i="150" s="1"/>
  <c r="B24" i="150"/>
  <c r="O24" i="150" s="1"/>
  <c r="B23" i="150"/>
  <c r="L23" i="150" s="1"/>
  <c r="B22" i="150"/>
  <c r="I22" i="150" s="1"/>
  <c r="B21" i="150"/>
  <c r="R21" i="150" s="1"/>
  <c r="B20" i="150"/>
  <c r="O20" i="150" s="1"/>
  <c r="B19" i="150"/>
  <c r="L19" i="150" s="1"/>
  <c r="B18" i="150"/>
  <c r="I18" i="150" s="1"/>
  <c r="B17" i="150"/>
  <c r="R17" i="150" s="1"/>
  <c r="B16" i="150"/>
  <c r="L16" i="150" s="1"/>
  <c r="B15" i="150"/>
  <c r="L15" i="150" s="1"/>
  <c r="B14" i="150"/>
  <c r="I14" i="150" s="1"/>
  <c r="R13" i="150"/>
  <c r="O13" i="150"/>
  <c r="L13" i="150"/>
  <c r="I13" i="150"/>
  <c r="F13" i="150"/>
  <c r="C13" i="150"/>
  <c r="B13" i="150"/>
  <c r="S12" i="150"/>
  <c r="Q12" i="150"/>
  <c r="N12" i="150"/>
  <c r="K12" i="150"/>
  <c r="H12" i="150"/>
  <c r="E12" i="150"/>
  <c r="A1" i="150"/>
  <c r="B102" i="149"/>
  <c r="R102" i="149" s="1"/>
  <c r="B101" i="149"/>
  <c r="O101" i="149" s="1"/>
  <c r="B100" i="149"/>
  <c r="L100" i="149" s="1"/>
  <c r="B99" i="149"/>
  <c r="L99" i="149" s="1"/>
  <c r="B98" i="149"/>
  <c r="R98" i="149" s="1"/>
  <c r="Q97" i="149"/>
  <c r="N97" i="149"/>
  <c r="K97" i="149"/>
  <c r="H97" i="149"/>
  <c r="E97" i="149"/>
  <c r="R96" i="149"/>
  <c r="O96" i="149"/>
  <c r="L96" i="149"/>
  <c r="I96" i="149"/>
  <c r="F96" i="149"/>
  <c r="C96" i="149"/>
  <c r="B96" i="149"/>
  <c r="B95" i="149"/>
  <c r="L95" i="149" s="1"/>
  <c r="B94" i="149"/>
  <c r="L94" i="149" s="1"/>
  <c r="R93" i="149"/>
  <c r="O93" i="149"/>
  <c r="L93" i="149"/>
  <c r="I93" i="149"/>
  <c r="F93" i="149"/>
  <c r="C93" i="149"/>
  <c r="B93" i="149"/>
  <c r="B92" i="149"/>
  <c r="L92" i="149" s="1"/>
  <c r="B91" i="149"/>
  <c r="L91" i="149" s="1"/>
  <c r="B90" i="149"/>
  <c r="B89" i="149"/>
  <c r="O89" i="149" s="1"/>
  <c r="B88" i="149"/>
  <c r="L88" i="149" s="1"/>
  <c r="B87" i="149"/>
  <c r="L87" i="149" s="1"/>
  <c r="B86" i="149"/>
  <c r="L86" i="149" s="1"/>
  <c r="B85" i="149"/>
  <c r="O85" i="149" s="1"/>
  <c r="B84" i="149"/>
  <c r="L84" i="149" s="1"/>
  <c r="Q83" i="149"/>
  <c r="Q82" i="149" s="1"/>
  <c r="N83" i="149"/>
  <c r="K83" i="149"/>
  <c r="H83" i="149"/>
  <c r="H82" i="149" s="1"/>
  <c r="E83" i="149"/>
  <c r="E82" i="149" s="1"/>
  <c r="N82" i="149"/>
  <c r="R81" i="149"/>
  <c r="O81" i="149"/>
  <c r="L81" i="149"/>
  <c r="I81" i="149"/>
  <c r="F81" i="149"/>
  <c r="C81" i="149"/>
  <c r="B81" i="149"/>
  <c r="B80" i="149"/>
  <c r="L80" i="149" s="1"/>
  <c r="R79" i="149"/>
  <c r="B79" i="149"/>
  <c r="O79" i="149" s="1"/>
  <c r="O78" i="149"/>
  <c r="B78" i="149"/>
  <c r="L78" i="149" s="1"/>
  <c r="B77" i="149"/>
  <c r="L77" i="149" s="1"/>
  <c r="Q76" i="149"/>
  <c r="N76" i="149"/>
  <c r="K76" i="149"/>
  <c r="K75" i="149" s="1"/>
  <c r="H76" i="149"/>
  <c r="E76" i="149"/>
  <c r="N75" i="149"/>
  <c r="H75" i="149"/>
  <c r="E75" i="149"/>
  <c r="R74" i="149"/>
  <c r="O74" i="149"/>
  <c r="L74" i="149"/>
  <c r="I74" i="149"/>
  <c r="F74" i="149"/>
  <c r="C74" i="149"/>
  <c r="B74" i="149"/>
  <c r="R73" i="149"/>
  <c r="B73" i="149"/>
  <c r="O73" i="149" s="1"/>
  <c r="R72" i="149"/>
  <c r="O72" i="149"/>
  <c r="L72" i="149"/>
  <c r="I72" i="149"/>
  <c r="F72" i="149"/>
  <c r="C72" i="149"/>
  <c r="B72" i="149"/>
  <c r="B71" i="149"/>
  <c r="L71" i="149" s="1"/>
  <c r="R70" i="149"/>
  <c r="O70" i="149"/>
  <c r="L70" i="149"/>
  <c r="I70" i="149"/>
  <c r="F70" i="149"/>
  <c r="C70" i="149"/>
  <c r="B70" i="149"/>
  <c r="B69" i="149"/>
  <c r="O69" i="149" s="1"/>
  <c r="B68" i="149"/>
  <c r="L68" i="149" s="1"/>
  <c r="O67" i="149"/>
  <c r="B67" i="149"/>
  <c r="L67" i="149" s="1"/>
  <c r="B66" i="149"/>
  <c r="L66" i="149" s="1"/>
  <c r="R65" i="149"/>
  <c r="I65" i="149"/>
  <c r="B65" i="149"/>
  <c r="O65" i="149" s="1"/>
  <c r="Q64" i="149"/>
  <c r="Q61" i="149" s="1"/>
  <c r="N64" i="149"/>
  <c r="K64" i="149"/>
  <c r="H64" i="149"/>
  <c r="H61" i="149" s="1"/>
  <c r="E64" i="149"/>
  <c r="R63" i="149"/>
  <c r="O63" i="149"/>
  <c r="L63" i="149"/>
  <c r="I63" i="149"/>
  <c r="F63" i="149"/>
  <c r="C63" i="149"/>
  <c r="B63" i="149"/>
  <c r="B62" i="149"/>
  <c r="O62" i="149" s="1"/>
  <c r="N61" i="149"/>
  <c r="K61" i="149"/>
  <c r="R60" i="149"/>
  <c r="O60" i="149"/>
  <c r="L60" i="149"/>
  <c r="I60" i="149"/>
  <c r="F60" i="149"/>
  <c r="C60" i="149"/>
  <c r="B60" i="149"/>
  <c r="B59" i="149"/>
  <c r="O59" i="149" s="1"/>
  <c r="B58" i="149"/>
  <c r="L58" i="149" s="1"/>
  <c r="B57" i="149"/>
  <c r="L57" i="149" s="1"/>
  <c r="B56" i="149"/>
  <c r="I56" i="149" s="1"/>
  <c r="B55" i="149"/>
  <c r="O55" i="149" s="1"/>
  <c r="Q54" i="149"/>
  <c r="N54" i="149"/>
  <c r="K54" i="149"/>
  <c r="H54" i="149"/>
  <c r="E54" i="149"/>
  <c r="E35" i="149" s="1"/>
  <c r="R53" i="149"/>
  <c r="O53" i="149"/>
  <c r="L53" i="149"/>
  <c r="I53" i="149"/>
  <c r="F53" i="149"/>
  <c r="C53" i="149"/>
  <c r="B53" i="149"/>
  <c r="B52" i="149"/>
  <c r="O52" i="149" s="1"/>
  <c r="R51" i="149"/>
  <c r="O51" i="149"/>
  <c r="L51" i="149"/>
  <c r="I51" i="149"/>
  <c r="F51" i="149"/>
  <c r="C51" i="149"/>
  <c r="B51" i="149"/>
  <c r="B50" i="149"/>
  <c r="O50" i="149" s="1"/>
  <c r="B49" i="149"/>
  <c r="L49" i="149" s="1"/>
  <c r="B48" i="149"/>
  <c r="O48" i="149" s="1"/>
  <c r="B47" i="149"/>
  <c r="B46" i="149"/>
  <c r="O46" i="149" s="1"/>
  <c r="B45" i="149"/>
  <c r="L45" i="149" s="1"/>
  <c r="B44" i="149"/>
  <c r="O44" i="149" s="1"/>
  <c r="B43" i="149"/>
  <c r="Q42" i="149"/>
  <c r="N42" i="149"/>
  <c r="N35" i="149" s="1"/>
  <c r="K42" i="149"/>
  <c r="H42" i="149"/>
  <c r="E42" i="149"/>
  <c r="R41" i="149"/>
  <c r="O41" i="149"/>
  <c r="L41" i="149"/>
  <c r="I41" i="149"/>
  <c r="F41" i="149"/>
  <c r="C41" i="149"/>
  <c r="B41" i="149"/>
  <c r="O40" i="149"/>
  <c r="F40" i="149"/>
  <c r="B40" i="149"/>
  <c r="L40" i="149" s="1"/>
  <c r="B39" i="149"/>
  <c r="O39" i="149" s="1"/>
  <c r="B38" i="149"/>
  <c r="O38" i="149" s="1"/>
  <c r="B37" i="149"/>
  <c r="L37" i="149" s="1"/>
  <c r="Q36" i="149"/>
  <c r="N36" i="149"/>
  <c r="K36" i="149"/>
  <c r="H36" i="149"/>
  <c r="E36" i="149"/>
  <c r="R34" i="149"/>
  <c r="O34" i="149"/>
  <c r="L34" i="149"/>
  <c r="I34" i="149"/>
  <c r="F34" i="149"/>
  <c r="C34" i="149"/>
  <c r="B34" i="149"/>
  <c r="B33" i="149"/>
  <c r="I33" i="149" s="1"/>
  <c r="B32" i="149"/>
  <c r="O32" i="149" s="1"/>
  <c r="B31" i="149"/>
  <c r="L31" i="149" s="1"/>
  <c r="B30" i="149"/>
  <c r="L30" i="149" s="1"/>
  <c r="B29" i="149"/>
  <c r="I29" i="149" s="1"/>
  <c r="Q28" i="149"/>
  <c r="Q27" i="149" s="1"/>
  <c r="N28" i="149"/>
  <c r="N27" i="149" s="1"/>
  <c r="K28" i="149"/>
  <c r="K27" i="149" s="1"/>
  <c r="H28" i="149"/>
  <c r="H27" i="149" s="1"/>
  <c r="E28" i="149"/>
  <c r="R26" i="149"/>
  <c r="O26" i="149"/>
  <c r="L26" i="149"/>
  <c r="I26" i="149"/>
  <c r="F26" i="149"/>
  <c r="C26" i="149"/>
  <c r="B26" i="149"/>
  <c r="B25" i="149"/>
  <c r="L25" i="149" s="1"/>
  <c r="B24" i="149"/>
  <c r="L24" i="149" s="1"/>
  <c r="B23" i="149"/>
  <c r="I23" i="149" s="1"/>
  <c r="Q22" i="149"/>
  <c r="Q16" i="149" s="1"/>
  <c r="N22" i="149"/>
  <c r="K22" i="149"/>
  <c r="H22" i="149"/>
  <c r="E22" i="149"/>
  <c r="R21" i="149"/>
  <c r="O21" i="149"/>
  <c r="L21" i="149"/>
  <c r="I21" i="149"/>
  <c r="F21" i="149"/>
  <c r="C21" i="149"/>
  <c r="B21" i="149"/>
  <c r="R20" i="149"/>
  <c r="O20" i="149"/>
  <c r="F20" i="149"/>
  <c r="B20" i="149"/>
  <c r="L20" i="149" s="1"/>
  <c r="B19" i="149"/>
  <c r="L19" i="149" s="1"/>
  <c r="B18" i="149"/>
  <c r="I18" i="149" s="1"/>
  <c r="Q17" i="149"/>
  <c r="N17" i="149"/>
  <c r="K17" i="149"/>
  <c r="K16" i="149" s="1"/>
  <c r="H17" i="149"/>
  <c r="H16" i="149" s="1"/>
  <c r="E17" i="149"/>
  <c r="E16" i="149"/>
  <c r="R15" i="149"/>
  <c r="O15" i="149"/>
  <c r="L15" i="149"/>
  <c r="I15" i="149"/>
  <c r="F15" i="149"/>
  <c r="C15" i="149"/>
  <c r="B15" i="149"/>
  <c r="R13" i="149"/>
  <c r="O13" i="149"/>
  <c r="L13" i="149"/>
  <c r="I13" i="149"/>
  <c r="F13" i="149"/>
  <c r="B13" i="149"/>
  <c r="A1" i="149"/>
  <c r="B51" i="118"/>
  <c r="I51" i="118" s="1"/>
  <c r="B50" i="118"/>
  <c r="I50" i="118" s="1"/>
  <c r="B49" i="118"/>
  <c r="I49" i="118" s="1"/>
  <c r="B48" i="118"/>
  <c r="I48" i="118" s="1"/>
  <c r="B47" i="118"/>
  <c r="I47" i="118" s="1"/>
  <c r="B46" i="118"/>
  <c r="I46" i="118" s="1"/>
  <c r="B45" i="118"/>
  <c r="I45" i="118" s="1"/>
  <c r="B44" i="118"/>
  <c r="I44" i="118" s="1"/>
  <c r="B43" i="118"/>
  <c r="I43" i="118" s="1"/>
  <c r="B42" i="118"/>
  <c r="I42" i="118" s="1"/>
  <c r="B41" i="118"/>
  <c r="I41" i="118" s="1"/>
  <c r="B40" i="118"/>
  <c r="I40" i="118" s="1"/>
  <c r="B39" i="118"/>
  <c r="I39" i="118" s="1"/>
  <c r="B38" i="118"/>
  <c r="I38" i="118" s="1"/>
  <c r="B37" i="118"/>
  <c r="I37" i="118" s="1"/>
  <c r="B36" i="118"/>
  <c r="I36" i="118" s="1"/>
  <c r="B35" i="118"/>
  <c r="I35" i="118" s="1"/>
  <c r="B34" i="118"/>
  <c r="I34" i="118" s="1"/>
  <c r="B33" i="118"/>
  <c r="I33" i="118" s="1"/>
  <c r="B32" i="118"/>
  <c r="I32" i="118" s="1"/>
  <c r="B31" i="118"/>
  <c r="I31" i="118" s="1"/>
  <c r="B30" i="118"/>
  <c r="I30" i="118" s="1"/>
  <c r="B29" i="118"/>
  <c r="I29" i="118" s="1"/>
  <c r="B28" i="118"/>
  <c r="I28" i="118" s="1"/>
  <c r="B27" i="118"/>
  <c r="I27" i="118" s="1"/>
  <c r="B26" i="118"/>
  <c r="I26" i="118" s="1"/>
  <c r="B25" i="118"/>
  <c r="I25" i="118" s="1"/>
  <c r="B24" i="118"/>
  <c r="I24" i="118" s="1"/>
  <c r="B23" i="118"/>
  <c r="I23" i="118" s="1"/>
  <c r="B22" i="118"/>
  <c r="I22" i="118" s="1"/>
  <c r="B21" i="118"/>
  <c r="I21" i="118" s="1"/>
  <c r="B20" i="118"/>
  <c r="I20" i="118" s="1"/>
  <c r="B19" i="118"/>
  <c r="I19" i="118" s="1"/>
  <c r="B18" i="118"/>
  <c r="I18" i="118" s="1"/>
  <c r="B17" i="118"/>
  <c r="I17" i="118" s="1"/>
  <c r="B16" i="118"/>
  <c r="I16" i="118" s="1"/>
  <c r="B15" i="118"/>
  <c r="I15" i="118" s="1"/>
  <c r="B14" i="118"/>
  <c r="I14" i="118" s="1"/>
  <c r="F13" i="118"/>
  <c r="H12" i="118"/>
  <c r="E12" i="118"/>
  <c r="B76" i="149" l="1"/>
  <c r="F14" i="125"/>
  <c r="E13" i="137"/>
  <c r="O25" i="149"/>
  <c r="F23" i="150"/>
  <c r="I34" i="150"/>
  <c r="F46" i="150"/>
  <c r="I14" i="125"/>
  <c r="D24" i="144"/>
  <c r="F37" i="149"/>
  <c r="F46" i="149"/>
  <c r="R69" i="149"/>
  <c r="F89" i="149"/>
  <c r="F92" i="149"/>
  <c r="F98" i="149"/>
  <c r="B12" i="118"/>
  <c r="O37" i="149"/>
  <c r="R40" i="149"/>
  <c r="Q35" i="149"/>
  <c r="O45" i="149"/>
  <c r="I46" i="149"/>
  <c r="I58" i="149"/>
  <c r="B64" i="149"/>
  <c r="R64" i="149" s="1"/>
  <c r="O68" i="149"/>
  <c r="F73" i="149"/>
  <c r="F79" i="149"/>
  <c r="F84" i="149"/>
  <c r="O92" i="149"/>
  <c r="F101" i="149"/>
  <c r="O23" i="150"/>
  <c r="I37" i="150"/>
  <c r="R49" i="150"/>
  <c r="X23" i="127"/>
  <c r="U23" i="127"/>
  <c r="C15" i="127"/>
  <c r="C26" i="127"/>
  <c r="G14" i="139"/>
  <c r="D35" i="139"/>
  <c r="D37" i="139"/>
  <c r="D48" i="144"/>
  <c r="C17" i="127"/>
  <c r="R14" i="125"/>
  <c r="D30" i="139"/>
  <c r="G20" i="144"/>
  <c r="I38" i="149"/>
  <c r="H35" i="149"/>
  <c r="F58" i="149"/>
  <c r="B17" i="149"/>
  <c r="R17" i="149" s="1"/>
  <c r="B22" i="149"/>
  <c r="R22" i="149" s="1"/>
  <c r="B28" i="149"/>
  <c r="R28" i="149" s="1"/>
  <c r="R31" i="149"/>
  <c r="R37" i="149"/>
  <c r="R45" i="149"/>
  <c r="R46" i="149"/>
  <c r="R49" i="149"/>
  <c r="O58" i="149"/>
  <c r="R68" i="149"/>
  <c r="I73" i="149"/>
  <c r="Q75" i="149"/>
  <c r="F78" i="149"/>
  <c r="I79" i="149"/>
  <c r="R101" i="149"/>
  <c r="F33" i="150"/>
  <c r="I47" i="150"/>
  <c r="L23" i="127"/>
  <c r="I23" i="127"/>
  <c r="D28" i="139"/>
  <c r="C14" i="144"/>
  <c r="J14" i="144" s="1"/>
  <c r="D45" i="144"/>
  <c r="G28" i="144"/>
  <c r="F11" i="133"/>
  <c r="L76" i="149"/>
  <c r="I76" i="149"/>
  <c r="O76" i="149"/>
  <c r="Q14" i="149"/>
  <c r="E27" i="149"/>
  <c r="B27" i="149" s="1"/>
  <c r="R27" i="149" s="1"/>
  <c r="O31" i="149"/>
  <c r="K35" i="149"/>
  <c r="O49" i="149"/>
  <c r="L56" i="149"/>
  <c r="R58" i="149"/>
  <c r="F65" i="149"/>
  <c r="F68" i="149"/>
  <c r="R84" i="149"/>
  <c r="O87" i="149"/>
  <c r="R89" i="149"/>
  <c r="B97" i="149"/>
  <c r="I102" i="149"/>
  <c r="C23" i="131"/>
  <c r="U11" i="123"/>
  <c r="D26" i="144"/>
  <c r="M16" i="139"/>
  <c r="O24" i="149"/>
  <c r="F32" i="149"/>
  <c r="B36" i="149"/>
  <c r="B42" i="149"/>
  <c r="F42" i="149" s="1"/>
  <c r="F50" i="149"/>
  <c r="F55" i="149"/>
  <c r="O57" i="149"/>
  <c r="I59" i="149"/>
  <c r="O77" i="149"/>
  <c r="I85" i="149"/>
  <c r="O88" i="149"/>
  <c r="O91" i="149"/>
  <c r="O100" i="149"/>
  <c r="R27" i="150"/>
  <c r="F32" i="150"/>
  <c r="R38" i="150"/>
  <c r="F45" i="150"/>
  <c r="I51" i="150"/>
  <c r="C11" i="127"/>
  <c r="C21" i="123"/>
  <c r="D36" i="139"/>
  <c r="G16" i="139"/>
  <c r="J14" i="139"/>
  <c r="D33" i="144"/>
  <c r="F59" i="149"/>
  <c r="F88" i="149"/>
  <c r="O11" i="123"/>
  <c r="C17" i="123"/>
  <c r="J54" i="144"/>
  <c r="O17" i="149"/>
  <c r="I32" i="149"/>
  <c r="I50" i="149"/>
  <c r="I55" i="149"/>
  <c r="R59" i="149"/>
  <c r="E61" i="149"/>
  <c r="F69" i="149"/>
  <c r="R85" i="149"/>
  <c r="R88" i="149"/>
  <c r="F24" i="150"/>
  <c r="O32" i="150"/>
  <c r="F36" i="150"/>
  <c r="O45" i="150"/>
  <c r="F49" i="150"/>
  <c r="C19" i="123"/>
  <c r="D35" i="144"/>
  <c r="D46" i="144"/>
  <c r="E37" i="135"/>
  <c r="E26" i="135"/>
  <c r="E22" i="135"/>
  <c r="E33" i="135"/>
  <c r="E19" i="135"/>
  <c r="E29" i="135"/>
  <c r="F11" i="127"/>
  <c r="D20" i="144"/>
  <c r="N16" i="149"/>
  <c r="I22" i="149"/>
  <c r="F25" i="149"/>
  <c r="O30" i="149"/>
  <c r="R32" i="149"/>
  <c r="F38" i="149"/>
  <c r="F45" i="149"/>
  <c r="R50" i="149"/>
  <c r="R55" i="149"/>
  <c r="I69" i="149"/>
  <c r="I24" i="150"/>
  <c r="O36" i="150"/>
  <c r="O49" i="150"/>
  <c r="U11" i="130"/>
  <c r="C23" i="123"/>
  <c r="D31" i="139"/>
  <c r="D52" i="144"/>
  <c r="M54" i="144"/>
  <c r="D25" i="139"/>
  <c r="R11" i="133"/>
  <c r="F85" i="149"/>
  <c r="I11" i="130"/>
  <c r="U11" i="127"/>
  <c r="I17" i="149"/>
  <c r="O28" i="149"/>
  <c r="R76" i="149"/>
  <c r="F64" i="149"/>
  <c r="O27" i="150"/>
  <c r="O19" i="149"/>
  <c r="O22" i="149"/>
  <c r="R25" i="149"/>
  <c r="I28" i="149"/>
  <c r="F31" i="149"/>
  <c r="F49" i="149"/>
  <c r="O71" i="149"/>
  <c r="R78" i="149"/>
  <c r="O84" i="149"/>
  <c r="I89" i="149"/>
  <c r="R92" i="149"/>
  <c r="I98" i="149"/>
  <c r="I25" i="150"/>
  <c r="I33" i="150"/>
  <c r="I46" i="150"/>
  <c r="I11" i="127"/>
  <c r="M28" i="144"/>
  <c r="D28" i="144" s="1"/>
  <c r="M21" i="139"/>
  <c r="D21" i="139" s="1"/>
  <c r="E28" i="135"/>
  <c r="E15" i="135"/>
  <c r="O95" i="149"/>
  <c r="D51" i="144"/>
  <c r="D38" i="144"/>
  <c r="D30" i="144"/>
  <c r="D16" i="144"/>
  <c r="M14" i="144"/>
  <c r="M12" i="144"/>
  <c r="D56" i="144"/>
  <c r="D43" i="144"/>
  <c r="D34" i="144"/>
  <c r="D25" i="144"/>
  <c r="G14" i="144"/>
  <c r="D47" i="144"/>
  <c r="G12" i="144"/>
  <c r="D40" i="144"/>
  <c r="D14" i="139"/>
  <c r="D23" i="139"/>
  <c r="M12" i="139"/>
  <c r="J12" i="139"/>
  <c r="D12" i="139" s="1"/>
  <c r="D27" i="139"/>
  <c r="D18" i="139"/>
  <c r="D33" i="139"/>
  <c r="E59" i="138"/>
  <c r="E55" i="138"/>
  <c r="E51" i="138"/>
  <c r="E47" i="138"/>
  <c r="E53" i="138"/>
  <c r="E49" i="138"/>
  <c r="E41" i="138"/>
  <c r="E33" i="138"/>
  <c r="E21" i="138"/>
  <c r="E43" i="138"/>
  <c r="E39" i="138"/>
  <c r="E35" i="138"/>
  <c r="E31" i="138"/>
  <c r="E27" i="138"/>
  <c r="E23" i="138"/>
  <c r="E19" i="138"/>
  <c r="E57" i="138"/>
  <c r="E37" i="138"/>
  <c r="E29" i="138"/>
  <c r="E25" i="138"/>
  <c r="E17" i="138"/>
  <c r="E45" i="138"/>
  <c r="E15" i="138"/>
  <c r="D13" i="114"/>
  <c r="I11" i="123"/>
  <c r="X11" i="123"/>
  <c r="F11" i="123"/>
  <c r="R11" i="123"/>
  <c r="L11" i="123"/>
  <c r="C11" i="124"/>
  <c r="O14" i="125"/>
  <c r="C14" i="125"/>
  <c r="L14" i="125"/>
  <c r="X11" i="127"/>
  <c r="O11" i="127"/>
  <c r="L11" i="127"/>
  <c r="C23" i="127"/>
  <c r="R11" i="128"/>
  <c r="F11" i="128"/>
  <c r="U11" i="128"/>
  <c r="X11" i="128"/>
  <c r="I11" i="128"/>
  <c r="C11" i="128"/>
  <c r="C23" i="128"/>
  <c r="L11" i="128"/>
  <c r="O11" i="128"/>
  <c r="O11" i="130"/>
  <c r="X11" i="130"/>
  <c r="C23" i="130"/>
  <c r="L11" i="130"/>
  <c r="C11" i="130"/>
  <c r="L11" i="131"/>
  <c r="U11" i="131"/>
  <c r="X11" i="131"/>
  <c r="I11" i="131"/>
  <c r="C11" i="131"/>
  <c r="X11" i="133"/>
  <c r="U11" i="133"/>
  <c r="L11" i="133"/>
  <c r="I11" i="133"/>
  <c r="R16" i="150"/>
  <c r="F15" i="150"/>
  <c r="F16" i="150"/>
  <c r="F19" i="150"/>
  <c r="I21" i="150"/>
  <c r="F41" i="150"/>
  <c r="I43" i="150"/>
  <c r="O15" i="150"/>
  <c r="I16" i="150"/>
  <c r="I17" i="150"/>
  <c r="O19" i="150"/>
  <c r="I20" i="150"/>
  <c r="R23" i="150"/>
  <c r="R24" i="150"/>
  <c r="I31" i="150"/>
  <c r="R32" i="150"/>
  <c r="R33" i="150"/>
  <c r="F38" i="150"/>
  <c r="I39" i="150"/>
  <c r="O41" i="150"/>
  <c r="I42" i="150"/>
  <c r="R45" i="150"/>
  <c r="R46" i="150"/>
  <c r="F20" i="150"/>
  <c r="F42" i="150"/>
  <c r="R15" i="150"/>
  <c r="O16" i="150"/>
  <c r="R19" i="150"/>
  <c r="R20" i="150"/>
  <c r="F27" i="150"/>
  <c r="F28" i="150"/>
  <c r="I29" i="150"/>
  <c r="I38" i="150"/>
  <c r="R41" i="150"/>
  <c r="R42" i="150"/>
  <c r="F50" i="150"/>
  <c r="B12" i="150"/>
  <c r="L12" i="150" s="1"/>
  <c r="L22" i="150"/>
  <c r="L26" i="150"/>
  <c r="L30" i="150"/>
  <c r="L44" i="150"/>
  <c r="L48" i="150"/>
  <c r="L17" i="150"/>
  <c r="O18" i="150"/>
  <c r="L21" i="150"/>
  <c r="O22" i="150"/>
  <c r="L25" i="150"/>
  <c r="O26" i="150"/>
  <c r="L34" i="150"/>
  <c r="O35" i="150"/>
  <c r="L39" i="150"/>
  <c r="O40" i="150"/>
  <c r="L43" i="150"/>
  <c r="L47" i="150"/>
  <c r="L51" i="150"/>
  <c r="F14" i="150"/>
  <c r="R14" i="150"/>
  <c r="I15" i="150"/>
  <c r="O17" i="150"/>
  <c r="F18" i="150"/>
  <c r="R18" i="150"/>
  <c r="I19" i="150"/>
  <c r="L20" i="150"/>
  <c r="C21" i="150"/>
  <c r="O21" i="150"/>
  <c r="F22" i="150"/>
  <c r="R22" i="150"/>
  <c r="I23" i="150"/>
  <c r="L24" i="150"/>
  <c r="O25" i="150"/>
  <c r="F26" i="150"/>
  <c r="R26" i="150"/>
  <c r="I27" i="150"/>
  <c r="L28" i="150"/>
  <c r="C29" i="150"/>
  <c r="O29" i="150"/>
  <c r="F30" i="150"/>
  <c r="R30" i="150"/>
  <c r="I32" i="150"/>
  <c r="L33" i="150"/>
  <c r="O34" i="150"/>
  <c r="F35" i="150"/>
  <c r="R35" i="150"/>
  <c r="I36" i="150"/>
  <c r="L38" i="150"/>
  <c r="O39" i="150"/>
  <c r="F40" i="150"/>
  <c r="R40" i="150"/>
  <c r="I41" i="150"/>
  <c r="L42" i="150"/>
  <c r="O43" i="150"/>
  <c r="F44" i="150"/>
  <c r="R44" i="150"/>
  <c r="I45" i="150"/>
  <c r="L46" i="150"/>
  <c r="C47" i="150"/>
  <c r="O47" i="150"/>
  <c r="F48" i="150"/>
  <c r="R48" i="150"/>
  <c r="I49" i="150"/>
  <c r="L50" i="150"/>
  <c r="O51" i="150"/>
  <c r="L14" i="150"/>
  <c r="L18" i="150"/>
  <c r="L35" i="150"/>
  <c r="L40" i="150"/>
  <c r="O14" i="150"/>
  <c r="C18" i="150"/>
  <c r="L29" i="150"/>
  <c r="O30" i="150"/>
  <c r="O44" i="150"/>
  <c r="O48" i="150"/>
  <c r="F17" i="150"/>
  <c r="F21" i="150"/>
  <c r="C24" i="150"/>
  <c r="F25" i="150"/>
  <c r="F29" i="150"/>
  <c r="F34" i="150"/>
  <c r="F39" i="150"/>
  <c r="C42" i="150"/>
  <c r="F43" i="150"/>
  <c r="F47" i="150"/>
  <c r="C50" i="150"/>
  <c r="F51" i="150"/>
  <c r="O36" i="149"/>
  <c r="I36" i="149"/>
  <c r="R36" i="149"/>
  <c r="Q12" i="149"/>
  <c r="L36" i="149"/>
  <c r="L18" i="149"/>
  <c r="L23" i="149"/>
  <c r="R43" i="149"/>
  <c r="F43" i="149"/>
  <c r="O43" i="149"/>
  <c r="R47" i="149"/>
  <c r="F47" i="149"/>
  <c r="O47" i="149"/>
  <c r="I90" i="149"/>
  <c r="R90" i="149"/>
  <c r="F90" i="149"/>
  <c r="O90" i="149"/>
  <c r="H14" i="149"/>
  <c r="O18" i="149"/>
  <c r="F19" i="149"/>
  <c r="R19" i="149"/>
  <c r="I20" i="149"/>
  <c r="O23" i="149"/>
  <c r="F24" i="149"/>
  <c r="R24" i="149"/>
  <c r="I25" i="149"/>
  <c r="O29" i="149"/>
  <c r="F30" i="149"/>
  <c r="R30" i="149"/>
  <c r="I31" i="149"/>
  <c r="L32" i="149"/>
  <c r="O33" i="149"/>
  <c r="F36" i="149"/>
  <c r="I37" i="149"/>
  <c r="L38" i="149"/>
  <c r="L39" i="149"/>
  <c r="O42" i="149"/>
  <c r="I43" i="149"/>
  <c r="L44" i="149"/>
  <c r="I47" i="149"/>
  <c r="L48" i="149"/>
  <c r="L52" i="149"/>
  <c r="I57" i="149"/>
  <c r="R57" i="149"/>
  <c r="F57" i="149"/>
  <c r="L62" i="149"/>
  <c r="L90" i="149"/>
  <c r="F97" i="149"/>
  <c r="O97" i="149"/>
  <c r="L29" i="149"/>
  <c r="L33" i="149"/>
  <c r="I80" i="149"/>
  <c r="R80" i="149"/>
  <c r="F80" i="149"/>
  <c r="O80" i="149"/>
  <c r="I94" i="149"/>
  <c r="R94" i="149"/>
  <c r="F94" i="149"/>
  <c r="O94" i="149"/>
  <c r="L97" i="149"/>
  <c r="F18" i="149"/>
  <c r="R18" i="149"/>
  <c r="I19" i="149"/>
  <c r="F23" i="149"/>
  <c r="R23" i="149"/>
  <c r="I24" i="149"/>
  <c r="F29" i="149"/>
  <c r="R29" i="149"/>
  <c r="I30" i="149"/>
  <c r="F33" i="149"/>
  <c r="R33" i="149"/>
  <c r="B35" i="149"/>
  <c r="R35" i="149" s="1"/>
  <c r="R38" i="149"/>
  <c r="I42" i="149"/>
  <c r="L43" i="149"/>
  <c r="L47" i="149"/>
  <c r="B54" i="149"/>
  <c r="R56" i="149"/>
  <c r="F56" i="149"/>
  <c r="O56" i="149"/>
  <c r="B61" i="149"/>
  <c r="I61" i="149" s="1"/>
  <c r="O64" i="149"/>
  <c r="I64" i="149"/>
  <c r="L64" i="149"/>
  <c r="I66" i="149"/>
  <c r="R66" i="149"/>
  <c r="F66" i="149"/>
  <c r="O66" i="149"/>
  <c r="B83" i="149"/>
  <c r="F83" i="149" s="1"/>
  <c r="I97" i="149"/>
  <c r="F17" i="149"/>
  <c r="L17" i="149"/>
  <c r="F22" i="149"/>
  <c r="L22" i="149"/>
  <c r="L27" i="149"/>
  <c r="F28" i="149"/>
  <c r="L28" i="149"/>
  <c r="I39" i="149"/>
  <c r="R39" i="149"/>
  <c r="F39" i="149"/>
  <c r="R42" i="149"/>
  <c r="I44" i="149"/>
  <c r="R44" i="149"/>
  <c r="F44" i="149"/>
  <c r="I48" i="149"/>
  <c r="R48" i="149"/>
  <c r="F48" i="149"/>
  <c r="I52" i="149"/>
  <c r="R52" i="149"/>
  <c r="F52" i="149"/>
  <c r="O54" i="149"/>
  <c r="I62" i="149"/>
  <c r="R62" i="149"/>
  <c r="F62" i="149"/>
  <c r="K82" i="149"/>
  <c r="K14" i="149" s="1"/>
  <c r="I86" i="149"/>
  <c r="R86" i="149"/>
  <c r="F86" i="149"/>
  <c r="O86" i="149"/>
  <c r="R97" i="149"/>
  <c r="I99" i="149"/>
  <c r="R99" i="149"/>
  <c r="F99" i="149"/>
  <c r="O99" i="149"/>
  <c r="I40" i="149"/>
  <c r="I45" i="149"/>
  <c r="L46" i="149"/>
  <c r="I49" i="149"/>
  <c r="L50" i="149"/>
  <c r="L55" i="149"/>
  <c r="L59" i="149"/>
  <c r="L65" i="149"/>
  <c r="F67" i="149"/>
  <c r="R67" i="149"/>
  <c r="I68" i="149"/>
  <c r="L69" i="149"/>
  <c r="F71" i="149"/>
  <c r="R71" i="149"/>
  <c r="L73" i="149"/>
  <c r="F77" i="149"/>
  <c r="R77" i="149"/>
  <c r="I78" i="149"/>
  <c r="L79" i="149"/>
  <c r="I84" i="149"/>
  <c r="L85" i="149"/>
  <c r="F87" i="149"/>
  <c r="R87" i="149"/>
  <c r="I88" i="149"/>
  <c r="L89" i="149"/>
  <c r="F91" i="149"/>
  <c r="R91" i="149"/>
  <c r="I92" i="149"/>
  <c r="F95" i="149"/>
  <c r="R95" i="149"/>
  <c r="L98" i="149"/>
  <c r="F100" i="149"/>
  <c r="R100" i="149"/>
  <c r="I101" i="149"/>
  <c r="L102" i="149"/>
  <c r="I67" i="149"/>
  <c r="I71" i="149"/>
  <c r="F76" i="149"/>
  <c r="I77" i="149"/>
  <c r="I87" i="149"/>
  <c r="I91" i="149"/>
  <c r="I95" i="149"/>
  <c r="O98" i="149"/>
  <c r="I100" i="149"/>
  <c r="L101" i="149"/>
  <c r="O102" i="149"/>
  <c r="F102" i="149"/>
  <c r="I12" i="118"/>
  <c r="F12" i="118"/>
  <c r="C14" i="118"/>
  <c r="C15" i="118"/>
  <c r="C16" i="118"/>
  <c r="C17" i="118"/>
  <c r="C18" i="118"/>
  <c r="C19" i="118"/>
  <c r="C20" i="118"/>
  <c r="C21" i="118"/>
  <c r="C22" i="118"/>
  <c r="C23" i="118"/>
  <c r="C24" i="118"/>
  <c r="C25" i="118"/>
  <c r="C26" i="118"/>
  <c r="C27" i="118"/>
  <c r="C28" i="118"/>
  <c r="C29" i="118"/>
  <c r="C30" i="118"/>
  <c r="C31" i="118"/>
  <c r="C32" i="118"/>
  <c r="C33" i="118"/>
  <c r="C34" i="118"/>
  <c r="C35" i="118"/>
  <c r="C36" i="118"/>
  <c r="C37" i="118"/>
  <c r="C38" i="118"/>
  <c r="C39" i="118"/>
  <c r="C40" i="118"/>
  <c r="C41" i="118"/>
  <c r="C42" i="118"/>
  <c r="C43" i="118"/>
  <c r="C44" i="118"/>
  <c r="C45" i="118"/>
  <c r="C46" i="118"/>
  <c r="C47" i="118"/>
  <c r="C48" i="118"/>
  <c r="C49" i="118"/>
  <c r="C50" i="118"/>
  <c r="C51" i="118"/>
  <c r="F14" i="118"/>
  <c r="F15" i="118"/>
  <c r="F16" i="118"/>
  <c r="F17" i="118"/>
  <c r="F18" i="118"/>
  <c r="F19" i="118"/>
  <c r="F20" i="118"/>
  <c r="F21" i="118"/>
  <c r="F22" i="118"/>
  <c r="F23" i="118"/>
  <c r="F24" i="118"/>
  <c r="F25" i="118"/>
  <c r="F26" i="118"/>
  <c r="F27" i="118"/>
  <c r="F28" i="118"/>
  <c r="F29" i="118"/>
  <c r="F30" i="118"/>
  <c r="F31" i="118"/>
  <c r="F32" i="118"/>
  <c r="F33" i="118"/>
  <c r="F34" i="118"/>
  <c r="F35" i="118"/>
  <c r="F36" i="118"/>
  <c r="F37" i="118"/>
  <c r="F38" i="118"/>
  <c r="F39" i="118"/>
  <c r="F40" i="118"/>
  <c r="F41" i="118"/>
  <c r="F42" i="118"/>
  <c r="F43" i="118"/>
  <c r="F44" i="118"/>
  <c r="F45" i="118"/>
  <c r="F46" i="118"/>
  <c r="F47" i="118"/>
  <c r="F48" i="118"/>
  <c r="F49" i="118"/>
  <c r="F50" i="118"/>
  <c r="F51" i="118"/>
  <c r="B101" i="119"/>
  <c r="I101" i="119" s="1"/>
  <c r="B100" i="119"/>
  <c r="I100" i="119" s="1"/>
  <c r="B99" i="119"/>
  <c r="I99" i="119" s="1"/>
  <c r="B98" i="119"/>
  <c r="I98" i="119" s="1"/>
  <c r="B97" i="119"/>
  <c r="I97" i="119" s="1"/>
  <c r="H96" i="119"/>
  <c r="E96" i="119"/>
  <c r="B96" i="119" s="1"/>
  <c r="I95" i="119"/>
  <c r="F95" i="119"/>
  <c r="B95" i="119"/>
  <c r="B94" i="119"/>
  <c r="I94" i="119" s="1"/>
  <c r="B93" i="119"/>
  <c r="I93" i="119" s="1"/>
  <c r="F92" i="119"/>
  <c r="B92" i="119"/>
  <c r="B91" i="119"/>
  <c r="F91" i="119" s="1"/>
  <c r="I90" i="119"/>
  <c r="F90" i="119"/>
  <c r="B90" i="119"/>
  <c r="B89" i="119"/>
  <c r="I89" i="119" s="1"/>
  <c r="I88" i="119"/>
  <c r="F88" i="119"/>
  <c r="B88" i="119"/>
  <c r="B87" i="119"/>
  <c r="I87" i="119" s="1"/>
  <c r="B86" i="119"/>
  <c r="I86" i="119" s="1"/>
  <c r="B85" i="119"/>
  <c r="I85" i="119" s="1"/>
  <c r="B84" i="119"/>
  <c r="I84" i="119" s="1"/>
  <c r="B83" i="119"/>
  <c r="I83" i="119" s="1"/>
  <c r="H82" i="119"/>
  <c r="H79" i="119" s="1"/>
  <c r="E82" i="119"/>
  <c r="E79" i="119" s="1"/>
  <c r="I81" i="119"/>
  <c r="F81" i="119"/>
  <c r="B81" i="119"/>
  <c r="F80" i="119"/>
  <c r="B80" i="119"/>
  <c r="I80" i="119" s="1"/>
  <c r="I78" i="119"/>
  <c r="F78" i="119"/>
  <c r="B78" i="119"/>
  <c r="B77" i="119"/>
  <c r="I77" i="119" s="1"/>
  <c r="B76" i="119"/>
  <c r="I76" i="119" s="1"/>
  <c r="B75" i="119"/>
  <c r="I75" i="119" s="1"/>
  <c r="I74" i="119"/>
  <c r="B74" i="119"/>
  <c r="F74" i="119" s="1"/>
  <c r="B73" i="119"/>
  <c r="I73" i="119" s="1"/>
  <c r="B72" i="119"/>
  <c r="I72" i="119" s="1"/>
  <c r="B71" i="119"/>
  <c r="F71" i="119" s="1"/>
  <c r="B70" i="119"/>
  <c r="F70" i="119" s="1"/>
  <c r="B69" i="119"/>
  <c r="F69" i="119" s="1"/>
  <c r="H68" i="119"/>
  <c r="H67" i="119" s="1"/>
  <c r="E68" i="119"/>
  <c r="I66" i="119"/>
  <c r="F66" i="119"/>
  <c r="B66" i="119"/>
  <c r="B65" i="119"/>
  <c r="I65" i="119" s="1"/>
  <c r="B64" i="119"/>
  <c r="I64" i="119" s="1"/>
  <c r="F63" i="119"/>
  <c r="B63" i="119"/>
  <c r="I63" i="119" s="1"/>
  <c r="B62" i="119"/>
  <c r="I62" i="119" s="1"/>
  <c r="H61" i="119"/>
  <c r="H60" i="119" s="1"/>
  <c r="E61" i="119"/>
  <c r="B61" i="119" s="1"/>
  <c r="F61" i="119" s="1"/>
  <c r="E60" i="119"/>
  <c r="B60" i="119" s="1"/>
  <c r="I59" i="119"/>
  <c r="F59" i="119"/>
  <c r="B59" i="119"/>
  <c r="B58" i="119"/>
  <c r="I58" i="119" s="1"/>
  <c r="B57" i="119"/>
  <c r="I57" i="119" s="1"/>
  <c r="B56" i="119"/>
  <c r="I56" i="119" s="1"/>
  <c r="B55" i="119"/>
  <c r="I55" i="119" s="1"/>
  <c r="B54" i="119"/>
  <c r="I54" i="119" s="1"/>
  <c r="H53" i="119"/>
  <c r="E53" i="119"/>
  <c r="I52" i="119"/>
  <c r="F52" i="119"/>
  <c r="B52" i="119"/>
  <c r="B51" i="119"/>
  <c r="I51" i="119" s="1"/>
  <c r="I50" i="119"/>
  <c r="F50" i="119"/>
  <c r="B50" i="119"/>
  <c r="B49" i="119"/>
  <c r="I49" i="119" s="1"/>
  <c r="B48" i="119"/>
  <c r="I48" i="119" s="1"/>
  <c r="B47" i="119"/>
  <c r="I47" i="119" s="1"/>
  <c r="B46" i="119"/>
  <c r="I46" i="119" s="1"/>
  <c r="B45" i="119"/>
  <c r="I45" i="119" s="1"/>
  <c r="B44" i="119"/>
  <c r="I44" i="119" s="1"/>
  <c r="B43" i="119"/>
  <c r="I43" i="119" s="1"/>
  <c r="B42" i="119"/>
  <c r="I42" i="119" s="1"/>
  <c r="H41" i="119"/>
  <c r="E41" i="119"/>
  <c r="I40" i="119"/>
  <c r="F40" i="119"/>
  <c r="B40" i="119"/>
  <c r="B39" i="119"/>
  <c r="I39" i="119" s="1"/>
  <c r="B38" i="119"/>
  <c r="I38" i="119" s="1"/>
  <c r="F37" i="119"/>
  <c r="B37" i="119"/>
  <c r="I37" i="119" s="1"/>
  <c r="B36" i="119"/>
  <c r="F36" i="119" s="1"/>
  <c r="H35" i="119"/>
  <c r="E35" i="119"/>
  <c r="E34" i="119"/>
  <c r="I33" i="119"/>
  <c r="F33" i="119"/>
  <c r="B33" i="119"/>
  <c r="B32" i="119"/>
  <c r="I32" i="119" s="1"/>
  <c r="B31" i="119"/>
  <c r="I31" i="119" s="1"/>
  <c r="B30" i="119"/>
  <c r="I30" i="119" s="1"/>
  <c r="B29" i="119"/>
  <c r="I29" i="119" s="1"/>
  <c r="B28" i="119"/>
  <c r="I28" i="119" s="1"/>
  <c r="H27" i="119"/>
  <c r="E27" i="119"/>
  <c r="I25" i="119"/>
  <c r="F25" i="119"/>
  <c r="B25" i="119"/>
  <c r="B24" i="119"/>
  <c r="I24" i="119" s="1"/>
  <c r="B23" i="119"/>
  <c r="I23" i="119" s="1"/>
  <c r="B22" i="119"/>
  <c r="I22" i="119" s="1"/>
  <c r="H21" i="119"/>
  <c r="E21" i="119"/>
  <c r="I20" i="119"/>
  <c r="F20" i="119"/>
  <c r="B20" i="119"/>
  <c r="B19" i="119"/>
  <c r="I19" i="119" s="1"/>
  <c r="B18" i="119"/>
  <c r="I18" i="119" s="1"/>
  <c r="B17" i="119"/>
  <c r="I17" i="119" s="1"/>
  <c r="H16" i="119"/>
  <c r="H15" i="119" s="1"/>
  <c r="E16" i="119"/>
  <c r="B16" i="119" s="1"/>
  <c r="I14" i="119"/>
  <c r="F14" i="119"/>
  <c r="B14" i="119"/>
  <c r="I12" i="119"/>
  <c r="F12" i="119"/>
  <c r="B12" i="119"/>
  <c r="B50" i="121"/>
  <c r="I50" i="121" s="1"/>
  <c r="B49" i="121"/>
  <c r="B48" i="121"/>
  <c r="I48" i="121" s="1"/>
  <c r="I47" i="121"/>
  <c r="B47" i="121"/>
  <c r="B46" i="121"/>
  <c r="I46" i="121" s="1"/>
  <c r="B45" i="121"/>
  <c r="I45" i="121" s="1"/>
  <c r="B44" i="121"/>
  <c r="I44" i="121" s="1"/>
  <c r="B43" i="121"/>
  <c r="I43" i="121" s="1"/>
  <c r="B42" i="121"/>
  <c r="I42" i="121" s="1"/>
  <c r="B41" i="121"/>
  <c r="I41" i="121" s="1"/>
  <c r="I40" i="121"/>
  <c r="B40" i="121"/>
  <c r="B39" i="121"/>
  <c r="I39" i="121" s="1"/>
  <c r="B38" i="121"/>
  <c r="I38" i="121" s="1"/>
  <c r="B37" i="121"/>
  <c r="I37" i="121" s="1"/>
  <c r="B36" i="121"/>
  <c r="B35" i="121"/>
  <c r="B34" i="121"/>
  <c r="B33" i="121"/>
  <c r="B32" i="121"/>
  <c r="B31" i="121"/>
  <c r="B30" i="121"/>
  <c r="B29" i="121"/>
  <c r="I29" i="121" s="1"/>
  <c r="B28" i="121"/>
  <c r="I28" i="121" s="1"/>
  <c r="B27" i="121"/>
  <c r="I27" i="121" s="1"/>
  <c r="B26" i="121"/>
  <c r="I26" i="121" s="1"/>
  <c r="B25" i="121"/>
  <c r="I25" i="121" s="1"/>
  <c r="B24" i="121"/>
  <c r="I24" i="121" s="1"/>
  <c r="B23" i="121"/>
  <c r="I23" i="121" s="1"/>
  <c r="B22" i="121"/>
  <c r="I22" i="121" s="1"/>
  <c r="B21" i="121"/>
  <c r="I21" i="121" s="1"/>
  <c r="B20" i="121"/>
  <c r="I20" i="121" s="1"/>
  <c r="B19" i="121"/>
  <c r="I19" i="121" s="1"/>
  <c r="I18" i="121"/>
  <c r="B18" i="121"/>
  <c r="B17" i="121"/>
  <c r="I17" i="121" s="1"/>
  <c r="I16" i="121"/>
  <c r="B16" i="121"/>
  <c r="B15" i="121"/>
  <c r="I15" i="121" s="1"/>
  <c r="B14" i="121"/>
  <c r="I14" i="121" s="1"/>
  <c r="B13" i="121"/>
  <c r="I13" i="121" s="1"/>
  <c r="I12" i="121"/>
  <c r="B12" i="121"/>
  <c r="E11" i="121"/>
  <c r="B11" i="121" s="1"/>
  <c r="B101" i="122"/>
  <c r="L101" i="122" s="1"/>
  <c r="B100" i="122"/>
  <c r="L100" i="122" s="1"/>
  <c r="B99" i="122"/>
  <c r="L99" i="122" s="1"/>
  <c r="B98" i="122"/>
  <c r="L98" i="122" s="1"/>
  <c r="B97" i="122"/>
  <c r="L97" i="122" s="1"/>
  <c r="K96" i="122"/>
  <c r="H96" i="122"/>
  <c r="E96" i="122"/>
  <c r="B96" i="122"/>
  <c r="I96" i="122" s="1"/>
  <c r="L95" i="122"/>
  <c r="I95" i="122"/>
  <c r="F95" i="122"/>
  <c r="C95" i="122"/>
  <c r="B95" i="122"/>
  <c r="B94" i="122"/>
  <c r="I94" i="122" s="1"/>
  <c r="B93" i="122"/>
  <c r="L93" i="122" s="1"/>
  <c r="L92" i="122"/>
  <c r="I92" i="122"/>
  <c r="F92" i="122"/>
  <c r="C92" i="122"/>
  <c r="B92" i="122"/>
  <c r="F91" i="122"/>
  <c r="B91" i="122"/>
  <c r="L91" i="122" s="1"/>
  <c r="B90" i="122"/>
  <c r="F90" i="122" s="1"/>
  <c r="B89" i="122"/>
  <c r="B88" i="122"/>
  <c r="L88" i="122" s="1"/>
  <c r="B87" i="122"/>
  <c r="L87" i="122" s="1"/>
  <c r="F86" i="122"/>
  <c r="B86" i="122"/>
  <c r="I86" i="122" s="1"/>
  <c r="B85" i="122"/>
  <c r="L85" i="122" s="1"/>
  <c r="B84" i="122"/>
  <c r="L84" i="122" s="1"/>
  <c r="F83" i="122"/>
  <c r="B83" i="122"/>
  <c r="L83" i="122" s="1"/>
  <c r="K82" i="122"/>
  <c r="K81" i="122" s="1"/>
  <c r="H82" i="122"/>
  <c r="H81" i="122" s="1"/>
  <c r="E82" i="122"/>
  <c r="L80" i="122"/>
  <c r="I80" i="122"/>
  <c r="F80" i="122"/>
  <c r="C80" i="122"/>
  <c r="B80" i="122"/>
  <c r="B79" i="122"/>
  <c r="L79" i="122" s="1"/>
  <c r="B78" i="122"/>
  <c r="L78" i="122" s="1"/>
  <c r="B77" i="122"/>
  <c r="L77" i="122" s="1"/>
  <c r="I76" i="122"/>
  <c r="F76" i="122"/>
  <c r="B76" i="122"/>
  <c r="K75" i="122"/>
  <c r="K74" i="122" s="1"/>
  <c r="H75" i="122"/>
  <c r="H74" i="122" s="1"/>
  <c r="E75" i="122"/>
  <c r="E74" i="122" s="1"/>
  <c r="L73" i="122"/>
  <c r="I73" i="122"/>
  <c r="F73" i="122"/>
  <c r="C73" i="122"/>
  <c r="B73" i="122"/>
  <c r="B72" i="122"/>
  <c r="L72" i="122" s="1"/>
  <c r="L71" i="122"/>
  <c r="I71" i="122"/>
  <c r="F71" i="122"/>
  <c r="C71" i="122"/>
  <c r="B71" i="122"/>
  <c r="B70" i="122"/>
  <c r="L70" i="122" s="1"/>
  <c r="L69" i="122"/>
  <c r="I69" i="122"/>
  <c r="F69" i="122"/>
  <c r="C69" i="122"/>
  <c r="B69" i="122"/>
  <c r="B68" i="122"/>
  <c r="L68" i="122" s="1"/>
  <c r="B67" i="122"/>
  <c r="L67" i="122" s="1"/>
  <c r="B66" i="122"/>
  <c r="F66" i="122" s="1"/>
  <c r="B65" i="122"/>
  <c r="F65" i="122" s="1"/>
  <c r="B64" i="122"/>
  <c r="L64" i="122" s="1"/>
  <c r="K63" i="122"/>
  <c r="H63" i="122"/>
  <c r="E63" i="122"/>
  <c r="B63" i="122" s="1"/>
  <c r="L62" i="122"/>
  <c r="I62" i="122"/>
  <c r="F62" i="122"/>
  <c r="C62" i="122"/>
  <c r="B62" i="122"/>
  <c r="B61" i="122"/>
  <c r="L61" i="122" s="1"/>
  <c r="K60" i="122"/>
  <c r="L59" i="122"/>
  <c r="I59" i="122"/>
  <c r="F59" i="122"/>
  <c r="C59" i="122"/>
  <c r="B59" i="122"/>
  <c r="B58" i="122"/>
  <c r="L58" i="122" s="1"/>
  <c r="B57" i="122"/>
  <c r="L57" i="122" s="1"/>
  <c r="B56" i="122"/>
  <c r="L56" i="122" s="1"/>
  <c r="I55" i="122"/>
  <c r="F55" i="122"/>
  <c r="B55" i="122"/>
  <c r="L55" i="122" s="1"/>
  <c r="B54" i="122"/>
  <c r="L54" i="122" s="1"/>
  <c r="K53" i="122"/>
  <c r="H53" i="122"/>
  <c r="E53" i="122"/>
  <c r="L52" i="122"/>
  <c r="I52" i="122"/>
  <c r="F52" i="122"/>
  <c r="C52" i="122"/>
  <c r="B52" i="122"/>
  <c r="F51" i="122"/>
  <c r="B51" i="122"/>
  <c r="L51" i="122" s="1"/>
  <c r="L50" i="122"/>
  <c r="I50" i="122"/>
  <c r="F50" i="122"/>
  <c r="C50" i="122"/>
  <c r="B50" i="122"/>
  <c r="L49" i="122"/>
  <c r="B49" i="122"/>
  <c r="B48" i="122"/>
  <c r="L48" i="122" s="1"/>
  <c r="B47" i="122"/>
  <c r="L47" i="122" s="1"/>
  <c r="I46" i="122"/>
  <c r="F46" i="122"/>
  <c r="B46" i="122"/>
  <c r="B45" i="122"/>
  <c r="L45" i="122" s="1"/>
  <c r="B44" i="122"/>
  <c r="L44" i="122" s="1"/>
  <c r="F43" i="122"/>
  <c r="B43" i="122"/>
  <c r="L43" i="122" s="1"/>
  <c r="B42" i="122"/>
  <c r="F42" i="122" s="1"/>
  <c r="K41" i="122"/>
  <c r="H41" i="122"/>
  <c r="E41" i="122"/>
  <c r="L40" i="122"/>
  <c r="I40" i="122"/>
  <c r="F40" i="122"/>
  <c r="C40" i="122"/>
  <c r="B40" i="122"/>
  <c r="B39" i="122"/>
  <c r="L39" i="122" s="1"/>
  <c r="F38" i="122"/>
  <c r="B38" i="122"/>
  <c r="L38" i="122" s="1"/>
  <c r="B37" i="122"/>
  <c r="I37" i="122" s="1"/>
  <c r="B36" i="122"/>
  <c r="K35" i="122"/>
  <c r="H35" i="122"/>
  <c r="E35" i="122"/>
  <c r="E34" i="122" s="1"/>
  <c r="K34" i="122"/>
  <c r="L33" i="122"/>
  <c r="I33" i="122"/>
  <c r="F33" i="122"/>
  <c r="C33" i="122"/>
  <c r="B33" i="122"/>
  <c r="B32" i="122"/>
  <c r="L32" i="122" s="1"/>
  <c r="B31" i="122"/>
  <c r="L31" i="122" s="1"/>
  <c r="B30" i="122"/>
  <c r="B29" i="122"/>
  <c r="L29" i="122" s="1"/>
  <c r="B28" i="122"/>
  <c r="L28" i="122" s="1"/>
  <c r="K27" i="122"/>
  <c r="H27" i="122"/>
  <c r="H26" i="122" s="1"/>
  <c r="E27" i="122"/>
  <c r="E26" i="122" s="1"/>
  <c r="K26" i="122"/>
  <c r="L25" i="122"/>
  <c r="I25" i="122"/>
  <c r="F25" i="122"/>
  <c r="C25" i="122"/>
  <c r="B25" i="122"/>
  <c r="B24" i="122"/>
  <c r="L24" i="122" s="1"/>
  <c r="B23" i="122"/>
  <c r="L23" i="122" s="1"/>
  <c r="B22" i="122"/>
  <c r="L22" i="122" s="1"/>
  <c r="K21" i="122"/>
  <c r="H21" i="122"/>
  <c r="E21" i="122"/>
  <c r="L20" i="122"/>
  <c r="I20" i="122"/>
  <c r="F20" i="122"/>
  <c r="C20" i="122"/>
  <c r="B20" i="122"/>
  <c r="B19" i="122"/>
  <c r="L19" i="122" s="1"/>
  <c r="B18" i="122"/>
  <c r="L18" i="122" s="1"/>
  <c r="F17" i="122"/>
  <c r="B17" i="122"/>
  <c r="L17" i="122" s="1"/>
  <c r="K16" i="122"/>
  <c r="H16" i="122"/>
  <c r="H15" i="122" s="1"/>
  <c r="E16" i="122"/>
  <c r="E15" i="122" s="1"/>
  <c r="L14" i="122"/>
  <c r="I14" i="122"/>
  <c r="F14" i="122"/>
  <c r="C14" i="122"/>
  <c r="B14" i="122"/>
  <c r="L12" i="122"/>
  <c r="I12" i="122"/>
  <c r="F12" i="122"/>
  <c r="B12" i="122"/>
  <c r="B50" i="104"/>
  <c r="I50" i="104" s="1"/>
  <c r="B49" i="104"/>
  <c r="I49" i="104" s="1"/>
  <c r="B48" i="104"/>
  <c r="I48" i="104" s="1"/>
  <c r="B47" i="104"/>
  <c r="I47" i="104" s="1"/>
  <c r="B46" i="104"/>
  <c r="I46" i="104" s="1"/>
  <c r="B45" i="104"/>
  <c r="I45" i="104" s="1"/>
  <c r="B44" i="104"/>
  <c r="L44" i="104" s="1"/>
  <c r="B43" i="104"/>
  <c r="F43" i="104" s="1"/>
  <c r="I42" i="104"/>
  <c r="B42" i="104"/>
  <c r="F42" i="104" s="1"/>
  <c r="B41" i="104"/>
  <c r="I41" i="104" s="1"/>
  <c r="B40" i="104"/>
  <c r="L40" i="104" s="1"/>
  <c r="F39" i="104"/>
  <c r="B39" i="104"/>
  <c r="B38" i="104"/>
  <c r="F38" i="104" s="1"/>
  <c r="B37" i="104"/>
  <c r="F37" i="104" s="1"/>
  <c r="B36" i="104"/>
  <c r="I36" i="104" s="1"/>
  <c r="B35" i="104"/>
  <c r="L35" i="104" s="1"/>
  <c r="F34" i="104"/>
  <c r="B34" i="104"/>
  <c r="B33" i="104"/>
  <c r="F33" i="104" s="1"/>
  <c r="I32" i="104"/>
  <c r="B32" i="104"/>
  <c r="F32" i="104" s="1"/>
  <c r="B31" i="104"/>
  <c r="I31" i="104" s="1"/>
  <c r="B30" i="104"/>
  <c r="I30" i="104" s="1"/>
  <c r="I29" i="104"/>
  <c r="B29" i="104"/>
  <c r="L29" i="104" s="1"/>
  <c r="B28" i="104"/>
  <c r="F28" i="104" s="1"/>
  <c r="I27" i="104"/>
  <c r="B27" i="104"/>
  <c r="F27" i="104" s="1"/>
  <c r="B26" i="104"/>
  <c r="I26" i="104" s="1"/>
  <c r="B25" i="104"/>
  <c r="L25" i="104" s="1"/>
  <c r="B24" i="104"/>
  <c r="F24" i="104" s="1"/>
  <c r="I23" i="104"/>
  <c r="B23" i="104"/>
  <c r="F23" i="104" s="1"/>
  <c r="B22" i="104"/>
  <c r="I22" i="104" s="1"/>
  <c r="I21" i="104"/>
  <c r="B21" i="104"/>
  <c r="L21" i="104" s="1"/>
  <c r="B20" i="104"/>
  <c r="F20" i="104" s="1"/>
  <c r="I19" i="104"/>
  <c r="B19" i="104"/>
  <c r="F19" i="104" s="1"/>
  <c r="B18" i="104"/>
  <c r="I18" i="104" s="1"/>
  <c r="B17" i="104"/>
  <c r="L17" i="104" s="1"/>
  <c r="B16" i="104"/>
  <c r="F16" i="104" s="1"/>
  <c r="B15" i="104"/>
  <c r="F15" i="104" s="1"/>
  <c r="B14" i="104"/>
  <c r="I14" i="104" s="1"/>
  <c r="B13" i="104"/>
  <c r="L13" i="104" s="1"/>
  <c r="I12" i="104"/>
  <c r="F12" i="104"/>
  <c r="B12" i="104"/>
  <c r="K11" i="104"/>
  <c r="H11" i="104"/>
  <c r="E11" i="104"/>
  <c r="B102" i="105"/>
  <c r="B101" i="105"/>
  <c r="L101" i="105" s="1"/>
  <c r="B100" i="105"/>
  <c r="F100" i="105" s="1"/>
  <c r="B99" i="105"/>
  <c r="L99" i="105" s="1"/>
  <c r="B98" i="105"/>
  <c r="L98" i="105" s="1"/>
  <c r="B97" i="105"/>
  <c r="L97" i="105" s="1"/>
  <c r="K96" i="105"/>
  <c r="H96" i="105"/>
  <c r="E96" i="105"/>
  <c r="L95" i="105"/>
  <c r="I95" i="105"/>
  <c r="F95" i="105"/>
  <c r="C95" i="105"/>
  <c r="B95" i="105"/>
  <c r="B94" i="105"/>
  <c r="L94" i="105" s="1"/>
  <c r="B93" i="105"/>
  <c r="L93" i="105" s="1"/>
  <c r="L92" i="105"/>
  <c r="I92" i="105"/>
  <c r="F92" i="105"/>
  <c r="C92" i="105"/>
  <c r="B92" i="105"/>
  <c r="B91" i="105"/>
  <c r="I91" i="105" s="1"/>
  <c r="B90" i="105"/>
  <c r="L90" i="105" s="1"/>
  <c r="B89" i="105"/>
  <c r="L89" i="105" s="1"/>
  <c r="B88" i="105"/>
  <c r="L88" i="105" s="1"/>
  <c r="B87" i="105"/>
  <c r="I87" i="105" s="1"/>
  <c r="B86" i="105"/>
  <c r="B85" i="105"/>
  <c r="L85" i="105" s="1"/>
  <c r="B84" i="105"/>
  <c r="L84" i="105" s="1"/>
  <c r="B83" i="105"/>
  <c r="F83" i="105" s="1"/>
  <c r="K82" i="105"/>
  <c r="H82" i="105"/>
  <c r="E82" i="105"/>
  <c r="E81" i="105" s="1"/>
  <c r="B81" i="105" s="1"/>
  <c r="K81" i="105"/>
  <c r="H81" i="105"/>
  <c r="I80" i="105"/>
  <c r="F80" i="105"/>
  <c r="F79" i="105"/>
  <c r="B79" i="105"/>
  <c r="L79" i="105" s="1"/>
  <c r="B78" i="105"/>
  <c r="I78" i="105" s="1"/>
  <c r="B77" i="105"/>
  <c r="L77" i="105" s="1"/>
  <c r="B76" i="105"/>
  <c r="L76" i="105" s="1"/>
  <c r="K75" i="105"/>
  <c r="H75" i="105"/>
  <c r="H74" i="105" s="1"/>
  <c r="E75" i="105"/>
  <c r="E74" i="105" s="1"/>
  <c r="B74" i="105" s="1"/>
  <c r="L74" i="105" s="1"/>
  <c r="K74" i="105"/>
  <c r="L73" i="105"/>
  <c r="I73" i="105"/>
  <c r="F73" i="105"/>
  <c r="C73" i="105"/>
  <c r="B73" i="105"/>
  <c r="B72" i="105"/>
  <c r="L72" i="105" s="1"/>
  <c r="L71" i="105"/>
  <c r="I71" i="105"/>
  <c r="F71" i="105"/>
  <c r="C71" i="105"/>
  <c r="B71" i="105"/>
  <c r="B70" i="105"/>
  <c r="L70" i="105" s="1"/>
  <c r="I69" i="105"/>
  <c r="F69" i="105"/>
  <c r="B69" i="105"/>
  <c r="B68" i="105"/>
  <c r="L68" i="105" s="1"/>
  <c r="B67" i="105"/>
  <c r="F67" i="105" s="1"/>
  <c r="B66" i="105"/>
  <c r="F66" i="105" s="1"/>
  <c r="B65" i="105"/>
  <c r="L65" i="105" s="1"/>
  <c r="B64" i="105"/>
  <c r="L64" i="105" s="1"/>
  <c r="K63" i="105"/>
  <c r="H63" i="105"/>
  <c r="E63" i="105"/>
  <c r="I62" i="105"/>
  <c r="F62" i="105"/>
  <c r="B62" i="105"/>
  <c r="B61" i="105"/>
  <c r="L61" i="105" s="1"/>
  <c r="H60" i="105"/>
  <c r="E60" i="105"/>
  <c r="L59" i="105"/>
  <c r="I59" i="105"/>
  <c r="F59" i="105"/>
  <c r="C59" i="105"/>
  <c r="B59" i="105"/>
  <c r="B58" i="105"/>
  <c r="F58" i="105" s="1"/>
  <c r="B57" i="105"/>
  <c r="L57" i="105" s="1"/>
  <c r="B56" i="105"/>
  <c r="L56" i="105" s="1"/>
  <c r="B55" i="105"/>
  <c r="F55" i="105" s="1"/>
  <c r="B54" i="105"/>
  <c r="F54" i="105" s="1"/>
  <c r="K53" i="105"/>
  <c r="H53" i="105"/>
  <c r="E53" i="105"/>
  <c r="B53" i="105"/>
  <c r="I53" i="105" s="1"/>
  <c r="L52" i="105"/>
  <c r="I52" i="105"/>
  <c r="F52" i="105"/>
  <c r="C52" i="105"/>
  <c r="B52" i="105"/>
  <c r="B51" i="105"/>
  <c r="L51" i="105" s="1"/>
  <c r="L50" i="105"/>
  <c r="I50" i="105"/>
  <c r="F50" i="105"/>
  <c r="C50" i="105"/>
  <c r="B50" i="105"/>
  <c r="B49" i="105"/>
  <c r="F49" i="105" s="1"/>
  <c r="B48" i="105"/>
  <c r="L48" i="105" s="1"/>
  <c r="B47" i="105"/>
  <c r="L47" i="105" s="1"/>
  <c r="B46" i="105"/>
  <c r="L46" i="105" s="1"/>
  <c r="B45" i="105"/>
  <c r="I45" i="105" s="1"/>
  <c r="B44" i="105"/>
  <c r="B43" i="105"/>
  <c r="L43" i="105" s="1"/>
  <c r="F42" i="105"/>
  <c r="B42" i="105"/>
  <c r="L42" i="105" s="1"/>
  <c r="K41" i="105"/>
  <c r="H41" i="105"/>
  <c r="E41" i="105"/>
  <c r="L40" i="105"/>
  <c r="I40" i="105"/>
  <c r="F40" i="105"/>
  <c r="C40" i="105"/>
  <c r="B40" i="105"/>
  <c r="B39" i="105"/>
  <c r="L39" i="105" s="1"/>
  <c r="B38" i="105"/>
  <c r="L38" i="105" s="1"/>
  <c r="B37" i="105"/>
  <c r="F37" i="105" s="1"/>
  <c r="B36" i="105"/>
  <c r="I36" i="105" s="1"/>
  <c r="K35" i="105"/>
  <c r="H35" i="105"/>
  <c r="E35" i="105"/>
  <c r="B35" i="105" s="1"/>
  <c r="F35" i="105" s="1"/>
  <c r="H34" i="105"/>
  <c r="L33" i="105"/>
  <c r="I33" i="105"/>
  <c r="F33" i="105"/>
  <c r="C33" i="105"/>
  <c r="B33" i="105"/>
  <c r="B32" i="105"/>
  <c r="L32" i="105" s="1"/>
  <c r="B31" i="105"/>
  <c r="F31" i="105" s="1"/>
  <c r="B30" i="105"/>
  <c r="F30" i="105" s="1"/>
  <c r="B29" i="105"/>
  <c r="L29" i="105" s="1"/>
  <c r="B28" i="105"/>
  <c r="L28" i="105" s="1"/>
  <c r="K27" i="105"/>
  <c r="H27" i="105"/>
  <c r="E27" i="105"/>
  <c r="E26" i="105" s="1"/>
  <c r="K26" i="105"/>
  <c r="H26" i="105"/>
  <c r="L25" i="105"/>
  <c r="I25" i="105"/>
  <c r="F25" i="105"/>
  <c r="C25" i="105"/>
  <c r="B25" i="105"/>
  <c r="B24" i="105"/>
  <c r="L24" i="105" s="1"/>
  <c r="B23" i="105"/>
  <c r="L23" i="105" s="1"/>
  <c r="B22" i="105"/>
  <c r="L22" i="105" s="1"/>
  <c r="K21" i="105"/>
  <c r="H21" i="105"/>
  <c r="E21" i="105"/>
  <c r="L20" i="105"/>
  <c r="I20" i="105"/>
  <c r="F20" i="105"/>
  <c r="C20" i="105"/>
  <c r="B20" i="105"/>
  <c r="B19" i="105"/>
  <c r="F19" i="105" s="1"/>
  <c r="B18" i="105"/>
  <c r="B17" i="105"/>
  <c r="L17" i="105" s="1"/>
  <c r="K16" i="105"/>
  <c r="H16" i="105"/>
  <c r="H15" i="105" s="1"/>
  <c r="H13" i="105" s="1"/>
  <c r="H11" i="105" s="1"/>
  <c r="E16" i="105"/>
  <c r="F14" i="105"/>
  <c r="B14" i="105"/>
  <c r="L12" i="105"/>
  <c r="I12" i="105"/>
  <c r="F12" i="105"/>
  <c r="C12" i="105"/>
  <c r="B12" i="105"/>
  <c r="I22" i="105" l="1"/>
  <c r="L53" i="105"/>
  <c r="B63" i="105"/>
  <c r="L63" i="105" s="1"/>
  <c r="F88" i="105"/>
  <c r="I35" i="104"/>
  <c r="B35" i="119"/>
  <c r="B68" i="119"/>
  <c r="I69" i="119"/>
  <c r="D14" i="144"/>
  <c r="L42" i="149"/>
  <c r="F101" i="105"/>
  <c r="L35" i="149"/>
  <c r="K15" i="105"/>
  <c r="B27" i="105"/>
  <c r="L27" i="105" s="1"/>
  <c r="I54" i="105"/>
  <c r="I70" i="105"/>
  <c r="I13" i="104"/>
  <c r="F100" i="122"/>
  <c r="I70" i="119"/>
  <c r="F73" i="119"/>
  <c r="F75" i="119"/>
  <c r="F77" i="119"/>
  <c r="D54" i="144"/>
  <c r="B75" i="149"/>
  <c r="B16" i="105"/>
  <c r="L16" i="105" s="1"/>
  <c r="I63" i="105"/>
  <c r="I100" i="105"/>
  <c r="I17" i="104"/>
  <c r="I25" i="104"/>
  <c r="F35" i="104"/>
  <c r="F32" i="122"/>
  <c r="I42" i="122"/>
  <c r="F56" i="122"/>
  <c r="F87" i="122"/>
  <c r="I90" i="122"/>
  <c r="F39" i="119"/>
  <c r="F62" i="119"/>
  <c r="F64" i="119"/>
  <c r="I91" i="119"/>
  <c r="I16" i="105"/>
  <c r="I74" i="105"/>
  <c r="B26" i="105"/>
  <c r="L26" i="105" s="1"/>
  <c r="I24" i="105"/>
  <c r="F46" i="105"/>
  <c r="K60" i="105"/>
  <c r="I83" i="105"/>
  <c r="F97" i="105"/>
  <c r="F13" i="104"/>
  <c r="F17" i="104"/>
  <c r="F21" i="104"/>
  <c r="F25" i="104"/>
  <c r="F29" i="104"/>
  <c r="I37" i="104"/>
  <c r="B41" i="119"/>
  <c r="I71" i="119"/>
  <c r="L61" i="149"/>
  <c r="E15" i="105"/>
  <c r="B15" i="105" s="1"/>
  <c r="F36" i="105"/>
  <c r="I68" i="105"/>
  <c r="B75" i="105"/>
  <c r="F78" i="105"/>
  <c r="F84" i="105"/>
  <c r="I38" i="104"/>
  <c r="F31" i="122"/>
  <c r="F37" i="122"/>
  <c r="F47" i="122"/>
  <c r="I65" i="122"/>
  <c r="F96" i="122"/>
  <c r="F99" i="122"/>
  <c r="C35" i="121"/>
  <c r="F38" i="119"/>
  <c r="B53" i="119"/>
  <c r="F72" i="119"/>
  <c r="F27" i="149"/>
  <c r="E13" i="135"/>
  <c r="E14" i="149"/>
  <c r="E12" i="149" s="1"/>
  <c r="F53" i="105"/>
  <c r="B82" i="105"/>
  <c r="F82" i="105" s="1"/>
  <c r="I31" i="122"/>
  <c r="E60" i="122"/>
  <c r="B74" i="122"/>
  <c r="I99" i="122"/>
  <c r="F35" i="119"/>
  <c r="E67" i="119"/>
  <c r="D16" i="139"/>
  <c r="I27" i="149"/>
  <c r="B16" i="149"/>
  <c r="B21" i="105"/>
  <c r="F21" i="105" s="1"/>
  <c r="I15" i="104"/>
  <c r="B41" i="122"/>
  <c r="F41" i="122" s="1"/>
  <c r="H34" i="119"/>
  <c r="N14" i="149"/>
  <c r="E13" i="138"/>
  <c r="L96" i="122"/>
  <c r="F68" i="119"/>
  <c r="C11" i="123"/>
  <c r="F45" i="105"/>
  <c r="B60" i="105"/>
  <c r="I60" i="105" s="1"/>
  <c r="I19" i="105"/>
  <c r="I66" i="105"/>
  <c r="F72" i="105"/>
  <c r="F87" i="105"/>
  <c r="F91" i="105"/>
  <c r="L36" i="104"/>
  <c r="I40" i="104"/>
  <c r="F22" i="122"/>
  <c r="F28" i="122"/>
  <c r="B35" i="122"/>
  <c r="F61" i="122"/>
  <c r="F67" i="122"/>
  <c r="F70" i="122"/>
  <c r="B75" i="122"/>
  <c r="I75" i="122" s="1"/>
  <c r="F77" i="122"/>
  <c r="C31" i="121"/>
  <c r="F16" i="119"/>
  <c r="B21" i="119"/>
  <c r="I21" i="119" s="1"/>
  <c r="H26" i="119"/>
  <c r="F51" i="119"/>
  <c r="F76" i="119"/>
  <c r="I96" i="119"/>
  <c r="C30" i="150"/>
  <c r="O27" i="149"/>
  <c r="I30" i="105"/>
  <c r="I49" i="105"/>
  <c r="F24" i="105"/>
  <c r="I58" i="105"/>
  <c r="I72" i="105"/>
  <c r="I70" i="122"/>
  <c r="B27" i="119"/>
  <c r="I27" i="119" s="1"/>
  <c r="F65" i="119"/>
  <c r="I68" i="119"/>
  <c r="F89" i="119"/>
  <c r="C39" i="150"/>
  <c r="C48" i="150"/>
  <c r="F94" i="122"/>
  <c r="D12" i="144"/>
  <c r="C46" i="150"/>
  <c r="C40" i="150"/>
  <c r="C26" i="150"/>
  <c r="C44" i="150"/>
  <c r="I12" i="150"/>
  <c r="C35" i="150"/>
  <c r="C22" i="150"/>
  <c r="C51" i="150"/>
  <c r="C43" i="150"/>
  <c r="C34" i="150"/>
  <c r="C25" i="150"/>
  <c r="C17" i="150"/>
  <c r="C14" i="150"/>
  <c r="O12" i="150"/>
  <c r="C38" i="150"/>
  <c r="C37" i="150"/>
  <c r="C33" i="150"/>
  <c r="C28" i="150"/>
  <c r="C20" i="150"/>
  <c r="C16" i="150"/>
  <c r="R12" i="150"/>
  <c r="C49" i="150"/>
  <c r="C45" i="150"/>
  <c r="C31" i="150"/>
  <c r="C27" i="150"/>
  <c r="C23" i="150"/>
  <c r="C41" i="150"/>
  <c r="C36" i="150"/>
  <c r="C32" i="150"/>
  <c r="C19" i="150"/>
  <c r="C15" i="150"/>
  <c r="F12" i="150"/>
  <c r="K12" i="149"/>
  <c r="O83" i="149"/>
  <c r="I83" i="149"/>
  <c r="O35" i="149"/>
  <c r="I35" i="149"/>
  <c r="F35" i="149"/>
  <c r="N12" i="149"/>
  <c r="L83" i="149"/>
  <c r="F54" i="149"/>
  <c r="L54" i="149"/>
  <c r="B82" i="149"/>
  <c r="L82" i="149" s="1"/>
  <c r="R83" i="149"/>
  <c r="R61" i="149"/>
  <c r="H12" i="149"/>
  <c r="F61" i="149"/>
  <c r="B14" i="149"/>
  <c r="L14" i="149" s="1"/>
  <c r="I54" i="149"/>
  <c r="R54" i="149"/>
  <c r="O61" i="149"/>
  <c r="C12" i="118"/>
  <c r="F41" i="119"/>
  <c r="B79" i="119"/>
  <c r="I79" i="119" s="1"/>
  <c r="I16" i="119"/>
  <c r="B34" i="119"/>
  <c r="I41" i="119"/>
  <c r="F53" i="119"/>
  <c r="F27" i="119"/>
  <c r="I53" i="119"/>
  <c r="I60" i="119"/>
  <c r="B67" i="119"/>
  <c r="I67" i="119" s="1"/>
  <c r="E15" i="119"/>
  <c r="F17" i="119"/>
  <c r="F18" i="119"/>
  <c r="F19" i="119"/>
  <c r="F21" i="119"/>
  <c r="E26" i="119"/>
  <c r="F28" i="119"/>
  <c r="F29" i="119"/>
  <c r="F30" i="119"/>
  <c r="F31" i="119"/>
  <c r="F32" i="119"/>
  <c r="I35" i="119"/>
  <c r="I36" i="119"/>
  <c r="F42" i="119"/>
  <c r="F43" i="119"/>
  <c r="F44" i="119"/>
  <c r="F45" i="119"/>
  <c r="F46" i="119"/>
  <c r="F47" i="119"/>
  <c r="F48" i="119"/>
  <c r="F49" i="119"/>
  <c r="F54" i="119"/>
  <c r="F55" i="119"/>
  <c r="F56" i="119"/>
  <c r="F57" i="119"/>
  <c r="F58" i="119"/>
  <c r="F60" i="119"/>
  <c r="I61" i="119"/>
  <c r="B82" i="119"/>
  <c r="F83" i="119"/>
  <c r="F84" i="119"/>
  <c r="F85" i="119"/>
  <c r="F86" i="119"/>
  <c r="F87" i="119"/>
  <c r="F93" i="119"/>
  <c r="F94" i="119"/>
  <c r="F96" i="119"/>
  <c r="F22" i="119"/>
  <c r="F23" i="119"/>
  <c r="F24" i="119"/>
  <c r="F97" i="119"/>
  <c r="F98" i="119"/>
  <c r="F99" i="119"/>
  <c r="F100" i="119"/>
  <c r="F101" i="119"/>
  <c r="F49" i="121"/>
  <c r="F48" i="121"/>
  <c r="F47" i="121"/>
  <c r="F46" i="121"/>
  <c r="F45" i="121"/>
  <c r="F44" i="121"/>
  <c r="F43" i="121"/>
  <c r="F42" i="121"/>
  <c r="F41" i="121"/>
  <c r="F40" i="121"/>
  <c r="F39" i="121"/>
  <c r="F38" i="121"/>
  <c r="F37" i="121"/>
  <c r="F35" i="121"/>
  <c r="F32" i="121"/>
  <c r="C28" i="121"/>
  <c r="C25" i="121"/>
  <c r="C20" i="121"/>
  <c r="C17" i="121"/>
  <c r="C13" i="121"/>
  <c r="F50" i="121"/>
  <c r="C49" i="121"/>
  <c r="C48" i="121"/>
  <c r="C47" i="121"/>
  <c r="C46" i="121"/>
  <c r="C45" i="121"/>
  <c r="C44" i="121"/>
  <c r="C43" i="121"/>
  <c r="C42" i="121"/>
  <c r="C41" i="121"/>
  <c r="C40" i="121"/>
  <c r="C39" i="121"/>
  <c r="C38" i="121"/>
  <c r="C37" i="121"/>
  <c r="F34" i="121"/>
  <c r="C30" i="121"/>
  <c r="C27" i="121"/>
  <c r="C24" i="121"/>
  <c r="C21" i="121"/>
  <c r="C18" i="121"/>
  <c r="C14" i="121"/>
  <c r="F30" i="121"/>
  <c r="F29" i="121"/>
  <c r="F28" i="121"/>
  <c r="F27" i="121"/>
  <c r="F26" i="121"/>
  <c r="F25" i="121"/>
  <c r="F24" i="121"/>
  <c r="F23" i="121"/>
  <c r="F22" i="121"/>
  <c r="F21" i="121"/>
  <c r="F20" i="121"/>
  <c r="F19" i="121"/>
  <c r="F18" i="121"/>
  <c r="F17" i="121"/>
  <c r="F16" i="121"/>
  <c r="F15" i="121"/>
  <c r="F14" i="121"/>
  <c r="F13" i="121"/>
  <c r="F36" i="121"/>
  <c r="F33" i="121"/>
  <c r="F31" i="121"/>
  <c r="C29" i="121"/>
  <c r="C26" i="121"/>
  <c r="C23" i="121"/>
  <c r="C22" i="121"/>
  <c r="C19" i="121"/>
  <c r="C16" i="121"/>
  <c r="C15" i="121"/>
  <c r="F11" i="121"/>
  <c r="C32" i="121"/>
  <c r="C36" i="121"/>
  <c r="C33" i="121"/>
  <c r="C34" i="121"/>
  <c r="I31" i="121"/>
  <c r="I32" i="121"/>
  <c r="I33" i="121"/>
  <c r="I34" i="121"/>
  <c r="I35" i="121"/>
  <c r="C50" i="121"/>
  <c r="L35" i="122"/>
  <c r="F35" i="122"/>
  <c r="B26" i="122"/>
  <c r="F26" i="122" s="1"/>
  <c r="H34" i="122"/>
  <c r="L41" i="122"/>
  <c r="I24" i="122"/>
  <c r="F24" i="122"/>
  <c r="I49" i="122"/>
  <c r="F49" i="122"/>
  <c r="B82" i="122"/>
  <c r="F82" i="122" s="1"/>
  <c r="I89" i="122"/>
  <c r="F89" i="122"/>
  <c r="I93" i="122"/>
  <c r="F93" i="122"/>
  <c r="I45" i="122"/>
  <c r="F45" i="122"/>
  <c r="I58" i="122"/>
  <c r="F58" i="122"/>
  <c r="F63" i="122"/>
  <c r="B21" i="122"/>
  <c r="F21" i="122" s="1"/>
  <c r="L26" i="122"/>
  <c r="I30" i="122"/>
  <c r="F30" i="122"/>
  <c r="I36" i="122"/>
  <c r="F36" i="122"/>
  <c r="I41" i="122"/>
  <c r="H60" i="122"/>
  <c r="B60" i="122" s="1"/>
  <c r="F60" i="122" s="1"/>
  <c r="I63" i="122"/>
  <c r="I74" i="122"/>
  <c r="L74" i="122"/>
  <c r="E81" i="122"/>
  <c r="L89" i="122"/>
  <c r="B16" i="122"/>
  <c r="F16" i="122" s="1"/>
  <c r="I35" i="122"/>
  <c r="I64" i="122"/>
  <c r="F64" i="122"/>
  <c r="I85" i="122"/>
  <c r="F85" i="122"/>
  <c r="K15" i="122"/>
  <c r="B15" i="122" s="1"/>
  <c r="I19" i="122"/>
  <c r="F19" i="122"/>
  <c r="B27" i="122"/>
  <c r="F27" i="122" s="1"/>
  <c r="L30" i="122"/>
  <c r="L36" i="122"/>
  <c r="B53" i="122"/>
  <c r="I53" i="122" s="1"/>
  <c r="I54" i="122"/>
  <c r="F54" i="122"/>
  <c r="L63" i="122"/>
  <c r="F74" i="122"/>
  <c r="L75" i="122"/>
  <c r="I79" i="122"/>
  <c r="F79" i="122"/>
  <c r="L82" i="122"/>
  <c r="I98" i="122"/>
  <c r="F98" i="122"/>
  <c r="I17" i="122"/>
  <c r="F18" i="122"/>
  <c r="I22" i="122"/>
  <c r="F23" i="122"/>
  <c r="I28" i="122"/>
  <c r="F29" i="122"/>
  <c r="I32" i="122"/>
  <c r="L37" i="122"/>
  <c r="I38" i="122"/>
  <c r="F39" i="122"/>
  <c r="L42" i="122"/>
  <c r="I43" i="122"/>
  <c r="F44" i="122"/>
  <c r="L46" i="122"/>
  <c r="I47" i="122"/>
  <c r="F48" i="122"/>
  <c r="I51" i="122"/>
  <c r="I56" i="122"/>
  <c r="F57" i="122"/>
  <c r="I61" i="122"/>
  <c r="L65" i="122"/>
  <c r="I66" i="122"/>
  <c r="I67" i="122"/>
  <c r="F68" i="122"/>
  <c r="F72" i="122"/>
  <c r="L76" i="122"/>
  <c r="I77" i="122"/>
  <c r="F78" i="122"/>
  <c r="I83" i="122"/>
  <c r="F84" i="122"/>
  <c r="L86" i="122"/>
  <c r="I87" i="122"/>
  <c r="F88" i="122"/>
  <c r="L90" i="122"/>
  <c r="I91" i="122"/>
  <c r="L94" i="122"/>
  <c r="F97" i="122"/>
  <c r="I100" i="122"/>
  <c r="F101" i="122"/>
  <c r="I18" i="122"/>
  <c r="I23" i="122"/>
  <c r="I29" i="122"/>
  <c r="I39" i="122"/>
  <c r="I44" i="122"/>
  <c r="I48" i="122"/>
  <c r="I57" i="122"/>
  <c r="L66" i="122"/>
  <c r="I68" i="122"/>
  <c r="I72" i="122"/>
  <c r="I78" i="122"/>
  <c r="I84" i="122"/>
  <c r="I88" i="122"/>
  <c r="I97" i="122"/>
  <c r="I101" i="122"/>
  <c r="B11" i="104"/>
  <c r="C34" i="104" s="1"/>
  <c r="L18" i="104"/>
  <c r="L26" i="104"/>
  <c r="L31" i="104"/>
  <c r="L41" i="104"/>
  <c r="L15" i="104"/>
  <c r="I16" i="104"/>
  <c r="C18" i="104"/>
  <c r="L19" i="104"/>
  <c r="I20" i="104"/>
  <c r="L23" i="104"/>
  <c r="I24" i="104"/>
  <c r="L27" i="104"/>
  <c r="I28" i="104"/>
  <c r="L32" i="104"/>
  <c r="I33" i="104"/>
  <c r="I34" i="104"/>
  <c r="L38" i="104"/>
  <c r="I39" i="104"/>
  <c r="F40" i="104"/>
  <c r="L42" i="104"/>
  <c r="I43" i="104"/>
  <c r="F44" i="104"/>
  <c r="C47" i="104"/>
  <c r="L14" i="104"/>
  <c r="L22" i="104"/>
  <c r="F14" i="104"/>
  <c r="L16" i="104"/>
  <c r="F18" i="104"/>
  <c r="L20" i="104"/>
  <c r="F22" i="104"/>
  <c r="L24" i="104"/>
  <c r="F26" i="104"/>
  <c r="L28" i="104"/>
  <c r="F30" i="104"/>
  <c r="F31" i="104"/>
  <c r="L34" i="104"/>
  <c r="F36" i="104"/>
  <c r="L39" i="104"/>
  <c r="F41" i="104"/>
  <c r="L43" i="104"/>
  <c r="I44" i="104"/>
  <c r="F45" i="104"/>
  <c r="F46" i="104"/>
  <c r="F47" i="104"/>
  <c r="F48" i="104"/>
  <c r="F49" i="104"/>
  <c r="F50" i="104"/>
  <c r="I18" i="105"/>
  <c r="F18" i="105"/>
  <c r="L35" i="105"/>
  <c r="L18" i="105"/>
  <c r="K34" i="105"/>
  <c r="L81" i="105"/>
  <c r="I86" i="105"/>
  <c r="F86" i="105"/>
  <c r="B96" i="105"/>
  <c r="F96" i="105" s="1"/>
  <c r="I35" i="105"/>
  <c r="I39" i="105"/>
  <c r="F39" i="105"/>
  <c r="I99" i="105"/>
  <c r="F99" i="105"/>
  <c r="I44" i="105"/>
  <c r="F44" i="105"/>
  <c r="I65" i="105"/>
  <c r="F65" i="105"/>
  <c r="F81" i="105"/>
  <c r="L86" i="105"/>
  <c r="I90" i="105"/>
  <c r="F90" i="105"/>
  <c r="I94" i="105"/>
  <c r="F94" i="105"/>
  <c r="I29" i="105"/>
  <c r="F29" i="105"/>
  <c r="I77" i="105"/>
  <c r="F77" i="105"/>
  <c r="I23" i="105"/>
  <c r="F23" i="105"/>
  <c r="E34" i="105"/>
  <c r="B41" i="105"/>
  <c r="L41" i="105" s="1"/>
  <c r="F41" i="105"/>
  <c r="L44" i="105"/>
  <c r="I48" i="105"/>
  <c r="F48" i="105"/>
  <c r="I57" i="105"/>
  <c r="F57" i="105"/>
  <c r="I81" i="105"/>
  <c r="L96" i="105"/>
  <c r="F17" i="105"/>
  <c r="L19" i="105"/>
  <c r="F22" i="105"/>
  <c r="F28" i="105"/>
  <c r="L30" i="105"/>
  <c r="I31" i="105"/>
  <c r="F32" i="105"/>
  <c r="L36" i="105"/>
  <c r="I37" i="105"/>
  <c r="F38" i="105"/>
  <c r="I42" i="105"/>
  <c r="F43" i="105"/>
  <c r="L45" i="105"/>
  <c r="I46" i="105"/>
  <c r="F47" i="105"/>
  <c r="L49" i="105"/>
  <c r="F51" i="105"/>
  <c r="L54" i="105"/>
  <c r="I55" i="105"/>
  <c r="F56" i="105"/>
  <c r="L58" i="105"/>
  <c r="F61" i="105"/>
  <c r="F64" i="105"/>
  <c r="L66" i="105"/>
  <c r="I67" i="105"/>
  <c r="F68" i="105"/>
  <c r="F70" i="105"/>
  <c r="F76" i="105"/>
  <c r="L78" i="105"/>
  <c r="I79" i="105"/>
  <c r="L83" i="105"/>
  <c r="I84" i="105"/>
  <c r="F85" i="105"/>
  <c r="L87" i="105"/>
  <c r="I88" i="105"/>
  <c r="F89" i="105"/>
  <c r="L91" i="105"/>
  <c r="F93" i="105"/>
  <c r="I97" i="105"/>
  <c r="F98" i="105"/>
  <c r="L100" i="105"/>
  <c r="I101" i="105"/>
  <c r="F15" i="105"/>
  <c r="F16" i="105"/>
  <c r="I17" i="105"/>
  <c r="F27" i="105"/>
  <c r="I28" i="105"/>
  <c r="L31" i="105"/>
  <c r="I32" i="105"/>
  <c r="L37" i="105"/>
  <c r="I38" i="105"/>
  <c r="I43" i="105"/>
  <c r="I47" i="105"/>
  <c r="I51" i="105"/>
  <c r="L55" i="105"/>
  <c r="I56" i="105"/>
  <c r="F60" i="105"/>
  <c r="I61" i="105"/>
  <c r="F63" i="105"/>
  <c r="I64" i="105"/>
  <c r="L67" i="105"/>
  <c r="F74" i="105"/>
  <c r="F75" i="105"/>
  <c r="I76" i="105"/>
  <c r="I85" i="105"/>
  <c r="I89" i="105"/>
  <c r="I93" i="105"/>
  <c r="I98" i="105"/>
  <c r="B50" i="107"/>
  <c r="O50" i="107" s="1"/>
  <c r="L49" i="107"/>
  <c r="B49" i="107"/>
  <c r="I49" i="107" s="1"/>
  <c r="B48" i="107"/>
  <c r="O48" i="107" s="1"/>
  <c r="B47" i="107"/>
  <c r="I47" i="107" s="1"/>
  <c r="F46" i="107"/>
  <c r="B46" i="107"/>
  <c r="O46" i="107" s="1"/>
  <c r="B45" i="107"/>
  <c r="I45" i="107" s="1"/>
  <c r="F44" i="107"/>
  <c r="B44" i="107"/>
  <c r="O44" i="107" s="1"/>
  <c r="B43" i="107"/>
  <c r="I43" i="107" s="1"/>
  <c r="B42" i="107"/>
  <c r="O42" i="107" s="1"/>
  <c r="B41" i="107"/>
  <c r="I41" i="107" s="1"/>
  <c r="B40" i="107"/>
  <c r="O40" i="107" s="1"/>
  <c r="B39" i="107"/>
  <c r="I39" i="107" s="1"/>
  <c r="B38" i="107"/>
  <c r="O38" i="107" s="1"/>
  <c r="B37" i="107"/>
  <c r="I37" i="107" s="1"/>
  <c r="F36" i="107"/>
  <c r="B36" i="107"/>
  <c r="O36" i="107" s="1"/>
  <c r="B35" i="107"/>
  <c r="I35" i="107" s="1"/>
  <c r="F34" i="107"/>
  <c r="B34" i="107"/>
  <c r="O34" i="107" s="1"/>
  <c r="B33" i="107"/>
  <c r="I33" i="107" s="1"/>
  <c r="B32" i="107"/>
  <c r="O32" i="107" s="1"/>
  <c r="B31" i="107"/>
  <c r="I31" i="107" s="1"/>
  <c r="B30" i="107"/>
  <c r="O30" i="107" s="1"/>
  <c r="B29" i="107"/>
  <c r="I29" i="107" s="1"/>
  <c r="F28" i="107"/>
  <c r="B28" i="107"/>
  <c r="O28" i="107" s="1"/>
  <c r="B27" i="107"/>
  <c r="I27" i="107" s="1"/>
  <c r="B26" i="107"/>
  <c r="O26" i="107" s="1"/>
  <c r="B25" i="107"/>
  <c r="I25" i="107" s="1"/>
  <c r="B24" i="107"/>
  <c r="O24" i="107" s="1"/>
  <c r="B23" i="107"/>
  <c r="I23" i="107" s="1"/>
  <c r="B22" i="107"/>
  <c r="O22" i="107" s="1"/>
  <c r="B21" i="107"/>
  <c r="I21" i="107" s="1"/>
  <c r="B20" i="107"/>
  <c r="O20" i="107" s="1"/>
  <c r="B19" i="107"/>
  <c r="I19" i="107" s="1"/>
  <c r="F18" i="107"/>
  <c r="B18" i="107"/>
  <c r="O18" i="107" s="1"/>
  <c r="B17" i="107"/>
  <c r="I17" i="107" s="1"/>
  <c r="B16" i="107"/>
  <c r="O16" i="107" s="1"/>
  <c r="B15" i="107"/>
  <c r="I15" i="107" s="1"/>
  <c r="B14" i="107"/>
  <c r="O14" i="107" s="1"/>
  <c r="B13" i="107"/>
  <c r="I13" i="107" s="1"/>
  <c r="O12" i="107"/>
  <c r="L12" i="107"/>
  <c r="I12" i="107"/>
  <c r="F12" i="107"/>
  <c r="C12" i="107"/>
  <c r="B12" i="107"/>
  <c r="N11" i="107"/>
  <c r="K11" i="107"/>
  <c r="H11" i="107"/>
  <c r="E11" i="107"/>
  <c r="B101" i="108"/>
  <c r="B100" i="108"/>
  <c r="O100" i="108" s="1"/>
  <c r="B99" i="108"/>
  <c r="L99" i="108" s="1"/>
  <c r="B98" i="108"/>
  <c r="O98" i="108" s="1"/>
  <c r="B97" i="108"/>
  <c r="L97" i="108" s="1"/>
  <c r="Q96" i="108"/>
  <c r="N96" i="108"/>
  <c r="K96" i="108"/>
  <c r="H96" i="108"/>
  <c r="E96" i="108"/>
  <c r="R95" i="108"/>
  <c r="O95" i="108"/>
  <c r="L95" i="108"/>
  <c r="I95" i="108"/>
  <c r="F95" i="108"/>
  <c r="C95" i="108"/>
  <c r="B95" i="108"/>
  <c r="B94" i="108"/>
  <c r="L94" i="108" s="1"/>
  <c r="B93" i="108"/>
  <c r="O93" i="108" s="1"/>
  <c r="R92" i="108"/>
  <c r="O92" i="108"/>
  <c r="L92" i="108"/>
  <c r="I92" i="108"/>
  <c r="F92" i="108"/>
  <c r="C92" i="108"/>
  <c r="B92" i="108"/>
  <c r="R91" i="108"/>
  <c r="I91" i="108"/>
  <c r="B91" i="108"/>
  <c r="O91" i="108" s="1"/>
  <c r="F90" i="108"/>
  <c r="B90" i="108"/>
  <c r="L90" i="108" s="1"/>
  <c r="B89" i="108"/>
  <c r="O89" i="108" s="1"/>
  <c r="B88" i="108"/>
  <c r="B87" i="108"/>
  <c r="O87" i="108" s="1"/>
  <c r="R86" i="108"/>
  <c r="B86" i="108"/>
  <c r="L86" i="108" s="1"/>
  <c r="B85" i="108"/>
  <c r="O85" i="108" s="1"/>
  <c r="B84" i="108"/>
  <c r="B83" i="108"/>
  <c r="O83" i="108" s="1"/>
  <c r="Q82" i="108"/>
  <c r="N82" i="108"/>
  <c r="N81" i="108" s="1"/>
  <c r="K82" i="108"/>
  <c r="H82" i="108"/>
  <c r="H81" i="108" s="1"/>
  <c r="E82" i="108"/>
  <c r="Q81" i="108"/>
  <c r="K81" i="108"/>
  <c r="R80" i="108"/>
  <c r="O80" i="108"/>
  <c r="L80" i="108"/>
  <c r="I80" i="108"/>
  <c r="F80" i="108"/>
  <c r="C80" i="108"/>
  <c r="B80" i="108"/>
  <c r="B79" i="108"/>
  <c r="O79" i="108" s="1"/>
  <c r="B78" i="108"/>
  <c r="L78" i="108" s="1"/>
  <c r="B77" i="108"/>
  <c r="O77" i="108" s="1"/>
  <c r="B76" i="108"/>
  <c r="L76" i="108" s="1"/>
  <c r="Q75" i="108"/>
  <c r="Q74" i="108" s="1"/>
  <c r="N75" i="108"/>
  <c r="N74" i="108" s="1"/>
  <c r="K75" i="108"/>
  <c r="K74" i="108" s="1"/>
  <c r="H75" i="108"/>
  <c r="H74" i="108" s="1"/>
  <c r="E75" i="108"/>
  <c r="E74" i="108"/>
  <c r="O73" i="108"/>
  <c r="L73" i="108"/>
  <c r="I73" i="108"/>
  <c r="F73" i="108"/>
  <c r="C73" i="108"/>
  <c r="B73" i="108"/>
  <c r="B72" i="108"/>
  <c r="O72" i="108" s="1"/>
  <c r="R71" i="108"/>
  <c r="O71" i="108"/>
  <c r="L71" i="108"/>
  <c r="I71" i="108"/>
  <c r="F71" i="108"/>
  <c r="C71" i="108"/>
  <c r="B71" i="108"/>
  <c r="B70" i="108"/>
  <c r="R69" i="108"/>
  <c r="O69" i="108"/>
  <c r="L69" i="108"/>
  <c r="I69" i="108"/>
  <c r="F69" i="108"/>
  <c r="C69" i="108"/>
  <c r="B69" i="108"/>
  <c r="B68" i="108"/>
  <c r="O68" i="108" s="1"/>
  <c r="B67" i="108"/>
  <c r="L67" i="108" s="1"/>
  <c r="B66" i="108"/>
  <c r="B65" i="108"/>
  <c r="B64" i="108"/>
  <c r="O64" i="108" s="1"/>
  <c r="Q63" i="108"/>
  <c r="Q60" i="108" s="1"/>
  <c r="N63" i="108"/>
  <c r="K63" i="108"/>
  <c r="H63" i="108"/>
  <c r="E63" i="108"/>
  <c r="R62" i="108"/>
  <c r="O62" i="108"/>
  <c r="L62" i="108"/>
  <c r="I62" i="108"/>
  <c r="F62" i="108"/>
  <c r="C62" i="108"/>
  <c r="B62" i="108"/>
  <c r="B61" i="108"/>
  <c r="O61" i="108" s="1"/>
  <c r="N60" i="108"/>
  <c r="H60" i="108"/>
  <c r="R59" i="108"/>
  <c r="O59" i="108"/>
  <c r="L59" i="108"/>
  <c r="I59" i="108"/>
  <c r="F59" i="108"/>
  <c r="C59" i="108"/>
  <c r="B59" i="108"/>
  <c r="F58" i="108"/>
  <c r="B58" i="108"/>
  <c r="O58" i="108" s="1"/>
  <c r="B57" i="108"/>
  <c r="L57" i="108" s="1"/>
  <c r="B56" i="108"/>
  <c r="B55" i="108"/>
  <c r="I55" i="108" s="1"/>
  <c r="R54" i="108"/>
  <c r="B54" i="108"/>
  <c r="O54" i="108" s="1"/>
  <c r="Q53" i="108"/>
  <c r="N53" i="108"/>
  <c r="K53" i="108"/>
  <c r="H53" i="108"/>
  <c r="E53" i="108"/>
  <c r="R52" i="108"/>
  <c r="O52" i="108"/>
  <c r="L52" i="108"/>
  <c r="I52" i="108"/>
  <c r="F52" i="108"/>
  <c r="C52" i="108"/>
  <c r="B52" i="108"/>
  <c r="B51" i="108"/>
  <c r="L51" i="108" s="1"/>
  <c r="R50" i="108"/>
  <c r="O50" i="108"/>
  <c r="L50" i="108"/>
  <c r="I50" i="108"/>
  <c r="F50" i="108"/>
  <c r="C50" i="108"/>
  <c r="B50" i="108"/>
  <c r="B49" i="108"/>
  <c r="O49" i="108" s="1"/>
  <c r="B48" i="108"/>
  <c r="L48" i="108" s="1"/>
  <c r="B47" i="108"/>
  <c r="O47" i="108" s="1"/>
  <c r="B46" i="108"/>
  <c r="L46" i="108" s="1"/>
  <c r="R45" i="108"/>
  <c r="B45" i="108"/>
  <c r="O45" i="108" s="1"/>
  <c r="B44" i="108"/>
  <c r="L44" i="108" s="1"/>
  <c r="B43" i="108"/>
  <c r="L43" i="108" s="1"/>
  <c r="B42" i="108"/>
  <c r="L42" i="108" s="1"/>
  <c r="Q41" i="108"/>
  <c r="N41" i="108"/>
  <c r="K41" i="108"/>
  <c r="H41" i="108"/>
  <c r="E41" i="108"/>
  <c r="R40" i="108"/>
  <c r="O40" i="108"/>
  <c r="L40" i="108"/>
  <c r="I40" i="108"/>
  <c r="F40" i="108"/>
  <c r="C40" i="108"/>
  <c r="B40" i="108"/>
  <c r="B39" i="108"/>
  <c r="L39" i="108" s="1"/>
  <c r="B38" i="108"/>
  <c r="O38" i="108" s="1"/>
  <c r="B37" i="108"/>
  <c r="I37" i="108" s="1"/>
  <c r="F36" i="108"/>
  <c r="B36" i="108"/>
  <c r="L36" i="108" s="1"/>
  <c r="Q35" i="108"/>
  <c r="Q34" i="108" s="1"/>
  <c r="N35" i="108"/>
  <c r="K35" i="108"/>
  <c r="H35" i="108"/>
  <c r="E35" i="108"/>
  <c r="E34" i="108" s="1"/>
  <c r="R33" i="108"/>
  <c r="O33" i="108"/>
  <c r="L33" i="108"/>
  <c r="I33" i="108"/>
  <c r="F33" i="108"/>
  <c r="C33" i="108"/>
  <c r="B33" i="108"/>
  <c r="B32" i="108"/>
  <c r="R32" i="108" s="1"/>
  <c r="B31" i="108"/>
  <c r="O31" i="108" s="1"/>
  <c r="R30" i="108"/>
  <c r="B30" i="108"/>
  <c r="L30" i="108" s="1"/>
  <c r="B29" i="108"/>
  <c r="L29" i="108" s="1"/>
  <c r="B28" i="108"/>
  <c r="R28" i="108" s="1"/>
  <c r="Q27" i="108"/>
  <c r="Q26" i="108" s="1"/>
  <c r="N27" i="108"/>
  <c r="K27" i="108"/>
  <c r="K26" i="108" s="1"/>
  <c r="H27" i="108"/>
  <c r="E27" i="108"/>
  <c r="B27" i="108"/>
  <c r="R27" i="108" s="1"/>
  <c r="N26" i="108"/>
  <c r="H26" i="108"/>
  <c r="E26" i="108"/>
  <c r="R25" i="108"/>
  <c r="O25" i="108"/>
  <c r="L25" i="108"/>
  <c r="I25" i="108"/>
  <c r="F25" i="108"/>
  <c r="C25" i="108"/>
  <c r="B25" i="108"/>
  <c r="R24" i="108"/>
  <c r="F24" i="108"/>
  <c r="B24" i="108"/>
  <c r="L24" i="108" s="1"/>
  <c r="B23" i="108"/>
  <c r="L23" i="108" s="1"/>
  <c r="B22" i="108"/>
  <c r="R22" i="108" s="1"/>
  <c r="Q21" i="108"/>
  <c r="N21" i="108"/>
  <c r="K21" i="108"/>
  <c r="H21" i="108"/>
  <c r="E21" i="108"/>
  <c r="R20" i="108"/>
  <c r="O20" i="108"/>
  <c r="L20" i="108"/>
  <c r="I20" i="108"/>
  <c r="F20" i="108"/>
  <c r="C20" i="108"/>
  <c r="B20" i="108"/>
  <c r="B19" i="108"/>
  <c r="L19" i="108" s="1"/>
  <c r="B18" i="108"/>
  <c r="B17" i="108"/>
  <c r="R17" i="108" s="1"/>
  <c r="Q16" i="108"/>
  <c r="Q15" i="108" s="1"/>
  <c r="N16" i="108"/>
  <c r="K16" i="108"/>
  <c r="K15" i="108" s="1"/>
  <c r="H16" i="108"/>
  <c r="E16" i="108"/>
  <c r="B16" i="108"/>
  <c r="R16" i="108" s="1"/>
  <c r="N15" i="108"/>
  <c r="H15" i="108"/>
  <c r="E15" i="108"/>
  <c r="O14" i="108"/>
  <c r="L14" i="108"/>
  <c r="I14" i="108"/>
  <c r="F14" i="108"/>
  <c r="B14" i="108"/>
  <c r="R12" i="108"/>
  <c r="O12" i="108"/>
  <c r="L12" i="108"/>
  <c r="I12" i="108"/>
  <c r="F12" i="108"/>
  <c r="C12" i="108"/>
  <c r="B12" i="108"/>
  <c r="B50" i="110"/>
  <c r="I50" i="110" s="1"/>
  <c r="B49" i="110"/>
  <c r="F49" i="110" s="1"/>
  <c r="B48" i="110"/>
  <c r="F48" i="110" s="1"/>
  <c r="B47" i="110"/>
  <c r="F47" i="110" s="1"/>
  <c r="B46" i="110"/>
  <c r="F46" i="110" s="1"/>
  <c r="B45" i="110"/>
  <c r="F45" i="110" s="1"/>
  <c r="B44" i="110"/>
  <c r="F44" i="110" s="1"/>
  <c r="B43" i="110"/>
  <c r="F43" i="110" s="1"/>
  <c r="B42" i="110"/>
  <c r="F42" i="110" s="1"/>
  <c r="B41" i="110"/>
  <c r="F41" i="110" s="1"/>
  <c r="B40" i="110"/>
  <c r="F40" i="110" s="1"/>
  <c r="B39" i="110"/>
  <c r="F39" i="110" s="1"/>
  <c r="B38" i="110"/>
  <c r="F38" i="110" s="1"/>
  <c r="B37" i="110"/>
  <c r="F37" i="110" s="1"/>
  <c r="B36" i="110"/>
  <c r="F36" i="110" s="1"/>
  <c r="F35" i="110"/>
  <c r="B35" i="110"/>
  <c r="I35" i="110" s="1"/>
  <c r="B34" i="110"/>
  <c r="F34" i="110" s="1"/>
  <c r="F33" i="110"/>
  <c r="B33" i="110"/>
  <c r="B32" i="110"/>
  <c r="F32" i="110" s="1"/>
  <c r="B31" i="110"/>
  <c r="I31" i="110" s="1"/>
  <c r="B30" i="110"/>
  <c r="I30" i="110" s="1"/>
  <c r="B29" i="110"/>
  <c r="F29" i="110" s="1"/>
  <c r="F28" i="110"/>
  <c r="B28" i="110"/>
  <c r="I28" i="110" s="1"/>
  <c r="B27" i="110"/>
  <c r="F27" i="110" s="1"/>
  <c r="B26" i="110"/>
  <c r="I26" i="110" s="1"/>
  <c r="B25" i="110"/>
  <c r="I25" i="110" s="1"/>
  <c r="B24" i="110"/>
  <c r="I24" i="110" s="1"/>
  <c r="B23" i="110"/>
  <c r="I23" i="110" s="1"/>
  <c r="B22" i="110"/>
  <c r="I22" i="110" s="1"/>
  <c r="B21" i="110"/>
  <c r="I21" i="110" s="1"/>
  <c r="B20" i="110"/>
  <c r="I20" i="110" s="1"/>
  <c r="B19" i="110"/>
  <c r="I19" i="110" s="1"/>
  <c r="B18" i="110"/>
  <c r="I18" i="110" s="1"/>
  <c r="B17" i="110"/>
  <c r="I17" i="110" s="1"/>
  <c r="B16" i="110"/>
  <c r="I16" i="110" s="1"/>
  <c r="B15" i="110"/>
  <c r="I15" i="110" s="1"/>
  <c r="B14" i="110"/>
  <c r="I14" i="110" s="1"/>
  <c r="B13" i="110"/>
  <c r="I13" i="110" s="1"/>
  <c r="F12" i="110"/>
  <c r="H11" i="110"/>
  <c r="E11" i="110"/>
  <c r="B11" i="110" s="1"/>
  <c r="B101" i="111"/>
  <c r="I101" i="111" s="1"/>
  <c r="B100" i="111"/>
  <c r="I100" i="111" s="1"/>
  <c r="B99" i="111"/>
  <c r="I99" i="111" s="1"/>
  <c r="B98" i="111"/>
  <c r="I98" i="111" s="1"/>
  <c r="B97" i="111"/>
  <c r="I97" i="111" s="1"/>
  <c r="H96" i="111"/>
  <c r="E96" i="111"/>
  <c r="B96" i="111" s="1"/>
  <c r="I95" i="111"/>
  <c r="F95" i="111"/>
  <c r="C95" i="111"/>
  <c r="B95" i="111"/>
  <c r="B94" i="111"/>
  <c r="I94" i="111" s="1"/>
  <c r="B93" i="111"/>
  <c r="I93" i="111" s="1"/>
  <c r="B91" i="111"/>
  <c r="I91" i="111" s="1"/>
  <c r="B90" i="111"/>
  <c r="I90" i="111" s="1"/>
  <c r="B89" i="111"/>
  <c r="I89" i="111" s="1"/>
  <c r="B88" i="111"/>
  <c r="I88" i="111" s="1"/>
  <c r="B87" i="111"/>
  <c r="I87" i="111" s="1"/>
  <c r="B86" i="111"/>
  <c r="I86" i="111" s="1"/>
  <c r="B85" i="111"/>
  <c r="I85" i="111" s="1"/>
  <c r="B84" i="111"/>
  <c r="I84" i="111" s="1"/>
  <c r="B83" i="111"/>
  <c r="I83" i="111" s="1"/>
  <c r="H82" i="111"/>
  <c r="H81" i="111" s="1"/>
  <c r="E82" i="111"/>
  <c r="B82" i="111"/>
  <c r="E81" i="111"/>
  <c r="B81" i="111" s="1"/>
  <c r="F80" i="111"/>
  <c r="B79" i="111"/>
  <c r="I79" i="111" s="1"/>
  <c r="B78" i="111"/>
  <c r="I78" i="111" s="1"/>
  <c r="B77" i="111"/>
  <c r="I77" i="111" s="1"/>
  <c r="B76" i="111"/>
  <c r="I76" i="111" s="1"/>
  <c r="H75" i="111"/>
  <c r="H74" i="111" s="1"/>
  <c r="E75" i="111"/>
  <c r="B75" i="111" s="1"/>
  <c r="F75" i="111" s="1"/>
  <c r="I73" i="111"/>
  <c r="F73" i="111"/>
  <c r="C73" i="111"/>
  <c r="B73" i="111"/>
  <c r="B72" i="111"/>
  <c r="I72" i="111" s="1"/>
  <c r="I71" i="111"/>
  <c r="C71" i="111"/>
  <c r="B71" i="111"/>
  <c r="B70" i="111"/>
  <c r="I70" i="111" s="1"/>
  <c r="I69" i="111"/>
  <c r="C69" i="111"/>
  <c r="B69" i="111"/>
  <c r="B68" i="111"/>
  <c r="I68" i="111" s="1"/>
  <c r="B67" i="111"/>
  <c r="I67" i="111" s="1"/>
  <c r="B66" i="111"/>
  <c r="I66" i="111" s="1"/>
  <c r="B65" i="111"/>
  <c r="I65" i="111" s="1"/>
  <c r="B64" i="111"/>
  <c r="I64" i="111" s="1"/>
  <c r="H63" i="111"/>
  <c r="H60" i="111" s="1"/>
  <c r="E63" i="111"/>
  <c r="B63" i="111" s="1"/>
  <c r="I62" i="111"/>
  <c r="F62" i="111"/>
  <c r="C62" i="111"/>
  <c r="B62" i="111"/>
  <c r="B61" i="111"/>
  <c r="I61" i="111" s="1"/>
  <c r="I59" i="111"/>
  <c r="F59" i="111"/>
  <c r="C59" i="111"/>
  <c r="B59" i="111"/>
  <c r="B58" i="111"/>
  <c r="I58" i="111" s="1"/>
  <c r="B57" i="111"/>
  <c r="I57" i="111" s="1"/>
  <c r="B56" i="111"/>
  <c r="I56" i="111" s="1"/>
  <c r="B55" i="111"/>
  <c r="I55" i="111" s="1"/>
  <c r="B54" i="111"/>
  <c r="I54" i="111" s="1"/>
  <c r="H53" i="111"/>
  <c r="E53" i="111"/>
  <c r="B53" i="111" s="1"/>
  <c r="I52" i="111"/>
  <c r="F52" i="111"/>
  <c r="C52" i="111"/>
  <c r="B52" i="111"/>
  <c r="B51" i="111"/>
  <c r="I51" i="111" s="1"/>
  <c r="I50" i="111"/>
  <c r="C50" i="111"/>
  <c r="B50" i="111"/>
  <c r="B49" i="111"/>
  <c r="I49" i="111" s="1"/>
  <c r="B48" i="111"/>
  <c r="I48" i="111" s="1"/>
  <c r="B47" i="111"/>
  <c r="I47" i="111" s="1"/>
  <c r="B46" i="111"/>
  <c r="I46" i="111" s="1"/>
  <c r="B45" i="111"/>
  <c r="I45" i="111" s="1"/>
  <c r="B44" i="111"/>
  <c r="I44" i="111" s="1"/>
  <c r="B43" i="111"/>
  <c r="I43" i="111" s="1"/>
  <c r="B42" i="111"/>
  <c r="I42" i="111" s="1"/>
  <c r="H41" i="111"/>
  <c r="E41" i="111"/>
  <c r="I40" i="111"/>
  <c r="F40" i="111"/>
  <c r="C40" i="111"/>
  <c r="B40" i="111"/>
  <c r="B39" i="111"/>
  <c r="I39" i="111" s="1"/>
  <c r="B38" i="111"/>
  <c r="I38" i="111" s="1"/>
  <c r="B37" i="111"/>
  <c r="I37" i="111" s="1"/>
  <c r="B36" i="111"/>
  <c r="I36" i="111" s="1"/>
  <c r="H35" i="111"/>
  <c r="E35" i="111"/>
  <c r="I33" i="111"/>
  <c r="F33" i="111"/>
  <c r="C33" i="111"/>
  <c r="B33" i="111"/>
  <c r="B32" i="111"/>
  <c r="I32" i="111" s="1"/>
  <c r="B31" i="111"/>
  <c r="I31" i="111" s="1"/>
  <c r="I30" i="111"/>
  <c r="B30" i="111"/>
  <c r="B29" i="111"/>
  <c r="I29" i="111" s="1"/>
  <c r="B28" i="111"/>
  <c r="I28" i="111" s="1"/>
  <c r="H27" i="111"/>
  <c r="E27" i="111"/>
  <c r="B27" i="111" s="1"/>
  <c r="H26" i="111"/>
  <c r="I25" i="111"/>
  <c r="F25" i="111"/>
  <c r="C25" i="111"/>
  <c r="B25" i="111"/>
  <c r="B24" i="111"/>
  <c r="B23" i="111"/>
  <c r="B22" i="111"/>
  <c r="H21" i="111"/>
  <c r="E21" i="111"/>
  <c r="B21" i="111" s="1"/>
  <c r="F21" i="111" s="1"/>
  <c r="I20" i="111"/>
  <c r="F20" i="111"/>
  <c r="C20" i="111"/>
  <c r="B20" i="111"/>
  <c r="B19" i="111"/>
  <c r="I19" i="111" s="1"/>
  <c r="B18" i="111"/>
  <c r="I18" i="111" s="1"/>
  <c r="B17" i="111"/>
  <c r="I17" i="111" s="1"/>
  <c r="H16" i="111"/>
  <c r="E16" i="111"/>
  <c r="E15" i="111" s="1"/>
  <c r="F14" i="111"/>
  <c r="I12" i="111"/>
  <c r="F12" i="111"/>
  <c r="C12" i="111"/>
  <c r="B12" i="111"/>
  <c r="C36" i="113"/>
  <c r="M36" i="113" s="1"/>
  <c r="C34" i="113"/>
  <c r="M34" i="113" s="1"/>
  <c r="C32" i="113"/>
  <c r="M32" i="113" s="1"/>
  <c r="C30" i="113"/>
  <c r="J30" i="113" s="1"/>
  <c r="C28" i="113"/>
  <c r="M28" i="113" s="1"/>
  <c r="M27" i="113"/>
  <c r="J27" i="113"/>
  <c r="G27" i="113"/>
  <c r="D27" i="113"/>
  <c r="C27" i="113"/>
  <c r="L26" i="113"/>
  <c r="I26" i="113"/>
  <c r="F26" i="113"/>
  <c r="M25" i="113"/>
  <c r="D25" i="113"/>
  <c r="C25" i="113"/>
  <c r="C24" i="113"/>
  <c r="M24" i="113" s="1"/>
  <c r="C22" i="113"/>
  <c r="M22" i="113" s="1"/>
  <c r="C20" i="113"/>
  <c r="J20" i="113" s="1"/>
  <c r="C18" i="113"/>
  <c r="M18" i="113" s="1"/>
  <c r="C16" i="113"/>
  <c r="M16" i="113" s="1"/>
  <c r="M15" i="113"/>
  <c r="J15" i="113"/>
  <c r="G15" i="113"/>
  <c r="D15" i="113"/>
  <c r="C15" i="113"/>
  <c r="L14" i="113"/>
  <c r="I14" i="113"/>
  <c r="I12" i="113" s="1"/>
  <c r="F14" i="113"/>
  <c r="M13" i="113"/>
  <c r="J13" i="113"/>
  <c r="G13" i="113"/>
  <c r="D13" i="113"/>
  <c r="C13" i="113"/>
  <c r="E74" i="111" l="1"/>
  <c r="B74" i="111" s="1"/>
  <c r="I47" i="110"/>
  <c r="I38" i="110"/>
  <c r="F19" i="108"/>
  <c r="F30" i="108"/>
  <c r="I32" i="108"/>
  <c r="O36" i="108"/>
  <c r="O43" i="108"/>
  <c r="R44" i="108"/>
  <c r="I46" i="108"/>
  <c r="F48" i="108"/>
  <c r="O51" i="108"/>
  <c r="R58" i="108"/>
  <c r="O67" i="108"/>
  <c r="F86" i="108"/>
  <c r="F91" i="108"/>
  <c r="C14" i="113"/>
  <c r="G22" i="113"/>
  <c r="G32" i="113"/>
  <c r="I36" i="110"/>
  <c r="I27" i="110"/>
  <c r="R19" i="108"/>
  <c r="R36" i="108"/>
  <c r="R48" i="108"/>
  <c r="R67" i="108"/>
  <c r="L53" i="122"/>
  <c r="L16" i="122"/>
  <c r="F79" i="119"/>
  <c r="I27" i="105"/>
  <c r="J32" i="113"/>
  <c r="B35" i="111"/>
  <c r="I39" i="110"/>
  <c r="L16" i="108"/>
  <c r="L27" i="108"/>
  <c r="F44" i="108"/>
  <c r="F75" i="149"/>
  <c r="I75" i="149"/>
  <c r="L75" i="149"/>
  <c r="O75" i="149"/>
  <c r="I11" i="110"/>
  <c r="I43" i="110"/>
  <c r="F16" i="108"/>
  <c r="F27" i="108"/>
  <c r="O44" i="108"/>
  <c r="F67" i="108"/>
  <c r="R68" i="108"/>
  <c r="L93" i="108"/>
  <c r="L98" i="108"/>
  <c r="F14" i="107"/>
  <c r="F20" i="107"/>
  <c r="F30" i="107"/>
  <c r="F75" i="122"/>
  <c r="H13" i="119"/>
  <c r="R75" i="149"/>
  <c r="Q13" i="108"/>
  <c r="R26" i="108"/>
  <c r="F96" i="111"/>
  <c r="I96" i="111"/>
  <c r="F11" i="110"/>
  <c r="C28" i="110"/>
  <c r="I21" i="111"/>
  <c r="I75" i="111"/>
  <c r="C26" i="113"/>
  <c r="M26" i="113" s="1"/>
  <c r="B41" i="111"/>
  <c r="C32" i="110"/>
  <c r="I41" i="110"/>
  <c r="I45" i="110"/>
  <c r="L37" i="108"/>
  <c r="I45" i="108"/>
  <c r="I54" i="108"/>
  <c r="I68" i="108"/>
  <c r="R76" i="108"/>
  <c r="R99" i="108"/>
  <c r="R16" i="149"/>
  <c r="L16" i="149"/>
  <c r="I16" i="149"/>
  <c r="F16" i="149"/>
  <c r="F26" i="105"/>
  <c r="I82" i="105"/>
  <c r="J22" i="113"/>
  <c r="L12" i="113"/>
  <c r="E34" i="111"/>
  <c r="F63" i="111"/>
  <c r="C29" i="110"/>
  <c r="C33" i="110"/>
  <c r="I42" i="110"/>
  <c r="I46" i="110"/>
  <c r="I37" i="110"/>
  <c r="I29" i="110"/>
  <c r="O16" i="108"/>
  <c r="O19" i="108"/>
  <c r="O24" i="108"/>
  <c r="O27" i="108"/>
  <c r="O30" i="108"/>
  <c r="L38" i="108"/>
  <c r="O48" i="108"/>
  <c r="I58" i="108"/>
  <c r="F72" i="108"/>
  <c r="F77" i="108"/>
  <c r="F83" i="108"/>
  <c r="O86" i="108"/>
  <c r="L89" i="108"/>
  <c r="F100" i="108"/>
  <c r="F24" i="107"/>
  <c r="F40" i="107"/>
  <c r="F50" i="107"/>
  <c r="B15" i="108"/>
  <c r="L15" i="108" s="1"/>
  <c r="B21" i="108"/>
  <c r="B26" i="108"/>
  <c r="L26" i="108" s="1"/>
  <c r="B35" i="108"/>
  <c r="O35" i="108" s="1"/>
  <c r="I72" i="108"/>
  <c r="I77" i="108"/>
  <c r="I83" i="108"/>
  <c r="I100" i="108"/>
  <c r="L75" i="105"/>
  <c r="I75" i="105"/>
  <c r="O26" i="108"/>
  <c r="C30" i="110"/>
  <c r="C34" i="110"/>
  <c r="R72" i="108"/>
  <c r="R77" i="108"/>
  <c r="R83" i="108"/>
  <c r="R100" i="108"/>
  <c r="L82" i="105"/>
  <c r="G16" i="113"/>
  <c r="H34" i="111"/>
  <c r="F30" i="110"/>
  <c r="I34" i="110"/>
  <c r="I22" i="108"/>
  <c r="F31" i="108"/>
  <c r="F39" i="108"/>
  <c r="I42" i="108"/>
  <c r="F49" i="108"/>
  <c r="F57" i="108"/>
  <c r="F64" i="108"/>
  <c r="F87" i="108"/>
  <c r="O90" i="108"/>
  <c r="F99" i="108"/>
  <c r="F26" i="107"/>
  <c r="F42" i="107"/>
  <c r="L60" i="105"/>
  <c r="I41" i="111"/>
  <c r="R35" i="108"/>
  <c r="F35" i="111"/>
  <c r="G34" i="113"/>
  <c r="C31" i="110"/>
  <c r="C35" i="110"/>
  <c r="I40" i="110"/>
  <c r="I44" i="110"/>
  <c r="I48" i="110"/>
  <c r="I33" i="110"/>
  <c r="I49" i="110"/>
  <c r="I17" i="108"/>
  <c r="I21" i="108"/>
  <c r="I26" i="108"/>
  <c r="I28" i="108"/>
  <c r="I31" i="108"/>
  <c r="L35" i="108"/>
  <c r="O39" i="108"/>
  <c r="L47" i="108"/>
  <c r="I49" i="108"/>
  <c r="O57" i="108"/>
  <c r="L61" i="108"/>
  <c r="I64" i="108"/>
  <c r="F76" i="108"/>
  <c r="I87" i="108"/>
  <c r="R90" i="108"/>
  <c r="I99" i="108"/>
  <c r="B11" i="107"/>
  <c r="C21" i="107" s="1"/>
  <c r="F16" i="107"/>
  <c r="F32" i="107"/>
  <c r="F48" i="107"/>
  <c r="L15" i="105"/>
  <c r="I15" i="105"/>
  <c r="G24" i="113"/>
  <c r="B16" i="111"/>
  <c r="F82" i="111"/>
  <c r="F31" i="110"/>
  <c r="I32" i="110"/>
  <c r="I16" i="108"/>
  <c r="I27" i="108"/>
  <c r="R31" i="108"/>
  <c r="R39" i="108"/>
  <c r="F45" i="108"/>
  <c r="R49" i="108"/>
  <c r="F54" i="108"/>
  <c r="R57" i="108"/>
  <c r="R64" i="108"/>
  <c r="F68" i="108"/>
  <c r="O76" i="108"/>
  <c r="L85" i="108"/>
  <c r="R87" i="108"/>
  <c r="O99" i="108"/>
  <c r="F22" i="107"/>
  <c r="F38" i="107"/>
  <c r="L21" i="105"/>
  <c r="I21" i="105"/>
  <c r="O16" i="149"/>
  <c r="I26" i="105"/>
  <c r="F94" i="108"/>
  <c r="O94" i="108"/>
  <c r="R94" i="108"/>
  <c r="C12" i="150"/>
  <c r="I14" i="149"/>
  <c r="O82" i="149"/>
  <c r="I82" i="149"/>
  <c r="F82" i="149"/>
  <c r="R82" i="149"/>
  <c r="O14" i="149"/>
  <c r="F14" i="149"/>
  <c r="R14" i="149"/>
  <c r="B12" i="149"/>
  <c r="C14" i="149" s="1"/>
  <c r="B26" i="119"/>
  <c r="F26" i="119"/>
  <c r="B15" i="119"/>
  <c r="F15" i="119" s="1"/>
  <c r="E13" i="119"/>
  <c r="H11" i="119"/>
  <c r="I82" i="119"/>
  <c r="F82" i="119"/>
  <c r="F34" i="119"/>
  <c r="F67" i="119"/>
  <c r="I34" i="119"/>
  <c r="C11" i="121"/>
  <c r="I15" i="122"/>
  <c r="L27" i="122"/>
  <c r="I26" i="122"/>
  <c r="B81" i="122"/>
  <c r="F81" i="122" s="1"/>
  <c r="E13" i="122"/>
  <c r="F53" i="122"/>
  <c r="I27" i="122"/>
  <c r="L15" i="122"/>
  <c r="K13" i="122"/>
  <c r="L60" i="122"/>
  <c r="I16" i="122"/>
  <c r="I60" i="122"/>
  <c r="I21" i="122"/>
  <c r="L21" i="122"/>
  <c r="I82" i="122"/>
  <c r="H13" i="122"/>
  <c r="B34" i="122"/>
  <c r="F15" i="122"/>
  <c r="C16" i="104"/>
  <c r="C50" i="104"/>
  <c r="C22" i="104"/>
  <c r="F11" i="104"/>
  <c r="C49" i="104"/>
  <c r="C45" i="104"/>
  <c r="C41" i="104"/>
  <c r="C36" i="104"/>
  <c r="C31" i="104"/>
  <c r="C26" i="104"/>
  <c r="C33" i="104"/>
  <c r="C24" i="104"/>
  <c r="C35" i="104"/>
  <c r="C25" i="104"/>
  <c r="C17" i="104"/>
  <c r="C42" i="104"/>
  <c r="C38" i="104"/>
  <c r="C37" i="104"/>
  <c r="C32" i="104"/>
  <c r="C27" i="104"/>
  <c r="C23" i="104"/>
  <c r="C19" i="104"/>
  <c r="C15" i="104"/>
  <c r="C40" i="104"/>
  <c r="C44" i="104"/>
  <c r="C29" i="104"/>
  <c r="C21" i="104"/>
  <c r="C13" i="104"/>
  <c r="C39" i="104"/>
  <c r="C46" i="104"/>
  <c r="C43" i="104"/>
  <c r="C28" i="104"/>
  <c r="C48" i="104"/>
  <c r="C30" i="104"/>
  <c r="C14" i="104"/>
  <c r="I11" i="104"/>
  <c r="C20" i="104"/>
  <c r="L11" i="104"/>
  <c r="I41" i="105"/>
  <c r="K13" i="105"/>
  <c r="L34" i="105"/>
  <c r="E13" i="105"/>
  <c r="B34" i="105"/>
  <c r="F34" i="105" s="1"/>
  <c r="I96" i="105"/>
  <c r="L29" i="107"/>
  <c r="L31" i="107"/>
  <c r="L33" i="107"/>
  <c r="L35" i="107"/>
  <c r="O13" i="107"/>
  <c r="I14" i="107"/>
  <c r="O15" i="107"/>
  <c r="I16" i="107"/>
  <c r="O17" i="107"/>
  <c r="I18" i="107"/>
  <c r="O19" i="107"/>
  <c r="I20" i="107"/>
  <c r="O21" i="107"/>
  <c r="I22" i="107"/>
  <c r="O23" i="107"/>
  <c r="I24" i="107"/>
  <c r="O25" i="107"/>
  <c r="I26" i="107"/>
  <c r="O27" i="107"/>
  <c r="I28" i="107"/>
  <c r="O29" i="107"/>
  <c r="I30" i="107"/>
  <c r="O31" i="107"/>
  <c r="I32" i="107"/>
  <c r="O33" i="107"/>
  <c r="I34" i="107"/>
  <c r="O35" i="107"/>
  <c r="I36" i="107"/>
  <c r="O37" i="107"/>
  <c r="I38" i="107"/>
  <c r="O39" i="107"/>
  <c r="I40" i="107"/>
  <c r="O41" i="107"/>
  <c r="I42" i="107"/>
  <c r="O43" i="107"/>
  <c r="I44" i="107"/>
  <c r="O45" i="107"/>
  <c r="I46" i="107"/>
  <c r="O47" i="107"/>
  <c r="I48" i="107"/>
  <c r="O49" i="107"/>
  <c r="I50" i="107"/>
  <c r="L41" i="107"/>
  <c r="L43" i="107"/>
  <c r="F13" i="107"/>
  <c r="L14" i="107"/>
  <c r="F15" i="107"/>
  <c r="L16" i="107"/>
  <c r="F17" i="107"/>
  <c r="L18" i="107"/>
  <c r="F19" i="107"/>
  <c r="L20" i="107"/>
  <c r="F21" i="107"/>
  <c r="L22" i="107"/>
  <c r="F23" i="107"/>
  <c r="L24" i="107"/>
  <c r="F25" i="107"/>
  <c r="L26" i="107"/>
  <c r="F27" i="107"/>
  <c r="L28" i="107"/>
  <c r="F29" i="107"/>
  <c r="L30" i="107"/>
  <c r="F31" i="107"/>
  <c r="L32" i="107"/>
  <c r="F33" i="107"/>
  <c r="L34" i="107"/>
  <c r="F35" i="107"/>
  <c r="L36" i="107"/>
  <c r="F37" i="107"/>
  <c r="L38" i="107"/>
  <c r="F39" i="107"/>
  <c r="L40" i="107"/>
  <c r="F41" i="107"/>
  <c r="L42" i="107"/>
  <c r="F43" i="107"/>
  <c r="L44" i="107"/>
  <c r="F45" i="107"/>
  <c r="L46" i="107"/>
  <c r="F47" i="107"/>
  <c r="L48" i="107"/>
  <c r="F49" i="107"/>
  <c r="L50" i="107"/>
  <c r="L13" i="107"/>
  <c r="L15" i="107"/>
  <c r="L17" i="107"/>
  <c r="L19" i="107"/>
  <c r="L21" i="107"/>
  <c r="L23" i="107"/>
  <c r="L25" i="107"/>
  <c r="L27" i="107"/>
  <c r="L37" i="107"/>
  <c r="L39" i="107"/>
  <c r="L45" i="107"/>
  <c r="L47" i="107"/>
  <c r="B82" i="108"/>
  <c r="F82" i="108" s="1"/>
  <c r="I18" i="108"/>
  <c r="R18" i="108"/>
  <c r="F18" i="108"/>
  <c r="O18" i="108"/>
  <c r="I56" i="108"/>
  <c r="R56" i="108"/>
  <c r="F56" i="108"/>
  <c r="O56" i="108"/>
  <c r="L56" i="108"/>
  <c r="I66" i="108"/>
  <c r="R66" i="108"/>
  <c r="F66" i="108"/>
  <c r="O66" i="108"/>
  <c r="L66" i="108"/>
  <c r="I70" i="108"/>
  <c r="R70" i="108"/>
  <c r="F70" i="108"/>
  <c r="O70" i="108"/>
  <c r="L70" i="108"/>
  <c r="R82" i="108"/>
  <c r="L18" i="108"/>
  <c r="I23" i="108"/>
  <c r="R23" i="108"/>
  <c r="F23" i="108"/>
  <c r="O23" i="108"/>
  <c r="E81" i="108"/>
  <c r="R84" i="108"/>
  <c r="F84" i="108"/>
  <c r="O84" i="108"/>
  <c r="I84" i="108"/>
  <c r="L84" i="108"/>
  <c r="Q11" i="108"/>
  <c r="I29" i="108"/>
  <c r="R29" i="108"/>
  <c r="F29" i="108"/>
  <c r="O29" i="108"/>
  <c r="K34" i="108"/>
  <c r="K60" i="108"/>
  <c r="N34" i="108"/>
  <c r="R88" i="108"/>
  <c r="F88" i="108"/>
  <c r="O88" i="108"/>
  <c r="I88" i="108"/>
  <c r="L88" i="108"/>
  <c r="L17" i="108"/>
  <c r="L28" i="108"/>
  <c r="B63" i="108"/>
  <c r="E60" i="108"/>
  <c r="R65" i="108"/>
  <c r="F65" i="108"/>
  <c r="O65" i="108"/>
  <c r="I79" i="108"/>
  <c r="R79" i="108"/>
  <c r="F79" i="108"/>
  <c r="R101" i="108"/>
  <c r="F101" i="108"/>
  <c r="O101" i="108"/>
  <c r="O17" i="108"/>
  <c r="I19" i="108"/>
  <c r="O22" i="108"/>
  <c r="I24" i="108"/>
  <c r="O28" i="108"/>
  <c r="I30" i="108"/>
  <c r="L31" i="108"/>
  <c r="O32" i="108"/>
  <c r="F35" i="108"/>
  <c r="I36" i="108"/>
  <c r="R37" i="108"/>
  <c r="F37" i="108"/>
  <c r="O37" i="108"/>
  <c r="I38" i="108"/>
  <c r="R38" i="108"/>
  <c r="F38" i="108"/>
  <c r="B41" i="108"/>
  <c r="O41" i="108" s="1"/>
  <c r="I43" i="108"/>
  <c r="R43" i="108"/>
  <c r="F43" i="108"/>
  <c r="I47" i="108"/>
  <c r="R47" i="108"/>
  <c r="F47" i="108"/>
  <c r="I51" i="108"/>
  <c r="R51" i="108"/>
  <c r="F51" i="108"/>
  <c r="I61" i="108"/>
  <c r="R61" i="108"/>
  <c r="F61" i="108"/>
  <c r="F63" i="108"/>
  <c r="I65" i="108"/>
  <c r="B74" i="108"/>
  <c r="L74" i="108" s="1"/>
  <c r="B75" i="108"/>
  <c r="F75" i="108" s="1"/>
  <c r="R78" i="108"/>
  <c r="F78" i="108"/>
  <c r="O78" i="108"/>
  <c r="I101" i="108"/>
  <c r="R97" i="108"/>
  <c r="F97" i="108"/>
  <c r="O97" i="108"/>
  <c r="L22" i="108"/>
  <c r="L32" i="108"/>
  <c r="B53" i="108"/>
  <c r="R55" i="108"/>
  <c r="F55" i="108"/>
  <c r="O55" i="108"/>
  <c r="O82" i="108"/>
  <c r="I97" i="108"/>
  <c r="F17" i="108"/>
  <c r="F22" i="108"/>
  <c r="F28" i="108"/>
  <c r="F32" i="108"/>
  <c r="H34" i="108"/>
  <c r="R42" i="108"/>
  <c r="F42" i="108"/>
  <c r="O42" i="108"/>
  <c r="R46" i="108"/>
  <c r="F46" i="108"/>
  <c r="O46" i="108"/>
  <c r="I53" i="108"/>
  <c r="L55" i="108"/>
  <c r="L65" i="108"/>
  <c r="I78" i="108"/>
  <c r="L79" i="108"/>
  <c r="I85" i="108"/>
  <c r="R85" i="108"/>
  <c r="F85" i="108"/>
  <c r="I89" i="108"/>
  <c r="R89" i="108"/>
  <c r="F89" i="108"/>
  <c r="I93" i="108"/>
  <c r="R93" i="108"/>
  <c r="F93" i="108"/>
  <c r="B96" i="108"/>
  <c r="O96" i="108" s="1"/>
  <c r="I98" i="108"/>
  <c r="R98" i="108"/>
  <c r="F98" i="108"/>
  <c r="L101" i="108"/>
  <c r="I39" i="108"/>
  <c r="I44" i="108"/>
  <c r="L45" i="108"/>
  <c r="I48" i="108"/>
  <c r="L49" i="108"/>
  <c r="L54" i="108"/>
  <c r="I57" i="108"/>
  <c r="L58" i="108"/>
  <c r="L64" i="108"/>
  <c r="I67" i="108"/>
  <c r="L68" i="108"/>
  <c r="L72" i="108"/>
  <c r="I76" i="108"/>
  <c r="L77" i="108"/>
  <c r="L83" i="108"/>
  <c r="I86" i="108"/>
  <c r="L87" i="108"/>
  <c r="I90" i="108"/>
  <c r="L91" i="108"/>
  <c r="I94" i="108"/>
  <c r="L100" i="108"/>
  <c r="C13" i="110"/>
  <c r="C14" i="110"/>
  <c r="C15" i="110"/>
  <c r="C16" i="110"/>
  <c r="C17" i="110"/>
  <c r="C18" i="110"/>
  <c r="C19" i="110"/>
  <c r="C20" i="110"/>
  <c r="C21" i="110"/>
  <c r="C22" i="110"/>
  <c r="C23" i="110"/>
  <c r="C24" i="110"/>
  <c r="C25" i="110"/>
  <c r="C26" i="110"/>
  <c r="C27" i="110"/>
  <c r="C50" i="110"/>
  <c r="F23" i="110"/>
  <c r="F24" i="110"/>
  <c r="F25" i="110"/>
  <c r="F26" i="110"/>
  <c r="C36" i="110"/>
  <c r="C37" i="110"/>
  <c r="C38" i="110"/>
  <c r="C39" i="110"/>
  <c r="C40" i="110"/>
  <c r="C41" i="110"/>
  <c r="C42" i="110"/>
  <c r="C43" i="110"/>
  <c r="C44" i="110"/>
  <c r="C45" i="110"/>
  <c r="C46" i="110"/>
  <c r="C47" i="110"/>
  <c r="C48" i="110"/>
  <c r="C49" i="110"/>
  <c r="F50" i="110"/>
  <c r="F13" i="110"/>
  <c r="F14" i="110"/>
  <c r="F15" i="110"/>
  <c r="F16" i="110"/>
  <c r="F17" i="110"/>
  <c r="F18" i="110"/>
  <c r="F19" i="110"/>
  <c r="F20" i="110"/>
  <c r="F21" i="110"/>
  <c r="F22" i="110"/>
  <c r="I74" i="111"/>
  <c r="I81" i="111"/>
  <c r="F16" i="111"/>
  <c r="I53" i="111"/>
  <c r="I27" i="111"/>
  <c r="F27" i="111"/>
  <c r="F74" i="111"/>
  <c r="I16" i="111"/>
  <c r="E26" i="111"/>
  <c r="I35" i="111"/>
  <c r="F41" i="111"/>
  <c r="F53" i="111"/>
  <c r="E60" i="111"/>
  <c r="I63" i="111"/>
  <c r="F81" i="111"/>
  <c r="I82" i="111"/>
  <c r="H15" i="111"/>
  <c r="B15" i="111" s="1"/>
  <c r="G14" i="113"/>
  <c r="M14" i="113"/>
  <c r="J14" i="113"/>
  <c r="D22" i="113"/>
  <c r="D32" i="113"/>
  <c r="J16" i="113"/>
  <c r="D16" i="113" s="1"/>
  <c r="G18" i="113"/>
  <c r="J24" i="113"/>
  <c r="D24" i="113" s="1"/>
  <c r="G28" i="113"/>
  <c r="J34" i="113"/>
  <c r="D34" i="113" s="1"/>
  <c r="G36" i="113"/>
  <c r="M20" i="113"/>
  <c r="F12" i="113"/>
  <c r="J18" i="113"/>
  <c r="G20" i="113"/>
  <c r="J28" i="113"/>
  <c r="G30" i="113"/>
  <c r="J36" i="113"/>
  <c r="M30" i="113"/>
  <c r="E13" i="103"/>
  <c r="F21" i="103" s="1"/>
  <c r="B13" i="103"/>
  <c r="C18" i="103" s="1"/>
  <c r="C40" i="98"/>
  <c r="M40" i="98" s="1"/>
  <c r="C39" i="98"/>
  <c r="M39" i="98" s="1"/>
  <c r="J38" i="98"/>
  <c r="G38" i="98"/>
  <c r="C38" i="98"/>
  <c r="C37" i="98"/>
  <c r="J37" i="98" s="1"/>
  <c r="C36" i="98"/>
  <c r="M36" i="98" s="1"/>
  <c r="C35" i="98"/>
  <c r="M35" i="98" s="1"/>
  <c r="C34" i="98"/>
  <c r="J34" i="98" s="1"/>
  <c r="C33" i="98"/>
  <c r="J33" i="98" s="1"/>
  <c r="C32" i="98"/>
  <c r="M32" i="98" s="1"/>
  <c r="C31" i="98"/>
  <c r="M31" i="98" s="1"/>
  <c r="C30" i="98"/>
  <c r="J30" i="98" s="1"/>
  <c r="C29" i="98"/>
  <c r="J29" i="98" s="1"/>
  <c r="C28" i="98"/>
  <c r="M28" i="98" s="1"/>
  <c r="C27" i="98"/>
  <c r="G27" i="98" s="1"/>
  <c r="C26" i="98"/>
  <c r="G26" i="98" s="1"/>
  <c r="C25" i="98"/>
  <c r="J25" i="98" s="1"/>
  <c r="C24" i="98"/>
  <c r="M24" i="98" s="1"/>
  <c r="G23" i="98"/>
  <c r="C23" i="98"/>
  <c r="C22" i="98"/>
  <c r="G22" i="98" s="1"/>
  <c r="C21" i="98"/>
  <c r="J21" i="98" s="1"/>
  <c r="C20" i="98"/>
  <c r="M20" i="98" s="1"/>
  <c r="C19" i="98"/>
  <c r="M19" i="98" s="1"/>
  <c r="C18" i="98"/>
  <c r="J18" i="98" s="1"/>
  <c r="C17" i="98"/>
  <c r="J17" i="98" s="1"/>
  <c r="C16" i="98"/>
  <c r="M16" i="98" s="1"/>
  <c r="C15" i="98"/>
  <c r="M15" i="98" s="1"/>
  <c r="C14" i="98"/>
  <c r="J14" i="98" s="1"/>
  <c r="C13" i="98"/>
  <c r="J13" i="98" s="1"/>
  <c r="L12" i="98"/>
  <c r="I12" i="98"/>
  <c r="F12" i="98"/>
  <c r="Z21" i="102"/>
  <c r="Q21" i="102"/>
  <c r="H21" i="102"/>
  <c r="Z20" i="102"/>
  <c r="Q20" i="102"/>
  <c r="H20" i="102"/>
  <c r="Z19" i="102"/>
  <c r="Q19" i="102"/>
  <c r="H19" i="102"/>
  <c r="Z18" i="102"/>
  <c r="U18" i="102"/>
  <c r="Q18" i="102"/>
  <c r="H18" i="102"/>
  <c r="Z17" i="102"/>
  <c r="Q17" i="102"/>
  <c r="H17" i="102"/>
  <c r="Z16" i="102"/>
  <c r="U16" i="102"/>
  <c r="Q16" i="102"/>
  <c r="H16" i="102"/>
  <c r="Z15" i="102"/>
  <c r="Q15" i="102"/>
  <c r="H15" i="102"/>
  <c r="Z14" i="102"/>
  <c r="Q14" i="102"/>
  <c r="H14" i="102"/>
  <c r="W13" i="102"/>
  <c r="X21" i="102" s="1"/>
  <c r="T13" i="102"/>
  <c r="U21" i="102" s="1"/>
  <c r="N13" i="102"/>
  <c r="O20" i="102" s="1"/>
  <c r="K13" i="102"/>
  <c r="L21" i="102" s="1"/>
  <c r="H13" i="102"/>
  <c r="E13" i="102"/>
  <c r="F21" i="102" s="1"/>
  <c r="B13" i="102"/>
  <c r="C21" i="102" s="1"/>
  <c r="B37" i="148"/>
  <c r="I36" i="148"/>
  <c r="F36" i="148"/>
  <c r="C36" i="148"/>
  <c r="B36" i="148"/>
  <c r="B35" i="148"/>
  <c r="I34" i="148"/>
  <c r="F34" i="148"/>
  <c r="C34" i="148"/>
  <c r="B34" i="148"/>
  <c r="B33" i="148"/>
  <c r="I32" i="148"/>
  <c r="F32" i="148"/>
  <c r="C32" i="148"/>
  <c r="B32" i="148"/>
  <c r="B31" i="148"/>
  <c r="I30" i="148"/>
  <c r="F30" i="148"/>
  <c r="C30" i="148"/>
  <c r="B30" i="148"/>
  <c r="B29" i="148"/>
  <c r="I28" i="148"/>
  <c r="F28" i="148"/>
  <c r="C28" i="148"/>
  <c r="B28" i="148"/>
  <c r="B27" i="148"/>
  <c r="I26" i="148"/>
  <c r="F26" i="148"/>
  <c r="C26" i="148"/>
  <c r="B26" i="148"/>
  <c r="B25" i="148"/>
  <c r="I24" i="148"/>
  <c r="F24" i="148"/>
  <c r="C24" i="148"/>
  <c r="B24" i="148"/>
  <c r="B23" i="148"/>
  <c r="I22" i="148"/>
  <c r="F22" i="148"/>
  <c r="C22" i="148"/>
  <c r="B22" i="148"/>
  <c r="B21" i="148"/>
  <c r="I20" i="148"/>
  <c r="F20" i="148"/>
  <c r="C20" i="148"/>
  <c r="B20" i="148"/>
  <c r="B19" i="148"/>
  <c r="I18" i="148"/>
  <c r="F18" i="148"/>
  <c r="C18" i="148"/>
  <c r="B18" i="148"/>
  <c r="B17" i="148"/>
  <c r="I16" i="148"/>
  <c r="F16" i="148"/>
  <c r="B16" i="148"/>
  <c r="B15" i="148"/>
  <c r="B14" i="148"/>
  <c r="H13" i="148"/>
  <c r="I37" i="148" s="1"/>
  <c r="E13" i="148"/>
  <c r="F37" i="148" s="1"/>
  <c r="D32" i="101"/>
  <c r="D30" i="101"/>
  <c r="D28" i="101"/>
  <c r="D26" i="101"/>
  <c r="D24" i="101"/>
  <c r="D22" i="101"/>
  <c r="D20" i="101"/>
  <c r="D18" i="101"/>
  <c r="D16" i="101"/>
  <c r="C13" i="101"/>
  <c r="D33" i="101" s="1"/>
  <c r="B34" i="111" l="1"/>
  <c r="Q13" i="102"/>
  <c r="C18" i="102"/>
  <c r="G15" i="98"/>
  <c r="F15" i="148"/>
  <c r="G34" i="98"/>
  <c r="I35" i="108"/>
  <c r="C25" i="107"/>
  <c r="I21" i="148"/>
  <c r="O17" i="102"/>
  <c r="I19" i="148"/>
  <c r="C16" i="102"/>
  <c r="O21" i="102"/>
  <c r="G26" i="113"/>
  <c r="R75" i="108"/>
  <c r="C42" i="107"/>
  <c r="C26" i="107"/>
  <c r="C47" i="107"/>
  <c r="C31" i="107"/>
  <c r="C15" i="107"/>
  <c r="F11" i="107"/>
  <c r="R21" i="108"/>
  <c r="L21" i="108"/>
  <c r="L11" i="107"/>
  <c r="C40" i="107"/>
  <c r="I17" i="148"/>
  <c r="U14" i="102"/>
  <c r="C20" i="102"/>
  <c r="I82" i="108"/>
  <c r="C38" i="107"/>
  <c r="C22" i="107"/>
  <c r="C35" i="107"/>
  <c r="C19" i="107"/>
  <c r="C82" i="149"/>
  <c r="I15" i="108"/>
  <c r="O15" i="108"/>
  <c r="R15" i="108"/>
  <c r="C36" i="107"/>
  <c r="C20" i="107"/>
  <c r="C45" i="107"/>
  <c r="C29" i="107"/>
  <c r="C13" i="107"/>
  <c r="C41" i="107"/>
  <c r="C50" i="107"/>
  <c r="C34" i="107"/>
  <c r="C18" i="107"/>
  <c r="C39" i="107"/>
  <c r="C23" i="107"/>
  <c r="F15" i="108"/>
  <c r="C11" i="104"/>
  <c r="I15" i="148"/>
  <c r="O15" i="102"/>
  <c r="U20" i="102"/>
  <c r="G31" i="98"/>
  <c r="J26" i="113"/>
  <c r="L75" i="108"/>
  <c r="C48" i="107"/>
  <c r="C32" i="107"/>
  <c r="C16" i="107"/>
  <c r="C49" i="107"/>
  <c r="C33" i="107"/>
  <c r="C17" i="107"/>
  <c r="F26" i="108"/>
  <c r="C46" i="107"/>
  <c r="C30" i="107"/>
  <c r="C14" i="107"/>
  <c r="C43" i="107"/>
  <c r="C27" i="107"/>
  <c r="I12" i="149"/>
  <c r="O11" i="107"/>
  <c r="I11" i="107"/>
  <c r="F21" i="108"/>
  <c r="C24" i="107"/>
  <c r="C14" i="102"/>
  <c r="O19" i="102"/>
  <c r="J26" i="98"/>
  <c r="C44" i="107"/>
  <c r="C28" i="107"/>
  <c r="C37" i="107"/>
  <c r="O21" i="108"/>
  <c r="L12" i="149"/>
  <c r="C92" i="149"/>
  <c r="C88" i="149"/>
  <c r="C84" i="149"/>
  <c r="C78" i="149"/>
  <c r="C68" i="149"/>
  <c r="C95" i="149"/>
  <c r="C91" i="149"/>
  <c r="C71" i="149"/>
  <c r="C37" i="149"/>
  <c r="C31" i="149"/>
  <c r="C25" i="149"/>
  <c r="C20" i="149"/>
  <c r="C100" i="149"/>
  <c r="C87" i="149"/>
  <c r="C77" i="149"/>
  <c r="C58" i="149"/>
  <c r="C57" i="149"/>
  <c r="C38" i="149"/>
  <c r="C75" i="149"/>
  <c r="C52" i="149"/>
  <c r="C48" i="149"/>
  <c r="C44" i="149"/>
  <c r="C40" i="149"/>
  <c r="C24" i="149"/>
  <c r="C19" i="149"/>
  <c r="C76" i="149"/>
  <c r="C67" i="149"/>
  <c r="C62" i="149"/>
  <c r="C49" i="149"/>
  <c r="C45" i="149"/>
  <c r="C39" i="149"/>
  <c r="C30" i="149"/>
  <c r="C97" i="149"/>
  <c r="C12" i="149" s="1"/>
  <c r="C17" i="149"/>
  <c r="C27" i="149"/>
  <c r="C33" i="149"/>
  <c r="C94" i="149"/>
  <c r="C64" i="149"/>
  <c r="C42" i="149"/>
  <c r="C50" i="149"/>
  <c r="C101" i="149"/>
  <c r="C18" i="149"/>
  <c r="C28" i="149"/>
  <c r="C86" i="149"/>
  <c r="C55" i="149"/>
  <c r="C69" i="149"/>
  <c r="C85" i="149"/>
  <c r="C43" i="149"/>
  <c r="C16" i="149"/>
  <c r="C23" i="149"/>
  <c r="C80" i="149"/>
  <c r="C46" i="149"/>
  <c r="C73" i="149"/>
  <c r="C89" i="149"/>
  <c r="C79" i="149"/>
  <c r="C36" i="149"/>
  <c r="C22" i="149"/>
  <c r="C29" i="149"/>
  <c r="C66" i="149"/>
  <c r="C59" i="149"/>
  <c r="C98" i="149"/>
  <c r="C102" i="149"/>
  <c r="C90" i="149"/>
  <c r="C56" i="149"/>
  <c r="C99" i="149"/>
  <c r="C47" i="149"/>
  <c r="C32" i="149"/>
  <c r="C65" i="149"/>
  <c r="C83" i="149"/>
  <c r="F12" i="149"/>
  <c r="R12" i="149"/>
  <c r="C61" i="149"/>
  <c r="C54" i="149"/>
  <c r="C35" i="149"/>
  <c r="O12" i="149"/>
  <c r="I15" i="119"/>
  <c r="E11" i="119"/>
  <c r="B13" i="119"/>
  <c r="F13" i="119" s="1"/>
  <c r="I26" i="119"/>
  <c r="L34" i="122"/>
  <c r="F34" i="122"/>
  <c r="L13" i="122"/>
  <c r="K11" i="122"/>
  <c r="H11" i="122"/>
  <c r="I81" i="122"/>
  <c r="L81" i="122"/>
  <c r="B13" i="122"/>
  <c r="I13" i="122" s="1"/>
  <c r="E11" i="122"/>
  <c r="I34" i="122"/>
  <c r="K11" i="105"/>
  <c r="I34" i="105"/>
  <c r="B13" i="105"/>
  <c r="L13" i="105" s="1"/>
  <c r="E11" i="105"/>
  <c r="H13" i="108"/>
  <c r="O74" i="108"/>
  <c r="I74" i="108"/>
  <c r="B60" i="108"/>
  <c r="L60" i="108" s="1"/>
  <c r="R53" i="108"/>
  <c r="I96" i="108"/>
  <c r="O63" i="108"/>
  <c r="I63" i="108"/>
  <c r="R63" i="108"/>
  <c r="L63" i="108"/>
  <c r="F53" i="108"/>
  <c r="E13" i="108"/>
  <c r="L82" i="108"/>
  <c r="L41" i="108"/>
  <c r="R41" i="108"/>
  <c r="F41" i="108"/>
  <c r="N13" i="108"/>
  <c r="K13" i="108"/>
  <c r="O75" i="108"/>
  <c r="I75" i="108"/>
  <c r="O53" i="108"/>
  <c r="I41" i="108"/>
  <c r="R74" i="108"/>
  <c r="R96" i="108"/>
  <c r="F96" i="108"/>
  <c r="L96" i="108"/>
  <c r="F74" i="108"/>
  <c r="B34" i="108"/>
  <c r="L34" i="108" s="1"/>
  <c r="L53" i="108"/>
  <c r="B81" i="108"/>
  <c r="F81" i="108"/>
  <c r="C11" i="110"/>
  <c r="F15" i="111"/>
  <c r="B26" i="111"/>
  <c r="F26" i="111" s="1"/>
  <c r="E13" i="111"/>
  <c r="I15" i="111"/>
  <c r="H13" i="111"/>
  <c r="B60" i="111"/>
  <c r="D20" i="113"/>
  <c r="D36" i="113"/>
  <c r="D26" i="113"/>
  <c r="D30" i="113"/>
  <c r="C12" i="113"/>
  <c r="D28" i="113"/>
  <c r="D18" i="113"/>
  <c r="D14" i="113"/>
  <c r="C14" i="103"/>
  <c r="C20" i="103"/>
  <c r="F14" i="103"/>
  <c r="F16" i="103"/>
  <c r="F18" i="103"/>
  <c r="F20" i="103"/>
  <c r="C16" i="103"/>
  <c r="C15" i="103"/>
  <c r="C17" i="103"/>
  <c r="C19" i="103"/>
  <c r="C21" i="103"/>
  <c r="F15" i="103"/>
  <c r="F17" i="103"/>
  <c r="F19" i="103"/>
  <c r="G19" i="98"/>
  <c r="J22" i="98"/>
  <c r="G30" i="98"/>
  <c r="G39" i="98"/>
  <c r="C12" i="98"/>
  <c r="D39" i="98" s="1"/>
  <c r="G35" i="98"/>
  <c r="M21" i="98"/>
  <c r="M25" i="98"/>
  <c r="M29" i="98"/>
  <c r="M14" i="98"/>
  <c r="J15" i="98"/>
  <c r="G16" i="98"/>
  <c r="M18" i="98"/>
  <c r="J19" i="98"/>
  <c r="G20" i="98"/>
  <c r="M22" i="98"/>
  <c r="J23" i="98"/>
  <c r="G24" i="98"/>
  <c r="M26" i="98"/>
  <c r="J27" i="98"/>
  <c r="G28" i="98"/>
  <c r="D29" i="98"/>
  <c r="M30" i="98"/>
  <c r="J31" i="98"/>
  <c r="G32" i="98"/>
  <c r="D33" i="98"/>
  <c r="M34" i="98"/>
  <c r="J35" i="98"/>
  <c r="G36" i="98"/>
  <c r="D37" i="98"/>
  <c r="M38" i="98"/>
  <c r="J39" i="98"/>
  <c r="G40" i="98"/>
  <c r="M13" i="98"/>
  <c r="D16" i="98"/>
  <c r="D28" i="98"/>
  <c r="M33" i="98"/>
  <c r="G13" i="98"/>
  <c r="D14" i="98"/>
  <c r="J16" i="98"/>
  <c r="G17" i="98"/>
  <c r="D18" i="98"/>
  <c r="J20" i="98"/>
  <c r="G21" i="98"/>
  <c r="D22" i="98"/>
  <c r="M23" i="98"/>
  <c r="J24" i="98"/>
  <c r="G25" i="98"/>
  <c r="D26" i="98"/>
  <c r="M27" i="98"/>
  <c r="J28" i="98"/>
  <c r="G29" i="98"/>
  <c r="J32" i="98"/>
  <c r="G33" i="98"/>
  <c r="J36" i="98"/>
  <c r="G37" i="98"/>
  <c r="J40" i="98"/>
  <c r="M17" i="98"/>
  <c r="D24" i="98"/>
  <c r="D32" i="98"/>
  <c r="D36" i="98"/>
  <c r="M37" i="98"/>
  <c r="G14" i="98"/>
  <c r="G18" i="98"/>
  <c r="D31" i="98"/>
  <c r="D35" i="98"/>
  <c r="I14" i="102"/>
  <c r="R15" i="102"/>
  <c r="I18" i="102"/>
  <c r="R19" i="102"/>
  <c r="R21" i="102"/>
  <c r="O14" i="102"/>
  <c r="C15" i="102"/>
  <c r="U15" i="102"/>
  <c r="O16" i="102"/>
  <c r="C17" i="102"/>
  <c r="C13" i="102" s="1"/>
  <c r="U17" i="102"/>
  <c r="O18" i="102"/>
  <c r="C19" i="102"/>
  <c r="U19" i="102"/>
  <c r="I16" i="102"/>
  <c r="R17" i="102"/>
  <c r="I20" i="102"/>
  <c r="Z13" i="102"/>
  <c r="AA18" i="102" s="1"/>
  <c r="R14" i="102"/>
  <c r="I15" i="102"/>
  <c r="R16" i="102"/>
  <c r="I17" i="102"/>
  <c r="R18" i="102"/>
  <c r="I19" i="102"/>
  <c r="R20" i="102"/>
  <c r="I21" i="102"/>
  <c r="L14" i="102"/>
  <c r="L15" i="102"/>
  <c r="L16" i="102"/>
  <c r="L17" i="102"/>
  <c r="L18" i="102"/>
  <c r="L19" i="102"/>
  <c r="L20" i="102"/>
  <c r="F14" i="102"/>
  <c r="X14" i="102"/>
  <c r="F15" i="102"/>
  <c r="X15" i="102"/>
  <c r="F16" i="102"/>
  <c r="X16" i="102"/>
  <c r="F17" i="102"/>
  <c r="X17" i="102"/>
  <c r="F18" i="102"/>
  <c r="X18" i="102"/>
  <c r="F19" i="102"/>
  <c r="X19" i="102"/>
  <c r="F20" i="102"/>
  <c r="X20" i="102"/>
  <c r="B13" i="148"/>
  <c r="C15" i="148" s="1"/>
  <c r="F17" i="148"/>
  <c r="F19" i="148"/>
  <c r="F21" i="148"/>
  <c r="F23" i="148"/>
  <c r="F25" i="148"/>
  <c r="F27" i="148"/>
  <c r="F29" i="148"/>
  <c r="F31" i="148"/>
  <c r="F33" i="148"/>
  <c r="F35" i="148"/>
  <c r="I23" i="148"/>
  <c r="I25" i="148"/>
  <c r="I27" i="148"/>
  <c r="I29" i="148"/>
  <c r="I31" i="148"/>
  <c r="I33" i="148"/>
  <c r="I35" i="148"/>
  <c r="D15" i="101"/>
  <c r="D19" i="101"/>
  <c r="D23" i="101"/>
  <c r="D27" i="101"/>
  <c r="D31" i="101"/>
  <c r="D17" i="101"/>
  <c r="D21" i="101"/>
  <c r="D25" i="101"/>
  <c r="D29" i="101"/>
  <c r="D42" i="100"/>
  <c r="D40" i="100"/>
  <c r="D38" i="100"/>
  <c r="D36" i="100"/>
  <c r="D34" i="100"/>
  <c r="D32" i="100"/>
  <c r="C31" i="100"/>
  <c r="D30" i="100"/>
  <c r="D28" i="100"/>
  <c r="D26" i="100"/>
  <c r="D24" i="100"/>
  <c r="D22" i="100"/>
  <c r="D18" i="100"/>
  <c r="D16" i="100"/>
  <c r="D14" i="100"/>
  <c r="C13" i="100"/>
  <c r="C11" i="100" s="1"/>
  <c r="D32" i="97"/>
  <c r="D30" i="97"/>
  <c r="D28" i="97"/>
  <c r="D26" i="97"/>
  <c r="D24" i="97"/>
  <c r="D22" i="97"/>
  <c r="D20" i="97"/>
  <c r="D18" i="97"/>
  <c r="D16" i="97"/>
  <c r="C13" i="97"/>
  <c r="D33" i="97" s="1"/>
  <c r="D34" i="94"/>
  <c r="D32" i="94"/>
  <c r="D26" i="94"/>
  <c r="D24" i="94"/>
  <c r="D18" i="94"/>
  <c r="D16" i="94"/>
  <c r="D14" i="94"/>
  <c r="C13" i="94"/>
  <c r="C11" i="94" s="1"/>
  <c r="M19" i="92"/>
  <c r="C19" i="92"/>
  <c r="V19" i="92" s="1"/>
  <c r="C18" i="92"/>
  <c r="V18" i="92" s="1"/>
  <c r="C17" i="92"/>
  <c r="V17" i="92" s="1"/>
  <c r="C16" i="92"/>
  <c r="V16" i="92" s="1"/>
  <c r="C15" i="92"/>
  <c r="V15" i="92" s="1"/>
  <c r="R14" i="92"/>
  <c r="C14" i="92"/>
  <c r="V14" i="92" s="1"/>
  <c r="V13" i="92"/>
  <c r="S13" i="92"/>
  <c r="P13" i="92"/>
  <c r="U12" i="92"/>
  <c r="R12" i="92"/>
  <c r="O12" i="92"/>
  <c r="L12" i="92"/>
  <c r="I12" i="92"/>
  <c r="F12" i="92"/>
  <c r="I29" i="91"/>
  <c r="V28" i="91"/>
  <c r="S28" i="91"/>
  <c r="P28" i="91"/>
  <c r="M28" i="91"/>
  <c r="J28" i="91"/>
  <c r="G28" i="91"/>
  <c r="D28" i="91"/>
  <c r="V26" i="91"/>
  <c r="S26" i="91"/>
  <c r="P26" i="91"/>
  <c r="M26" i="91"/>
  <c r="J26" i="91"/>
  <c r="G26" i="91"/>
  <c r="D26" i="91"/>
  <c r="V24" i="91"/>
  <c r="S24" i="91"/>
  <c r="P24" i="91"/>
  <c r="M24" i="91"/>
  <c r="J24" i="91"/>
  <c r="G24" i="91"/>
  <c r="D24" i="91"/>
  <c r="V22" i="91"/>
  <c r="S22" i="91"/>
  <c r="P22" i="91"/>
  <c r="M22" i="91"/>
  <c r="J22" i="91"/>
  <c r="G22" i="91"/>
  <c r="D22" i="91"/>
  <c r="V20" i="91"/>
  <c r="S20" i="91"/>
  <c r="P20" i="91"/>
  <c r="M20" i="91"/>
  <c r="J20" i="91"/>
  <c r="G20" i="91"/>
  <c r="D20" i="91"/>
  <c r="V18" i="91"/>
  <c r="S18" i="91"/>
  <c r="P18" i="91"/>
  <c r="M18" i="91"/>
  <c r="J18" i="91"/>
  <c r="G18" i="91"/>
  <c r="D18" i="91"/>
  <c r="V16" i="91"/>
  <c r="S16" i="91"/>
  <c r="P16" i="91"/>
  <c r="M16" i="91"/>
  <c r="J16" i="91"/>
  <c r="G16" i="91"/>
  <c r="D16" i="91"/>
  <c r="M14" i="91"/>
  <c r="J14" i="91"/>
  <c r="G14" i="91"/>
  <c r="D14" i="91"/>
  <c r="U13" i="91"/>
  <c r="U11" i="91" s="1"/>
  <c r="R13" i="91"/>
  <c r="O13" i="91"/>
  <c r="O11" i="91" s="1"/>
  <c r="L13" i="91"/>
  <c r="I13" i="91"/>
  <c r="I11" i="91" s="1"/>
  <c r="F13" i="91"/>
  <c r="C13" i="91"/>
  <c r="C11" i="91" s="1"/>
  <c r="L11" i="91"/>
  <c r="M25" i="91" s="1"/>
  <c r="C38" i="84"/>
  <c r="M38" i="84" s="1"/>
  <c r="C37" i="84"/>
  <c r="M37" i="84" s="1"/>
  <c r="C36" i="84"/>
  <c r="G36" i="84" s="1"/>
  <c r="C35" i="84"/>
  <c r="J35" i="84" s="1"/>
  <c r="C34" i="84"/>
  <c r="M34" i="84" s="1"/>
  <c r="M33" i="84"/>
  <c r="J33" i="84"/>
  <c r="G33" i="84"/>
  <c r="D33" i="84"/>
  <c r="C33" i="84"/>
  <c r="L32" i="84"/>
  <c r="I32" i="84"/>
  <c r="F32" i="84"/>
  <c r="M31" i="84"/>
  <c r="J31" i="84"/>
  <c r="G31" i="84"/>
  <c r="D31" i="84"/>
  <c r="C31" i="84"/>
  <c r="C30" i="84"/>
  <c r="J30" i="84" s="1"/>
  <c r="C29" i="84"/>
  <c r="M29" i="84" s="1"/>
  <c r="J28" i="84"/>
  <c r="C28" i="84"/>
  <c r="M28" i="84" s="1"/>
  <c r="C27" i="84"/>
  <c r="G27" i="84" s="1"/>
  <c r="C26" i="84"/>
  <c r="J26" i="84" s="1"/>
  <c r="C25" i="84"/>
  <c r="M25" i="84" s="1"/>
  <c r="M24" i="84"/>
  <c r="J24" i="84"/>
  <c r="G24" i="84"/>
  <c r="D24" i="84"/>
  <c r="C24" i="84"/>
  <c r="L23" i="84"/>
  <c r="I23" i="84"/>
  <c r="F23" i="84"/>
  <c r="M22" i="84"/>
  <c r="J22" i="84"/>
  <c r="G22" i="84"/>
  <c r="D22" i="84"/>
  <c r="C22" i="84"/>
  <c r="C21" i="84"/>
  <c r="J21" i="84" s="1"/>
  <c r="C20" i="84"/>
  <c r="M20" i="84" s="1"/>
  <c r="J19" i="84"/>
  <c r="G19" i="84"/>
  <c r="C19" i="84"/>
  <c r="M19" i="84" s="1"/>
  <c r="C18" i="84"/>
  <c r="G18" i="84" s="1"/>
  <c r="M17" i="84"/>
  <c r="J17" i="84"/>
  <c r="G17" i="84"/>
  <c r="D17" i="84"/>
  <c r="C17" i="84"/>
  <c r="L16" i="84"/>
  <c r="I16" i="84"/>
  <c r="F16" i="84"/>
  <c r="C16" i="84" s="1"/>
  <c r="M16" i="84" s="1"/>
  <c r="M15" i="84"/>
  <c r="J15" i="84"/>
  <c r="G15" i="84"/>
  <c r="D15" i="84"/>
  <c r="C15" i="84"/>
  <c r="M13" i="84"/>
  <c r="J13" i="84"/>
  <c r="G13" i="84"/>
  <c r="D13" i="84"/>
  <c r="C13" i="84"/>
  <c r="B37" i="82"/>
  <c r="O37" i="82" s="1"/>
  <c r="O36" i="82"/>
  <c r="L36" i="82"/>
  <c r="I36" i="82"/>
  <c r="F36" i="82"/>
  <c r="C36" i="82"/>
  <c r="B36" i="82"/>
  <c r="B35" i="82"/>
  <c r="I35" i="82" s="1"/>
  <c r="I34" i="82"/>
  <c r="F34" i="82"/>
  <c r="C34" i="82"/>
  <c r="B34" i="82"/>
  <c r="B33" i="82"/>
  <c r="O33" i="82" s="1"/>
  <c r="O32" i="82"/>
  <c r="L32" i="82"/>
  <c r="I32" i="82"/>
  <c r="F32" i="82"/>
  <c r="C32" i="82"/>
  <c r="B32" i="82"/>
  <c r="B31" i="82"/>
  <c r="O31" i="82" s="1"/>
  <c r="O30" i="82"/>
  <c r="L30" i="82"/>
  <c r="I30" i="82"/>
  <c r="F30" i="82"/>
  <c r="C30" i="82"/>
  <c r="B30" i="82"/>
  <c r="B29" i="82"/>
  <c r="O29" i="82" s="1"/>
  <c r="O28" i="82"/>
  <c r="L28" i="82"/>
  <c r="I28" i="82"/>
  <c r="F28" i="82"/>
  <c r="C28" i="82"/>
  <c r="B28" i="82"/>
  <c r="B27" i="82"/>
  <c r="O27" i="82" s="1"/>
  <c r="O26" i="82"/>
  <c r="L26" i="82"/>
  <c r="I26" i="82"/>
  <c r="F26" i="82"/>
  <c r="C26" i="82"/>
  <c r="B26" i="82"/>
  <c r="B25" i="82"/>
  <c r="O25" i="82" s="1"/>
  <c r="O24" i="82"/>
  <c r="L24" i="82"/>
  <c r="I24" i="82"/>
  <c r="F24" i="82"/>
  <c r="C24" i="82"/>
  <c r="B24" i="82"/>
  <c r="B23" i="82"/>
  <c r="O23" i="82" s="1"/>
  <c r="O22" i="82"/>
  <c r="L22" i="82"/>
  <c r="I22" i="82"/>
  <c r="F22" i="82"/>
  <c r="C22" i="82"/>
  <c r="B22" i="82"/>
  <c r="B21" i="82"/>
  <c r="O21" i="82" s="1"/>
  <c r="O20" i="82"/>
  <c r="L20" i="82"/>
  <c r="I20" i="82"/>
  <c r="F20" i="82"/>
  <c r="C20" i="82"/>
  <c r="B20" i="82"/>
  <c r="B19" i="82"/>
  <c r="O19" i="82" s="1"/>
  <c r="O18" i="82"/>
  <c r="L18" i="82"/>
  <c r="I18" i="82"/>
  <c r="F18" i="82"/>
  <c r="C18" i="82"/>
  <c r="B18" i="82"/>
  <c r="B17" i="82"/>
  <c r="O17" i="82" s="1"/>
  <c r="O16" i="82"/>
  <c r="L16" i="82"/>
  <c r="I16" i="82"/>
  <c r="F16" i="82"/>
  <c r="C16" i="82"/>
  <c r="B16" i="82"/>
  <c r="B15" i="82"/>
  <c r="O15" i="82" s="1"/>
  <c r="O14" i="82"/>
  <c r="L14" i="82"/>
  <c r="I14" i="82"/>
  <c r="F14" i="82"/>
  <c r="C14" i="82"/>
  <c r="B14" i="82"/>
  <c r="B13" i="82"/>
  <c r="O13" i="82" s="1"/>
  <c r="O12" i="82"/>
  <c r="L12" i="82"/>
  <c r="I12" i="82"/>
  <c r="F12" i="82"/>
  <c r="C12" i="82"/>
  <c r="N11" i="82"/>
  <c r="K11" i="82"/>
  <c r="H11" i="82"/>
  <c r="E11" i="82"/>
  <c r="B36" i="81"/>
  <c r="B35" i="81"/>
  <c r="B33" i="81"/>
  <c r="B32" i="81"/>
  <c r="B31" i="81"/>
  <c r="B30" i="81"/>
  <c r="H29" i="81"/>
  <c r="E29" i="81"/>
  <c r="B26" i="81"/>
  <c r="B25" i="81"/>
  <c r="B24" i="81"/>
  <c r="B22" i="81"/>
  <c r="B21" i="81"/>
  <c r="B20" i="81"/>
  <c r="B19" i="81"/>
  <c r="B18" i="81"/>
  <c r="B17" i="81"/>
  <c r="B16" i="81"/>
  <c r="B15" i="81"/>
  <c r="H14" i="81"/>
  <c r="E14" i="81"/>
  <c r="B14" i="81" s="1"/>
  <c r="B13" i="81"/>
  <c r="R23" i="80"/>
  <c r="O23" i="80"/>
  <c r="L23" i="80"/>
  <c r="I23" i="80"/>
  <c r="F23" i="80"/>
  <c r="C23" i="80"/>
  <c r="R21" i="80"/>
  <c r="O21" i="80"/>
  <c r="L21" i="80"/>
  <c r="R19" i="80"/>
  <c r="O19" i="80"/>
  <c r="L19" i="80"/>
  <c r="I19" i="80"/>
  <c r="F19" i="80"/>
  <c r="C19" i="80"/>
  <c r="R17" i="80"/>
  <c r="O17" i="80"/>
  <c r="L17" i="80"/>
  <c r="I17" i="80"/>
  <c r="F17" i="80"/>
  <c r="C17" i="80"/>
  <c r="R15" i="80"/>
  <c r="O15" i="80"/>
  <c r="L15" i="80"/>
  <c r="I15" i="80"/>
  <c r="F15" i="80"/>
  <c r="C15" i="80"/>
  <c r="Q12" i="80"/>
  <c r="R24" i="80" s="1"/>
  <c r="N12" i="80"/>
  <c r="O24" i="80" s="1"/>
  <c r="K12" i="80"/>
  <c r="L24" i="80" s="1"/>
  <c r="H12" i="80"/>
  <c r="I20" i="80" s="1"/>
  <c r="E12" i="80"/>
  <c r="F24" i="80" s="1"/>
  <c r="B12" i="80"/>
  <c r="C24" i="80" s="1"/>
  <c r="L22" i="79"/>
  <c r="I22" i="79"/>
  <c r="F22" i="79"/>
  <c r="C22" i="79"/>
  <c r="L18" i="79"/>
  <c r="I18" i="79"/>
  <c r="F18" i="79"/>
  <c r="C18" i="79"/>
  <c r="L16" i="79"/>
  <c r="I16" i="79"/>
  <c r="F16" i="79"/>
  <c r="C16" i="79"/>
  <c r="L14" i="79"/>
  <c r="I14" i="79"/>
  <c r="F14" i="79"/>
  <c r="C14" i="79"/>
  <c r="K11" i="79"/>
  <c r="L23" i="79" s="1"/>
  <c r="H11" i="79"/>
  <c r="I23" i="79" s="1"/>
  <c r="E11" i="79"/>
  <c r="F19" i="79" s="1"/>
  <c r="B11" i="79"/>
  <c r="C23" i="79" s="1"/>
  <c r="P20" i="78"/>
  <c r="M20" i="78"/>
  <c r="J20" i="78"/>
  <c r="G20" i="78"/>
  <c r="D20" i="78"/>
  <c r="P18" i="78"/>
  <c r="M18" i="78"/>
  <c r="J18" i="78"/>
  <c r="G18" i="78"/>
  <c r="D18" i="78"/>
  <c r="P16" i="78"/>
  <c r="M16" i="78"/>
  <c r="J16" i="78"/>
  <c r="G16" i="78"/>
  <c r="D16" i="78"/>
  <c r="P14" i="78"/>
  <c r="M14" i="78"/>
  <c r="J14" i="78"/>
  <c r="G14" i="78"/>
  <c r="D14" i="78"/>
  <c r="O11" i="78"/>
  <c r="P21" i="78" s="1"/>
  <c r="L11" i="78"/>
  <c r="M21" i="78" s="1"/>
  <c r="I11" i="78"/>
  <c r="J19" i="78" s="1"/>
  <c r="F11" i="78"/>
  <c r="G19" i="78" s="1"/>
  <c r="C11" i="78"/>
  <c r="D21" i="78" s="1"/>
  <c r="B37" i="76"/>
  <c r="V37" i="76" s="1"/>
  <c r="V36" i="76"/>
  <c r="R36" i="76"/>
  <c r="N36" i="76"/>
  <c r="J36" i="76"/>
  <c r="B36" i="76"/>
  <c r="B35" i="76"/>
  <c r="V35" i="76" s="1"/>
  <c r="V34" i="76"/>
  <c r="R34" i="76"/>
  <c r="N34" i="76"/>
  <c r="J34" i="76"/>
  <c r="F34" i="76"/>
  <c r="C34" i="76"/>
  <c r="B34" i="76"/>
  <c r="B33" i="76"/>
  <c r="N33" i="76" s="1"/>
  <c r="V32" i="76"/>
  <c r="R32" i="76"/>
  <c r="N32" i="76"/>
  <c r="J32" i="76"/>
  <c r="F32" i="76"/>
  <c r="C32" i="76"/>
  <c r="B32" i="76"/>
  <c r="B31" i="76"/>
  <c r="N31" i="76" s="1"/>
  <c r="V30" i="76"/>
  <c r="R30" i="76"/>
  <c r="N30" i="76"/>
  <c r="J30" i="76"/>
  <c r="F30" i="76"/>
  <c r="C30" i="76"/>
  <c r="B30" i="76"/>
  <c r="R29" i="76"/>
  <c r="B29" i="76"/>
  <c r="N29" i="76" s="1"/>
  <c r="V28" i="76"/>
  <c r="R28" i="76"/>
  <c r="N28" i="76"/>
  <c r="J28" i="76"/>
  <c r="F28" i="76"/>
  <c r="C28" i="76"/>
  <c r="B28" i="76"/>
  <c r="B27" i="76"/>
  <c r="N27" i="76" s="1"/>
  <c r="V26" i="76"/>
  <c r="R26" i="76"/>
  <c r="N26" i="76"/>
  <c r="J26" i="76"/>
  <c r="F26" i="76"/>
  <c r="C26" i="76"/>
  <c r="B26" i="76"/>
  <c r="B25" i="76"/>
  <c r="N25" i="76" s="1"/>
  <c r="V24" i="76"/>
  <c r="R24" i="76"/>
  <c r="N24" i="76"/>
  <c r="J24" i="76"/>
  <c r="F24" i="76"/>
  <c r="C24" i="76"/>
  <c r="B24" i="76"/>
  <c r="J23" i="76"/>
  <c r="B23" i="76"/>
  <c r="N23" i="76" s="1"/>
  <c r="V22" i="76"/>
  <c r="R22" i="76"/>
  <c r="N22" i="76"/>
  <c r="J22" i="76"/>
  <c r="F22" i="76"/>
  <c r="C22" i="76"/>
  <c r="B22" i="76"/>
  <c r="B21" i="76"/>
  <c r="N21" i="76" s="1"/>
  <c r="V20" i="76"/>
  <c r="R20" i="76"/>
  <c r="N20" i="76"/>
  <c r="J20" i="76"/>
  <c r="F20" i="76"/>
  <c r="C20" i="76"/>
  <c r="B20" i="76"/>
  <c r="V19" i="76"/>
  <c r="J19" i="76"/>
  <c r="B19" i="76"/>
  <c r="N19" i="76" s="1"/>
  <c r="V18" i="76"/>
  <c r="R18" i="76"/>
  <c r="N18" i="76"/>
  <c r="J18" i="76"/>
  <c r="F18" i="76"/>
  <c r="C18" i="76"/>
  <c r="B18" i="76"/>
  <c r="B17" i="76"/>
  <c r="N17" i="76" s="1"/>
  <c r="V16" i="76"/>
  <c r="R16" i="76"/>
  <c r="N16" i="76"/>
  <c r="J16" i="76"/>
  <c r="F16" i="76"/>
  <c r="C16" i="76"/>
  <c r="B15" i="76"/>
  <c r="R15" i="76" s="1"/>
  <c r="V14" i="76"/>
  <c r="R14" i="76"/>
  <c r="N14" i="76"/>
  <c r="J14" i="76"/>
  <c r="F14" i="76"/>
  <c r="C14" i="76"/>
  <c r="B13" i="76"/>
  <c r="N13" i="76" s="1"/>
  <c r="V12" i="76"/>
  <c r="R12" i="76"/>
  <c r="N12" i="76"/>
  <c r="J12" i="76"/>
  <c r="F12" i="76"/>
  <c r="C12" i="76"/>
  <c r="T11" i="76"/>
  <c r="P11" i="76"/>
  <c r="L11" i="76"/>
  <c r="H11" i="76"/>
  <c r="E11" i="76"/>
  <c r="I17" i="75"/>
  <c r="C18" i="75"/>
  <c r="B17" i="75"/>
  <c r="F17" i="75" s="1"/>
  <c r="B16" i="75"/>
  <c r="I16" i="75" s="1"/>
  <c r="B15" i="75"/>
  <c r="I15" i="75" s="1"/>
  <c r="B14" i="75"/>
  <c r="I14" i="75" s="1"/>
  <c r="H12" i="75"/>
  <c r="E12" i="75"/>
  <c r="C11" i="74"/>
  <c r="E40" i="74" s="1"/>
  <c r="F198" i="72"/>
  <c r="B197" i="72"/>
  <c r="R197" i="72" s="1"/>
  <c r="B196" i="72"/>
  <c r="U196" i="72" s="1"/>
  <c r="B195" i="72"/>
  <c r="R195" i="72" s="1"/>
  <c r="B194" i="72"/>
  <c r="U194" i="72" s="1"/>
  <c r="B193" i="72"/>
  <c r="P193" i="72" s="1"/>
  <c r="V192" i="72"/>
  <c r="T192" i="72"/>
  <c r="Q192" i="72"/>
  <c r="O192" i="72"/>
  <c r="L192" i="72"/>
  <c r="J192" i="72"/>
  <c r="G192" i="72"/>
  <c r="E192" i="72"/>
  <c r="B190" i="72"/>
  <c r="W190" i="72" s="1"/>
  <c r="B189" i="72"/>
  <c r="M189" i="72" s="1"/>
  <c r="B188" i="72"/>
  <c r="W188" i="72" s="1"/>
  <c r="B187" i="72"/>
  <c r="M187" i="72" s="1"/>
  <c r="B186" i="72"/>
  <c r="W186" i="72" s="1"/>
  <c r="B185" i="72"/>
  <c r="B184" i="72"/>
  <c r="W184" i="72" s="1"/>
  <c r="B183" i="72"/>
  <c r="M183" i="72" s="1"/>
  <c r="B182" i="72"/>
  <c r="F182" i="72" s="1"/>
  <c r="B181" i="72"/>
  <c r="B180" i="72"/>
  <c r="W180" i="72" s="1"/>
  <c r="B179" i="72"/>
  <c r="B178" i="72"/>
  <c r="W178" i="72" s="1"/>
  <c r="V177" i="72"/>
  <c r="T177" i="72"/>
  <c r="S177" i="72"/>
  <c r="Q177" i="72"/>
  <c r="Q175" i="72" s="1"/>
  <c r="O177" i="72"/>
  <c r="N177" i="72"/>
  <c r="L177" i="72"/>
  <c r="L175" i="72" s="1"/>
  <c r="J177" i="72"/>
  <c r="I177" i="72"/>
  <c r="G177" i="72"/>
  <c r="G175" i="72" s="1"/>
  <c r="E177" i="72"/>
  <c r="W176" i="72"/>
  <c r="U176" i="72"/>
  <c r="R176" i="72"/>
  <c r="P176" i="72"/>
  <c r="M176" i="72"/>
  <c r="K176" i="72"/>
  <c r="H176" i="72"/>
  <c r="F176" i="72"/>
  <c r="C176" i="72"/>
  <c r="B176" i="72"/>
  <c r="T175" i="72"/>
  <c r="O175" i="72"/>
  <c r="W174" i="72"/>
  <c r="U174" i="72"/>
  <c r="R174" i="72"/>
  <c r="P174" i="72"/>
  <c r="M174" i="72"/>
  <c r="K174" i="72"/>
  <c r="H174" i="72"/>
  <c r="F174" i="72"/>
  <c r="C174" i="72"/>
  <c r="B174" i="72"/>
  <c r="B173" i="72"/>
  <c r="W172" i="72"/>
  <c r="U172" i="72"/>
  <c r="R172" i="72"/>
  <c r="P172" i="72"/>
  <c r="M172" i="72"/>
  <c r="K172" i="72"/>
  <c r="H172" i="72"/>
  <c r="F172" i="72"/>
  <c r="C172" i="72"/>
  <c r="B172" i="72"/>
  <c r="V171" i="72"/>
  <c r="T171" i="72"/>
  <c r="Q171" i="72"/>
  <c r="O171" i="72"/>
  <c r="L171" i="72"/>
  <c r="J171" i="72"/>
  <c r="G171" i="72"/>
  <c r="E171" i="72"/>
  <c r="W170" i="72"/>
  <c r="U170" i="72"/>
  <c r="R170" i="72"/>
  <c r="P170" i="72"/>
  <c r="M170" i="72"/>
  <c r="K170" i="72"/>
  <c r="H170" i="72"/>
  <c r="F170" i="72"/>
  <c r="C170" i="72"/>
  <c r="B170" i="72"/>
  <c r="U169" i="72"/>
  <c r="R169" i="72"/>
  <c r="P169" i="72"/>
  <c r="M169" i="72"/>
  <c r="K169" i="72"/>
  <c r="H169" i="72"/>
  <c r="F169" i="72"/>
  <c r="B168" i="72"/>
  <c r="U168" i="72" s="1"/>
  <c r="B167" i="72"/>
  <c r="B166" i="72"/>
  <c r="P166" i="72" s="1"/>
  <c r="B165" i="72"/>
  <c r="U165" i="72" s="1"/>
  <c r="B164" i="72"/>
  <c r="P164" i="72" s="1"/>
  <c r="B163" i="72"/>
  <c r="M163" i="72" s="1"/>
  <c r="B162" i="72"/>
  <c r="F162" i="72" s="1"/>
  <c r="B161" i="72"/>
  <c r="B160" i="72"/>
  <c r="P160" i="72" s="1"/>
  <c r="B159" i="72"/>
  <c r="W159" i="72" s="1"/>
  <c r="B158" i="72"/>
  <c r="K158" i="72" s="1"/>
  <c r="B157" i="72"/>
  <c r="B156" i="72"/>
  <c r="W156" i="72" s="1"/>
  <c r="B155" i="72"/>
  <c r="W155" i="72" s="1"/>
  <c r="B154" i="72"/>
  <c r="U154" i="72" s="1"/>
  <c r="B153" i="72"/>
  <c r="W153" i="72" s="1"/>
  <c r="B152" i="72"/>
  <c r="K152" i="72" s="1"/>
  <c r="B151" i="72"/>
  <c r="K151" i="72" s="1"/>
  <c r="B150" i="72"/>
  <c r="R150" i="72" s="1"/>
  <c r="B149" i="72"/>
  <c r="B148" i="72"/>
  <c r="R148" i="72" s="1"/>
  <c r="B147" i="72"/>
  <c r="W147" i="72" s="1"/>
  <c r="B146" i="72"/>
  <c r="R146" i="72" s="1"/>
  <c r="B145" i="72"/>
  <c r="M145" i="72" s="1"/>
  <c r="B144" i="72"/>
  <c r="R144" i="72" s="1"/>
  <c r="B143" i="72"/>
  <c r="K143" i="72" s="1"/>
  <c r="B142" i="72"/>
  <c r="P142" i="72" s="1"/>
  <c r="B141" i="72"/>
  <c r="W141" i="72" s="1"/>
  <c r="B140" i="72"/>
  <c r="R140" i="72" s="1"/>
  <c r="B139" i="72"/>
  <c r="U139" i="72" s="1"/>
  <c r="H138" i="72"/>
  <c r="B138" i="72"/>
  <c r="W138" i="72" s="1"/>
  <c r="B137" i="72"/>
  <c r="U137" i="72" s="1"/>
  <c r="B136" i="72"/>
  <c r="F136" i="72" s="1"/>
  <c r="B135" i="72"/>
  <c r="M135" i="72" s="1"/>
  <c r="B134" i="72"/>
  <c r="U134" i="72" s="1"/>
  <c r="B133" i="72"/>
  <c r="W133" i="72" s="1"/>
  <c r="B132" i="72"/>
  <c r="R132" i="72" s="1"/>
  <c r="B131" i="72"/>
  <c r="U131" i="72" s="1"/>
  <c r="B130" i="72"/>
  <c r="R130" i="72" s="1"/>
  <c r="B129" i="72"/>
  <c r="R129" i="72" s="1"/>
  <c r="B128" i="72"/>
  <c r="U128" i="72" s="1"/>
  <c r="B127" i="72"/>
  <c r="B126" i="72"/>
  <c r="R126" i="72" s="1"/>
  <c r="B125" i="72"/>
  <c r="U125" i="72" s="1"/>
  <c r="B124" i="72"/>
  <c r="R124" i="72" s="1"/>
  <c r="B123" i="72"/>
  <c r="R123" i="72" s="1"/>
  <c r="B122" i="72"/>
  <c r="H122" i="72" s="1"/>
  <c r="V121" i="72"/>
  <c r="T121" i="72"/>
  <c r="Q121" i="72"/>
  <c r="O121" i="72"/>
  <c r="L121" i="72"/>
  <c r="J121" i="72"/>
  <c r="G121" i="72"/>
  <c r="E121" i="72"/>
  <c r="W120" i="72"/>
  <c r="U120" i="72"/>
  <c r="R120" i="72"/>
  <c r="P120" i="72"/>
  <c r="M120" i="72"/>
  <c r="K120" i="72"/>
  <c r="H120" i="72"/>
  <c r="F120" i="72"/>
  <c r="C120" i="72"/>
  <c r="B120" i="72"/>
  <c r="B119" i="72"/>
  <c r="P119" i="72" s="1"/>
  <c r="B118" i="72"/>
  <c r="R118" i="72" s="1"/>
  <c r="B117" i="72"/>
  <c r="B116" i="72"/>
  <c r="K116" i="72" s="1"/>
  <c r="B115" i="72"/>
  <c r="F115" i="72" s="1"/>
  <c r="B114" i="72"/>
  <c r="H114" i="72" s="1"/>
  <c r="V113" i="72"/>
  <c r="T113" i="72"/>
  <c r="Q113" i="72"/>
  <c r="O113" i="72"/>
  <c r="L113" i="72"/>
  <c r="J113" i="72"/>
  <c r="G113" i="72"/>
  <c r="E113" i="72"/>
  <c r="E111" i="72" s="1"/>
  <c r="W112" i="72"/>
  <c r="U112" i="72"/>
  <c r="R112" i="72"/>
  <c r="P112" i="72"/>
  <c r="M112" i="72"/>
  <c r="K112" i="72"/>
  <c r="H112" i="72"/>
  <c r="F112" i="72"/>
  <c r="C112" i="72"/>
  <c r="B112" i="72"/>
  <c r="W110" i="72"/>
  <c r="U110" i="72"/>
  <c r="R110" i="72"/>
  <c r="P110" i="72"/>
  <c r="M110" i="72"/>
  <c r="K110" i="72"/>
  <c r="H110" i="72"/>
  <c r="F110" i="72"/>
  <c r="C110" i="72"/>
  <c r="B110" i="72"/>
  <c r="B109" i="72"/>
  <c r="K109" i="72" s="1"/>
  <c r="B108" i="72"/>
  <c r="R108" i="72" s="1"/>
  <c r="W107" i="72"/>
  <c r="U107" i="72"/>
  <c r="R107" i="72"/>
  <c r="P107" i="72"/>
  <c r="M107" i="72"/>
  <c r="K107" i="72"/>
  <c r="H107" i="72"/>
  <c r="F107" i="72"/>
  <c r="C107" i="72"/>
  <c r="B107" i="72"/>
  <c r="B106" i="72"/>
  <c r="W106" i="72" s="1"/>
  <c r="B105" i="72"/>
  <c r="M105" i="72" s="1"/>
  <c r="B104" i="72"/>
  <c r="W104" i="72" s="1"/>
  <c r="B103" i="72"/>
  <c r="K103" i="72" s="1"/>
  <c r="B102" i="72"/>
  <c r="P102" i="72" s="1"/>
  <c r="V101" i="72"/>
  <c r="V99" i="72" s="1"/>
  <c r="T101" i="72"/>
  <c r="Q101" i="72"/>
  <c r="O101" i="72"/>
  <c r="L101" i="72"/>
  <c r="J101" i="72"/>
  <c r="G101" i="72"/>
  <c r="G99" i="72" s="1"/>
  <c r="E101" i="72"/>
  <c r="W100" i="72"/>
  <c r="U100" i="72"/>
  <c r="R100" i="72"/>
  <c r="P100" i="72"/>
  <c r="M100" i="72"/>
  <c r="K100" i="72"/>
  <c r="H100" i="72"/>
  <c r="F100" i="72"/>
  <c r="B100" i="72"/>
  <c r="Q99" i="72"/>
  <c r="W98" i="72"/>
  <c r="U98" i="72"/>
  <c r="R98" i="72"/>
  <c r="P98" i="72"/>
  <c r="M98" i="72"/>
  <c r="K98" i="72"/>
  <c r="H98" i="72"/>
  <c r="F98" i="72"/>
  <c r="C98" i="72"/>
  <c r="B98" i="72"/>
  <c r="B97" i="72"/>
  <c r="R97" i="72" s="1"/>
  <c r="B96" i="72"/>
  <c r="M96" i="72" s="1"/>
  <c r="B95" i="72"/>
  <c r="W95" i="72" s="1"/>
  <c r="B94" i="72"/>
  <c r="M94" i="72" s="1"/>
  <c r="B93" i="72"/>
  <c r="W93" i="72" s="1"/>
  <c r="B92" i="72"/>
  <c r="K92" i="72" s="1"/>
  <c r="B91" i="72"/>
  <c r="R91" i="72" s="1"/>
  <c r="B90" i="72"/>
  <c r="K90" i="72" s="1"/>
  <c r="B89" i="72"/>
  <c r="W89" i="72" s="1"/>
  <c r="B88" i="72"/>
  <c r="V87" i="72"/>
  <c r="T87" i="72"/>
  <c r="Q87" i="72"/>
  <c r="O87" i="72"/>
  <c r="O85" i="72" s="1"/>
  <c r="L87" i="72"/>
  <c r="J87" i="72"/>
  <c r="J85" i="72" s="1"/>
  <c r="G87" i="72"/>
  <c r="E87" i="72"/>
  <c r="E85" i="72" s="1"/>
  <c r="W86" i="72"/>
  <c r="U86" i="72"/>
  <c r="R86" i="72"/>
  <c r="P86" i="72"/>
  <c r="M86" i="72"/>
  <c r="K86" i="72"/>
  <c r="H86" i="72"/>
  <c r="F86" i="72"/>
  <c r="B86" i="72"/>
  <c r="T85" i="72"/>
  <c r="B83" i="72"/>
  <c r="P83" i="72" s="1"/>
  <c r="W82" i="72"/>
  <c r="U82" i="72"/>
  <c r="R82" i="72"/>
  <c r="P82" i="72"/>
  <c r="M82" i="72"/>
  <c r="K82" i="72"/>
  <c r="H82" i="72"/>
  <c r="F82" i="72"/>
  <c r="C82" i="72"/>
  <c r="B82" i="72"/>
  <c r="B81" i="72"/>
  <c r="W80" i="72"/>
  <c r="U80" i="72"/>
  <c r="R80" i="72"/>
  <c r="P80" i="72"/>
  <c r="M80" i="72"/>
  <c r="K80" i="72"/>
  <c r="H80" i="72"/>
  <c r="F80" i="72"/>
  <c r="C80" i="72"/>
  <c r="B80" i="72"/>
  <c r="B79" i="72"/>
  <c r="U79" i="72" s="1"/>
  <c r="B78" i="72"/>
  <c r="M78" i="72" s="1"/>
  <c r="B77" i="72"/>
  <c r="K77" i="72" s="1"/>
  <c r="B76" i="72"/>
  <c r="W76" i="72" s="1"/>
  <c r="B75" i="72"/>
  <c r="K75" i="72" s="1"/>
  <c r="B74" i="72"/>
  <c r="V73" i="72"/>
  <c r="T73" i="72"/>
  <c r="Q73" i="72"/>
  <c r="O73" i="72"/>
  <c r="O70" i="72" s="1"/>
  <c r="L73" i="72"/>
  <c r="J73" i="72"/>
  <c r="G73" i="72"/>
  <c r="G70" i="72" s="1"/>
  <c r="E73" i="72"/>
  <c r="W72" i="72"/>
  <c r="U72" i="72"/>
  <c r="R72" i="72"/>
  <c r="P72" i="72"/>
  <c r="M72" i="72"/>
  <c r="K72" i="72"/>
  <c r="H72" i="72"/>
  <c r="F72" i="72"/>
  <c r="C72" i="72"/>
  <c r="B72" i="72"/>
  <c r="B71" i="72"/>
  <c r="K71" i="72" s="1"/>
  <c r="T70" i="72"/>
  <c r="Q70" i="72"/>
  <c r="J70" i="72"/>
  <c r="W69" i="72"/>
  <c r="U69" i="72"/>
  <c r="R69" i="72"/>
  <c r="P69" i="72"/>
  <c r="M69" i="72"/>
  <c r="K69" i="72"/>
  <c r="H69" i="72"/>
  <c r="F69" i="72"/>
  <c r="C69" i="72"/>
  <c r="B69" i="72"/>
  <c r="B68" i="72"/>
  <c r="F68" i="72" s="1"/>
  <c r="B67" i="72"/>
  <c r="U67" i="72" s="1"/>
  <c r="B66" i="72"/>
  <c r="W66" i="72" s="1"/>
  <c r="B65" i="72"/>
  <c r="U65" i="72" s="1"/>
  <c r="B64" i="72"/>
  <c r="B63" i="72"/>
  <c r="R63" i="72" s="1"/>
  <c r="V62" i="72"/>
  <c r="T62" i="72"/>
  <c r="Q62" i="72"/>
  <c r="O62" i="72"/>
  <c r="L62" i="72"/>
  <c r="J62" i="72"/>
  <c r="G62" i="72"/>
  <c r="E62" i="72"/>
  <c r="W61" i="72"/>
  <c r="U61" i="72"/>
  <c r="R61" i="72"/>
  <c r="P61" i="72"/>
  <c r="M61" i="72"/>
  <c r="K61" i="72"/>
  <c r="H61" i="72"/>
  <c r="F61" i="72"/>
  <c r="C61" i="72"/>
  <c r="B61" i="72"/>
  <c r="B60" i="72"/>
  <c r="W60" i="72" s="1"/>
  <c r="B59" i="72"/>
  <c r="U59" i="72" s="1"/>
  <c r="B58" i="72"/>
  <c r="W58" i="72" s="1"/>
  <c r="B57" i="72"/>
  <c r="W57" i="72" s="1"/>
  <c r="B56" i="72"/>
  <c r="R56" i="72" s="1"/>
  <c r="B55" i="72"/>
  <c r="P55" i="72" s="1"/>
  <c r="B54" i="72"/>
  <c r="U54" i="72" s="1"/>
  <c r="B53" i="72"/>
  <c r="B52" i="72"/>
  <c r="U52" i="72" s="1"/>
  <c r="V51" i="72"/>
  <c r="T51" i="72"/>
  <c r="Q51" i="72"/>
  <c r="O51" i="72"/>
  <c r="L51" i="72"/>
  <c r="J51" i="72"/>
  <c r="G51" i="72"/>
  <c r="E51" i="72"/>
  <c r="W50" i="72"/>
  <c r="U50" i="72"/>
  <c r="R50" i="72"/>
  <c r="P50" i="72"/>
  <c r="M50" i="72"/>
  <c r="K50" i="72"/>
  <c r="H50" i="72"/>
  <c r="F50" i="72"/>
  <c r="C50" i="72"/>
  <c r="B50" i="72"/>
  <c r="B49" i="72"/>
  <c r="P49" i="72" s="1"/>
  <c r="W48" i="72"/>
  <c r="U48" i="72"/>
  <c r="R48" i="72"/>
  <c r="P48" i="72"/>
  <c r="M48" i="72"/>
  <c r="K48" i="72"/>
  <c r="H48" i="72"/>
  <c r="F48" i="72"/>
  <c r="C48" i="72"/>
  <c r="B48" i="72"/>
  <c r="B47" i="72"/>
  <c r="P47" i="72" s="1"/>
  <c r="B46" i="72"/>
  <c r="U46" i="72" s="1"/>
  <c r="B45" i="72"/>
  <c r="B44" i="72"/>
  <c r="B43" i="72"/>
  <c r="V42" i="72"/>
  <c r="T42" i="72"/>
  <c r="S42" i="72"/>
  <c r="Q42" i="72"/>
  <c r="O42" i="72"/>
  <c r="N42" i="72"/>
  <c r="L42" i="72"/>
  <c r="J42" i="72"/>
  <c r="I42" i="72"/>
  <c r="G42" i="72"/>
  <c r="E42" i="72"/>
  <c r="W40" i="72"/>
  <c r="U40" i="72"/>
  <c r="R40" i="72"/>
  <c r="P40" i="72"/>
  <c r="M40" i="72"/>
  <c r="K40" i="72"/>
  <c r="H40" i="72"/>
  <c r="F40" i="72"/>
  <c r="C40" i="72"/>
  <c r="B40" i="72"/>
  <c r="B39" i="72"/>
  <c r="R39" i="72" s="1"/>
  <c r="B38" i="72"/>
  <c r="U38" i="72" s="1"/>
  <c r="B37" i="72"/>
  <c r="B36" i="72"/>
  <c r="P36" i="72" s="1"/>
  <c r="B35" i="72"/>
  <c r="R35" i="72" s="1"/>
  <c r="B34" i="72"/>
  <c r="W34" i="72" s="1"/>
  <c r="V33" i="72"/>
  <c r="V32" i="72" s="1"/>
  <c r="T33" i="72"/>
  <c r="T32" i="72" s="1"/>
  <c r="Q33" i="72"/>
  <c r="O33" i="72"/>
  <c r="O32" i="72" s="1"/>
  <c r="L33" i="72"/>
  <c r="L32" i="72" s="1"/>
  <c r="J33" i="72"/>
  <c r="G33" i="72"/>
  <c r="E33" i="72"/>
  <c r="E32" i="72" s="1"/>
  <c r="U31" i="72"/>
  <c r="R31" i="72"/>
  <c r="P31" i="72"/>
  <c r="M31" i="72"/>
  <c r="K31" i="72"/>
  <c r="H31" i="72"/>
  <c r="F31" i="72"/>
  <c r="B30" i="72"/>
  <c r="M30" i="72" s="1"/>
  <c r="B29" i="72"/>
  <c r="P29" i="72" s="1"/>
  <c r="B28" i="72"/>
  <c r="B27" i="72"/>
  <c r="V26" i="72"/>
  <c r="T26" i="72"/>
  <c r="Q26" i="72"/>
  <c r="O26" i="72"/>
  <c r="L26" i="72"/>
  <c r="J26" i="72"/>
  <c r="G26" i="72"/>
  <c r="E26" i="72"/>
  <c r="U25" i="72"/>
  <c r="R25" i="72"/>
  <c r="P25" i="72"/>
  <c r="M25" i="72"/>
  <c r="K25" i="72"/>
  <c r="H25" i="72"/>
  <c r="F25" i="72"/>
  <c r="C25" i="72"/>
  <c r="B25" i="72"/>
  <c r="B24" i="72"/>
  <c r="R24" i="72" s="1"/>
  <c r="B23" i="72"/>
  <c r="R23" i="72" s="1"/>
  <c r="B22" i="72"/>
  <c r="R22" i="72" s="1"/>
  <c r="B21" i="72"/>
  <c r="R21" i="72" s="1"/>
  <c r="V20" i="72"/>
  <c r="T20" i="72"/>
  <c r="Q20" i="72"/>
  <c r="O20" i="72"/>
  <c r="L20" i="72"/>
  <c r="L19" i="72" s="1"/>
  <c r="J20" i="72"/>
  <c r="G20" i="72"/>
  <c r="E20" i="72"/>
  <c r="V19" i="72"/>
  <c r="W18" i="72"/>
  <c r="U18" i="72"/>
  <c r="R18" i="72"/>
  <c r="P18" i="72"/>
  <c r="M18" i="72"/>
  <c r="K18" i="72"/>
  <c r="H18" i="72"/>
  <c r="F18" i="72"/>
  <c r="C18" i="72"/>
  <c r="B18" i="72"/>
  <c r="W16" i="72"/>
  <c r="U16" i="72"/>
  <c r="R16" i="72"/>
  <c r="P16" i="72"/>
  <c r="M16" i="72"/>
  <c r="K16" i="72"/>
  <c r="H16" i="72"/>
  <c r="F16" i="72"/>
  <c r="C16" i="72"/>
  <c r="B16" i="72"/>
  <c r="W14" i="72"/>
  <c r="U14" i="72"/>
  <c r="R14" i="72"/>
  <c r="P14" i="72"/>
  <c r="M14" i="72"/>
  <c r="K14" i="72"/>
  <c r="H14" i="72"/>
  <c r="F14" i="72"/>
  <c r="C14" i="72"/>
  <c r="B14" i="72"/>
  <c r="K94" i="72" l="1"/>
  <c r="G38" i="84"/>
  <c r="C17" i="148"/>
  <c r="D23" i="98"/>
  <c r="H160" i="72"/>
  <c r="R21" i="76"/>
  <c r="R31" i="76"/>
  <c r="G21" i="78"/>
  <c r="L18" i="80"/>
  <c r="G29" i="84"/>
  <c r="G34" i="84"/>
  <c r="G37" i="84"/>
  <c r="D37" i="84" s="1"/>
  <c r="C33" i="148"/>
  <c r="F15" i="76"/>
  <c r="V31" i="76"/>
  <c r="F13" i="79"/>
  <c r="I14" i="80"/>
  <c r="L16" i="80"/>
  <c r="G20" i="84"/>
  <c r="G25" i="84"/>
  <c r="G28" i="84"/>
  <c r="D28" i="84" s="1"/>
  <c r="J37" i="84"/>
  <c r="R11" i="91"/>
  <c r="S27" i="91" s="1"/>
  <c r="C37" i="148"/>
  <c r="D25" i="98"/>
  <c r="D21" i="98"/>
  <c r="D17" i="98"/>
  <c r="D13" i="98"/>
  <c r="D30" i="98"/>
  <c r="C11" i="107"/>
  <c r="R19" i="76"/>
  <c r="R25" i="76"/>
  <c r="J35" i="76"/>
  <c r="G13" i="78"/>
  <c r="M19" i="78"/>
  <c r="F21" i="79"/>
  <c r="L14" i="80"/>
  <c r="D19" i="84"/>
  <c r="C31" i="148"/>
  <c r="AA21" i="102"/>
  <c r="D40" i="98"/>
  <c r="D20" i="98"/>
  <c r="I34" i="111"/>
  <c r="F34" i="111"/>
  <c r="F13" i="148"/>
  <c r="R13" i="102"/>
  <c r="F19" i="76"/>
  <c r="V23" i="76"/>
  <c r="J31" i="76"/>
  <c r="F17" i="79"/>
  <c r="L20" i="80"/>
  <c r="C21" i="148"/>
  <c r="M143" i="72"/>
  <c r="F60" i="108"/>
  <c r="G41" i="72"/>
  <c r="P95" i="72"/>
  <c r="B101" i="72"/>
  <c r="H101" i="72" s="1"/>
  <c r="F186" i="72"/>
  <c r="F13" i="76"/>
  <c r="J27" i="76"/>
  <c r="R33" i="76"/>
  <c r="J37" i="76"/>
  <c r="F15" i="79"/>
  <c r="F23" i="79"/>
  <c r="I24" i="80"/>
  <c r="E12" i="81"/>
  <c r="F32" i="81" s="1"/>
  <c r="F14" i="84"/>
  <c r="M13" i="91"/>
  <c r="C25" i="148"/>
  <c r="F54" i="72"/>
  <c r="J13" i="76"/>
  <c r="B11" i="76"/>
  <c r="R27" i="76"/>
  <c r="I22" i="80"/>
  <c r="J29" i="91"/>
  <c r="U13" i="102"/>
  <c r="F27" i="76"/>
  <c r="F37" i="82"/>
  <c r="H76" i="72"/>
  <c r="R13" i="76"/>
  <c r="F23" i="76"/>
  <c r="V27" i="76"/>
  <c r="G17" i="78"/>
  <c r="F13" i="82"/>
  <c r="F15" i="82"/>
  <c r="F17" i="82"/>
  <c r="F19" i="82"/>
  <c r="F21" i="82"/>
  <c r="F23" i="82"/>
  <c r="F25" i="82"/>
  <c r="F27" i="82"/>
  <c r="F29" i="82"/>
  <c r="F31" i="82"/>
  <c r="F33" i="82"/>
  <c r="F11" i="91"/>
  <c r="G27" i="91" s="1"/>
  <c r="C29" i="148"/>
  <c r="V13" i="76"/>
  <c r="B11" i="82"/>
  <c r="F11" i="82" s="1"/>
  <c r="I13" i="148"/>
  <c r="O13" i="102"/>
  <c r="U66" i="72"/>
  <c r="M77" i="72"/>
  <c r="K105" i="72"/>
  <c r="H126" i="72"/>
  <c r="V15" i="76"/>
  <c r="R17" i="76"/>
  <c r="R23" i="76"/>
  <c r="F31" i="76"/>
  <c r="M15" i="78"/>
  <c r="I14" i="84"/>
  <c r="J18" i="84"/>
  <c r="J27" i="84"/>
  <c r="J36" i="84"/>
  <c r="P14" i="92"/>
  <c r="C27" i="148"/>
  <c r="H34" i="72"/>
  <c r="H46" i="72"/>
  <c r="P115" i="72"/>
  <c r="Q111" i="72"/>
  <c r="F128" i="72"/>
  <c r="U133" i="72"/>
  <c r="R136" i="72"/>
  <c r="P138" i="72"/>
  <c r="H155" i="72"/>
  <c r="R29" i="72"/>
  <c r="P34" i="72"/>
  <c r="M46" i="72"/>
  <c r="P155" i="72"/>
  <c r="W165" i="72"/>
  <c r="G19" i="72"/>
  <c r="Q19" i="72"/>
  <c r="T41" i="72"/>
  <c r="M56" i="72"/>
  <c r="F89" i="72"/>
  <c r="O111" i="72"/>
  <c r="K124" i="72"/>
  <c r="M129" i="72"/>
  <c r="U132" i="72"/>
  <c r="O41" i="72"/>
  <c r="W54" i="72"/>
  <c r="K60" i="72"/>
  <c r="M75" i="72"/>
  <c r="P76" i="72"/>
  <c r="W92" i="72"/>
  <c r="V111" i="72"/>
  <c r="H125" i="72"/>
  <c r="K126" i="72"/>
  <c r="H128" i="72"/>
  <c r="K134" i="72"/>
  <c r="M154" i="72"/>
  <c r="F159" i="72"/>
  <c r="F164" i="72"/>
  <c r="F184" i="72"/>
  <c r="P197" i="72"/>
  <c r="H24" i="72"/>
  <c r="R47" i="72"/>
  <c r="H49" i="72"/>
  <c r="K67" i="72"/>
  <c r="W75" i="72"/>
  <c r="H95" i="72"/>
  <c r="P97" i="72"/>
  <c r="P106" i="72"/>
  <c r="H124" i="72"/>
  <c r="R125" i="72"/>
  <c r="R128" i="72"/>
  <c r="K133" i="72"/>
  <c r="U145" i="72"/>
  <c r="M152" i="72"/>
  <c r="H164" i="72"/>
  <c r="G111" i="72"/>
  <c r="W196" i="72"/>
  <c r="H30" i="72"/>
  <c r="M38" i="72"/>
  <c r="R46" i="72"/>
  <c r="R49" i="72"/>
  <c r="M52" i="72"/>
  <c r="H54" i="72"/>
  <c r="F58" i="72"/>
  <c r="H59" i="72"/>
  <c r="F78" i="72"/>
  <c r="F79" i="72"/>
  <c r="H89" i="72"/>
  <c r="H93" i="72"/>
  <c r="H104" i="72"/>
  <c r="R115" i="72"/>
  <c r="L111" i="72"/>
  <c r="W125" i="72"/>
  <c r="F131" i="72"/>
  <c r="P146" i="72"/>
  <c r="F148" i="72"/>
  <c r="H153" i="72"/>
  <c r="M158" i="72"/>
  <c r="H159" i="72"/>
  <c r="R160" i="72"/>
  <c r="H166" i="72"/>
  <c r="B177" i="72"/>
  <c r="F178" i="72"/>
  <c r="F180" i="72"/>
  <c r="H184" i="72"/>
  <c r="H186" i="72"/>
  <c r="F188" i="72"/>
  <c r="F190" i="72"/>
  <c r="W79" i="72"/>
  <c r="M23" i="72"/>
  <c r="H29" i="72"/>
  <c r="P30" i="72"/>
  <c r="F34" i="72"/>
  <c r="F46" i="72"/>
  <c r="W46" i="72"/>
  <c r="M54" i="72"/>
  <c r="R55" i="72"/>
  <c r="H57" i="72"/>
  <c r="K58" i="72"/>
  <c r="K59" i="72"/>
  <c r="F76" i="72"/>
  <c r="H78" i="72"/>
  <c r="H79" i="72"/>
  <c r="M92" i="72"/>
  <c r="P93" i="72"/>
  <c r="M103" i="72"/>
  <c r="P104" i="72"/>
  <c r="F125" i="72"/>
  <c r="W128" i="72"/>
  <c r="P130" i="72"/>
  <c r="K131" i="72"/>
  <c r="F132" i="72"/>
  <c r="F133" i="72"/>
  <c r="H134" i="72"/>
  <c r="F138" i="72"/>
  <c r="M151" i="72"/>
  <c r="P153" i="72"/>
  <c r="U156" i="72"/>
  <c r="W158" i="72"/>
  <c r="M165" i="72"/>
  <c r="R166" i="72"/>
  <c r="H188" i="72"/>
  <c r="H190" i="72"/>
  <c r="B192" i="72"/>
  <c r="W192" i="72" s="1"/>
  <c r="W194" i="72"/>
  <c r="W131" i="72"/>
  <c r="E41" i="72"/>
  <c r="R54" i="72"/>
  <c r="R57" i="72"/>
  <c r="U58" i="72"/>
  <c r="H67" i="72"/>
  <c r="P78" i="72"/>
  <c r="R79" i="72"/>
  <c r="W103" i="72"/>
  <c r="H106" i="72"/>
  <c r="R122" i="72"/>
  <c r="P131" i="72"/>
  <c r="P190" i="72"/>
  <c r="B26" i="72"/>
  <c r="K26" i="72" s="1"/>
  <c r="U44" i="72"/>
  <c r="W44" i="72"/>
  <c r="H44" i="72"/>
  <c r="P44" i="72"/>
  <c r="R44" i="72"/>
  <c r="F44" i="72"/>
  <c r="M101" i="72"/>
  <c r="L99" i="72"/>
  <c r="U117" i="72"/>
  <c r="M117" i="72"/>
  <c r="W117" i="72"/>
  <c r="H117" i="72"/>
  <c r="R117" i="72"/>
  <c r="F117" i="72"/>
  <c r="P117" i="72"/>
  <c r="P26" i="72"/>
  <c r="U27" i="72"/>
  <c r="W27" i="72"/>
  <c r="M27" i="72"/>
  <c r="R27" i="72"/>
  <c r="F27" i="72"/>
  <c r="H27" i="72"/>
  <c r="G32" i="72"/>
  <c r="B33" i="72"/>
  <c r="R33" i="72" s="1"/>
  <c r="M44" i="72"/>
  <c r="E70" i="72"/>
  <c r="B73" i="72"/>
  <c r="R73" i="72" s="1"/>
  <c r="W74" i="72"/>
  <c r="H74" i="72"/>
  <c r="F74" i="72"/>
  <c r="P74" i="72"/>
  <c r="R74" i="72"/>
  <c r="P27" i="72"/>
  <c r="M37" i="72"/>
  <c r="P37" i="72"/>
  <c r="F37" i="72"/>
  <c r="H37" i="72"/>
  <c r="J41" i="72"/>
  <c r="M43" i="72"/>
  <c r="P43" i="72"/>
  <c r="F43" i="72"/>
  <c r="H43" i="72"/>
  <c r="P45" i="72"/>
  <c r="R45" i="72"/>
  <c r="H45" i="72"/>
  <c r="B51" i="72"/>
  <c r="P51" i="72" s="1"/>
  <c r="P53" i="72"/>
  <c r="H53" i="72"/>
  <c r="R53" i="72"/>
  <c r="P127" i="72"/>
  <c r="H127" i="72"/>
  <c r="U127" i="72"/>
  <c r="F127" i="72"/>
  <c r="R127" i="72"/>
  <c r="M127" i="72"/>
  <c r="R37" i="72"/>
  <c r="R43" i="72"/>
  <c r="U81" i="72"/>
  <c r="M81" i="72"/>
  <c r="W81" i="72"/>
  <c r="H81" i="72"/>
  <c r="R81" i="72"/>
  <c r="F81" i="72"/>
  <c r="P81" i="72"/>
  <c r="M22" i="72"/>
  <c r="W22" i="72"/>
  <c r="P22" i="72"/>
  <c r="F22" i="72"/>
  <c r="H22" i="72"/>
  <c r="Q41" i="72"/>
  <c r="P52" i="72"/>
  <c r="W88" i="72"/>
  <c r="M88" i="72"/>
  <c r="U123" i="72"/>
  <c r="M123" i="72"/>
  <c r="W123" i="72"/>
  <c r="H123" i="72"/>
  <c r="F140" i="72"/>
  <c r="W157" i="72"/>
  <c r="H157" i="72"/>
  <c r="F157" i="72"/>
  <c r="P173" i="72"/>
  <c r="R173" i="72"/>
  <c r="F23" i="72"/>
  <c r="R28" i="72"/>
  <c r="W28" i="72"/>
  <c r="R30" i="72"/>
  <c r="H36" i="72"/>
  <c r="F38" i="72"/>
  <c r="R38" i="72"/>
  <c r="F52" i="72"/>
  <c r="R52" i="72"/>
  <c r="F56" i="72"/>
  <c r="P66" i="72"/>
  <c r="K66" i="72"/>
  <c r="U83" i="72"/>
  <c r="W83" i="72"/>
  <c r="H83" i="72"/>
  <c r="R83" i="72"/>
  <c r="F83" i="72"/>
  <c r="W91" i="72"/>
  <c r="H91" i="72"/>
  <c r="F91" i="72"/>
  <c r="W108" i="72"/>
  <c r="H108" i="72"/>
  <c r="F108" i="72"/>
  <c r="U119" i="72"/>
  <c r="W119" i="72"/>
  <c r="H119" i="72"/>
  <c r="R119" i="72"/>
  <c r="F119" i="72"/>
  <c r="F123" i="72"/>
  <c r="U130" i="72"/>
  <c r="M130" i="72"/>
  <c r="H130" i="72"/>
  <c r="W144" i="72"/>
  <c r="H144" i="72"/>
  <c r="F144" i="72"/>
  <c r="M149" i="72"/>
  <c r="K149" i="72"/>
  <c r="P157" i="72"/>
  <c r="U161" i="72"/>
  <c r="W161" i="72"/>
  <c r="M161" i="72"/>
  <c r="M168" i="72"/>
  <c r="H173" i="72"/>
  <c r="U179" i="72"/>
  <c r="K179" i="72"/>
  <c r="U181" i="72"/>
  <c r="K181" i="72"/>
  <c r="U185" i="72"/>
  <c r="W185" i="72"/>
  <c r="W195" i="72"/>
  <c r="H195" i="72"/>
  <c r="F195" i="72"/>
  <c r="W140" i="72"/>
  <c r="P140" i="72"/>
  <c r="H140" i="72"/>
  <c r="W150" i="72"/>
  <c r="H150" i="72"/>
  <c r="F150" i="72"/>
  <c r="M167" i="72"/>
  <c r="P167" i="72"/>
  <c r="F167" i="72"/>
  <c r="U189" i="72"/>
  <c r="W189" i="72"/>
  <c r="U23" i="72"/>
  <c r="W23" i="72"/>
  <c r="P23" i="72"/>
  <c r="M26" i="72"/>
  <c r="P38" i="72"/>
  <c r="U56" i="72"/>
  <c r="W56" i="72"/>
  <c r="P56" i="72"/>
  <c r="U68" i="72"/>
  <c r="K68" i="72"/>
  <c r="W102" i="72"/>
  <c r="H102" i="72"/>
  <c r="F102" i="72"/>
  <c r="R114" i="72"/>
  <c r="K114" i="72"/>
  <c r="W142" i="72"/>
  <c r="H142" i="72"/>
  <c r="F142" i="72"/>
  <c r="P150" i="72"/>
  <c r="U163" i="72"/>
  <c r="W163" i="72"/>
  <c r="E175" i="72"/>
  <c r="U183" i="72"/>
  <c r="W183" i="72"/>
  <c r="W193" i="72"/>
  <c r="H193" i="72"/>
  <c r="F193" i="72"/>
  <c r="H23" i="72"/>
  <c r="P24" i="72"/>
  <c r="W24" i="72"/>
  <c r="W26" i="72"/>
  <c r="F30" i="72"/>
  <c r="J32" i="72"/>
  <c r="P33" i="72"/>
  <c r="R34" i="72"/>
  <c r="R36" i="72"/>
  <c r="H38" i="72"/>
  <c r="V41" i="72"/>
  <c r="P46" i="72"/>
  <c r="H47" i="72"/>
  <c r="H52" i="72"/>
  <c r="W52" i="72"/>
  <c r="P54" i="72"/>
  <c r="H55" i="72"/>
  <c r="H56" i="72"/>
  <c r="K63" i="72"/>
  <c r="F66" i="72"/>
  <c r="W68" i="72"/>
  <c r="L70" i="72"/>
  <c r="V70" i="72"/>
  <c r="M83" i="72"/>
  <c r="P91" i="72"/>
  <c r="M97" i="72"/>
  <c r="H97" i="72"/>
  <c r="F97" i="72"/>
  <c r="R102" i="72"/>
  <c r="P108" i="72"/>
  <c r="U115" i="72"/>
  <c r="M115" i="72"/>
  <c r="W115" i="72"/>
  <c r="H115" i="72"/>
  <c r="M119" i="72"/>
  <c r="P123" i="72"/>
  <c r="F130" i="72"/>
  <c r="K132" i="72"/>
  <c r="H132" i="72"/>
  <c r="W136" i="72"/>
  <c r="P136" i="72"/>
  <c r="H136" i="72"/>
  <c r="M141" i="72"/>
  <c r="K141" i="72"/>
  <c r="R142" i="72"/>
  <c r="P144" i="72"/>
  <c r="W146" i="72"/>
  <c r="H146" i="72"/>
  <c r="F146" i="72"/>
  <c r="W148" i="72"/>
  <c r="P148" i="72"/>
  <c r="H148" i="72"/>
  <c r="W149" i="72"/>
  <c r="R157" i="72"/>
  <c r="P162" i="72"/>
  <c r="R162" i="72"/>
  <c r="H162" i="72"/>
  <c r="U178" i="72"/>
  <c r="P178" i="72"/>
  <c r="M178" i="72"/>
  <c r="U180" i="72"/>
  <c r="P180" i="72"/>
  <c r="M180" i="72"/>
  <c r="U182" i="72"/>
  <c r="P182" i="72"/>
  <c r="M182" i="72"/>
  <c r="M185" i="72"/>
  <c r="U187" i="72"/>
  <c r="W187" i="72"/>
  <c r="R193" i="72"/>
  <c r="P195" i="72"/>
  <c r="W197" i="72"/>
  <c r="H197" i="72"/>
  <c r="F197" i="72"/>
  <c r="R67" i="72"/>
  <c r="R76" i="72"/>
  <c r="R78" i="72"/>
  <c r="M79" i="72"/>
  <c r="P89" i="72"/>
  <c r="R93" i="72"/>
  <c r="R95" i="72"/>
  <c r="R101" i="72"/>
  <c r="R104" i="72"/>
  <c r="R106" i="72"/>
  <c r="M125" i="72"/>
  <c r="M128" i="72"/>
  <c r="R138" i="72"/>
  <c r="R153" i="72"/>
  <c r="R155" i="72"/>
  <c r="R164" i="72"/>
  <c r="P184" i="72"/>
  <c r="P186" i="72"/>
  <c r="P188" i="72"/>
  <c r="F67" i="72"/>
  <c r="P79" i="72"/>
  <c r="R89" i="72"/>
  <c r="F93" i="72"/>
  <c r="F95" i="72"/>
  <c r="F104" i="72"/>
  <c r="F106" i="72"/>
  <c r="P125" i="72"/>
  <c r="P128" i="72"/>
  <c r="U147" i="72"/>
  <c r="F153" i="72"/>
  <c r="F155" i="72"/>
  <c r="B171" i="72"/>
  <c r="P171" i="72" s="1"/>
  <c r="R184" i="72"/>
  <c r="R186" i="72"/>
  <c r="R188" i="72"/>
  <c r="R190" i="72"/>
  <c r="M194" i="72"/>
  <c r="M196" i="72"/>
  <c r="B11" i="119"/>
  <c r="C13" i="119" s="1"/>
  <c r="I13" i="119"/>
  <c r="B11" i="122"/>
  <c r="F11" i="122" s="1"/>
  <c r="F13" i="122"/>
  <c r="F13" i="105"/>
  <c r="F11" i="105"/>
  <c r="B11" i="105"/>
  <c r="I13" i="105"/>
  <c r="L11" i="105"/>
  <c r="R81" i="108"/>
  <c r="L81" i="108"/>
  <c r="O81" i="108"/>
  <c r="I81" i="108"/>
  <c r="K11" i="108"/>
  <c r="I60" i="108"/>
  <c r="O60" i="108"/>
  <c r="R60" i="108"/>
  <c r="R34" i="108"/>
  <c r="F34" i="108"/>
  <c r="N11" i="108"/>
  <c r="E11" i="108"/>
  <c r="B13" i="108"/>
  <c r="L13" i="108" s="1"/>
  <c r="H11" i="108"/>
  <c r="O34" i="108"/>
  <c r="I34" i="108"/>
  <c r="I26" i="111"/>
  <c r="I60" i="111"/>
  <c r="H11" i="111"/>
  <c r="F60" i="111"/>
  <c r="B13" i="111"/>
  <c r="E11" i="111"/>
  <c r="M12" i="113"/>
  <c r="J12" i="113"/>
  <c r="G12" i="113"/>
  <c r="F13" i="103"/>
  <c r="C13" i="103"/>
  <c r="G12" i="98"/>
  <c r="D19" i="98"/>
  <c r="D34" i="98"/>
  <c r="D27" i="98"/>
  <c r="D38" i="98"/>
  <c r="D15" i="98"/>
  <c r="D12" i="98" s="1"/>
  <c r="M12" i="98" s="1"/>
  <c r="J12" i="98"/>
  <c r="AA15" i="102"/>
  <c r="AA17" i="102"/>
  <c r="AA14" i="102"/>
  <c r="I13" i="102"/>
  <c r="AA16" i="102"/>
  <c r="AA20" i="102"/>
  <c r="AA19" i="102"/>
  <c r="X13" i="102"/>
  <c r="L13" i="102"/>
  <c r="F13" i="102"/>
  <c r="C35" i="148"/>
  <c r="C23" i="148"/>
  <c r="C19" i="148"/>
  <c r="D13" i="101"/>
  <c r="D43" i="100"/>
  <c r="D39" i="100"/>
  <c r="D35" i="100"/>
  <c r="D19" i="100"/>
  <c r="D15" i="100"/>
  <c r="D25" i="100"/>
  <c r="D27" i="100"/>
  <c r="D23" i="100"/>
  <c r="D41" i="100"/>
  <c r="D37" i="100"/>
  <c r="D33" i="100"/>
  <c r="D17" i="100"/>
  <c r="D29" i="100"/>
  <c r="D21" i="100"/>
  <c r="D31" i="100"/>
  <c r="D13" i="100"/>
  <c r="D11" i="100" s="1"/>
  <c r="D15" i="97"/>
  <c r="D19" i="97"/>
  <c r="D23" i="97"/>
  <c r="D27" i="97"/>
  <c r="D31" i="97"/>
  <c r="D17" i="97"/>
  <c r="D21" i="97"/>
  <c r="D25" i="97"/>
  <c r="D29" i="97"/>
  <c r="D41" i="94"/>
  <c r="D29" i="94"/>
  <c r="D25" i="94"/>
  <c r="D19" i="94"/>
  <c r="D39" i="94"/>
  <c r="D33" i="94"/>
  <c r="D27" i="94"/>
  <c r="D23" i="94"/>
  <c r="D17" i="94"/>
  <c r="D31" i="94"/>
  <c r="D37" i="94"/>
  <c r="D21" i="94"/>
  <c r="D35" i="94"/>
  <c r="D15" i="94"/>
  <c r="D13" i="94"/>
  <c r="G14" i="92"/>
  <c r="P15" i="92"/>
  <c r="P16" i="92"/>
  <c r="P17" i="92"/>
  <c r="P18" i="92"/>
  <c r="P19" i="92"/>
  <c r="M15" i="92"/>
  <c r="M16" i="92"/>
  <c r="M18" i="92"/>
  <c r="C12" i="92"/>
  <c r="D14" i="92" s="1"/>
  <c r="J14" i="92"/>
  <c r="S14" i="92"/>
  <c r="G15" i="92"/>
  <c r="S15" i="92"/>
  <c r="G16" i="92"/>
  <c r="S16" i="92"/>
  <c r="G17" i="92"/>
  <c r="S17" i="92"/>
  <c r="G18" i="92"/>
  <c r="S18" i="92"/>
  <c r="G19" i="92"/>
  <c r="S19" i="92"/>
  <c r="M17" i="92"/>
  <c r="M14" i="92"/>
  <c r="J15" i="92"/>
  <c r="J16" i="92"/>
  <c r="J17" i="92"/>
  <c r="J18" i="92"/>
  <c r="J19" i="92"/>
  <c r="J27" i="91"/>
  <c r="J23" i="91"/>
  <c r="J25" i="91"/>
  <c r="J21" i="91"/>
  <c r="J17" i="91"/>
  <c r="J19" i="91"/>
  <c r="J15" i="91"/>
  <c r="V29" i="91"/>
  <c r="V19" i="91"/>
  <c r="V25" i="91"/>
  <c r="V21" i="91"/>
  <c r="V17" i="91"/>
  <c r="V27" i="91"/>
  <c r="V23" i="91"/>
  <c r="V15" i="91"/>
  <c r="D29" i="91"/>
  <c r="D21" i="91"/>
  <c r="D27" i="91"/>
  <c r="D23" i="91"/>
  <c r="D19" i="91"/>
  <c r="D15" i="91"/>
  <c r="D25" i="91"/>
  <c r="D17" i="91"/>
  <c r="P17" i="91"/>
  <c r="P27" i="91"/>
  <c r="P23" i="91"/>
  <c r="P19" i="91"/>
  <c r="P15" i="91"/>
  <c r="P29" i="91"/>
  <c r="P25" i="91"/>
  <c r="P21" i="91"/>
  <c r="M29" i="91"/>
  <c r="M11" i="91" s="1"/>
  <c r="D13" i="91"/>
  <c r="D11" i="91" s="1"/>
  <c r="J13" i="91"/>
  <c r="J11" i="91" s="1"/>
  <c r="P13" i="91"/>
  <c r="V13" i="91"/>
  <c r="M15" i="91"/>
  <c r="G17" i="91"/>
  <c r="S17" i="91"/>
  <c r="M19" i="91"/>
  <c r="G21" i="91"/>
  <c r="S21" i="91"/>
  <c r="M23" i="91"/>
  <c r="G25" i="91"/>
  <c r="S25" i="91"/>
  <c r="M27" i="91"/>
  <c r="G29" i="91"/>
  <c r="S29" i="91"/>
  <c r="G15" i="91"/>
  <c r="S15" i="91"/>
  <c r="M17" i="91"/>
  <c r="G19" i="91"/>
  <c r="S19" i="91"/>
  <c r="M21" i="91"/>
  <c r="G23" i="91"/>
  <c r="S23" i="91"/>
  <c r="I12" i="84"/>
  <c r="F12" i="84"/>
  <c r="M26" i="84"/>
  <c r="M35" i="84"/>
  <c r="L14" i="84"/>
  <c r="M18" i="84"/>
  <c r="D18" i="84" s="1"/>
  <c r="J20" i="84"/>
  <c r="D20" i="84" s="1"/>
  <c r="G21" i="84"/>
  <c r="C23" i="84"/>
  <c r="M23" i="84" s="1"/>
  <c r="J25" i="84"/>
  <c r="D25" i="84" s="1"/>
  <c r="G26" i="84"/>
  <c r="D26" i="84" s="1"/>
  <c r="J29" i="84"/>
  <c r="D29" i="84" s="1"/>
  <c r="G30" i="84"/>
  <c r="C32" i="84"/>
  <c r="M32" i="84" s="1"/>
  <c r="J34" i="84"/>
  <c r="D34" i="84" s="1"/>
  <c r="G35" i="84"/>
  <c r="J38" i="84"/>
  <c r="D38" i="84" s="1"/>
  <c r="M21" i="84"/>
  <c r="M30" i="84"/>
  <c r="J16" i="84"/>
  <c r="M27" i="84"/>
  <c r="M36" i="84"/>
  <c r="D36" i="84" s="1"/>
  <c r="G16" i="84"/>
  <c r="L11" i="82"/>
  <c r="O11" i="82"/>
  <c r="C11" i="82"/>
  <c r="I11" i="82"/>
  <c r="I13" i="82"/>
  <c r="I15" i="82"/>
  <c r="I17" i="82"/>
  <c r="I19" i="82"/>
  <c r="I21" i="82"/>
  <c r="I23" i="82"/>
  <c r="I25" i="82"/>
  <c r="I27" i="82"/>
  <c r="I29" i="82"/>
  <c r="I31" i="82"/>
  <c r="I33" i="82"/>
  <c r="C35" i="82"/>
  <c r="I37" i="82"/>
  <c r="L13" i="82"/>
  <c r="L15" i="82"/>
  <c r="L17" i="82"/>
  <c r="L19" i="82"/>
  <c r="L21" i="82"/>
  <c r="L23" i="82"/>
  <c r="L25" i="82"/>
  <c r="L27" i="82"/>
  <c r="L29" i="82"/>
  <c r="L31" i="82"/>
  <c r="L33" i="82"/>
  <c r="F35" i="82"/>
  <c r="L37" i="82"/>
  <c r="C13" i="82"/>
  <c r="C15" i="82"/>
  <c r="C17" i="82"/>
  <c r="C19" i="82"/>
  <c r="C21" i="82"/>
  <c r="C23" i="82"/>
  <c r="C25" i="82"/>
  <c r="C27" i="82"/>
  <c r="C29" i="82"/>
  <c r="C31" i="82"/>
  <c r="C33" i="82"/>
  <c r="C37" i="82"/>
  <c r="F35" i="81"/>
  <c r="F21" i="81"/>
  <c r="H12" i="81"/>
  <c r="B29" i="81"/>
  <c r="C14" i="80"/>
  <c r="O14" i="80"/>
  <c r="C16" i="80"/>
  <c r="O16" i="80"/>
  <c r="C18" i="80"/>
  <c r="O18" i="80"/>
  <c r="C20" i="80"/>
  <c r="O20" i="80"/>
  <c r="L22" i="80"/>
  <c r="L12" i="80" s="1"/>
  <c r="F14" i="80"/>
  <c r="R14" i="80"/>
  <c r="F16" i="80"/>
  <c r="R16" i="80"/>
  <c r="F18" i="80"/>
  <c r="R18" i="80"/>
  <c r="F20" i="80"/>
  <c r="R20" i="80"/>
  <c r="C22" i="80"/>
  <c r="O22" i="80"/>
  <c r="I16" i="80"/>
  <c r="I18" i="80"/>
  <c r="F22" i="80"/>
  <c r="R22" i="80"/>
  <c r="I13" i="79"/>
  <c r="I15" i="79"/>
  <c r="I17" i="79"/>
  <c r="I19" i="79"/>
  <c r="I21" i="79"/>
  <c r="C13" i="79"/>
  <c r="C15" i="79"/>
  <c r="C17" i="79"/>
  <c r="C19" i="79"/>
  <c r="C21" i="79"/>
  <c r="L13" i="79"/>
  <c r="L15" i="79"/>
  <c r="L17" i="79"/>
  <c r="L19" i="79"/>
  <c r="L21" i="79"/>
  <c r="J13" i="78"/>
  <c r="D15" i="78"/>
  <c r="P15" i="78"/>
  <c r="J17" i="78"/>
  <c r="D19" i="78"/>
  <c r="P19" i="78"/>
  <c r="J21" i="78"/>
  <c r="M13" i="78"/>
  <c r="G15" i="78"/>
  <c r="G11" i="78" s="1"/>
  <c r="M17" i="78"/>
  <c r="D13" i="78"/>
  <c r="P13" i="78"/>
  <c r="J15" i="78"/>
  <c r="D17" i="78"/>
  <c r="P17" i="78"/>
  <c r="C33" i="76"/>
  <c r="C11" i="76"/>
  <c r="C31" i="76"/>
  <c r="C27" i="76"/>
  <c r="C23" i="76"/>
  <c r="C19" i="76"/>
  <c r="C13" i="76"/>
  <c r="V11" i="76"/>
  <c r="N11" i="76"/>
  <c r="F11" i="76"/>
  <c r="C17" i="76"/>
  <c r="J11" i="76"/>
  <c r="C29" i="76"/>
  <c r="C25" i="76"/>
  <c r="C21" i="76"/>
  <c r="R11" i="76"/>
  <c r="J15" i="76"/>
  <c r="F17" i="76"/>
  <c r="V17" i="76"/>
  <c r="F21" i="76"/>
  <c r="V21" i="76"/>
  <c r="F25" i="76"/>
  <c r="V25" i="76"/>
  <c r="F29" i="76"/>
  <c r="V29" i="76"/>
  <c r="F33" i="76"/>
  <c r="V33" i="76"/>
  <c r="N35" i="76"/>
  <c r="N37" i="76"/>
  <c r="N15" i="76"/>
  <c r="J17" i="76"/>
  <c r="J21" i="76"/>
  <c r="J25" i="76"/>
  <c r="J29" i="76"/>
  <c r="J33" i="76"/>
  <c r="C35" i="76"/>
  <c r="R35" i="76"/>
  <c r="C37" i="76"/>
  <c r="R37" i="76"/>
  <c r="C15" i="76"/>
  <c r="F35" i="76"/>
  <c r="F37" i="76"/>
  <c r="B12" i="75"/>
  <c r="I12" i="75" s="1"/>
  <c r="F14" i="75"/>
  <c r="F15" i="75"/>
  <c r="F16" i="75"/>
  <c r="E29" i="74"/>
  <c r="E17" i="74"/>
  <c r="E33" i="74"/>
  <c r="E25" i="74"/>
  <c r="E13" i="74"/>
  <c r="E21" i="74"/>
  <c r="E37" i="74"/>
  <c r="E14" i="74"/>
  <c r="E18" i="74"/>
  <c r="E22" i="74"/>
  <c r="E26" i="74"/>
  <c r="E30" i="74"/>
  <c r="E34" i="74"/>
  <c r="E38" i="74"/>
  <c r="E15" i="74"/>
  <c r="E19" i="74"/>
  <c r="E23" i="74"/>
  <c r="E27" i="74"/>
  <c r="E31" i="74"/>
  <c r="E35" i="74"/>
  <c r="E39" i="74"/>
  <c r="E16" i="74"/>
  <c r="E20" i="74"/>
  <c r="E24" i="74"/>
  <c r="E28" i="74"/>
  <c r="E32" i="74"/>
  <c r="E36" i="74"/>
  <c r="B20" i="72"/>
  <c r="F20" i="72" s="1"/>
  <c r="E19" i="72"/>
  <c r="O19" i="72"/>
  <c r="J19" i="72"/>
  <c r="U21" i="72"/>
  <c r="K28" i="72"/>
  <c r="K21" i="72"/>
  <c r="U35" i="72"/>
  <c r="R64" i="72"/>
  <c r="H64" i="72"/>
  <c r="U36" i="72"/>
  <c r="B42" i="72"/>
  <c r="U42" i="72" s="1"/>
  <c r="K45" i="72"/>
  <c r="U47" i="72"/>
  <c r="U49" i="72"/>
  <c r="K53" i="72"/>
  <c r="K55" i="72"/>
  <c r="R60" i="72"/>
  <c r="H60" i="72"/>
  <c r="P63" i="72"/>
  <c r="F65" i="72"/>
  <c r="U88" i="72"/>
  <c r="R96" i="72"/>
  <c r="H96" i="72"/>
  <c r="P96" i="72"/>
  <c r="F96" i="72"/>
  <c r="W101" i="72"/>
  <c r="P118" i="72"/>
  <c r="F118" i="72"/>
  <c r="W118" i="72"/>
  <c r="M118" i="72"/>
  <c r="T19" i="72"/>
  <c r="P21" i="72"/>
  <c r="U22" i="72"/>
  <c r="P28" i="72"/>
  <c r="M29" i="72"/>
  <c r="K30" i="72"/>
  <c r="Q32" i="72"/>
  <c r="K34" i="72"/>
  <c r="U34" i="72"/>
  <c r="F35" i="72"/>
  <c r="P35" i="72"/>
  <c r="M36" i="72"/>
  <c r="K37" i="72"/>
  <c r="U37" i="72"/>
  <c r="F39" i="72"/>
  <c r="P39" i="72"/>
  <c r="K43" i="72"/>
  <c r="U43" i="72"/>
  <c r="M45" i="72"/>
  <c r="W45" i="72"/>
  <c r="M47" i="72"/>
  <c r="W47" i="72"/>
  <c r="M49" i="72"/>
  <c r="W49" i="72"/>
  <c r="R51" i="72"/>
  <c r="M53" i="72"/>
  <c r="W53" i="72"/>
  <c r="M55" i="72"/>
  <c r="W55" i="72"/>
  <c r="M57" i="72"/>
  <c r="R58" i="72"/>
  <c r="H58" i="72"/>
  <c r="M58" i="72"/>
  <c r="W59" i="72"/>
  <c r="M59" i="72"/>
  <c r="P59" i="72"/>
  <c r="P60" i="72"/>
  <c r="F63" i="72"/>
  <c r="F64" i="72"/>
  <c r="U64" i="72"/>
  <c r="H65" i="72"/>
  <c r="R68" i="72"/>
  <c r="H68" i="72"/>
  <c r="M68" i="72"/>
  <c r="R77" i="72"/>
  <c r="H77" i="72"/>
  <c r="P77" i="72"/>
  <c r="F77" i="72"/>
  <c r="U77" i="72"/>
  <c r="R94" i="72"/>
  <c r="H94" i="72"/>
  <c r="P94" i="72"/>
  <c r="F94" i="72"/>
  <c r="U94" i="72"/>
  <c r="W96" i="72"/>
  <c r="F101" i="72"/>
  <c r="R105" i="72"/>
  <c r="H105" i="72"/>
  <c r="P105" i="72"/>
  <c r="F105" i="72"/>
  <c r="U105" i="72"/>
  <c r="H118" i="72"/>
  <c r="P124" i="72"/>
  <c r="F124" i="72"/>
  <c r="W124" i="72"/>
  <c r="M124" i="72"/>
  <c r="U124" i="72"/>
  <c r="U28" i="72"/>
  <c r="K35" i="72"/>
  <c r="K39" i="72"/>
  <c r="U39" i="72"/>
  <c r="M64" i="72"/>
  <c r="W65" i="72"/>
  <c r="M65" i="72"/>
  <c r="P65" i="72"/>
  <c r="R71" i="72"/>
  <c r="H71" i="72"/>
  <c r="P71" i="72"/>
  <c r="F71" i="72"/>
  <c r="U71" i="72"/>
  <c r="H73" i="72"/>
  <c r="R90" i="72"/>
  <c r="H90" i="72"/>
  <c r="P90" i="72"/>
  <c r="F90" i="72"/>
  <c r="U90" i="72"/>
  <c r="P101" i="72"/>
  <c r="R109" i="72"/>
  <c r="H109" i="72"/>
  <c r="P109" i="72"/>
  <c r="F109" i="72"/>
  <c r="U109" i="72"/>
  <c r="P116" i="72"/>
  <c r="F116" i="72"/>
  <c r="W116" i="72"/>
  <c r="M116" i="72"/>
  <c r="U116" i="72"/>
  <c r="R135" i="72"/>
  <c r="H135" i="72"/>
  <c r="P135" i="72"/>
  <c r="W135" i="72"/>
  <c r="F135" i="72"/>
  <c r="U135" i="72"/>
  <c r="R137" i="72"/>
  <c r="H137" i="72"/>
  <c r="P137" i="72"/>
  <c r="F137" i="72"/>
  <c r="K137" i="72"/>
  <c r="W137" i="72"/>
  <c r="R139" i="72"/>
  <c r="H139" i="72"/>
  <c r="P139" i="72"/>
  <c r="F139" i="72"/>
  <c r="M139" i="72"/>
  <c r="K139" i="72"/>
  <c r="U177" i="72"/>
  <c r="M177" i="72"/>
  <c r="R177" i="72"/>
  <c r="F177" i="72"/>
  <c r="M21" i="72"/>
  <c r="W21" i="72"/>
  <c r="K24" i="72"/>
  <c r="U24" i="72"/>
  <c r="M28" i="72"/>
  <c r="K29" i="72"/>
  <c r="U29" i="72"/>
  <c r="M35" i="72"/>
  <c r="K36" i="72"/>
  <c r="M39" i="72"/>
  <c r="U45" i="72"/>
  <c r="K47" i="72"/>
  <c r="K49" i="72"/>
  <c r="U53" i="72"/>
  <c r="U55" i="72"/>
  <c r="K57" i="72"/>
  <c r="U57" i="72"/>
  <c r="M60" i="72"/>
  <c r="W63" i="72"/>
  <c r="M63" i="72"/>
  <c r="P64" i="72"/>
  <c r="R65" i="72"/>
  <c r="W71" i="72"/>
  <c r="B87" i="72"/>
  <c r="W87" i="72" s="1"/>
  <c r="R88" i="72"/>
  <c r="H88" i="72"/>
  <c r="P88" i="72"/>
  <c r="F88" i="72"/>
  <c r="W90" i="72"/>
  <c r="U96" i="72"/>
  <c r="K101" i="72"/>
  <c r="T111" i="72"/>
  <c r="H116" i="72"/>
  <c r="U118" i="72"/>
  <c r="B121" i="72"/>
  <c r="F121" i="72" s="1"/>
  <c r="P122" i="72"/>
  <c r="F122" i="72"/>
  <c r="W122" i="72"/>
  <c r="M122" i="72"/>
  <c r="U122" i="72"/>
  <c r="K135" i="72"/>
  <c r="M137" i="72"/>
  <c r="F21" i="72"/>
  <c r="K22" i="72"/>
  <c r="M24" i="72"/>
  <c r="F28" i="72"/>
  <c r="U30" i="72"/>
  <c r="H21" i="72"/>
  <c r="K23" i="72"/>
  <c r="F24" i="72"/>
  <c r="K27" i="72"/>
  <c r="H28" i="72"/>
  <c r="F29" i="72"/>
  <c r="M34" i="72"/>
  <c r="H35" i="72"/>
  <c r="F36" i="72"/>
  <c r="K38" i="72"/>
  <c r="H39" i="72"/>
  <c r="L41" i="72"/>
  <c r="K44" i="72"/>
  <c r="F45" i="72"/>
  <c r="K46" i="72"/>
  <c r="F47" i="72"/>
  <c r="F49" i="72"/>
  <c r="K52" i="72"/>
  <c r="F53" i="72"/>
  <c r="K54" i="72"/>
  <c r="F55" i="72"/>
  <c r="K56" i="72"/>
  <c r="F57" i="72"/>
  <c r="P57" i="72"/>
  <c r="P58" i="72"/>
  <c r="F59" i="72"/>
  <c r="R59" i="72"/>
  <c r="F60" i="72"/>
  <c r="U60" i="72"/>
  <c r="B62" i="72"/>
  <c r="H63" i="72"/>
  <c r="U63" i="72"/>
  <c r="K64" i="72"/>
  <c r="W64" i="72"/>
  <c r="K65" i="72"/>
  <c r="R66" i="72"/>
  <c r="H66" i="72"/>
  <c r="M66" i="72"/>
  <c r="W67" i="72"/>
  <c r="M67" i="72"/>
  <c r="P67" i="72"/>
  <c r="P68" i="72"/>
  <c r="M71" i="72"/>
  <c r="R75" i="72"/>
  <c r="H75" i="72"/>
  <c r="P75" i="72"/>
  <c r="F75" i="72"/>
  <c r="U75" i="72"/>
  <c r="W77" i="72"/>
  <c r="K88" i="72"/>
  <c r="M90" i="72"/>
  <c r="R92" i="72"/>
  <c r="H92" i="72"/>
  <c r="P92" i="72"/>
  <c r="F92" i="72"/>
  <c r="U92" i="72"/>
  <c r="W94" i="72"/>
  <c r="K96" i="72"/>
  <c r="U101" i="72"/>
  <c r="R103" i="72"/>
  <c r="H103" i="72"/>
  <c r="P103" i="72"/>
  <c r="F103" i="72"/>
  <c r="U103" i="72"/>
  <c r="W105" i="72"/>
  <c r="M109" i="72"/>
  <c r="J111" i="72"/>
  <c r="B113" i="72"/>
  <c r="F113" i="72" s="1"/>
  <c r="P114" i="72"/>
  <c r="F114" i="72"/>
  <c r="W114" i="72"/>
  <c r="M114" i="72"/>
  <c r="U114" i="72"/>
  <c r="R116" i="72"/>
  <c r="K118" i="72"/>
  <c r="K122" i="72"/>
  <c r="P126" i="72"/>
  <c r="F126" i="72"/>
  <c r="W126" i="72"/>
  <c r="M126" i="72"/>
  <c r="U126" i="72"/>
  <c r="P129" i="72"/>
  <c r="F129" i="72"/>
  <c r="W129" i="72"/>
  <c r="K129" i="72"/>
  <c r="U129" i="72"/>
  <c r="H129" i="72"/>
  <c r="W139" i="72"/>
  <c r="R145" i="72"/>
  <c r="H145" i="72"/>
  <c r="P145" i="72"/>
  <c r="F145" i="72"/>
  <c r="K145" i="72"/>
  <c r="W145" i="72"/>
  <c r="R147" i="72"/>
  <c r="H147" i="72"/>
  <c r="P147" i="72"/>
  <c r="F147" i="72"/>
  <c r="M147" i="72"/>
  <c r="K147" i="72"/>
  <c r="R154" i="72"/>
  <c r="H154" i="72"/>
  <c r="P154" i="72"/>
  <c r="F154" i="72"/>
  <c r="K154" i="72"/>
  <c r="W154" i="72"/>
  <c r="R156" i="72"/>
  <c r="H156" i="72"/>
  <c r="P156" i="72"/>
  <c r="F156" i="72"/>
  <c r="M156" i="72"/>
  <c r="K156" i="72"/>
  <c r="K74" i="72"/>
  <c r="U74" i="72"/>
  <c r="K76" i="72"/>
  <c r="U76" i="72"/>
  <c r="K78" i="72"/>
  <c r="U78" i="72"/>
  <c r="K89" i="72"/>
  <c r="U89" i="72"/>
  <c r="K91" i="72"/>
  <c r="U91" i="72"/>
  <c r="K93" i="72"/>
  <c r="U93" i="72"/>
  <c r="K95" i="72"/>
  <c r="U95" i="72"/>
  <c r="K97" i="72"/>
  <c r="U97" i="72"/>
  <c r="K102" i="72"/>
  <c r="U102" i="72"/>
  <c r="K104" i="72"/>
  <c r="U104" i="72"/>
  <c r="K106" i="72"/>
  <c r="U106" i="72"/>
  <c r="K108" i="72"/>
  <c r="U108" i="72"/>
  <c r="R133" i="72"/>
  <c r="H133" i="72"/>
  <c r="M133" i="72"/>
  <c r="W134" i="72"/>
  <c r="M134" i="72"/>
  <c r="P134" i="72"/>
  <c r="R143" i="72"/>
  <c r="H143" i="72"/>
  <c r="P143" i="72"/>
  <c r="F143" i="72"/>
  <c r="U143" i="72"/>
  <c r="R151" i="72"/>
  <c r="H151" i="72"/>
  <c r="P151" i="72"/>
  <c r="F151" i="72"/>
  <c r="U151" i="72"/>
  <c r="R152" i="72"/>
  <c r="H152" i="72"/>
  <c r="P152" i="72"/>
  <c r="F152" i="72"/>
  <c r="U152" i="72"/>
  <c r="P177" i="72"/>
  <c r="W177" i="72"/>
  <c r="V175" i="72"/>
  <c r="M74" i="72"/>
  <c r="M76" i="72"/>
  <c r="K79" i="72"/>
  <c r="K81" i="72"/>
  <c r="K83" i="72"/>
  <c r="G85" i="72"/>
  <c r="L85" i="72"/>
  <c r="Q85" i="72"/>
  <c r="V85" i="72"/>
  <c r="M89" i="72"/>
  <c r="M91" i="72"/>
  <c r="M93" i="72"/>
  <c r="M95" i="72"/>
  <c r="E99" i="72"/>
  <c r="J99" i="72"/>
  <c r="O99" i="72"/>
  <c r="T99" i="72"/>
  <c r="M102" i="72"/>
  <c r="M104" i="72"/>
  <c r="M106" i="72"/>
  <c r="M108" i="72"/>
  <c r="K115" i="72"/>
  <c r="K117" i="72"/>
  <c r="K119" i="72"/>
  <c r="K123" i="72"/>
  <c r="K125" i="72"/>
  <c r="K127" i="72"/>
  <c r="W127" i="72"/>
  <c r="R131" i="72"/>
  <c r="H131" i="72"/>
  <c r="M131" i="72"/>
  <c r="W132" i="72"/>
  <c r="M132" i="72"/>
  <c r="P132" i="72"/>
  <c r="P133" i="72"/>
  <c r="F134" i="72"/>
  <c r="R134" i="72"/>
  <c r="R141" i="72"/>
  <c r="H141" i="72"/>
  <c r="P141" i="72"/>
  <c r="F141" i="72"/>
  <c r="U141" i="72"/>
  <c r="W143" i="72"/>
  <c r="R149" i="72"/>
  <c r="H149" i="72"/>
  <c r="P149" i="72"/>
  <c r="F149" i="72"/>
  <c r="U149" i="72"/>
  <c r="W151" i="72"/>
  <c r="W152" i="72"/>
  <c r="R158" i="72"/>
  <c r="H158" i="72"/>
  <c r="P158" i="72"/>
  <c r="F158" i="72"/>
  <c r="U158" i="72"/>
  <c r="J175" i="72"/>
  <c r="K177" i="72"/>
  <c r="K136" i="72"/>
  <c r="U136" i="72"/>
  <c r="K138" i="72"/>
  <c r="U138" i="72"/>
  <c r="K140" i="72"/>
  <c r="U140" i="72"/>
  <c r="K142" i="72"/>
  <c r="U142" i="72"/>
  <c r="K144" i="72"/>
  <c r="U144" i="72"/>
  <c r="K146" i="72"/>
  <c r="U146" i="72"/>
  <c r="K148" i="72"/>
  <c r="U148" i="72"/>
  <c r="K150" i="72"/>
  <c r="U150" i="72"/>
  <c r="K153" i="72"/>
  <c r="U153" i="72"/>
  <c r="K155" i="72"/>
  <c r="U155" i="72"/>
  <c r="K157" i="72"/>
  <c r="U157" i="72"/>
  <c r="U159" i="72"/>
  <c r="R159" i="72"/>
  <c r="P159" i="72"/>
  <c r="K159" i="72"/>
  <c r="K128" i="72"/>
  <c r="K130" i="72"/>
  <c r="M136" i="72"/>
  <c r="M138" i="72"/>
  <c r="M140" i="72"/>
  <c r="M142" i="72"/>
  <c r="M144" i="72"/>
  <c r="M146" i="72"/>
  <c r="M148" i="72"/>
  <c r="M150" i="72"/>
  <c r="M153" i="72"/>
  <c r="M155" i="72"/>
  <c r="M157" i="72"/>
  <c r="M159" i="72"/>
  <c r="H177" i="72"/>
  <c r="R179" i="72"/>
  <c r="H179" i="72"/>
  <c r="P179" i="72"/>
  <c r="F179" i="72"/>
  <c r="W179" i="72"/>
  <c r="M179" i="72"/>
  <c r="R181" i="72"/>
  <c r="H181" i="72"/>
  <c r="P181" i="72"/>
  <c r="F181" i="72"/>
  <c r="W181" i="72"/>
  <c r="M181" i="72"/>
  <c r="K160" i="72"/>
  <c r="U160" i="72"/>
  <c r="F161" i="72"/>
  <c r="P161" i="72"/>
  <c r="K162" i="72"/>
  <c r="U162" i="72"/>
  <c r="F163" i="72"/>
  <c r="P163" i="72"/>
  <c r="K164" i="72"/>
  <c r="U164" i="72"/>
  <c r="F165" i="72"/>
  <c r="P165" i="72"/>
  <c r="K166" i="72"/>
  <c r="U166" i="72"/>
  <c r="H167" i="72"/>
  <c r="R167" i="72"/>
  <c r="F168" i="72"/>
  <c r="P168" i="72"/>
  <c r="K173" i="72"/>
  <c r="U173" i="72"/>
  <c r="H178" i="72"/>
  <c r="R178" i="72"/>
  <c r="H180" i="72"/>
  <c r="R180" i="72"/>
  <c r="H182" i="72"/>
  <c r="R182" i="72"/>
  <c r="F183" i="72"/>
  <c r="P183" i="72"/>
  <c r="K184" i="72"/>
  <c r="U184" i="72"/>
  <c r="F185" i="72"/>
  <c r="P185" i="72"/>
  <c r="K186" i="72"/>
  <c r="U186" i="72"/>
  <c r="F187" i="72"/>
  <c r="P187" i="72"/>
  <c r="K188" i="72"/>
  <c r="U188" i="72"/>
  <c r="F189" i="72"/>
  <c r="P189" i="72"/>
  <c r="K190" i="72"/>
  <c r="U190" i="72"/>
  <c r="K193" i="72"/>
  <c r="U193" i="72"/>
  <c r="F194" i="72"/>
  <c r="P194" i="72"/>
  <c r="K195" i="72"/>
  <c r="U195" i="72"/>
  <c r="F196" i="72"/>
  <c r="P196" i="72"/>
  <c r="K197" i="72"/>
  <c r="U197" i="72"/>
  <c r="M160" i="72"/>
  <c r="W160" i="72"/>
  <c r="H161" i="72"/>
  <c r="R161" i="72"/>
  <c r="M162" i="72"/>
  <c r="W162" i="72"/>
  <c r="H163" i="72"/>
  <c r="R163" i="72"/>
  <c r="M164" i="72"/>
  <c r="W164" i="72"/>
  <c r="H165" i="72"/>
  <c r="R165" i="72"/>
  <c r="M166" i="72"/>
  <c r="K167" i="72"/>
  <c r="U167" i="72"/>
  <c r="H168" i="72"/>
  <c r="R168" i="72"/>
  <c r="M173" i="72"/>
  <c r="W173" i="72"/>
  <c r="K178" i="72"/>
  <c r="K180" i="72"/>
  <c r="K182" i="72"/>
  <c r="H183" i="72"/>
  <c r="R183" i="72"/>
  <c r="M184" i="72"/>
  <c r="H185" i="72"/>
  <c r="R185" i="72"/>
  <c r="M186" i="72"/>
  <c r="H187" i="72"/>
  <c r="R187" i="72"/>
  <c r="M188" i="72"/>
  <c r="H189" i="72"/>
  <c r="R189" i="72"/>
  <c r="M190" i="72"/>
  <c r="M193" i="72"/>
  <c r="H194" i="72"/>
  <c r="R194" i="72"/>
  <c r="M195" i="72"/>
  <c r="H196" i="72"/>
  <c r="R196" i="72"/>
  <c r="M197" i="72"/>
  <c r="F160" i="72"/>
  <c r="K161" i="72"/>
  <c r="K163" i="72"/>
  <c r="K165" i="72"/>
  <c r="F166" i="72"/>
  <c r="K168" i="72"/>
  <c r="F173" i="72"/>
  <c r="K183" i="72"/>
  <c r="K185" i="72"/>
  <c r="K187" i="72"/>
  <c r="K189" i="72"/>
  <c r="K194" i="72"/>
  <c r="K196" i="72"/>
  <c r="D19" i="92" l="1"/>
  <c r="L11" i="122"/>
  <c r="I11" i="122"/>
  <c r="P11" i="91"/>
  <c r="F11" i="79"/>
  <c r="S13" i="91"/>
  <c r="S11" i="91" s="1"/>
  <c r="S12" i="92"/>
  <c r="F11" i="119"/>
  <c r="C16" i="75"/>
  <c r="D11" i="78"/>
  <c r="F19" i="81"/>
  <c r="F33" i="81"/>
  <c r="D15" i="92"/>
  <c r="F29" i="81"/>
  <c r="F22" i="81"/>
  <c r="F36" i="81"/>
  <c r="D27" i="84"/>
  <c r="D30" i="84"/>
  <c r="P12" i="92"/>
  <c r="M11" i="78"/>
  <c r="F24" i="81"/>
  <c r="F16" i="81"/>
  <c r="U26" i="72"/>
  <c r="R26" i="72"/>
  <c r="K73" i="72"/>
  <c r="F14" i="81"/>
  <c r="F26" i="81"/>
  <c r="F20" i="81"/>
  <c r="D11" i="94"/>
  <c r="I12" i="80"/>
  <c r="F15" i="81"/>
  <c r="F30" i="81"/>
  <c r="F25" i="81"/>
  <c r="J23" i="84"/>
  <c r="D17" i="92"/>
  <c r="C13" i="148"/>
  <c r="B70" i="72"/>
  <c r="F70" i="72" s="1"/>
  <c r="H26" i="72"/>
  <c r="F17" i="81"/>
  <c r="F31" i="81"/>
  <c r="M73" i="72"/>
  <c r="P11" i="78"/>
  <c r="F18" i="81"/>
  <c r="D35" i="84"/>
  <c r="D21" i="84"/>
  <c r="G13" i="91"/>
  <c r="G11" i="91" s="1"/>
  <c r="F26" i="72"/>
  <c r="B111" i="72"/>
  <c r="P111" i="72" s="1"/>
  <c r="U70" i="72"/>
  <c r="W33" i="72"/>
  <c r="R171" i="72"/>
  <c r="U33" i="72"/>
  <c r="K171" i="72"/>
  <c r="B175" i="72"/>
  <c r="P192" i="72"/>
  <c r="R192" i="72"/>
  <c r="P121" i="72"/>
  <c r="K113" i="72"/>
  <c r="M33" i="72"/>
  <c r="M20" i="72"/>
  <c r="H51" i="72"/>
  <c r="F33" i="72"/>
  <c r="K33" i="72"/>
  <c r="M192" i="72"/>
  <c r="W171" i="72"/>
  <c r="U73" i="72"/>
  <c r="H33" i="72"/>
  <c r="P70" i="72"/>
  <c r="U20" i="72"/>
  <c r="R20" i="72"/>
  <c r="U192" i="72"/>
  <c r="H192" i="72"/>
  <c r="F73" i="72"/>
  <c r="K87" i="72"/>
  <c r="K20" i="72"/>
  <c r="F192" i="72"/>
  <c r="K192" i="72"/>
  <c r="U51" i="72"/>
  <c r="M87" i="72"/>
  <c r="H42" i="72"/>
  <c r="U87" i="72"/>
  <c r="H87" i="72"/>
  <c r="P73" i="72"/>
  <c r="F87" i="72"/>
  <c r="H20" i="72"/>
  <c r="M171" i="72"/>
  <c r="W73" i="72"/>
  <c r="H171" i="72"/>
  <c r="M51" i="72"/>
  <c r="W51" i="72"/>
  <c r="W42" i="72"/>
  <c r="K42" i="72"/>
  <c r="W20" i="72"/>
  <c r="P42" i="72"/>
  <c r="P20" i="72"/>
  <c r="F171" i="72"/>
  <c r="U171" i="72"/>
  <c r="F51" i="72"/>
  <c r="K51" i="72"/>
  <c r="C89" i="119"/>
  <c r="C80" i="119"/>
  <c r="C65" i="119"/>
  <c r="C64" i="119"/>
  <c r="C63" i="119"/>
  <c r="C62" i="119"/>
  <c r="C51" i="119"/>
  <c r="C39" i="119"/>
  <c r="C38" i="119"/>
  <c r="C37" i="119"/>
  <c r="C86" i="119"/>
  <c r="C84" i="119"/>
  <c r="C58" i="119"/>
  <c r="C56" i="119"/>
  <c r="C54" i="119"/>
  <c r="C49" i="119"/>
  <c r="C48" i="119"/>
  <c r="C46" i="119"/>
  <c r="C44" i="119"/>
  <c r="C42" i="119"/>
  <c r="C31" i="119"/>
  <c r="C28" i="119"/>
  <c r="C91" i="119"/>
  <c r="C77" i="119"/>
  <c r="C76" i="119"/>
  <c r="C75" i="119"/>
  <c r="C74" i="119"/>
  <c r="C32" i="119"/>
  <c r="C29" i="119"/>
  <c r="C18" i="119"/>
  <c r="C17" i="119"/>
  <c r="C94" i="119"/>
  <c r="C93" i="119"/>
  <c r="C87" i="119"/>
  <c r="C85" i="119"/>
  <c r="C83" i="119"/>
  <c r="C68" i="119"/>
  <c r="C57" i="119"/>
  <c r="C55" i="119"/>
  <c r="C47" i="119"/>
  <c r="C45" i="119"/>
  <c r="C43" i="119"/>
  <c r="C30" i="119"/>
  <c r="C19" i="119"/>
  <c r="C60" i="119"/>
  <c r="C36" i="119"/>
  <c r="C27" i="119"/>
  <c r="C23" i="119"/>
  <c r="C97" i="119"/>
  <c r="C101" i="119"/>
  <c r="C69" i="119"/>
  <c r="C21" i="119"/>
  <c r="C70" i="119"/>
  <c r="C24" i="119"/>
  <c r="C61" i="119"/>
  <c r="C98" i="119"/>
  <c r="C96" i="119"/>
  <c r="C11" i="119" s="1"/>
  <c r="C22" i="119"/>
  <c r="C41" i="119"/>
  <c r="C73" i="119"/>
  <c r="C16" i="119"/>
  <c r="C72" i="119"/>
  <c r="C35" i="119"/>
  <c r="C71" i="119"/>
  <c r="C99" i="119"/>
  <c r="C53" i="119"/>
  <c r="C100" i="119"/>
  <c r="C82" i="119"/>
  <c r="C67" i="119"/>
  <c r="C34" i="119"/>
  <c r="C79" i="119"/>
  <c r="I11" i="119"/>
  <c r="C15" i="119"/>
  <c r="C26" i="119"/>
  <c r="C100" i="122"/>
  <c r="C91" i="122"/>
  <c r="C87" i="122"/>
  <c r="C83" i="122"/>
  <c r="C77" i="122"/>
  <c r="C61" i="122"/>
  <c r="C56" i="122"/>
  <c r="C51" i="122"/>
  <c r="C47" i="122"/>
  <c r="C43" i="122"/>
  <c r="C38" i="122"/>
  <c r="C32" i="122"/>
  <c r="C28" i="122"/>
  <c r="C22" i="122"/>
  <c r="C17" i="122"/>
  <c r="C99" i="122"/>
  <c r="C70" i="122"/>
  <c r="C55" i="122"/>
  <c r="C31" i="122"/>
  <c r="C101" i="122"/>
  <c r="C84" i="122"/>
  <c r="C57" i="122"/>
  <c r="C44" i="122"/>
  <c r="C23" i="122"/>
  <c r="C97" i="122"/>
  <c r="C78" i="122"/>
  <c r="C39" i="122"/>
  <c r="C18" i="122"/>
  <c r="C68" i="122"/>
  <c r="C29" i="122"/>
  <c r="C96" i="122"/>
  <c r="C88" i="122"/>
  <c r="C72" i="122"/>
  <c r="C48" i="122"/>
  <c r="C89" i="122"/>
  <c r="C45" i="122"/>
  <c r="C36" i="122"/>
  <c r="C76" i="122"/>
  <c r="C75" i="122"/>
  <c r="C79" i="122"/>
  <c r="C37" i="122"/>
  <c r="C19" i="122"/>
  <c r="C24" i="122"/>
  <c r="C41" i="122"/>
  <c r="C63" i="122"/>
  <c r="C30" i="122"/>
  <c r="C65" i="122"/>
  <c r="C42" i="122"/>
  <c r="C93" i="122"/>
  <c r="C58" i="122"/>
  <c r="C74" i="122"/>
  <c r="C64" i="122"/>
  <c r="C35" i="122"/>
  <c r="C66" i="122"/>
  <c r="C49" i="122"/>
  <c r="C46" i="122"/>
  <c r="C86" i="122"/>
  <c r="C90" i="122"/>
  <c r="C98" i="122"/>
  <c r="C85" i="122"/>
  <c r="C54" i="122"/>
  <c r="C94" i="122"/>
  <c r="C26" i="122"/>
  <c r="C60" i="122"/>
  <c r="C27" i="122"/>
  <c r="C21" i="122"/>
  <c r="C15" i="122"/>
  <c r="C16" i="122"/>
  <c r="C53" i="122"/>
  <c r="C82" i="122"/>
  <c r="C81" i="122"/>
  <c r="C34" i="122"/>
  <c r="C13" i="122"/>
  <c r="C101" i="105"/>
  <c r="C97" i="105"/>
  <c r="C88" i="105"/>
  <c r="C84" i="105"/>
  <c r="C79" i="105"/>
  <c r="C46" i="105"/>
  <c r="C42" i="105"/>
  <c r="C72" i="105"/>
  <c r="C66" i="105"/>
  <c r="C24" i="105"/>
  <c r="C19" i="105"/>
  <c r="C98" i="105"/>
  <c r="C76" i="105"/>
  <c r="C74" i="105"/>
  <c r="C70" i="105"/>
  <c r="C63" i="105"/>
  <c r="C38" i="105"/>
  <c r="C32" i="105"/>
  <c r="C28" i="105"/>
  <c r="C17" i="105"/>
  <c r="C15" i="105"/>
  <c r="C61" i="105"/>
  <c r="C56" i="105"/>
  <c r="C47" i="105"/>
  <c r="C26" i="105"/>
  <c r="C21" i="105"/>
  <c r="C85" i="105"/>
  <c r="C93" i="105"/>
  <c r="C89" i="105"/>
  <c r="C75" i="105"/>
  <c r="C68" i="105"/>
  <c r="C64" i="105"/>
  <c r="C51" i="105"/>
  <c r="C43" i="105"/>
  <c r="C27" i="105"/>
  <c r="C22" i="105"/>
  <c r="C16" i="105"/>
  <c r="C60" i="105"/>
  <c r="C81" i="105"/>
  <c r="C86" i="105"/>
  <c r="C39" i="105"/>
  <c r="C99" i="105"/>
  <c r="C44" i="105"/>
  <c r="C67" i="105"/>
  <c r="C90" i="105"/>
  <c r="C100" i="105"/>
  <c r="C37" i="105"/>
  <c r="C77" i="105"/>
  <c r="C23" i="105"/>
  <c r="C55" i="105"/>
  <c r="C54" i="105"/>
  <c r="C83" i="105"/>
  <c r="C53" i="105"/>
  <c r="C36" i="105"/>
  <c r="C35" i="105"/>
  <c r="C91" i="105"/>
  <c r="C78" i="105"/>
  <c r="C45" i="105"/>
  <c r="I11" i="105"/>
  <c r="C87" i="105"/>
  <c r="C49" i="105"/>
  <c r="C31" i="105"/>
  <c r="C82" i="105"/>
  <c r="C94" i="105"/>
  <c r="C57" i="105"/>
  <c r="C58" i="105"/>
  <c r="C18" i="105"/>
  <c r="C30" i="105"/>
  <c r="C65" i="105"/>
  <c r="C29" i="105"/>
  <c r="C48" i="105"/>
  <c r="C96" i="105"/>
  <c r="C41" i="105"/>
  <c r="C34" i="105"/>
  <c r="C13" i="105"/>
  <c r="O13" i="108"/>
  <c r="B11" i="108"/>
  <c r="L11" i="108" s="1"/>
  <c r="C13" i="108"/>
  <c r="R13" i="108"/>
  <c r="I13" i="108"/>
  <c r="F13" i="108"/>
  <c r="F13" i="111"/>
  <c r="F11" i="111"/>
  <c r="B11" i="111"/>
  <c r="I11" i="111" s="1"/>
  <c r="I13" i="111"/>
  <c r="D12" i="113"/>
  <c r="AA13" i="102"/>
  <c r="D13" i="97"/>
  <c r="D18" i="92"/>
  <c r="D16" i="92"/>
  <c r="V12" i="92"/>
  <c r="G12" i="92"/>
  <c r="D12" i="92"/>
  <c r="J12" i="92"/>
  <c r="M12" i="92"/>
  <c r="V11" i="91"/>
  <c r="D16" i="84"/>
  <c r="G32" i="84"/>
  <c r="L12" i="84"/>
  <c r="C12" i="84" s="1"/>
  <c r="G12" i="84" s="1"/>
  <c r="C14" i="84"/>
  <c r="M14" i="84" s="1"/>
  <c r="G23" i="84"/>
  <c r="D23" i="84" s="1"/>
  <c r="J32" i="84"/>
  <c r="I36" i="81"/>
  <c r="I35" i="81"/>
  <c r="I33" i="81"/>
  <c r="I32" i="81"/>
  <c r="I31" i="81"/>
  <c r="I30" i="81"/>
  <c r="I26" i="81"/>
  <c r="I25" i="81"/>
  <c r="I24" i="81"/>
  <c r="I22" i="81"/>
  <c r="I21" i="81"/>
  <c r="I20" i="81"/>
  <c r="I19" i="81"/>
  <c r="I18" i="81"/>
  <c r="I17" i="81"/>
  <c r="I16" i="81"/>
  <c r="I15" i="81"/>
  <c r="I14" i="81"/>
  <c r="I12" i="81" s="1"/>
  <c r="F12" i="81"/>
  <c r="I29" i="81"/>
  <c r="B12" i="81"/>
  <c r="C29" i="81" s="1"/>
  <c r="R12" i="80"/>
  <c r="F12" i="80"/>
  <c r="O12" i="80"/>
  <c r="C12" i="80"/>
  <c r="L11" i="79"/>
  <c r="C11" i="79"/>
  <c r="I11" i="79"/>
  <c r="J11" i="78"/>
  <c r="C15" i="75"/>
  <c r="C14" i="75"/>
  <c r="C17" i="75"/>
  <c r="F12" i="75"/>
  <c r="E11" i="74"/>
  <c r="R175" i="72"/>
  <c r="M175" i="72"/>
  <c r="H175" i="72"/>
  <c r="P175" i="72"/>
  <c r="U175" i="72"/>
  <c r="F175" i="72"/>
  <c r="B99" i="72"/>
  <c r="U99" i="72" s="1"/>
  <c r="R113" i="72"/>
  <c r="M113" i="72"/>
  <c r="W113" i="72"/>
  <c r="H113" i="72"/>
  <c r="P113" i="72"/>
  <c r="B85" i="72"/>
  <c r="H85" i="72" s="1"/>
  <c r="H70" i="72"/>
  <c r="T17" i="72"/>
  <c r="W70" i="72"/>
  <c r="E17" i="72"/>
  <c r="B19" i="72"/>
  <c r="F19" i="72" s="1"/>
  <c r="W62" i="72"/>
  <c r="U62" i="72"/>
  <c r="H62" i="72"/>
  <c r="V17" i="72"/>
  <c r="W175" i="72"/>
  <c r="H121" i="72"/>
  <c r="W121" i="72"/>
  <c r="M121" i="72"/>
  <c r="R121" i="72"/>
  <c r="U113" i="72"/>
  <c r="U121" i="72"/>
  <c r="Q17" i="72"/>
  <c r="F62" i="72"/>
  <c r="R70" i="72"/>
  <c r="M70" i="72"/>
  <c r="K19" i="72"/>
  <c r="J17" i="72"/>
  <c r="K175" i="72"/>
  <c r="L17" i="72"/>
  <c r="M111" i="72"/>
  <c r="P62" i="72"/>
  <c r="P87" i="72"/>
  <c r="K121" i="72"/>
  <c r="K62" i="72"/>
  <c r="B32" i="72"/>
  <c r="R32" i="72" s="1"/>
  <c r="R87" i="72"/>
  <c r="K70" i="72"/>
  <c r="F42" i="72"/>
  <c r="R42" i="72"/>
  <c r="M62" i="72"/>
  <c r="O17" i="72"/>
  <c r="R62" i="72"/>
  <c r="B41" i="72"/>
  <c r="M42" i="72"/>
  <c r="G17" i="72"/>
  <c r="H111" i="72" l="1"/>
  <c r="F11" i="108"/>
  <c r="C11" i="122"/>
  <c r="R111" i="72"/>
  <c r="I11" i="108"/>
  <c r="P19" i="72"/>
  <c r="F111" i="72"/>
  <c r="K111" i="72"/>
  <c r="W111" i="72"/>
  <c r="U111" i="72"/>
  <c r="C12" i="75"/>
  <c r="R85" i="72"/>
  <c r="K99" i="72"/>
  <c r="W85" i="72"/>
  <c r="M85" i="72"/>
  <c r="P99" i="72"/>
  <c r="F99" i="72"/>
  <c r="C11" i="105"/>
  <c r="C61" i="108"/>
  <c r="C51" i="108"/>
  <c r="C48" i="108"/>
  <c r="C47" i="108"/>
  <c r="C44" i="108"/>
  <c r="C43" i="108"/>
  <c r="C39" i="108"/>
  <c r="C38" i="108"/>
  <c r="C67" i="108"/>
  <c r="C57" i="108"/>
  <c r="C99" i="108"/>
  <c r="C98" i="108"/>
  <c r="C76" i="108"/>
  <c r="C94" i="108"/>
  <c r="C86" i="108"/>
  <c r="C30" i="108"/>
  <c r="C93" i="108"/>
  <c r="C85" i="108"/>
  <c r="C19" i="108"/>
  <c r="C36" i="108"/>
  <c r="C89" i="108"/>
  <c r="C35" i="108"/>
  <c r="C24" i="108"/>
  <c r="C90" i="108"/>
  <c r="C26" i="108"/>
  <c r="C15" i="108"/>
  <c r="C56" i="108"/>
  <c r="C84" i="108"/>
  <c r="C88" i="108"/>
  <c r="C28" i="108"/>
  <c r="C32" i="108"/>
  <c r="C37" i="108"/>
  <c r="C42" i="108"/>
  <c r="C46" i="108"/>
  <c r="C54" i="108"/>
  <c r="C72" i="108"/>
  <c r="C91" i="108"/>
  <c r="C21" i="108"/>
  <c r="C101" i="108"/>
  <c r="C22" i="108"/>
  <c r="C31" i="108"/>
  <c r="C58" i="108"/>
  <c r="C77" i="108"/>
  <c r="C100" i="108"/>
  <c r="C70" i="108"/>
  <c r="C65" i="108"/>
  <c r="C49" i="108"/>
  <c r="C87" i="108"/>
  <c r="C18" i="108"/>
  <c r="C27" i="108"/>
  <c r="C66" i="108"/>
  <c r="C23" i="108"/>
  <c r="C29" i="108"/>
  <c r="C17" i="108"/>
  <c r="C78" i="108"/>
  <c r="C55" i="108"/>
  <c r="C45" i="108"/>
  <c r="C64" i="108"/>
  <c r="C83" i="108"/>
  <c r="C16" i="108"/>
  <c r="C79" i="108"/>
  <c r="C97" i="108"/>
  <c r="C68" i="108"/>
  <c r="C53" i="108"/>
  <c r="C41" i="108"/>
  <c r="C75" i="108"/>
  <c r="C63" i="108"/>
  <c r="R11" i="108"/>
  <c r="C82" i="108"/>
  <c r="C96" i="108"/>
  <c r="C11" i="108" s="1"/>
  <c r="C74" i="108"/>
  <c r="C81" i="108"/>
  <c r="C60" i="108"/>
  <c r="C34" i="108"/>
  <c r="O11" i="108"/>
  <c r="C29" i="111"/>
  <c r="C90" i="111"/>
  <c r="C86" i="111"/>
  <c r="C75" i="111"/>
  <c r="C39" i="111"/>
  <c r="C28" i="111"/>
  <c r="C101" i="111"/>
  <c r="C97" i="111"/>
  <c r="C93" i="111"/>
  <c r="C88" i="111"/>
  <c r="C84" i="111"/>
  <c r="C76" i="111"/>
  <c r="C65" i="111"/>
  <c r="C61" i="111"/>
  <c r="C57" i="111"/>
  <c r="C49" i="111"/>
  <c r="C45" i="111"/>
  <c r="C37" i="111"/>
  <c r="C30" i="111"/>
  <c r="C24" i="111"/>
  <c r="C22" i="111"/>
  <c r="C18" i="111"/>
  <c r="C99" i="111"/>
  <c r="C96" i="111"/>
  <c r="C78" i="111"/>
  <c r="C67" i="111"/>
  <c r="C51" i="111"/>
  <c r="C32" i="111"/>
  <c r="C23" i="111"/>
  <c r="C55" i="111"/>
  <c r="C47" i="111"/>
  <c r="C43" i="111"/>
  <c r="C21" i="111"/>
  <c r="C36" i="111"/>
  <c r="C100" i="111"/>
  <c r="C87" i="111"/>
  <c r="C64" i="111"/>
  <c r="C53" i="111"/>
  <c r="C16" i="111"/>
  <c r="C27" i="111"/>
  <c r="C74" i="111"/>
  <c r="C91" i="111"/>
  <c r="C19" i="111"/>
  <c r="C46" i="111"/>
  <c r="C77" i="111"/>
  <c r="C89" i="111"/>
  <c r="C41" i="111"/>
  <c r="C82" i="111"/>
  <c r="C66" i="111"/>
  <c r="C98" i="111"/>
  <c r="C72" i="111"/>
  <c r="C44" i="111"/>
  <c r="C63" i="111"/>
  <c r="C42" i="111"/>
  <c r="C70" i="111"/>
  <c r="C48" i="111"/>
  <c r="C35" i="111"/>
  <c r="C17" i="111"/>
  <c r="C56" i="111"/>
  <c r="C38" i="111"/>
  <c r="C94" i="111"/>
  <c r="C68" i="111"/>
  <c r="C81" i="111"/>
  <c r="C31" i="111"/>
  <c r="C54" i="111"/>
  <c r="C79" i="111"/>
  <c r="C34" i="111"/>
  <c r="C83" i="111"/>
  <c r="C58" i="111"/>
  <c r="C85" i="111"/>
  <c r="C15" i="111"/>
  <c r="C26" i="111"/>
  <c r="C60" i="111"/>
  <c r="C13" i="111"/>
  <c r="J12" i="84"/>
  <c r="G14" i="84"/>
  <c r="J14" i="84"/>
  <c r="D32" i="84"/>
  <c r="M12" i="84"/>
  <c r="C12" i="81"/>
  <c r="C18" i="81"/>
  <c r="C24" i="81"/>
  <c r="C25" i="81"/>
  <c r="C22" i="81"/>
  <c r="C26" i="81"/>
  <c r="C32" i="81"/>
  <c r="C14" i="81"/>
  <c r="C30" i="81"/>
  <c r="C31" i="81"/>
  <c r="C20" i="81"/>
  <c r="C21" i="81"/>
  <c r="C15" i="81"/>
  <c r="C33" i="81"/>
  <c r="C16" i="81"/>
  <c r="C35" i="81"/>
  <c r="C17" i="81"/>
  <c r="C36" i="81"/>
  <c r="C19" i="81"/>
  <c r="W41" i="72"/>
  <c r="R41" i="72"/>
  <c r="F41" i="72"/>
  <c r="H41" i="72"/>
  <c r="U41" i="72"/>
  <c r="P41" i="72"/>
  <c r="K41" i="72"/>
  <c r="L15" i="72"/>
  <c r="M41" i="72"/>
  <c r="J15" i="72"/>
  <c r="R19" i="72"/>
  <c r="W19" i="72"/>
  <c r="M19" i="72"/>
  <c r="H19" i="72"/>
  <c r="T15" i="72"/>
  <c r="P85" i="72"/>
  <c r="K85" i="72"/>
  <c r="U85" i="72"/>
  <c r="F85" i="72"/>
  <c r="G15" i="72"/>
  <c r="O15" i="72"/>
  <c r="F32" i="72"/>
  <c r="H32" i="72"/>
  <c r="P32" i="72"/>
  <c r="K32" i="72"/>
  <c r="W32" i="72"/>
  <c r="M32" i="72"/>
  <c r="U32" i="72"/>
  <c r="Q15" i="72"/>
  <c r="V15" i="72"/>
  <c r="E15" i="72"/>
  <c r="B17" i="72"/>
  <c r="H17" i="72" s="1"/>
  <c r="U19" i="72"/>
  <c r="M99" i="72"/>
  <c r="R99" i="72"/>
  <c r="W99" i="72"/>
  <c r="H99" i="72"/>
  <c r="D12" i="84" l="1"/>
  <c r="C11" i="111"/>
  <c r="D14" i="84"/>
  <c r="T13" i="72"/>
  <c r="E13" i="72"/>
  <c r="B15" i="72"/>
  <c r="H15" i="72" s="1"/>
  <c r="Q13" i="72"/>
  <c r="G13" i="72"/>
  <c r="U17" i="72"/>
  <c r="W17" i="72"/>
  <c r="P17" i="72"/>
  <c r="F17" i="72"/>
  <c r="R17" i="72"/>
  <c r="L13" i="72"/>
  <c r="K17" i="72"/>
  <c r="V13" i="72"/>
  <c r="O13" i="72"/>
  <c r="J13" i="72"/>
  <c r="M17" i="72"/>
  <c r="M15" i="72" l="1"/>
  <c r="F15" i="72"/>
  <c r="K15" i="72"/>
  <c r="W15" i="72"/>
  <c r="R15" i="72"/>
  <c r="P15" i="72"/>
  <c r="B13" i="72"/>
  <c r="U13" i="72" s="1"/>
  <c r="U15" i="72"/>
  <c r="R13" i="72" l="1"/>
  <c r="W13" i="72"/>
  <c r="C182" i="72"/>
  <c r="C180" i="72"/>
  <c r="C178" i="72"/>
  <c r="C196" i="72"/>
  <c r="C192" i="72"/>
  <c r="C183" i="72"/>
  <c r="C168" i="72"/>
  <c r="C194" i="72"/>
  <c r="C189" i="72"/>
  <c r="C131" i="72"/>
  <c r="C123" i="72"/>
  <c r="C119" i="72"/>
  <c r="C165" i="72"/>
  <c r="C161" i="72"/>
  <c r="C158" i="72"/>
  <c r="C149" i="72"/>
  <c r="C115" i="72"/>
  <c r="C185" i="72"/>
  <c r="C156" i="72"/>
  <c r="C147" i="72"/>
  <c r="C130" i="72"/>
  <c r="C129" i="72"/>
  <c r="C128" i="72"/>
  <c r="C125" i="72"/>
  <c r="C103" i="72"/>
  <c r="C92" i="72"/>
  <c r="C75" i="72"/>
  <c r="C56" i="72"/>
  <c r="C54" i="72"/>
  <c r="C46" i="72"/>
  <c r="C44" i="72"/>
  <c r="C141" i="72"/>
  <c r="C117" i="72"/>
  <c r="C83" i="72"/>
  <c r="C79" i="72"/>
  <c r="C187" i="72"/>
  <c r="C163" i="72"/>
  <c r="C127" i="72"/>
  <c r="C81" i="72"/>
  <c r="C66" i="72"/>
  <c r="C52" i="72"/>
  <c r="C38" i="72"/>
  <c r="C27" i="72"/>
  <c r="C23" i="72"/>
  <c r="C26" i="72"/>
  <c r="C45" i="72"/>
  <c r="C57" i="72"/>
  <c r="C88" i="72"/>
  <c r="C65" i="72"/>
  <c r="C35" i="72"/>
  <c r="C64" i="72"/>
  <c r="C109" i="72"/>
  <c r="C34" i="72"/>
  <c r="C37" i="72"/>
  <c r="C43" i="72"/>
  <c r="C114" i="72"/>
  <c r="C76" i="72"/>
  <c r="C91" i="72"/>
  <c r="C95" i="72"/>
  <c r="C136" i="72"/>
  <c r="C140" i="72"/>
  <c r="C144" i="72"/>
  <c r="C148" i="72"/>
  <c r="C153" i="72"/>
  <c r="C157" i="72"/>
  <c r="C162" i="72"/>
  <c r="C173" i="72"/>
  <c r="C184" i="72"/>
  <c r="C186" i="72"/>
  <c r="C188" i="72"/>
  <c r="C190" i="72"/>
  <c r="C47" i="72"/>
  <c r="C59" i="72"/>
  <c r="C139" i="72"/>
  <c r="C102" i="72"/>
  <c r="C33" i="72"/>
  <c r="C71" i="72"/>
  <c r="C118" i="72"/>
  <c r="C55" i="72"/>
  <c r="C60" i="72"/>
  <c r="C22" i="72"/>
  <c r="C58" i="72"/>
  <c r="C68" i="72"/>
  <c r="C94" i="72"/>
  <c r="C145" i="72"/>
  <c r="C104" i="72"/>
  <c r="C108" i="72"/>
  <c r="C133" i="72"/>
  <c r="C151" i="72"/>
  <c r="C164" i="72"/>
  <c r="C167" i="72"/>
  <c r="C135" i="72"/>
  <c r="C28" i="72"/>
  <c r="C63" i="72"/>
  <c r="C122" i="72"/>
  <c r="C106" i="72"/>
  <c r="C132" i="72"/>
  <c r="C171" i="72"/>
  <c r="C179" i="72"/>
  <c r="C73" i="72"/>
  <c r="C90" i="72"/>
  <c r="C36" i="72"/>
  <c r="C49" i="72"/>
  <c r="C53" i="72"/>
  <c r="C96" i="72"/>
  <c r="C124" i="72"/>
  <c r="C116" i="72"/>
  <c r="C137" i="72"/>
  <c r="C21" i="72"/>
  <c r="C24" i="72"/>
  <c r="C29" i="72"/>
  <c r="C105" i="72"/>
  <c r="C126" i="72"/>
  <c r="C154" i="72"/>
  <c r="C134" i="72"/>
  <c r="C74" i="72"/>
  <c r="C78" i="72"/>
  <c r="C89" i="72"/>
  <c r="C93" i="72"/>
  <c r="C97" i="72"/>
  <c r="C143" i="72"/>
  <c r="C138" i="72"/>
  <c r="C142" i="72"/>
  <c r="C146" i="72"/>
  <c r="C150" i="72"/>
  <c r="C155" i="72"/>
  <c r="C159" i="72"/>
  <c r="C181" i="72"/>
  <c r="C166" i="72"/>
  <c r="C193" i="72"/>
  <c r="C195" i="72"/>
  <c r="C197" i="72"/>
  <c r="C51" i="72"/>
  <c r="C39" i="72"/>
  <c r="C101" i="72"/>
  <c r="C177" i="72"/>
  <c r="C30" i="72"/>
  <c r="C67" i="72"/>
  <c r="C77" i="72"/>
  <c r="C152" i="72"/>
  <c r="C160" i="72"/>
  <c r="C111" i="72"/>
  <c r="C121" i="72"/>
  <c r="C62" i="72"/>
  <c r="C87" i="72"/>
  <c r="C42" i="72"/>
  <c r="C113" i="72"/>
  <c r="C70" i="72"/>
  <c r="C20" i="72"/>
  <c r="C175" i="72"/>
  <c r="C41" i="72"/>
  <c r="C85" i="72"/>
  <c r="C19" i="72"/>
  <c r="C32" i="72"/>
  <c r="C99" i="72"/>
  <c r="C17" i="72"/>
  <c r="C15" i="72"/>
  <c r="P13" i="72"/>
  <c r="F13" i="72"/>
  <c r="H13" i="72"/>
  <c r="M13" i="72"/>
  <c r="K13" i="72"/>
  <c r="C13" i="72" l="1"/>
  <c r="B176" i="70"/>
  <c r="L176" i="70" s="1"/>
  <c r="B175" i="70"/>
  <c r="L175" i="70" s="1"/>
  <c r="B174" i="70"/>
  <c r="L174" i="70" s="1"/>
  <c r="B173" i="70"/>
  <c r="F172" i="70"/>
  <c r="B172" i="70"/>
  <c r="L172" i="70" s="1"/>
  <c r="K171" i="70"/>
  <c r="H171" i="70"/>
  <c r="E171" i="70"/>
  <c r="B170" i="70"/>
  <c r="B169" i="70"/>
  <c r="B168" i="70"/>
  <c r="L168" i="70" s="1"/>
  <c r="K167" i="70"/>
  <c r="H167" i="70"/>
  <c r="E167" i="70"/>
  <c r="L166" i="70"/>
  <c r="I166" i="70"/>
  <c r="F166" i="70"/>
  <c r="C166" i="70"/>
  <c r="B166" i="70"/>
  <c r="K165" i="70"/>
  <c r="H165" i="70"/>
  <c r="L164" i="70"/>
  <c r="I164" i="70"/>
  <c r="F164" i="70"/>
  <c r="C164" i="70"/>
  <c r="B164" i="70"/>
  <c r="B163" i="70"/>
  <c r="L163" i="70" s="1"/>
  <c r="L162" i="70"/>
  <c r="I162" i="70"/>
  <c r="F162" i="70"/>
  <c r="C162" i="70"/>
  <c r="B162" i="70"/>
  <c r="H161" i="70"/>
  <c r="E161" i="70"/>
  <c r="L160" i="70"/>
  <c r="I160" i="70"/>
  <c r="F160" i="70"/>
  <c r="C160" i="70"/>
  <c r="B160" i="70"/>
  <c r="B159" i="70"/>
  <c r="L159" i="70" s="1"/>
  <c r="B158" i="70"/>
  <c r="B157" i="70"/>
  <c r="L157" i="70" s="1"/>
  <c r="B156" i="70"/>
  <c r="L156" i="70" s="1"/>
  <c r="B155" i="70"/>
  <c r="L155" i="70" s="1"/>
  <c r="B154" i="70"/>
  <c r="B153" i="70"/>
  <c r="L153" i="70" s="1"/>
  <c r="B152" i="70"/>
  <c r="L152" i="70" s="1"/>
  <c r="B151" i="70"/>
  <c r="L151" i="70" s="1"/>
  <c r="B150" i="70"/>
  <c r="B149" i="70"/>
  <c r="L149" i="70" s="1"/>
  <c r="B148" i="70"/>
  <c r="L148" i="70" s="1"/>
  <c r="B147" i="70"/>
  <c r="I147" i="70" s="1"/>
  <c r="B146" i="70"/>
  <c r="B145" i="70"/>
  <c r="L145" i="70" s="1"/>
  <c r="B144" i="70"/>
  <c r="L144" i="70" s="1"/>
  <c r="F143" i="70"/>
  <c r="B143" i="70"/>
  <c r="I143" i="70" s="1"/>
  <c r="B142" i="70"/>
  <c r="B141" i="70"/>
  <c r="L141" i="70" s="1"/>
  <c r="B140" i="70"/>
  <c r="L140" i="70" s="1"/>
  <c r="B139" i="70"/>
  <c r="I139" i="70" s="1"/>
  <c r="B138" i="70"/>
  <c r="B137" i="70"/>
  <c r="L137" i="70" s="1"/>
  <c r="B136" i="70"/>
  <c r="L136" i="70" s="1"/>
  <c r="B135" i="70"/>
  <c r="I135" i="70" s="1"/>
  <c r="B134" i="70"/>
  <c r="B133" i="70"/>
  <c r="L133" i="70" s="1"/>
  <c r="B132" i="70"/>
  <c r="L132" i="70" s="1"/>
  <c r="F131" i="70"/>
  <c r="B131" i="70"/>
  <c r="I131" i="70" s="1"/>
  <c r="B130" i="70"/>
  <c r="B129" i="70"/>
  <c r="L129" i="70" s="1"/>
  <c r="B128" i="70"/>
  <c r="L128" i="70" s="1"/>
  <c r="B127" i="70"/>
  <c r="I127" i="70" s="1"/>
  <c r="B126" i="70"/>
  <c r="B125" i="70"/>
  <c r="L125" i="70" s="1"/>
  <c r="B124" i="70"/>
  <c r="L124" i="70" s="1"/>
  <c r="B123" i="70"/>
  <c r="I123" i="70" s="1"/>
  <c r="B122" i="70"/>
  <c r="F122" i="70" s="1"/>
  <c r="B121" i="70"/>
  <c r="L121" i="70" s="1"/>
  <c r="B120" i="70"/>
  <c r="L120" i="70" s="1"/>
  <c r="B119" i="70"/>
  <c r="L119" i="70" s="1"/>
  <c r="B118" i="70"/>
  <c r="I118" i="70" s="1"/>
  <c r="B117" i="70"/>
  <c r="L117" i="70" s="1"/>
  <c r="B116" i="70"/>
  <c r="L116" i="70" s="1"/>
  <c r="B115" i="70"/>
  <c r="B114" i="70"/>
  <c r="L114" i="70" s="1"/>
  <c r="B113" i="70"/>
  <c r="I113" i="70" s="1"/>
  <c r="B112" i="70"/>
  <c r="I112" i="70" s="1"/>
  <c r="K111" i="70"/>
  <c r="H111" i="70"/>
  <c r="E111" i="70"/>
  <c r="L110" i="70"/>
  <c r="I110" i="70"/>
  <c r="F110" i="70"/>
  <c r="C110" i="70"/>
  <c r="B110" i="70"/>
  <c r="B109" i="70"/>
  <c r="L109" i="70" s="1"/>
  <c r="B108" i="70"/>
  <c r="L108" i="70" s="1"/>
  <c r="B107" i="70"/>
  <c r="I107" i="70" s="1"/>
  <c r="B106" i="70"/>
  <c r="F105" i="70"/>
  <c r="B105" i="70"/>
  <c r="L105" i="70" s="1"/>
  <c r="B104" i="70"/>
  <c r="I104" i="70" s="1"/>
  <c r="K103" i="70"/>
  <c r="H103" i="70"/>
  <c r="E103" i="70"/>
  <c r="L102" i="70"/>
  <c r="I102" i="70"/>
  <c r="F102" i="70"/>
  <c r="C102" i="70"/>
  <c r="B102" i="70"/>
  <c r="B99" i="70"/>
  <c r="L99" i="70" s="1"/>
  <c r="B98" i="70"/>
  <c r="L98" i="70" s="1"/>
  <c r="F97" i="70"/>
  <c r="B97" i="70"/>
  <c r="I97" i="70" s="1"/>
  <c r="L96" i="70"/>
  <c r="I96" i="70"/>
  <c r="F96" i="70"/>
  <c r="C96" i="70"/>
  <c r="B96" i="70"/>
  <c r="B95" i="70"/>
  <c r="B94" i="70"/>
  <c r="L94" i="70" s="1"/>
  <c r="B93" i="70"/>
  <c r="F93" i="70" s="1"/>
  <c r="B92" i="70"/>
  <c r="L92" i="70" s="1"/>
  <c r="K91" i="70"/>
  <c r="K90" i="70" s="1"/>
  <c r="H91" i="70"/>
  <c r="E91" i="70"/>
  <c r="L89" i="70"/>
  <c r="I89" i="70"/>
  <c r="F89" i="70"/>
  <c r="C89" i="70"/>
  <c r="B89" i="70"/>
  <c r="B88" i="70"/>
  <c r="I87" i="70"/>
  <c r="B87" i="70"/>
  <c r="L87" i="70" s="1"/>
  <c r="B86" i="70"/>
  <c r="F86" i="70" s="1"/>
  <c r="B85" i="70"/>
  <c r="I85" i="70" s="1"/>
  <c r="B84" i="70"/>
  <c r="L84" i="70" s="1"/>
  <c r="B83" i="70"/>
  <c r="L83" i="70" s="1"/>
  <c r="B82" i="70"/>
  <c r="F82" i="70" s="1"/>
  <c r="B81" i="70"/>
  <c r="I81" i="70" s="1"/>
  <c r="B80" i="70"/>
  <c r="L80" i="70" s="1"/>
  <c r="B79" i="70"/>
  <c r="L79" i="70" s="1"/>
  <c r="K78" i="70"/>
  <c r="K77" i="70" s="1"/>
  <c r="H78" i="70"/>
  <c r="E78" i="70"/>
  <c r="B78" i="70" s="1"/>
  <c r="H77" i="70"/>
  <c r="L76" i="70"/>
  <c r="I76" i="70"/>
  <c r="F76" i="70"/>
  <c r="B76" i="70"/>
  <c r="B75" i="70"/>
  <c r="F75" i="70" s="1"/>
  <c r="L74" i="70"/>
  <c r="I74" i="70"/>
  <c r="F74" i="70"/>
  <c r="C74" i="70"/>
  <c r="B74" i="70"/>
  <c r="B73" i="70"/>
  <c r="L73" i="70" s="1"/>
  <c r="L72" i="70"/>
  <c r="I72" i="70"/>
  <c r="F72" i="70"/>
  <c r="C72" i="70"/>
  <c r="B72" i="70"/>
  <c r="B71" i="70"/>
  <c r="F71" i="70" s="1"/>
  <c r="B70" i="70"/>
  <c r="I70" i="70" s="1"/>
  <c r="I69" i="70"/>
  <c r="F69" i="70"/>
  <c r="B69" i="70"/>
  <c r="L69" i="70" s="1"/>
  <c r="I68" i="70"/>
  <c r="B68" i="70"/>
  <c r="L68" i="70" s="1"/>
  <c r="B67" i="70"/>
  <c r="F67" i="70" s="1"/>
  <c r="B66" i="70"/>
  <c r="I66" i="70" s="1"/>
  <c r="K65" i="70"/>
  <c r="K64" i="70" s="1"/>
  <c r="H65" i="70"/>
  <c r="H64" i="70" s="1"/>
  <c r="E65" i="70"/>
  <c r="E64" i="70"/>
  <c r="L63" i="70"/>
  <c r="I63" i="70"/>
  <c r="F63" i="70"/>
  <c r="C63" i="70"/>
  <c r="B63" i="70"/>
  <c r="B62" i="70"/>
  <c r="L62" i="70" s="1"/>
  <c r="B61" i="70"/>
  <c r="F61" i="70" s="1"/>
  <c r="B60" i="70"/>
  <c r="I60" i="70" s="1"/>
  <c r="B59" i="70"/>
  <c r="L59" i="70" s="1"/>
  <c r="B58" i="70"/>
  <c r="I58" i="70" s="1"/>
  <c r="B57" i="70"/>
  <c r="F57" i="70" s="1"/>
  <c r="K56" i="70"/>
  <c r="H56" i="70"/>
  <c r="E56" i="70"/>
  <c r="L55" i="70"/>
  <c r="I55" i="70"/>
  <c r="F55" i="70"/>
  <c r="C55" i="70"/>
  <c r="B55" i="70"/>
  <c r="B54" i="70"/>
  <c r="L54" i="70" s="1"/>
  <c r="L53" i="70"/>
  <c r="I53" i="70"/>
  <c r="F53" i="70"/>
  <c r="C53" i="70"/>
  <c r="B53" i="70"/>
  <c r="B52" i="70"/>
  <c r="F52" i="70" s="1"/>
  <c r="B51" i="70"/>
  <c r="I51" i="70" s="1"/>
  <c r="B50" i="70"/>
  <c r="L50" i="70" s="1"/>
  <c r="B49" i="70"/>
  <c r="B48" i="70"/>
  <c r="F48" i="70" s="1"/>
  <c r="B47" i="70"/>
  <c r="I47" i="70" s="1"/>
  <c r="I46" i="70"/>
  <c r="B46" i="70"/>
  <c r="L46" i="70" s="1"/>
  <c r="B45" i="70"/>
  <c r="B44" i="70"/>
  <c r="F44" i="70" s="1"/>
  <c r="K43" i="70"/>
  <c r="B43" i="70" s="1"/>
  <c r="L43" i="70" s="1"/>
  <c r="H43" i="70"/>
  <c r="E43" i="70"/>
  <c r="L42" i="70"/>
  <c r="I42" i="70"/>
  <c r="F42" i="70"/>
  <c r="C42" i="70"/>
  <c r="B42" i="70"/>
  <c r="B41" i="70"/>
  <c r="L41" i="70" s="1"/>
  <c r="B40" i="70"/>
  <c r="I40" i="70" s="1"/>
  <c r="B39" i="70"/>
  <c r="F39" i="70" s="1"/>
  <c r="B38" i="70"/>
  <c r="I38" i="70" s="1"/>
  <c r="K37" i="70"/>
  <c r="H37" i="70"/>
  <c r="E37" i="70"/>
  <c r="E36" i="70" s="1"/>
  <c r="L35" i="70"/>
  <c r="I35" i="70"/>
  <c r="F35" i="70"/>
  <c r="C35" i="70"/>
  <c r="B35" i="70"/>
  <c r="B34" i="70"/>
  <c r="L34" i="70" s="1"/>
  <c r="B33" i="70"/>
  <c r="I33" i="70" s="1"/>
  <c r="B32" i="70"/>
  <c r="F32" i="70" s="1"/>
  <c r="B31" i="70"/>
  <c r="I31" i="70" s="1"/>
  <c r="B30" i="70"/>
  <c r="L30" i="70" s="1"/>
  <c r="K29" i="70"/>
  <c r="H29" i="70"/>
  <c r="H28" i="70" s="1"/>
  <c r="E29" i="70"/>
  <c r="E28" i="70"/>
  <c r="L27" i="70"/>
  <c r="I27" i="70"/>
  <c r="F27" i="70"/>
  <c r="C27" i="70"/>
  <c r="B27" i="70"/>
  <c r="B26" i="70"/>
  <c r="F26" i="70" s="1"/>
  <c r="B25" i="70"/>
  <c r="I25" i="70" s="1"/>
  <c r="K24" i="70"/>
  <c r="H24" i="70"/>
  <c r="E24" i="70"/>
  <c r="L23" i="70"/>
  <c r="I23" i="70"/>
  <c r="F23" i="70"/>
  <c r="C23" i="70"/>
  <c r="B23" i="70"/>
  <c r="B22" i="70"/>
  <c r="I22" i="70" s="1"/>
  <c r="I21" i="70"/>
  <c r="B21" i="70"/>
  <c r="F21" i="70" s="1"/>
  <c r="B20" i="70"/>
  <c r="I20" i="70" s="1"/>
  <c r="I19" i="70"/>
  <c r="B19" i="70"/>
  <c r="L19" i="70" s="1"/>
  <c r="K18" i="70"/>
  <c r="H18" i="70"/>
  <c r="E18" i="70"/>
  <c r="E17" i="70" s="1"/>
  <c r="L16" i="70"/>
  <c r="I16" i="70"/>
  <c r="F16" i="70"/>
  <c r="C16" i="70"/>
  <c r="B16" i="70"/>
  <c r="L14" i="70"/>
  <c r="I14" i="70"/>
  <c r="F14" i="70"/>
  <c r="C14" i="70"/>
  <c r="B14" i="70"/>
  <c r="L12" i="70"/>
  <c r="B12" i="70"/>
  <c r="AI8" i="69"/>
  <c r="AH8" i="69"/>
  <c r="Q169" i="68"/>
  <c r="N169" i="68"/>
  <c r="K169" i="68"/>
  <c r="H169" i="68"/>
  <c r="E169" i="68"/>
  <c r="B169" i="68"/>
  <c r="Q166" i="68"/>
  <c r="N166" i="68"/>
  <c r="K166" i="68"/>
  <c r="H166" i="68"/>
  <c r="E166" i="68"/>
  <c r="B166" i="68"/>
  <c r="R164" i="68"/>
  <c r="O164" i="68"/>
  <c r="L164" i="68"/>
  <c r="I164" i="68"/>
  <c r="F164" i="68"/>
  <c r="C164" i="68"/>
  <c r="Q162" i="68"/>
  <c r="N162" i="68"/>
  <c r="K162" i="68"/>
  <c r="H162" i="68"/>
  <c r="E162" i="68"/>
  <c r="Q112" i="68"/>
  <c r="N112" i="68"/>
  <c r="K112" i="68"/>
  <c r="H112" i="68"/>
  <c r="E112" i="68"/>
  <c r="B112" i="68"/>
  <c r="R111" i="68"/>
  <c r="O111" i="68"/>
  <c r="L111" i="68"/>
  <c r="I111" i="68"/>
  <c r="F111" i="68"/>
  <c r="C111" i="68"/>
  <c r="Q105" i="68"/>
  <c r="N105" i="68"/>
  <c r="K105" i="68"/>
  <c r="H105" i="68"/>
  <c r="E105" i="68"/>
  <c r="B105" i="68"/>
  <c r="R104" i="68"/>
  <c r="O104" i="68"/>
  <c r="L104" i="68"/>
  <c r="I104" i="68"/>
  <c r="F104" i="68"/>
  <c r="C104" i="68"/>
  <c r="R102" i="68"/>
  <c r="O102" i="68"/>
  <c r="L102" i="68"/>
  <c r="I102" i="68"/>
  <c r="F102" i="68"/>
  <c r="C102" i="68"/>
  <c r="R98" i="68"/>
  <c r="O98" i="68"/>
  <c r="L98" i="68"/>
  <c r="I98" i="68"/>
  <c r="F98" i="68"/>
  <c r="C98" i="68"/>
  <c r="R92" i="68"/>
  <c r="O92" i="68"/>
  <c r="L92" i="68"/>
  <c r="I92" i="68"/>
  <c r="F92" i="68"/>
  <c r="C92" i="68"/>
  <c r="Q91" i="68"/>
  <c r="N91" i="68"/>
  <c r="K91" i="68"/>
  <c r="H91" i="68"/>
  <c r="E91" i="68"/>
  <c r="B91" i="68"/>
  <c r="Q79" i="68"/>
  <c r="Q77" i="68" s="1"/>
  <c r="N79" i="68"/>
  <c r="N77" i="68" s="1"/>
  <c r="K79" i="68"/>
  <c r="K77" i="68" s="1"/>
  <c r="H79" i="68"/>
  <c r="H77" i="68" s="1"/>
  <c r="E79" i="68"/>
  <c r="E77" i="68" s="1"/>
  <c r="B79" i="68"/>
  <c r="B77" i="68" s="1"/>
  <c r="R78" i="68"/>
  <c r="O78" i="68"/>
  <c r="L78" i="68"/>
  <c r="I78" i="68"/>
  <c r="F78" i="68"/>
  <c r="C78" i="68"/>
  <c r="O76" i="68"/>
  <c r="L76" i="68"/>
  <c r="I76" i="68"/>
  <c r="F76" i="68"/>
  <c r="C76" i="68"/>
  <c r="R74" i="68"/>
  <c r="O74" i="68"/>
  <c r="L74" i="68"/>
  <c r="I74" i="68"/>
  <c r="F74" i="68"/>
  <c r="C74" i="68"/>
  <c r="R72" i="68"/>
  <c r="O72" i="68"/>
  <c r="L72" i="68"/>
  <c r="I72" i="68"/>
  <c r="F72" i="68"/>
  <c r="C72" i="68"/>
  <c r="Q65" i="68"/>
  <c r="N65" i="68"/>
  <c r="K65" i="68"/>
  <c r="K63" i="68" s="1"/>
  <c r="H65" i="68"/>
  <c r="E65" i="68"/>
  <c r="E63" i="68" s="1"/>
  <c r="B65" i="68"/>
  <c r="R64" i="68"/>
  <c r="O64" i="68"/>
  <c r="L64" i="68"/>
  <c r="I64" i="68"/>
  <c r="F64" i="68"/>
  <c r="C64" i="68"/>
  <c r="Q63" i="68"/>
  <c r="R62" i="68"/>
  <c r="O62" i="68"/>
  <c r="L62" i="68"/>
  <c r="I62" i="68"/>
  <c r="F62" i="68"/>
  <c r="C62" i="68"/>
  <c r="Q55" i="68"/>
  <c r="N55" i="68"/>
  <c r="K55" i="68"/>
  <c r="H55" i="68"/>
  <c r="E55" i="68"/>
  <c r="B55" i="68"/>
  <c r="R54" i="68"/>
  <c r="O54" i="68"/>
  <c r="L54" i="68"/>
  <c r="I54" i="68"/>
  <c r="F54" i="68"/>
  <c r="C54" i="68"/>
  <c r="Q44" i="68"/>
  <c r="N44" i="68"/>
  <c r="K44" i="68"/>
  <c r="H44" i="68"/>
  <c r="E44" i="68"/>
  <c r="B44" i="68"/>
  <c r="R43" i="68"/>
  <c r="O43" i="68"/>
  <c r="L43" i="68"/>
  <c r="I43" i="68"/>
  <c r="F43" i="68"/>
  <c r="C43" i="68"/>
  <c r="Q36" i="68"/>
  <c r="N36" i="68"/>
  <c r="K36" i="68"/>
  <c r="K35" i="68" s="1"/>
  <c r="H36" i="68"/>
  <c r="E36" i="68"/>
  <c r="E35" i="68" s="1"/>
  <c r="B36" i="68"/>
  <c r="R34" i="68"/>
  <c r="O34" i="68"/>
  <c r="L34" i="68"/>
  <c r="I34" i="68"/>
  <c r="F34" i="68"/>
  <c r="C34" i="68"/>
  <c r="Q28" i="68"/>
  <c r="Q27" i="68" s="1"/>
  <c r="N28" i="68"/>
  <c r="N27" i="68" s="1"/>
  <c r="K28" i="68"/>
  <c r="K27" i="68" s="1"/>
  <c r="H28" i="68"/>
  <c r="H27" i="68" s="1"/>
  <c r="E28" i="68"/>
  <c r="E27" i="68" s="1"/>
  <c r="B28" i="68"/>
  <c r="B27" i="68" s="1"/>
  <c r="R26" i="68"/>
  <c r="O26" i="68"/>
  <c r="L26" i="68"/>
  <c r="I26" i="68"/>
  <c r="F26" i="68"/>
  <c r="C26" i="68"/>
  <c r="Q22" i="68"/>
  <c r="N22" i="68"/>
  <c r="K22" i="68"/>
  <c r="H22" i="68"/>
  <c r="E22" i="68"/>
  <c r="B22" i="68"/>
  <c r="R21" i="68"/>
  <c r="O21" i="68"/>
  <c r="L21" i="68"/>
  <c r="I21" i="68"/>
  <c r="F21" i="68"/>
  <c r="C21" i="68"/>
  <c r="Q16" i="68"/>
  <c r="Q15" i="68" s="1"/>
  <c r="N16" i="68"/>
  <c r="K16" i="68"/>
  <c r="K15" i="68" s="1"/>
  <c r="H16" i="68"/>
  <c r="H15" i="68" s="1"/>
  <c r="E16" i="68"/>
  <c r="B16" i="68"/>
  <c r="B15" i="68" s="1"/>
  <c r="R14" i="68"/>
  <c r="O14" i="68"/>
  <c r="L14" i="68"/>
  <c r="I14" i="68"/>
  <c r="F14" i="68"/>
  <c r="C14" i="68"/>
  <c r="R11" i="68"/>
  <c r="L11" i="68"/>
  <c r="I80" i="70" l="1"/>
  <c r="F135" i="70"/>
  <c r="F30" i="70"/>
  <c r="L39" i="70"/>
  <c r="F54" i="70"/>
  <c r="F60" i="70"/>
  <c r="F68" i="70"/>
  <c r="F123" i="70"/>
  <c r="F139" i="70"/>
  <c r="B24" i="70"/>
  <c r="I30" i="70"/>
  <c r="I54" i="70"/>
  <c r="F59" i="70"/>
  <c r="L60" i="70"/>
  <c r="L40" i="70"/>
  <c r="I59" i="70"/>
  <c r="F70" i="70"/>
  <c r="F80" i="70"/>
  <c r="F109" i="70"/>
  <c r="I34" i="70"/>
  <c r="B91" i="70"/>
  <c r="N15" i="68"/>
  <c r="Q35" i="68"/>
  <c r="F38" i="70"/>
  <c r="B56" i="70"/>
  <c r="L56" i="70" s="1"/>
  <c r="L70" i="70"/>
  <c r="F84" i="70"/>
  <c r="F151" i="70"/>
  <c r="B161" i="70"/>
  <c r="L161" i="70" s="1"/>
  <c r="L38" i="70"/>
  <c r="I84" i="70"/>
  <c r="I32" i="70"/>
  <c r="I92" i="70"/>
  <c r="L122" i="70"/>
  <c r="F127" i="70"/>
  <c r="F159" i="70"/>
  <c r="F19" i="70"/>
  <c r="I39" i="70"/>
  <c r="F46" i="70"/>
  <c r="L85" i="70"/>
  <c r="F147" i="70"/>
  <c r="F175" i="70"/>
  <c r="E15" i="68"/>
  <c r="E13" i="68" s="1"/>
  <c r="E12" i="68" s="1"/>
  <c r="E10" i="68" s="1"/>
  <c r="F34" i="70"/>
  <c r="L82" i="70"/>
  <c r="I93" i="70"/>
  <c r="F113" i="70"/>
  <c r="F118" i="70"/>
  <c r="F155" i="70"/>
  <c r="F98" i="70"/>
  <c r="F104" i="70"/>
  <c r="F108" i="70"/>
  <c r="F119" i="70"/>
  <c r="F124" i="70"/>
  <c r="F128" i="70"/>
  <c r="F132" i="70"/>
  <c r="F136" i="70"/>
  <c r="F140" i="70"/>
  <c r="F144" i="70"/>
  <c r="F148" i="70"/>
  <c r="F152" i="70"/>
  <c r="F156" i="70"/>
  <c r="I174" i="70"/>
  <c r="I175" i="70"/>
  <c r="L18" i="70"/>
  <c r="F22" i="70"/>
  <c r="F24" i="70"/>
  <c r="F33" i="70"/>
  <c r="F56" i="70"/>
  <c r="I62" i="70"/>
  <c r="L86" i="70"/>
  <c r="K17" i="70"/>
  <c r="H17" i="70"/>
  <c r="B17" i="70" s="1"/>
  <c r="F17" i="70" s="1"/>
  <c r="I26" i="70"/>
  <c r="K28" i="70"/>
  <c r="F40" i="70"/>
  <c r="F41" i="70"/>
  <c r="F50" i="70"/>
  <c r="I56" i="70"/>
  <c r="I57" i="70"/>
  <c r="L58" i="70"/>
  <c r="I61" i="70"/>
  <c r="F66" i="70"/>
  <c r="L67" i="70"/>
  <c r="I71" i="70"/>
  <c r="F73" i="70"/>
  <c r="L75" i="70"/>
  <c r="L81" i="70"/>
  <c r="F94" i="70"/>
  <c r="I108" i="70"/>
  <c r="B28" i="70"/>
  <c r="I28" i="70" s="1"/>
  <c r="I67" i="70"/>
  <c r="B18" i="70"/>
  <c r="L24" i="70"/>
  <c r="B29" i="70"/>
  <c r="L29" i="70" s="1"/>
  <c r="I41" i="70"/>
  <c r="I43" i="70"/>
  <c r="I50" i="70"/>
  <c r="L57" i="70"/>
  <c r="L61" i="70"/>
  <c r="L66" i="70"/>
  <c r="L71" i="70"/>
  <c r="I73" i="70"/>
  <c r="F114" i="70"/>
  <c r="I122" i="70"/>
  <c r="I151" i="70"/>
  <c r="I155" i="70"/>
  <c r="I159" i="70"/>
  <c r="F168" i="70"/>
  <c r="F176" i="70"/>
  <c r="E103" i="68"/>
  <c r="Q103" i="68"/>
  <c r="Q13" i="68"/>
  <c r="K103" i="68"/>
  <c r="L78" i="70"/>
  <c r="I18" i="70"/>
  <c r="L20" i="70"/>
  <c r="L25" i="70"/>
  <c r="L31" i="70"/>
  <c r="F91" i="70"/>
  <c r="L91" i="70"/>
  <c r="I95" i="70"/>
  <c r="F95" i="70"/>
  <c r="L95" i="70"/>
  <c r="K101" i="70"/>
  <c r="F134" i="70"/>
  <c r="L134" i="70"/>
  <c r="I134" i="70"/>
  <c r="F150" i="70"/>
  <c r="L150" i="70"/>
  <c r="I150" i="70"/>
  <c r="B167" i="70"/>
  <c r="E165" i="70"/>
  <c r="L21" i="70"/>
  <c r="I24" i="70"/>
  <c r="L26" i="70"/>
  <c r="L32" i="70"/>
  <c r="H36" i="70"/>
  <c r="B37" i="70"/>
  <c r="F37" i="70" s="1"/>
  <c r="F45" i="70"/>
  <c r="F49" i="70"/>
  <c r="B65" i="70"/>
  <c r="I65" i="70" s="1"/>
  <c r="F78" i="70"/>
  <c r="H101" i="70"/>
  <c r="B111" i="70"/>
  <c r="I111" i="70" s="1"/>
  <c r="F138" i="70"/>
  <c r="L138" i="70"/>
  <c r="I138" i="70"/>
  <c r="F154" i="70"/>
  <c r="L154" i="70"/>
  <c r="I154" i="70"/>
  <c r="I169" i="70"/>
  <c r="F169" i="70"/>
  <c r="L169" i="70"/>
  <c r="B171" i="70"/>
  <c r="L171" i="70" s="1"/>
  <c r="F18" i="70"/>
  <c r="F20" i="70"/>
  <c r="L22" i="70"/>
  <c r="F25" i="70"/>
  <c r="L33" i="70"/>
  <c r="I45" i="70"/>
  <c r="F47" i="70"/>
  <c r="I49" i="70"/>
  <c r="F51" i="70"/>
  <c r="I78" i="70"/>
  <c r="I106" i="70"/>
  <c r="F106" i="70"/>
  <c r="L106" i="70"/>
  <c r="L115" i="70"/>
  <c r="I115" i="70"/>
  <c r="F115" i="70"/>
  <c r="F142" i="70"/>
  <c r="L142" i="70"/>
  <c r="I142" i="70"/>
  <c r="F158" i="70"/>
  <c r="L158" i="70"/>
  <c r="I158" i="70"/>
  <c r="I173" i="70"/>
  <c r="F173" i="70"/>
  <c r="L173" i="70"/>
  <c r="F28" i="70"/>
  <c r="F31" i="70"/>
  <c r="I44" i="70"/>
  <c r="I48" i="70"/>
  <c r="I52" i="70"/>
  <c r="E77" i="70"/>
  <c r="F79" i="70"/>
  <c r="F83" i="70"/>
  <c r="I91" i="70"/>
  <c r="H90" i="70"/>
  <c r="F126" i="70"/>
  <c r="L126" i="70"/>
  <c r="I126" i="70"/>
  <c r="K36" i="70"/>
  <c r="F43" i="70"/>
  <c r="L44" i="70"/>
  <c r="L45" i="70"/>
  <c r="L47" i="70"/>
  <c r="L48" i="70"/>
  <c r="L49" i="70"/>
  <c r="L51" i="70"/>
  <c r="L52" i="70"/>
  <c r="F58" i="70"/>
  <c r="F62" i="70"/>
  <c r="B64" i="70"/>
  <c r="L64" i="70" s="1"/>
  <c r="I75" i="70"/>
  <c r="I79" i="70"/>
  <c r="F81" i="70"/>
  <c r="I82" i="70"/>
  <c r="I83" i="70"/>
  <c r="F85" i="70"/>
  <c r="I86" i="70"/>
  <c r="I88" i="70"/>
  <c r="F88" i="70"/>
  <c r="L88" i="70"/>
  <c r="F107" i="70"/>
  <c r="L107" i="70"/>
  <c r="F112" i="70"/>
  <c r="L112" i="70"/>
  <c r="F130" i="70"/>
  <c r="L130" i="70"/>
  <c r="I130" i="70"/>
  <c r="F146" i="70"/>
  <c r="L146" i="70"/>
  <c r="I146" i="70"/>
  <c r="I161" i="70"/>
  <c r="I99" i="70"/>
  <c r="F99" i="70"/>
  <c r="E101" i="70"/>
  <c r="B103" i="70"/>
  <c r="F117" i="70"/>
  <c r="F121" i="70"/>
  <c r="I125" i="70"/>
  <c r="F125" i="70"/>
  <c r="I129" i="70"/>
  <c r="F129" i="70"/>
  <c r="I133" i="70"/>
  <c r="F133" i="70"/>
  <c r="I137" i="70"/>
  <c r="F137" i="70"/>
  <c r="I141" i="70"/>
  <c r="F141" i="70"/>
  <c r="I145" i="70"/>
  <c r="F145" i="70"/>
  <c r="I149" i="70"/>
  <c r="F149" i="70"/>
  <c r="I153" i="70"/>
  <c r="F153" i="70"/>
  <c r="I157" i="70"/>
  <c r="F157" i="70"/>
  <c r="F161" i="70"/>
  <c r="I163" i="70"/>
  <c r="F163" i="70"/>
  <c r="F87" i="70"/>
  <c r="F92" i="70"/>
  <c r="I116" i="70"/>
  <c r="F116" i="70"/>
  <c r="I117" i="70"/>
  <c r="I120" i="70"/>
  <c r="F120" i="70"/>
  <c r="I121" i="70"/>
  <c r="F174" i="70"/>
  <c r="L93" i="70"/>
  <c r="I94" i="70"/>
  <c r="L97" i="70"/>
  <c r="I98" i="70"/>
  <c r="L104" i="70"/>
  <c r="I105" i="70"/>
  <c r="I109" i="70"/>
  <c r="L113" i="70"/>
  <c r="I114" i="70"/>
  <c r="L118" i="70"/>
  <c r="I119" i="70"/>
  <c r="L123" i="70"/>
  <c r="I124" i="70"/>
  <c r="L127" i="70"/>
  <c r="I128" i="70"/>
  <c r="L131" i="70"/>
  <c r="I132" i="70"/>
  <c r="L135" i="70"/>
  <c r="I136" i="70"/>
  <c r="L139" i="70"/>
  <c r="I140" i="70"/>
  <c r="L143" i="70"/>
  <c r="I144" i="70"/>
  <c r="L147" i="70"/>
  <c r="I148" i="70"/>
  <c r="I152" i="70"/>
  <c r="I156" i="70"/>
  <c r="I168" i="70"/>
  <c r="I172" i="70"/>
  <c r="I176" i="70"/>
  <c r="H63" i="68"/>
  <c r="B35" i="68"/>
  <c r="N35" i="68"/>
  <c r="B63" i="68"/>
  <c r="N63" i="68"/>
  <c r="H35" i="68"/>
  <c r="K13" i="68"/>
  <c r="H103" i="68"/>
  <c r="B103" i="68"/>
  <c r="N103" i="68"/>
  <c r="F15" i="68" l="1"/>
  <c r="F163" i="68"/>
  <c r="F115" i="68"/>
  <c r="F36" i="68"/>
  <c r="F22" i="68"/>
  <c r="F169" i="68"/>
  <c r="F82" i="68"/>
  <c r="F68" i="68"/>
  <c r="F160" i="68"/>
  <c r="F116" i="68"/>
  <c r="F105" i="68"/>
  <c r="F99" i="68"/>
  <c r="F18" i="68"/>
  <c r="F151" i="68"/>
  <c r="F144" i="68"/>
  <c r="F108" i="68"/>
  <c r="F55" i="68"/>
  <c r="F53" i="68"/>
  <c r="F128" i="68"/>
  <c r="Q12" i="68"/>
  <c r="Q10" i="68" s="1"/>
  <c r="L28" i="70"/>
  <c r="F49" i="68"/>
  <c r="F109" i="68"/>
  <c r="F87" i="68"/>
  <c r="F157" i="68"/>
  <c r="F124" i="68"/>
  <c r="F13" i="68"/>
  <c r="F101" i="68"/>
  <c r="F37" i="68"/>
  <c r="F51" i="68"/>
  <c r="F97" i="68"/>
  <c r="F35" i="68"/>
  <c r="F119" i="68"/>
  <c r="F52" i="68"/>
  <c r="F93" i="68"/>
  <c r="F113" i="68"/>
  <c r="F80" i="68"/>
  <c r="F106" i="68"/>
  <c r="F114" i="68"/>
  <c r="F161" i="68"/>
  <c r="F126" i="68"/>
  <c r="F142" i="68"/>
  <c r="F158" i="68"/>
  <c r="F171" i="70"/>
  <c r="F64" i="70"/>
  <c r="F20" i="68"/>
  <c r="F24" i="68"/>
  <c r="F38" i="68"/>
  <c r="F56" i="68"/>
  <c r="F127" i="68"/>
  <c r="F79" i="68"/>
  <c r="F39" i="68"/>
  <c r="F57" i="68"/>
  <c r="F107" i="68"/>
  <c r="F117" i="68"/>
  <c r="F84" i="68"/>
  <c r="F110" i="68"/>
  <c r="F118" i="68"/>
  <c r="F167" i="68"/>
  <c r="F130" i="68"/>
  <c r="F146" i="68"/>
  <c r="F162" i="68"/>
  <c r="I29" i="70"/>
  <c r="F58" i="68"/>
  <c r="F59" i="68"/>
  <c r="F86" i="68"/>
  <c r="F171" i="68"/>
  <c r="F148" i="68"/>
  <c r="F168" i="68"/>
  <c r="L17" i="70"/>
  <c r="F85" i="68"/>
  <c r="F12" i="68"/>
  <c r="F42" i="68"/>
  <c r="F60" i="68"/>
  <c r="F27" i="68"/>
  <c r="F89" i="68"/>
  <c r="F44" i="68"/>
  <c r="F61" i="68"/>
  <c r="F69" i="68"/>
  <c r="F133" i="68"/>
  <c r="F88" i="68"/>
  <c r="F131" i="68"/>
  <c r="F129" i="68"/>
  <c r="F173" i="68"/>
  <c r="F134" i="68"/>
  <c r="F150" i="68"/>
  <c r="F170" i="68"/>
  <c r="F103" i="68"/>
  <c r="F31" i="68"/>
  <c r="F40" i="68"/>
  <c r="F159" i="68"/>
  <c r="F81" i="68"/>
  <c r="F143" i="68"/>
  <c r="F125" i="68"/>
  <c r="F123" i="68"/>
  <c r="F121" i="68"/>
  <c r="F132" i="68"/>
  <c r="F77" i="68"/>
  <c r="F112" i="68"/>
  <c r="F63" i="68"/>
  <c r="F135" i="68"/>
  <c r="F33" i="68"/>
  <c r="F45" i="68"/>
  <c r="F66" i="68"/>
  <c r="F28" i="68"/>
  <c r="F91" i="68"/>
  <c r="F46" i="68"/>
  <c r="F65" i="68"/>
  <c r="F71" i="68"/>
  <c r="F141" i="68"/>
  <c r="F94" i="68"/>
  <c r="F139" i="68"/>
  <c r="F137" i="68"/>
  <c r="F120" i="68"/>
  <c r="F136" i="68"/>
  <c r="F152" i="68"/>
  <c r="F172" i="68"/>
  <c r="F29" i="68"/>
  <c r="F41" i="68"/>
  <c r="F166" i="68"/>
  <c r="F19" i="68"/>
  <c r="F17" i="68"/>
  <c r="F47" i="68"/>
  <c r="F70" i="68"/>
  <c r="F30" i="68"/>
  <c r="F95" i="68"/>
  <c r="F48" i="68"/>
  <c r="F67" i="68"/>
  <c r="F73" i="68"/>
  <c r="F149" i="68"/>
  <c r="F96" i="68"/>
  <c r="F147" i="68"/>
  <c r="F145" i="68"/>
  <c r="F122" i="68"/>
  <c r="F138" i="68"/>
  <c r="F154" i="68"/>
  <c r="F174" i="68"/>
  <c r="F25" i="68"/>
  <c r="F23" i="68"/>
  <c r="F83" i="68"/>
  <c r="F32" i="68"/>
  <c r="F50" i="68"/>
  <c r="F75" i="68"/>
  <c r="F100" i="68"/>
  <c r="F155" i="68"/>
  <c r="F153" i="68"/>
  <c r="F140" i="68"/>
  <c r="F156" i="68"/>
  <c r="F65" i="70"/>
  <c r="F29" i="70"/>
  <c r="I17" i="70"/>
  <c r="L65" i="70"/>
  <c r="I64" i="70"/>
  <c r="I37" i="70"/>
  <c r="R166" i="68"/>
  <c r="R65" i="68"/>
  <c r="R23" i="68"/>
  <c r="R20" i="68"/>
  <c r="R87" i="68"/>
  <c r="R18" i="68"/>
  <c r="R38" i="68"/>
  <c r="R47" i="68"/>
  <c r="R56" i="68"/>
  <c r="R85" i="68"/>
  <c r="R24" i="68"/>
  <c r="R32" i="68"/>
  <c r="R97" i="68"/>
  <c r="R39" i="68"/>
  <c r="R50" i="68"/>
  <c r="R59" i="68"/>
  <c r="R81" i="68"/>
  <c r="R121" i="68"/>
  <c r="R71" i="68"/>
  <c r="R113" i="68"/>
  <c r="R127" i="68"/>
  <c r="R159" i="68"/>
  <c r="R86" i="68"/>
  <c r="R100" i="68"/>
  <c r="R133" i="68"/>
  <c r="R114" i="68"/>
  <c r="R139" i="68"/>
  <c r="R167" i="68"/>
  <c r="R120" i="68"/>
  <c r="R128" i="68"/>
  <c r="R136" i="68"/>
  <c r="R144" i="68"/>
  <c r="R152" i="68"/>
  <c r="R160" i="68"/>
  <c r="R77" i="68"/>
  <c r="R16" i="68"/>
  <c r="R25" i="68"/>
  <c r="R17" i="68"/>
  <c r="R145" i="68"/>
  <c r="R19" i="68"/>
  <c r="R40" i="68"/>
  <c r="R49" i="68"/>
  <c r="R58" i="68"/>
  <c r="R101" i="68"/>
  <c r="R27" i="68"/>
  <c r="R35" i="68"/>
  <c r="R99" i="68"/>
  <c r="R41" i="68"/>
  <c r="R52" i="68"/>
  <c r="R61" i="68"/>
  <c r="R89" i="68"/>
  <c r="R153" i="68"/>
  <c r="R73" i="68"/>
  <c r="R115" i="68"/>
  <c r="R135" i="68"/>
  <c r="R80" i="68"/>
  <c r="R88" i="68"/>
  <c r="R106" i="68"/>
  <c r="R141" i="68"/>
  <c r="R116" i="68"/>
  <c r="R147" i="68"/>
  <c r="R171" i="68"/>
  <c r="R122" i="68"/>
  <c r="R130" i="68"/>
  <c r="R138" i="68"/>
  <c r="R146" i="68"/>
  <c r="R154" i="68"/>
  <c r="R170" i="68"/>
  <c r="F16" i="68"/>
  <c r="R63" i="68"/>
  <c r="R112" i="68"/>
  <c r="R162" i="68"/>
  <c r="R169" i="68"/>
  <c r="R10" i="68" s="1"/>
  <c r="R44" i="68"/>
  <c r="R93" i="68"/>
  <c r="R33" i="68"/>
  <c r="R22" i="68"/>
  <c r="R12" i="68"/>
  <c r="R29" i="68"/>
  <c r="R42" i="68"/>
  <c r="R51" i="68"/>
  <c r="R60" i="68"/>
  <c r="R105" i="68"/>
  <c r="R28" i="68"/>
  <c r="R36" i="68"/>
  <c r="R129" i="68"/>
  <c r="R46" i="68"/>
  <c r="R55" i="68"/>
  <c r="R68" i="68"/>
  <c r="R95" i="68"/>
  <c r="R67" i="68"/>
  <c r="R75" i="68"/>
  <c r="R117" i="68"/>
  <c r="R143" i="68"/>
  <c r="R82" i="68"/>
  <c r="R94" i="68"/>
  <c r="R108" i="68"/>
  <c r="R149" i="68"/>
  <c r="R123" i="68"/>
  <c r="R155" i="68"/>
  <c r="R173" i="68"/>
  <c r="R124" i="68"/>
  <c r="R132" i="68"/>
  <c r="R140" i="68"/>
  <c r="R148" i="68"/>
  <c r="R156" i="68"/>
  <c r="R172" i="68"/>
  <c r="I103" i="70"/>
  <c r="B90" i="70"/>
  <c r="I90" i="70" s="1"/>
  <c r="I167" i="70"/>
  <c r="F103" i="70"/>
  <c r="B77" i="70"/>
  <c r="F77" i="70" s="1"/>
  <c r="E15" i="70"/>
  <c r="B36" i="70"/>
  <c r="B165" i="70"/>
  <c r="F165" i="70" s="1"/>
  <c r="H15" i="70"/>
  <c r="B101" i="70"/>
  <c r="I101" i="70" s="1"/>
  <c r="I171" i="70"/>
  <c r="L103" i="70"/>
  <c r="K15" i="70"/>
  <c r="L167" i="70"/>
  <c r="L37" i="70"/>
  <c r="L111" i="70"/>
  <c r="F111" i="70"/>
  <c r="F167" i="70"/>
  <c r="H13" i="68"/>
  <c r="N13" i="68"/>
  <c r="K12" i="68"/>
  <c r="F10" i="68"/>
  <c r="B13" i="68"/>
  <c r="R15" i="68" l="1"/>
  <c r="R150" i="68"/>
  <c r="R118" i="68"/>
  <c r="R125" i="68"/>
  <c r="R119" i="68"/>
  <c r="R70" i="68"/>
  <c r="R83" i="68"/>
  <c r="R53" i="68"/>
  <c r="R31" i="68"/>
  <c r="R157" i="68"/>
  <c r="R161" i="68"/>
  <c r="R142" i="68"/>
  <c r="R163" i="68"/>
  <c r="R96" i="68"/>
  <c r="R110" i="68"/>
  <c r="R57" i="68"/>
  <c r="R30" i="68"/>
  <c r="R45" i="68"/>
  <c r="R91" i="68"/>
  <c r="R126" i="68"/>
  <c r="R109" i="68"/>
  <c r="R13" i="68"/>
  <c r="R174" i="68"/>
  <c r="R134" i="68"/>
  <c r="R131" i="68"/>
  <c r="R84" i="68"/>
  <c r="R69" i="68"/>
  <c r="R48" i="68"/>
  <c r="R137" i="68"/>
  <c r="R79" i="68"/>
  <c r="R107" i="68"/>
  <c r="R158" i="68"/>
  <c r="R151" i="68"/>
  <c r="R66" i="68"/>
  <c r="R103" i="68"/>
  <c r="F36" i="70"/>
  <c r="L101" i="70"/>
  <c r="I36" i="70"/>
  <c r="K13" i="70"/>
  <c r="F101" i="70"/>
  <c r="E13" i="70"/>
  <c r="B15" i="70"/>
  <c r="L15" i="70" s="1"/>
  <c r="L90" i="70"/>
  <c r="F90" i="70"/>
  <c r="L36" i="70"/>
  <c r="H13" i="70"/>
  <c r="I165" i="70"/>
  <c r="L165" i="70"/>
  <c r="I77" i="70"/>
  <c r="L77" i="70"/>
  <c r="K10" i="68"/>
  <c r="N12" i="68"/>
  <c r="H12" i="68"/>
  <c r="B12" i="68"/>
  <c r="I15" i="70" l="1"/>
  <c r="F15" i="70"/>
  <c r="K11" i="70"/>
  <c r="H11" i="70"/>
  <c r="B13" i="70"/>
  <c r="L13" i="70" s="1"/>
  <c r="E11" i="70"/>
  <c r="B10" i="68"/>
  <c r="C12" i="68" s="1"/>
  <c r="L173" i="68"/>
  <c r="L171" i="68"/>
  <c r="L167" i="68"/>
  <c r="L163" i="68"/>
  <c r="L162" i="68"/>
  <c r="L161" i="68"/>
  <c r="L159" i="68"/>
  <c r="L157" i="68"/>
  <c r="L155" i="68"/>
  <c r="L153" i="68"/>
  <c r="L151" i="68"/>
  <c r="L149" i="68"/>
  <c r="L147" i="68"/>
  <c r="L145" i="68"/>
  <c r="L143" i="68"/>
  <c r="L141" i="68"/>
  <c r="L139" i="68"/>
  <c r="L137" i="68"/>
  <c r="L135" i="68"/>
  <c r="L133" i="68"/>
  <c r="L131" i="68"/>
  <c r="L129" i="68"/>
  <c r="L127" i="68"/>
  <c r="L125" i="68"/>
  <c r="L123" i="68"/>
  <c r="L121" i="68"/>
  <c r="L119" i="68"/>
  <c r="L174" i="68"/>
  <c r="L172" i="68"/>
  <c r="L170" i="68"/>
  <c r="L168" i="68"/>
  <c r="L158" i="68"/>
  <c r="L150" i="68"/>
  <c r="L142" i="68"/>
  <c r="L134" i="68"/>
  <c r="L126" i="68"/>
  <c r="L117" i="68"/>
  <c r="L115" i="68"/>
  <c r="L113" i="68"/>
  <c r="L110" i="68"/>
  <c r="L75" i="68"/>
  <c r="L73" i="68"/>
  <c r="L160" i="68"/>
  <c r="L152" i="68"/>
  <c r="L144" i="68"/>
  <c r="L136" i="68"/>
  <c r="L128" i="68"/>
  <c r="L120" i="68"/>
  <c r="L109" i="68"/>
  <c r="L107" i="68"/>
  <c r="L101" i="68"/>
  <c r="L99" i="68"/>
  <c r="L97" i="68"/>
  <c r="L95" i="68"/>
  <c r="L93" i="68"/>
  <c r="L89" i="68"/>
  <c r="L87" i="68"/>
  <c r="L85" i="68"/>
  <c r="L83" i="68"/>
  <c r="L81" i="68"/>
  <c r="L154" i="68"/>
  <c r="L146" i="68"/>
  <c r="L138" i="68"/>
  <c r="L130" i="68"/>
  <c r="L122" i="68"/>
  <c r="L118" i="68"/>
  <c r="L116" i="68"/>
  <c r="L114" i="68"/>
  <c r="L70" i="68"/>
  <c r="L68" i="68"/>
  <c r="L132" i="68"/>
  <c r="L100" i="68"/>
  <c r="L84" i="68"/>
  <c r="L66" i="68"/>
  <c r="L60" i="68"/>
  <c r="L58" i="68"/>
  <c r="L56" i="68"/>
  <c r="L55" i="68"/>
  <c r="L53" i="68"/>
  <c r="L51" i="68"/>
  <c r="L49" i="68"/>
  <c r="L47" i="68"/>
  <c r="L45" i="68"/>
  <c r="L44" i="68"/>
  <c r="L42" i="68"/>
  <c r="L40" i="68"/>
  <c r="L38" i="68"/>
  <c r="L140" i="68"/>
  <c r="L106" i="68"/>
  <c r="L105" i="68"/>
  <c r="L86" i="68"/>
  <c r="L69" i="68"/>
  <c r="L37" i="68"/>
  <c r="L36" i="68"/>
  <c r="L35" i="68"/>
  <c r="L33" i="68"/>
  <c r="L31" i="68"/>
  <c r="L29" i="68"/>
  <c r="L28" i="68"/>
  <c r="L27" i="68"/>
  <c r="L25" i="68"/>
  <c r="L148" i="68"/>
  <c r="L108" i="68"/>
  <c r="L94" i="68"/>
  <c r="L91" i="68"/>
  <c r="L88" i="68"/>
  <c r="L80" i="68"/>
  <c r="L79" i="68"/>
  <c r="L71" i="68"/>
  <c r="L67" i="68"/>
  <c r="L61" i="68"/>
  <c r="L59" i="68"/>
  <c r="L57" i="68"/>
  <c r="L52" i="68"/>
  <c r="L50" i="68"/>
  <c r="L48" i="68"/>
  <c r="L46" i="68"/>
  <c r="L41" i="68"/>
  <c r="L39" i="68"/>
  <c r="L156" i="68"/>
  <c r="L32" i="68"/>
  <c r="L24" i="68"/>
  <c r="L22" i="68"/>
  <c r="L20" i="68"/>
  <c r="L19" i="68"/>
  <c r="L124" i="68"/>
  <c r="L30" i="68"/>
  <c r="L96" i="68"/>
  <c r="L18" i="68"/>
  <c r="L17" i="68"/>
  <c r="L82" i="68"/>
  <c r="L23" i="68"/>
  <c r="L77" i="68"/>
  <c r="L103" i="68"/>
  <c r="L112" i="68"/>
  <c r="L15" i="68"/>
  <c r="L63" i="68"/>
  <c r="L166" i="68"/>
  <c r="L16" i="68"/>
  <c r="L65" i="68"/>
  <c r="L169" i="68"/>
  <c r="L13" i="68"/>
  <c r="N10" i="68"/>
  <c r="O12" i="68" s="1"/>
  <c r="H10" i="68"/>
  <c r="I12" i="68" s="1"/>
  <c r="L12" i="68"/>
  <c r="F13" i="70" l="1"/>
  <c r="B11" i="70"/>
  <c r="L11" i="70" s="1"/>
  <c r="I13" i="70"/>
  <c r="I160" i="68"/>
  <c r="I158" i="68"/>
  <c r="I156" i="68"/>
  <c r="I154" i="68"/>
  <c r="I152" i="68"/>
  <c r="I150" i="68"/>
  <c r="I148" i="68"/>
  <c r="I146" i="68"/>
  <c r="I144" i="68"/>
  <c r="I142" i="68"/>
  <c r="I140" i="68"/>
  <c r="I138" i="68"/>
  <c r="I136" i="68"/>
  <c r="I134" i="68"/>
  <c r="I132" i="68"/>
  <c r="I130" i="68"/>
  <c r="I128" i="68"/>
  <c r="I126" i="68"/>
  <c r="I124" i="68"/>
  <c r="I122" i="68"/>
  <c r="I120" i="68"/>
  <c r="I173" i="68"/>
  <c r="I171" i="68"/>
  <c r="I167" i="68"/>
  <c r="I163" i="68"/>
  <c r="I161" i="68"/>
  <c r="I159" i="68"/>
  <c r="I157" i="68"/>
  <c r="I155" i="68"/>
  <c r="I153" i="68"/>
  <c r="I151" i="68"/>
  <c r="I149" i="68"/>
  <c r="I147" i="68"/>
  <c r="I145" i="68"/>
  <c r="I143" i="68"/>
  <c r="I141" i="68"/>
  <c r="I139" i="68"/>
  <c r="I137" i="68"/>
  <c r="I135" i="68"/>
  <c r="I133" i="68"/>
  <c r="I131" i="68"/>
  <c r="I129" i="68"/>
  <c r="I127" i="68"/>
  <c r="I125" i="68"/>
  <c r="I123" i="68"/>
  <c r="I121" i="68"/>
  <c r="I119" i="68"/>
  <c r="I174" i="68"/>
  <c r="I108" i="68"/>
  <c r="I106" i="68"/>
  <c r="I100" i="68"/>
  <c r="I96" i="68"/>
  <c r="I94" i="68"/>
  <c r="I88" i="68"/>
  <c r="I86" i="68"/>
  <c r="I84" i="68"/>
  <c r="I82" i="68"/>
  <c r="I80" i="68"/>
  <c r="I168" i="68"/>
  <c r="I117" i="68"/>
  <c r="I115" i="68"/>
  <c r="I113" i="68"/>
  <c r="I105" i="68"/>
  <c r="I91" i="68"/>
  <c r="I79" i="68"/>
  <c r="I75" i="68"/>
  <c r="I73" i="68"/>
  <c r="I71" i="68"/>
  <c r="I170" i="68"/>
  <c r="I109" i="68"/>
  <c r="I107" i="68"/>
  <c r="I101" i="68"/>
  <c r="I99" i="68"/>
  <c r="I97" i="68"/>
  <c r="I95" i="68"/>
  <c r="I93" i="68"/>
  <c r="I89" i="68"/>
  <c r="I87" i="68"/>
  <c r="I85" i="68"/>
  <c r="I83" i="68"/>
  <c r="I81" i="68"/>
  <c r="I172" i="68"/>
  <c r="I114" i="68"/>
  <c r="I77" i="68"/>
  <c r="I32" i="68"/>
  <c r="I30" i="68"/>
  <c r="I24" i="68"/>
  <c r="I116" i="68"/>
  <c r="I70" i="68"/>
  <c r="I66" i="68"/>
  <c r="I60" i="68"/>
  <c r="I58" i="68"/>
  <c r="I56" i="68"/>
  <c r="I53" i="68"/>
  <c r="I51" i="68"/>
  <c r="I49" i="68"/>
  <c r="I47" i="68"/>
  <c r="I45" i="68"/>
  <c r="I42" i="68"/>
  <c r="I40" i="68"/>
  <c r="I38" i="68"/>
  <c r="I118" i="68"/>
  <c r="I69" i="68"/>
  <c r="I68" i="68"/>
  <c r="I37" i="68"/>
  <c r="I33" i="68"/>
  <c r="I31" i="68"/>
  <c r="I29" i="68"/>
  <c r="I25" i="68"/>
  <c r="I23" i="68"/>
  <c r="I20" i="68"/>
  <c r="I18" i="68"/>
  <c r="I59" i="68"/>
  <c r="I52" i="68"/>
  <c r="I50" i="68"/>
  <c r="I27" i="68"/>
  <c r="I17" i="68"/>
  <c r="I67" i="68"/>
  <c r="I61" i="68"/>
  <c r="I46" i="68"/>
  <c r="I39" i="68"/>
  <c r="I36" i="68"/>
  <c r="I22" i="68"/>
  <c r="I48" i="68"/>
  <c r="I41" i="68"/>
  <c r="I28" i="68"/>
  <c r="I19" i="68"/>
  <c r="I57" i="68"/>
  <c r="I16" i="68"/>
  <c r="I15" i="68"/>
  <c r="I44" i="68"/>
  <c r="I162" i="68"/>
  <c r="I65" i="68"/>
  <c r="I55" i="68"/>
  <c r="I166" i="68"/>
  <c r="I112" i="68"/>
  <c r="I169" i="68"/>
  <c r="I10" i="68" s="1"/>
  <c r="I35" i="68"/>
  <c r="I103" i="68"/>
  <c r="I63" i="68"/>
  <c r="I13" i="68"/>
  <c r="L10" i="68"/>
  <c r="O161" i="68"/>
  <c r="O159" i="68"/>
  <c r="O157" i="68"/>
  <c r="O155" i="68"/>
  <c r="O153" i="68"/>
  <c r="O151" i="68"/>
  <c r="O149" i="68"/>
  <c r="O147" i="68"/>
  <c r="O145" i="68"/>
  <c r="O143" i="68"/>
  <c r="O141" i="68"/>
  <c r="O139" i="68"/>
  <c r="O137" i="68"/>
  <c r="O135" i="68"/>
  <c r="O133" i="68"/>
  <c r="O131" i="68"/>
  <c r="O129" i="68"/>
  <c r="O127" i="68"/>
  <c r="O125" i="68"/>
  <c r="O123" i="68"/>
  <c r="O121" i="68"/>
  <c r="O119" i="68"/>
  <c r="O174" i="68"/>
  <c r="O172" i="68"/>
  <c r="O170" i="68"/>
  <c r="O160" i="68"/>
  <c r="O158" i="68"/>
  <c r="O156" i="68"/>
  <c r="O154" i="68"/>
  <c r="O152" i="68"/>
  <c r="O150" i="68"/>
  <c r="O148" i="68"/>
  <c r="O146" i="68"/>
  <c r="O144" i="68"/>
  <c r="O142" i="68"/>
  <c r="O140" i="68"/>
  <c r="O138" i="68"/>
  <c r="O136" i="68"/>
  <c r="O134" i="68"/>
  <c r="O132" i="68"/>
  <c r="O130" i="68"/>
  <c r="O128" i="68"/>
  <c r="O126" i="68"/>
  <c r="O124" i="68"/>
  <c r="O122" i="68"/>
  <c r="O120" i="68"/>
  <c r="O171" i="68"/>
  <c r="O163" i="68"/>
  <c r="O109" i="68"/>
  <c r="O107" i="68"/>
  <c r="O101" i="68"/>
  <c r="O99" i="68"/>
  <c r="O97" i="68"/>
  <c r="O95" i="68"/>
  <c r="O93" i="68"/>
  <c r="O89" i="68"/>
  <c r="O87" i="68"/>
  <c r="O85" i="68"/>
  <c r="O83" i="68"/>
  <c r="O81" i="68"/>
  <c r="O173" i="68"/>
  <c r="O118" i="68"/>
  <c r="O116" i="68"/>
  <c r="O114" i="68"/>
  <c r="O105" i="68"/>
  <c r="O91" i="68"/>
  <c r="O79" i="68"/>
  <c r="O70" i="68"/>
  <c r="O167" i="68"/>
  <c r="O108" i="68"/>
  <c r="O106" i="68"/>
  <c r="O100" i="68"/>
  <c r="O96" i="68"/>
  <c r="O94" i="68"/>
  <c r="O88" i="68"/>
  <c r="O86" i="68"/>
  <c r="O84" i="68"/>
  <c r="O82" i="68"/>
  <c r="O80" i="68"/>
  <c r="O69" i="68"/>
  <c r="O37" i="68"/>
  <c r="O33" i="68"/>
  <c r="O31" i="68"/>
  <c r="O29" i="68"/>
  <c r="O25" i="68"/>
  <c r="O23" i="68"/>
  <c r="O113" i="68"/>
  <c r="O75" i="68"/>
  <c r="O73" i="68"/>
  <c r="O71" i="68"/>
  <c r="O68" i="68"/>
  <c r="O67" i="68"/>
  <c r="O61" i="68"/>
  <c r="O59" i="68"/>
  <c r="O57" i="68"/>
  <c r="O52" i="68"/>
  <c r="O50" i="68"/>
  <c r="O48" i="68"/>
  <c r="O46" i="68"/>
  <c r="O41" i="68"/>
  <c r="O39" i="68"/>
  <c r="O115" i="68"/>
  <c r="O77" i="68"/>
  <c r="O32" i="68"/>
  <c r="O30" i="68"/>
  <c r="O24" i="68"/>
  <c r="O19" i="68"/>
  <c r="O17" i="68"/>
  <c r="O117" i="68"/>
  <c r="O56" i="68"/>
  <c r="O49" i="68"/>
  <c r="O42" i="68"/>
  <c r="O27" i="68"/>
  <c r="O20" i="68"/>
  <c r="O22" i="68"/>
  <c r="O58" i="68"/>
  <c r="O51" i="68"/>
  <c r="O18" i="68"/>
  <c r="O16" i="68"/>
  <c r="O15" i="68"/>
  <c r="O110" i="68"/>
  <c r="O66" i="68"/>
  <c r="O60" i="68"/>
  <c r="O53" i="68"/>
  <c r="O45" i="68"/>
  <c r="O38" i="68"/>
  <c r="O36" i="68"/>
  <c r="O47" i="68"/>
  <c r="O40" i="68"/>
  <c r="O28" i="68"/>
  <c r="O44" i="68"/>
  <c r="O112" i="68"/>
  <c r="O55" i="68"/>
  <c r="O162" i="68"/>
  <c r="O65" i="68"/>
  <c r="O166" i="68"/>
  <c r="O169" i="68"/>
  <c r="O10" i="68" s="1"/>
  <c r="O103" i="68"/>
  <c r="O35" i="68"/>
  <c r="O63" i="68"/>
  <c r="O13" i="68"/>
  <c r="C161" i="68"/>
  <c r="C159" i="68"/>
  <c r="C157" i="68"/>
  <c r="C155" i="68"/>
  <c r="C153" i="68"/>
  <c r="C151" i="68"/>
  <c r="C149" i="68"/>
  <c r="C147" i="68"/>
  <c r="C145" i="68"/>
  <c r="C143" i="68"/>
  <c r="C141" i="68"/>
  <c r="C139" i="68"/>
  <c r="C137" i="68"/>
  <c r="C135" i="68"/>
  <c r="C133" i="68"/>
  <c r="C131" i="68"/>
  <c r="C129" i="68"/>
  <c r="C127" i="68"/>
  <c r="C125" i="68"/>
  <c r="C123" i="68"/>
  <c r="C121" i="68"/>
  <c r="C174" i="68"/>
  <c r="C172" i="68"/>
  <c r="C170" i="68"/>
  <c r="C168" i="68"/>
  <c r="C162" i="68"/>
  <c r="C160" i="68"/>
  <c r="C158" i="68"/>
  <c r="C156" i="68"/>
  <c r="C154" i="68"/>
  <c r="C152" i="68"/>
  <c r="C150" i="68"/>
  <c r="C148" i="68"/>
  <c r="C146" i="68"/>
  <c r="C144" i="68"/>
  <c r="C142" i="68"/>
  <c r="C140" i="68"/>
  <c r="C138" i="68"/>
  <c r="C136" i="68"/>
  <c r="C134" i="68"/>
  <c r="C132" i="68"/>
  <c r="C130" i="68"/>
  <c r="C128" i="68"/>
  <c r="C126" i="68"/>
  <c r="C124" i="68"/>
  <c r="C122" i="68"/>
  <c r="C120" i="68"/>
  <c r="C119" i="68"/>
  <c r="C109" i="68"/>
  <c r="C107" i="68"/>
  <c r="C101" i="68"/>
  <c r="C99" i="68"/>
  <c r="C97" i="68"/>
  <c r="C95" i="68"/>
  <c r="C93" i="68"/>
  <c r="C89" i="68"/>
  <c r="C87" i="68"/>
  <c r="C85" i="68"/>
  <c r="C83" i="68"/>
  <c r="C81" i="68"/>
  <c r="C171" i="68"/>
  <c r="C163" i="68"/>
  <c r="C118" i="68"/>
  <c r="C116" i="68"/>
  <c r="C114" i="68"/>
  <c r="C105" i="68"/>
  <c r="C91" i="68"/>
  <c r="C79" i="68"/>
  <c r="C173" i="68"/>
  <c r="C110" i="68"/>
  <c r="C108" i="68"/>
  <c r="C106" i="68"/>
  <c r="C100" i="68"/>
  <c r="C96" i="68"/>
  <c r="C94" i="68"/>
  <c r="C88" i="68"/>
  <c r="C86" i="68"/>
  <c r="C84" i="68"/>
  <c r="C82" i="68"/>
  <c r="C80" i="68"/>
  <c r="C117" i="68"/>
  <c r="C68" i="68"/>
  <c r="C37" i="68"/>
  <c r="C33" i="68"/>
  <c r="C31" i="68"/>
  <c r="C29" i="68"/>
  <c r="C25" i="68"/>
  <c r="C23" i="68"/>
  <c r="C67" i="68"/>
  <c r="C61" i="68"/>
  <c r="C59" i="68"/>
  <c r="C57" i="68"/>
  <c r="C52" i="68"/>
  <c r="C50" i="68"/>
  <c r="C48" i="68"/>
  <c r="C46" i="68"/>
  <c r="C41" i="68"/>
  <c r="C39" i="68"/>
  <c r="C113" i="68"/>
  <c r="C77" i="68"/>
  <c r="C75" i="68"/>
  <c r="C73" i="68"/>
  <c r="C32" i="68"/>
  <c r="C30" i="68"/>
  <c r="C24" i="68"/>
  <c r="C19" i="68"/>
  <c r="C17" i="68"/>
  <c r="C47" i="68"/>
  <c r="C40" i="68"/>
  <c r="C36" i="68"/>
  <c r="C18" i="68"/>
  <c r="C16" i="68"/>
  <c r="C115" i="68"/>
  <c r="C71" i="68"/>
  <c r="C56" i="68"/>
  <c r="C49" i="68"/>
  <c r="C42" i="68"/>
  <c r="C28" i="68"/>
  <c r="C69" i="68"/>
  <c r="C60" i="68"/>
  <c r="C53" i="68"/>
  <c r="C45" i="68"/>
  <c r="C38" i="68"/>
  <c r="C15" i="68"/>
  <c r="C167" i="68"/>
  <c r="C70" i="68"/>
  <c r="C58" i="68"/>
  <c r="C51" i="68"/>
  <c r="C27" i="68"/>
  <c r="C66" i="68"/>
  <c r="C22" i="68"/>
  <c r="C20" i="68"/>
  <c r="C65" i="68"/>
  <c r="C166" i="68"/>
  <c r="C44" i="68"/>
  <c r="C112" i="68"/>
  <c r="C169" i="68"/>
  <c r="C10" i="68" s="1"/>
  <c r="C55" i="68"/>
  <c r="C63" i="68"/>
  <c r="C103" i="68"/>
  <c r="C35" i="68"/>
  <c r="C13" i="68"/>
  <c r="C175" i="70" l="1"/>
  <c r="C159" i="70"/>
  <c r="C155" i="70"/>
  <c r="C151" i="70"/>
  <c r="C108" i="70"/>
  <c r="C114" i="70"/>
  <c r="C109" i="70"/>
  <c r="C105" i="70"/>
  <c r="C176" i="70"/>
  <c r="C172" i="70"/>
  <c r="C168" i="70"/>
  <c r="C94" i="70"/>
  <c r="C144" i="70"/>
  <c r="C128" i="70"/>
  <c r="C120" i="70"/>
  <c r="C98" i="70"/>
  <c r="C59" i="70"/>
  <c r="C156" i="70"/>
  <c r="C140" i="70"/>
  <c r="C124" i="70"/>
  <c r="C84" i="70"/>
  <c r="C80" i="70"/>
  <c r="C54" i="70"/>
  <c r="C152" i="70"/>
  <c r="C136" i="70"/>
  <c r="C73" i="70"/>
  <c r="C50" i="70"/>
  <c r="C46" i="70"/>
  <c r="C161" i="70"/>
  <c r="C148" i="70"/>
  <c r="C132" i="70"/>
  <c r="C119" i="70"/>
  <c r="C116" i="70"/>
  <c r="C71" i="70"/>
  <c r="C70" i="70"/>
  <c r="C69" i="70"/>
  <c r="C67" i="70"/>
  <c r="C66" i="70"/>
  <c r="C41" i="70"/>
  <c r="C39" i="70"/>
  <c r="C38" i="70"/>
  <c r="C34" i="70"/>
  <c r="C30" i="70"/>
  <c r="C19" i="70"/>
  <c r="C33" i="70"/>
  <c r="C78" i="70"/>
  <c r="C49" i="70"/>
  <c r="C131" i="70"/>
  <c r="C44" i="70"/>
  <c r="C83" i="70"/>
  <c r="C112" i="70"/>
  <c r="C130" i="70"/>
  <c r="C99" i="70"/>
  <c r="C133" i="70"/>
  <c r="C149" i="70"/>
  <c r="C170" i="70"/>
  <c r="C22" i="70"/>
  <c r="C17" i="70"/>
  <c r="C56" i="70"/>
  <c r="C47" i="70"/>
  <c r="C52" i="70"/>
  <c r="C32" i="70"/>
  <c r="C62" i="70"/>
  <c r="C85" i="70"/>
  <c r="C106" i="70"/>
  <c r="C123" i="70"/>
  <c r="C26" i="70"/>
  <c r="C40" i="70"/>
  <c r="C61" i="70"/>
  <c r="C68" i="70"/>
  <c r="C97" i="70"/>
  <c r="C127" i="70"/>
  <c r="C173" i="70"/>
  <c r="C104" i="70"/>
  <c r="C125" i="70"/>
  <c r="C141" i="70"/>
  <c r="C157" i="70"/>
  <c r="C174" i="70"/>
  <c r="C18" i="70"/>
  <c r="C45" i="70"/>
  <c r="C91" i="70"/>
  <c r="C48" i="70"/>
  <c r="C79" i="70"/>
  <c r="C75" i="70"/>
  <c r="C139" i="70"/>
  <c r="C121" i="70"/>
  <c r="C145" i="70"/>
  <c r="C163" i="70"/>
  <c r="C28" i="70"/>
  <c r="C29" i="70"/>
  <c r="C147" i="70"/>
  <c r="C25" i="70"/>
  <c r="C51" i="70"/>
  <c r="C95" i="70"/>
  <c r="C135" i="70"/>
  <c r="C58" i="70"/>
  <c r="C82" i="70"/>
  <c r="C142" i="70"/>
  <c r="C158" i="70"/>
  <c r="C169" i="70"/>
  <c r="C21" i="70"/>
  <c r="C86" i="70"/>
  <c r="C126" i="70"/>
  <c r="C60" i="70"/>
  <c r="C88" i="70"/>
  <c r="C107" i="70"/>
  <c r="C146" i="70"/>
  <c r="C117" i="70"/>
  <c r="C137" i="70"/>
  <c r="C153" i="70"/>
  <c r="C134" i="70"/>
  <c r="C20" i="70"/>
  <c r="C57" i="70"/>
  <c r="C93" i="70"/>
  <c r="C92" i="70"/>
  <c r="C24" i="70"/>
  <c r="C118" i="70"/>
  <c r="C150" i="70"/>
  <c r="C31" i="70"/>
  <c r="C43" i="70"/>
  <c r="C138" i="70"/>
  <c r="C154" i="70"/>
  <c r="C81" i="70"/>
  <c r="C143" i="70"/>
  <c r="C113" i="70"/>
  <c r="C129" i="70"/>
  <c r="C103" i="70"/>
  <c r="C171" i="70"/>
  <c r="C111" i="70"/>
  <c r="C64" i="70"/>
  <c r="C65" i="70"/>
  <c r="C167" i="70"/>
  <c r="C37" i="70"/>
  <c r="C36" i="70"/>
  <c r="C77" i="70"/>
  <c r="C101" i="70"/>
  <c r="C165" i="70"/>
  <c r="C90" i="70"/>
  <c r="C15" i="70"/>
  <c r="C13" i="70"/>
  <c r="F11" i="70"/>
  <c r="I11" i="70"/>
  <c r="C11" i="70" l="1"/>
  <c r="C91" i="65"/>
  <c r="M91" i="65" s="1"/>
  <c r="C90" i="65"/>
  <c r="M90" i="65" s="1"/>
  <c r="I89" i="65"/>
  <c r="I85" i="65" s="1"/>
  <c r="C88" i="65"/>
  <c r="M88" i="65" s="1"/>
  <c r="C87" i="65"/>
  <c r="M87" i="65" s="1"/>
  <c r="M86" i="65"/>
  <c r="J86" i="65"/>
  <c r="G86" i="65"/>
  <c r="D86" i="65"/>
  <c r="C86" i="65"/>
  <c r="L85" i="65"/>
  <c r="F85" i="65"/>
  <c r="M84" i="65"/>
  <c r="J84" i="65"/>
  <c r="G84" i="65"/>
  <c r="D84" i="65"/>
  <c r="C84" i="65"/>
  <c r="C83" i="65"/>
  <c r="M83" i="65" s="1"/>
  <c r="M82" i="65"/>
  <c r="J82" i="65"/>
  <c r="G82" i="65"/>
  <c r="D82" i="65"/>
  <c r="C82" i="65"/>
  <c r="C81" i="65"/>
  <c r="G81" i="65" s="1"/>
  <c r="C80" i="65"/>
  <c r="J80" i="65" s="1"/>
  <c r="C79" i="65"/>
  <c r="M79" i="65" s="1"/>
  <c r="C78" i="65"/>
  <c r="M78" i="65" s="1"/>
  <c r="C77" i="65"/>
  <c r="G77" i="65" s="1"/>
  <c r="C76" i="65"/>
  <c r="J76" i="65" s="1"/>
  <c r="C75" i="65"/>
  <c r="M75" i="65" s="1"/>
  <c r="C74" i="65"/>
  <c r="M74" i="65" s="1"/>
  <c r="C73" i="65"/>
  <c r="G73" i="65" s="1"/>
  <c r="C72" i="65"/>
  <c r="J72" i="65" s="1"/>
  <c r="C71" i="65"/>
  <c r="M71" i="65" s="1"/>
  <c r="C70" i="65"/>
  <c r="M70" i="65" s="1"/>
  <c r="C69" i="65"/>
  <c r="G69" i="65" s="1"/>
  <c r="C68" i="65"/>
  <c r="C67" i="65"/>
  <c r="M67" i="65" s="1"/>
  <c r="C66" i="65"/>
  <c r="M66" i="65" s="1"/>
  <c r="C65" i="65"/>
  <c r="G65" i="65" s="1"/>
  <c r="C64" i="65"/>
  <c r="J64" i="65" s="1"/>
  <c r="C63" i="65"/>
  <c r="M63" i="65" s="1"/>
  <c r="C62" i="65"/>
  <c r="M62" i="65" s="1"/>
  <c r="C61" i="65"/>
  <c r="G61" i="65" s="1"/>
  <c r="C60" i="65"/>
  <c r="J60" i="65" s="1"/>
  <c r="C59" i="65"/>
  <c r="M59" i="65" s="1"/>
  <c r="C58" i="65"/>
  <c r="M58" i="65" s="1"/>
  <c r="C57" i="65"/>
  <c r="G57" i="65" s="1"/>
  <c r="C56" i="65"/>
  <c r="C55" i="65"/>
  <c r="M55" i="65" s="1"/>
  <c r="C54" i="65"/>
  <c r="M54" i="65" s="1"/>
  <c r="C53" i="65"/>
  <c r="G53" i="65" s="1"/>
  <c r="C52" i="65"/>
  <c r="C51" i="65"/>
  <c r="M51" i="65" s="1"/>
  <c r="C50" i="65"/>
  <c r="M50" i="65" s="1"/>
  <c r="J49" i="65"/>
  <c r="C49" i="65"/>
  <c r="G49" i="65" s="1"/>
  <c r="C48" i="65"/>
  <c r="C47" i="65"/>
  <c r="M47" i="65" s="1"/>
  <c r="C46" i="65"/>
  <c r="M46" i="65" s="1"/>
  <c r="C45" i="65"/>
  <c r="G45" i="65" s="1"/>
  <c r="C44" i="65"/>
  <c r="C43" i="65"/>
  <c r="M43" i="65" s="1"/>
  <c r="C42" i="65"/>
  <c r="M42" i="65" s="1"/>
  <c r="C41" i="65"/>
  <c r="G41" i="65" s="1"/>
  <c r="C40" i="65"/>
  <c r="C39" i="65"/>
  <c r="M39" i="65" s="1"/>
  <c r="G38" i="65"/>
  <c r="C38" i="65"/>
  <c r="M38" i="65" s="1"/>
  <c r="C37" i="65"/>
  <c r="G37" i="65" s="1"/>
  <c r="C36" i="65"/>
  <c r="C35" i="65"/>
  <c r="M35" i="65" s="1"/>
  <c r="M34" i="65"/>
  <c r="J34" i="65"/>
  <c r="G34" i="65"/>
  <c r="D34" i="65"/>
  <c r="L33" i="65"/>
  <c r="I33" i="65"/>
  <c r="J33" i="65" s="1"/>
  <c r="F33" i="65"/>
  <c r="C33" i="65" s="1"/>
  <c r="M32" i="65"/>
  <c r="J32" i="65"/>
  <c r="G32" i="65"/>
  <c r="D32" i="65"/>
  <c r="C32" i="65"/>
  <c r="C31" i="65"/>
  <c r="G31" i="65" s="1"/>
  <c r="C30" i="65"/>
  <c r="C29" i="65"/>
  <c r="M29" i="65" s="1"/>
  <c r="C28" i="65"/>
  <c r="M28" i="65" s="1"/>
  <c r="C27" i="65"/>
  <c r="G27" i="65" s="1"/>
  <c r="C26" i="65"/>
  <c r="C25" i="65"/>
  <c r="M25" i="65" s="1"/>
  <c r="C24" i="65"/>
  <c r="M24" i="65" s="1"/>
  <c r="J23" i="65"/>
  <c r="C23" i="65"/>
  <c r="G23" i="65" s="1"/>
  <c r="C22" i="65"/>
  <c r="C21" i="65"/>
  <c r="M21" i="65" s="1"/>
  <c r="C20" i="65"/>
  <c r="C19" i="65"/>
  <c r="G19" i="65" s="1"/>
  <c r="C18" i="65"/>
  <c r="M18" i="65" s="1"/>
  <c r="M17" i="65"/>
  <c r="J17" i="65"/>
  <c r="G17" i="65"/>
  <c r="D17" i="65"/>
  <c r="C17" i="65"/>
  <c r="L16" i="65"/>
  <c r="L14" i="65" s="1"/>
  <c r="I16" i="65"/>
  <c r="F16" i="65"/>
  <c r="C16" i="65" s="1"/>
  <c r="M15" i="65"/>
  <c r="J15" i="65"/>
  <c r="G15" i="65"/>
  <c r="D15" i="65"/>
  <c r="C15" i="65"/>
  <c r="I14" i="65"/>
  <c r="I12" i="65" s="1"/>
  <c r="F14" i="65"/>
  <c r="M13" i="65"/>
  <c r="J13" i="65"/>
  <c r="G13" i="65"/>
  <c r="D13" i="65"/>
  <c r="C13" i="65"/>
  <c r="B33" i="57"/>
  <c r="I33" i="57" s="1"/>
  <c r="B31" i="57"/>
  <c r="I31" i="57" s="1"/>
  <c r="B29" i="57"/>
  <c r="I29" i="57" s="1"/>
  <c r="B27" i="57"/>
  <c r="I27" i="57" s="1"/>
  <c r="B25" i="57"/>
  <c r="I25" i="57" s="1"/>
  <c r="B23" i="57"/>
  <c r="I23" i="57" s="1"/>
  <c r="B21" i="57"/>
  <c r="I21" i="57" s="1"/>
  <c r="B19" i="57"/>
  <c r="I19" i="57" s="1"/>
  <c r="B17" i="57"/>
  <c r="I17" i="57" s="1"/>
  <c r="B15" i="57"/>
  <c r="I15" i="57" s="1"/>
  <c r="H13" i="57"/>
  <c r="H11" i="57" s="1"/>
  <c r="E13" i="57"/>
  <c r="B83" i="56"/>
  <c r="I83" i="56" s="1"/>
  <c r="B82" i="56"/>
  <c r="I82" i="56" s="1"/>
  <c r="B81" i="56"/>
  <c r="I81" i="56" s="1"/>
  <c r="B80" i="56"/>
  <c r="I80" i="56" s="1"/>
  <c r="H79" i="56"/>
  <c r="E79" i="56"/>
  <c r="B79" i="56" s="1"/>
  <c r="I78" i="56"/>
  <c r="C78" i="56"/>
  <c r="B78" i="56"/>
  <c r="B77" i="56"/>
  <c r="I77" i="56" s="1"/>
  <c r="B76" i="56"/>
  <c r="I76" i="56" s="1"/>
  <c r="B75" i="56"/>
  <c r="I75" i="56" s="1"/>
  <c r="B74" i="56"/>
  <c r="I74" i="56" s="1"/>
  <c r="B73" i="56"/>
  <c r="F73" i="56" s="1"/>
  <c r="B72" i="56"/>
  <c r="I72" i="56" s="1"/>
  <c r="B71" i="56"/>
  <c r="I71" i="56" s="1"/>
  <c r="B70" i="56"/>
  <c r="I70" i="56" s="1"/>
  <c r="B69" i="56"/>
  <c r="I69" i="56" s="1"/>
  <c r="B68" i="56"/>
  <c r="I68" i="56" s="1"/>
  <c r="B67" i="56"/>
  <c r="I67" i="56" s="1"/>
  <c r="B66" i="56"/>
  <c r="I66" i="56" s="1"/>
  <c r="B65" i="56"/>
  <c r="I65" i="56" s="1"/>
  <c r="B64" i="56"/>
  <c r="I64" i="56" s="1"/>
  <c r="B63" i="56"/>
  <c r="I63" i="56" s="1"/>
  <c r="B62" i="56"/>
  <c r="I62" i="56" s="1"/>
  <c r="B61" i="56"/>
  <c r="F61" i="56" s="1"/>
  <c r="B60" i="56"/>
  <c r="F60" i="56" s="1"/>
  <c r="B59" i="56"/>
  <c r="F59" i="56" s="1"/>
  <c r="B58" i="56"/>
  <c r="F58" i="56" s="1"/>
  <c r="B57" i="56"/>
  <c r="B56" i="56"/>
  <c r="F56" i="56" s="1"/>
  <c r="B55" i="56"/>
  <c r="I55" i="56" s="1"/>
  <c r="B54" i="56"/>
  <c r="F54" i="56" s="1"/>
  <c r="B53" i="56"/>
  <c r="F53" i="56" s="1"/>
  <c r="B52" i="56"/>
  <c r="I52" i="56" s="1"/>
  <c r="B51" i="56"/>
  <c r="F51" i="56" s="1"/>
  <c r="B50" i="56"/>
  <c r="F50" i="56" s="1"/>
  <c r="B49" i="56"/>
  <c r="F49" i="56" s="1"/>
  <c r="B48" i="56"/>
  <c r="B47" i="56"/>
  <c r="F47" i="56" s="1"/>
  <c r="B46" i="56"/>
  <c r="F46" i="56" s="1"/>
  <c r="B45" i="56"/>
  <c r="F45" i="56" s="1"/>
  <c r="B44" i="56"/>
  <c r="F44" i="56" s="1"/>
  <c r="F43" i="56"/>
  <c r="B43" i="56"/>
  <c r="B42" i="56"/>
  <c r="I42" i="56" s="1"/>
  <c r="B41" i="56"/>
  <c r="I40" i="56"/>
  <c r="B40" i="56"/>
  <c r="F40" i="56" s="1"/>
  <c r="B39" i="56"/>
  <c r="I39" i="56" s="1"/>
  <c r="B38" i="56"/>
  <c r="I38" i="56" s="1"/>
  <c r="B37" i="56"/>
  <c r="F37" i="56" s="1"/>
  <c r="I36" i="56"/>
  <c r="B36" i="56"/>
  <c r="F36" i="56" s="1"/>
  <c r="B35" i="56"/>
  <c r="I35" i="56" s="1"/>
  <c r="B34" i="56"/>
  <c r="I34" i="56" s="1"/>
  <c r="B33" i="56"/>
  <c r="B32" i="56"/>
  <c r="F32" i="56" s="1"/>
  <c r="B31" i="56"/>
  <c r="I31" i="56" s="1"/>
  <c r="B30" i="56"/>
  <c r="I30" i="56" s="1"/>
  <c r="I29" i="56"/>
  <c r="B29" i="56"/>
  <c r="F29" i="56" s="1"/>
  <c r="B28" i="56"/>
  <c r="F28" i="56" s="1"/>
  <c r="B27" i="56"/>
  <c r="I27" i="56" s="1"/>
  <c r="B26" i="56"/>
  <c r="I26" i="56" s="1"/>
  <c r="B25" i="56"/>
  <c r="B24" i="56"/>
  <c r="I24" i="56" s="1"/>
  <c r="B23" i="56"/>
  <c r="I23" i="56" s="1"/>
  <c r="H22" i="56"/>
  <c r="E22" i="56"/>
  <c r="I21" i="56"/>
  <c r="F21" i="56"/>
  <c r="C21" i="56"/>
  <c r="B21" i="56"/>
  <c r="B20" i="56"/>
  <c r="I20" i="56" s="1"/>
  <c r="B19" i="56"/>
  <c r="I19" i="56" s="1"/>
  <c r="B18" i="56"/>
  <c r="I18" i="56" s="1"/>
  <c r="B17" i="56"/>
  <c r="I17" i="56" s="1"/>
  <c r="B16" i="56"/>
  <c r="I16" i="56" s="1"/>
  <c r="B15" i="56"/>
  <c r="I15" i="56" s="1"/>
  <c r="B14" i="56"/>
  <c r="I14" i="56" s="1"/>
  <c r="H13" i="56"/>
  <c r="E13" i="56"/>
  <c r="B13" i="56" s="1"/>
  <c r="I12" i="56"/>
  <c r="F12" i="56"/>
  <c r="C12" i="56"/>
  <c r="B12" i="56"/>
  <c r="B101" i="55"/>
  <c r="I101" i="55" s="1"/>
  <c r="B100" i="55"/>
  <c r="I100" i="55" s="1"/>
  <c r="B99" i="55"/>
  <c r="I99" i="55" s="1"/>
  <c r="B98" i="55"/>
  <c r="I98" i="55" s="1"/>
  <c r="B97" i="55"/>
  <c r="I97" i="55" s="1"/>
  <c r="H96" i="55"/>
  <c r="E96" i="55"/>
  <c r="B96" i="55" s="1"/>
  <c r="I95" i="55"/>
  <c r="F95" i="55"/>
  <c r="C95" i="55"/>
  <c r="B95" i="55"/>
  <c r="B94" i="55"/>
  <c r="F94" i="55" s="1"/>
  <c r="B93" i="55"/>
  <c r="F93" i="55" s="1"/>
  <c r="I92" i="55"/>
  <c r="F92" i="55"/>
  <c r="C92" i="55"/>
  <c r="B92" i="55"/>
  <c r="B91" i="55"/>
  <c r="F91" i="55" s="1"/>
  <c r="B90" i="55"/>
  <c r="F90" i="55" s="1"/>
  <c r="F89" i="55"/>
  <c r="B89" i="55"/>
  <c r="I89" i="55" s="1"/>
  <c r="B88" i="55"/>
  <c r="I88" i="55" s="1"/>
  <c r="F87" i="55"/>
  <c r="B87" i="55"/>
  <c r="I87" i="55" s="1"/>
  <c r="B86" i="55"/>
  <c r="F85" i="55"/>
  <c r="B85" i="55"/>
  <c r="I85" i="55" s="1"/>
  <c r="B84" i="55"/>
  <c r="I84" i="55" s="1"/>
  <c r="B83" i="55"/>
  <c r="I83" i="55" s="1"/>
  <c r="H82" i="55"/>
  <c r="H81" i="55" s="1"/>
  <c r="E82" i="55"/>
  <c r="E81" i="55" s="1"/>
  <c r="F80" i="55"/>
  <c r="B79" i="55"/>
  <c r="I79" i="55" s="1"/>
  <c r="B78" i="55"/>
  <c r="I78" i="55" s="1"/>
  <c r="B77" i="55"/>
  <c r="F77" i="55" s="1"/>
  <c r="B76" i="55"/>
  <c r="I76" i="55" s="1"/>
  <c r="H75" i="55"/>
  <c r="H74" i="55" s="1"/>
  <c r="E75" i="55"/>
  <c r="B75" i="55" s="1"/>
  <c r="F75" i="55" s="1"/>
  <c r="F73" i="55"/>
  <c r="B72" i="55"/>
  <c r="I72" i="55" s="1"/>
  <c r="F71" i="55"/>
  <c r="B70" i="55"/>
  <c r="I70" i="55" s="1"/>
  <c r="F69" i="55"/>
  <c r="B69" i="55"/>
  <c r="B68" i="55"/>
  <c r="I68" i="55" s="1"/>
  <c r="B67" i="55"/>
  <c r="B66" i="55"/>
  <c r="F66" i="55" s="1"/>
  <c r="F65" i="55"/>
  <c r="B65" i="55"/>
  <c r="I65" i="55" s="1"/>
  <c r="B64" i="55"/>
  <c r="I64" i="55" s="1"/>
  <c r="H63" i="55"/>
  <c r="E63" i="55"/>
  <c r="B63" i="55"/>
  <c r="F63" i="55" s="1"/>
  <c r="F62" i="55"/>
  <c r="B61" i="55"/>
  <c r="F61" i="55" s="1"/>
  <c r="H60" i="55"/>
  <c r="E60" i="55"/>
  <c r="F59" i="55"/>
  <c r="B58" i="55"/>
  <c r="I58" i="55" s="1"/>
  <c r="B57" i="55"/>
  <c r="I57" i="55" s="1"/>
  <c r="B56" i="55"/>
  <c r="I56" i="55" s="1"/>
  <c r="B55" i="55"/>
  <c r="I55" i="55" s="1"/>
  <c r="B54" i="55"/>
  <c r="I54" i="55" s="1"/>
  <c r="H53" i="55"/>
  <c r="E53" i="55"/>
  <c r="F52" i="55"/>
  <c r="B51" i="55"/>
  <c r="I51" i="55" s="1"/>
  <c r="F50" i="55"/>
  <c r="B49" i="55"/>
  <c r="I49" i="55" s="1"/>
  <c r="B48" i="55"/>
  <c r="I48" i="55" s="1"/>
  <c r="B47" i="55"/>
  <c r="I47" i="55" s="1"/>
  <c r="B46" i="55"/>
  <c r="I46" i="55" s="1"/>
  <c r="B45" i="55"/>
  <c r="I45" i="55" s="1"/>
  <c r="B44" i="55"/>
  <c r="I44" i="55" s="1"/>
  <c r="B43" i="55"/>
  <c r="I43" i="55" s="1"/>
  <c r="B42" i="55"/>
  <c r="I42" i="55" s="1"/>
  <c r="H41" i="55"/>
  <c r="E41" i="55"/>
  <c r="B41" i="55" s="1"/>
  <c r="F40" i="55"/>
  <c r="B39" i="55"/>
  <c r="I39" i="55" s="1"/>
  <c r="B38" i="55"/>
  <c r="I38" i="55" s="1"/>
  <c r="B37" i="55"/>
  <c r="I37" i="55" s="1"/>
  <c r="B36" i="55"/>
  <c r="I36" i="55" s="1"/>
  <c r="H35" i="55"/>
  <c r="E35" i="55"/>
  <c r="F33" i="55"/>
  <c r="B32" i="55"/>
  <c r="I32" i="55" s="1"/>
  <c r="B31" i="55"/>
  <c r="I31" i="55" s="1"/>
  <c r="B30" i="55"/>
  <c r="I30" i="55" s="1"/>
  <c r="B29" i="55"/>
  <c r="I29" i="55" s="1"/>
  <c r="B28" i="55"/>
  <c r="I28" i="55" s="1"/>
  <c r="H27" i="55"/>
  <c r="E27" i="55"/>
  <c r="B27" i="55" s="1"/>
  <c r="H26" i="55"/>
  <c r="F25" i="55"/>
  <c r="B24" i="55"/>
  <c r="F24" i="55" s="1"/>
  <c r="B23" i="55"/>
  <c r="F23" i="55" s="1"/>
  <c r="B22" i="55"/>
  <c r="F22" i="55" s="1"/>
  <c r="H21" i="55"/>
  <c r="E21" i="55"/>
  <c r="F20" i="55"/>
  <c r="B19" i="55"/>
  <c r="I19" i="55" s="1"/>
  <c r="B18" i="55"/>
  <c r="I18" i="55" s="1"/>
  <c r="B17" i="55"/>
  <c r="I17" i="55" s="1"/>
  <c r="H16" i="55"/>
  <c r="E16" i="55"/>
  <c r="B16" i="55" s="1"/>
  <c r="B101" i="54"/>
  <c r="M101" i="54" s="1"/>
  <c r="B100" i="54"/>
  <c r="M100" i="54" s="1"/>
  <c r="B99" i="54"/>
  <c r="F99" i="54" s="1"/>
  <c r="B98" i="54"/>
  <c r="B97" i="54"/>
  <c r="K96" i="54"/>
  <c r="H96" i="54"/>
  <c r="E96" i="54"/>
  <c r="M95" i="54"/>
  <c r="I95" i="54"/>
  <c r="F95" i="54"/>
  <c r="B95" i="54"/>
  <c r="B94" i="54"/>
  <c r="B93" i="54"/>
  <c r="I92" i="54"/>
  <c r="F92" i="54"/>
  <c r="B91" i="54"/>
  <c r="B90" i="54"/>
  <c r="M90" i="54" s="1"/>
  <c r="B89" i="54"/>
  <c r="M89" i="54" s="1"/>
  <c r="B88" i="54"/>
  <c r="M88" i="54" s="1"/>
  <c r="B87" i="54"/>
  <c r="I87" i="54" s="1"/>
  <c r="B86" i="54"/>
  <c r="I86" i="54" s="1"/>
  <c r="I85" i="54"/>
  <c r="B85" i="54"/>
  <c r="M85" i="54" s="1"/>
  <c r="B84" i="54"/>
  <c r="M84" i="54" s="1"/>
  <c r="B83" i="54"/>
  <c r="K82" i="54"/>
  <c r="H82" i="54"/>
  <c r="E82" i="54"/>
  <c r="E81" i="54" s="1"/>
  <c r="M80" i="54"/>
  <c r="I80" i="54"/>
  <c r="F80" i="54"/>
  <c r="B79" i="54"/>
  <c r="F79" i="54" s="1"/>
  <c r="B78" i="54"/>
  <c r="I78" i="54" s="1"/>
  <c r="I77" i="54"/>
  <c r="B77" i="54"/>
  <c r="M77" i="54" s="1"/>
  <c r="B76" i="54"/>
  <c r="M76" i="54" s="1"/>
  <c r="K75" i="54"/>
  <c r="K74" i="54" s="1"/>
  <c r="H75" i="54"/>
  <c r="E75" i="54"/>
  <c r="E74" i="54" s="1"/>
  <c r="H74" i="54"/>
  <c r="M73" i="54"/>
  <c r="I73" i="54"/>
  <c r="F73" i="54"/>
  <c r="B73" i="54"/>
  <c r="B72" i="54"/>
  <c r="M72" i="54" s="1"/>
  <c r="M71" i="54"/>
  <c r="I71" i="54"/>
  <c r="F71" i="54"/>
  <c r="B71" i="54"/>
  <c r="B70" i="54"/>
  <c r="M70" i="54" s="1"/>
  <c r="M69" i="54"/>
  <c r="I69" i="54"/>
  <c r="F69" i="54"/>
  <c r="B69" i="54"/>
  <c r="B68" i="54"/>
  <c r="M68" i="54" s="1"/>
  <c r="B67" i="54"/>
  <c r="B66" i="54"/>
  <c r="M66" i="54" s="1"/>
  <c r="B65" i="54"/>
  <c r="B64" i="54"/>
  <c r="F64" i="54" s="1"/>
  <c r="K63" i="54"/>
  <c r="H63" i="54"/>
  <c r="H60" i="54" s="1"/>
  <c r="E63" i="54"/>
  <c r="I62" i="54"/>
  <c r="F62" i="54"/>
  <c r="B62" i="54"/>
  <c r="B61" i="54"/>
  <c r="I61" i="54" s="1"/>
  <c r="K60" i="54"/>
  <c r="M59" i="54"/>
  <c r="I59" i="54"/>
  <c r="F59" i="54"/>
  <c r="B59" i="54"/>
  <c r="B58" i="54"/>
  <c r="I58" i="54" s="1"/>
  <c r="B57" i="54"/>
  <c r="M56" i="54"/>
  <c r="B56" i="54"/>
  <c r="I56" i="54" s="1"/>
  <c r="B55" i="54"/>
  <c r="M55" i="54" s="1"/>
  <c r="B54" i="54"/>
  <c r="I54" i="54" s="1"/>
  <c r="K53" i="54"/>
  <c r="H53" i="54"/>
  <c r="E53" i="54"/>
  <c r="M52" i="54"/>
  <c r="I52" i="54"/>
  <c r="F52" i="54"/>
  <c r="B52" i="54"/>
  <c r="B51" i="54"/>
  <c r="M51" i="54" s="1"/>
  <c r="M50" i="54"/>
  <c r="I50" i="54"/>
  <c r="B50" i="54"/>
  <c r="B49" i="54"/>
  <c r="B48" i="54"/>
  <c r="B47" i="54"/>
  <c r="B46" i="54"/>
  <c r="B45" i="54"/>
  <c r="B44" i="54"/>
  <c r="B43" i="54"/>
  <c r="B42" i="54"/>
  <c r="K41" i="54"/>
  <c r="H41" i="54"/>
  <c r="E41" i="54"/>
  <c r="B41" i="54"/>
  <c r="M40" i="54"/>
  <c r="I40" i="54"/>
  <c r="F40" i="54"/>
  <c r="B40" i="54"/>
  <c r="B39" i="54"/>
  <c r="B38" i="54"/>
  <c r="B37" i="54"/>
  <c r="B36" i="54"/>
  <c r="K35" i="54"/>
  <c r="H35" i="54"/>
  <c r="H34" i="54" s="1"/>
  <c r="E35" i="54"/>
  <c r="M33" i="54"/>
  <c r="I33" i="54"/>
  <c r="F33" i="54"/>
  <c r="B33" i="54"/>
  <c r="B32" i="54"/>
  <c r="B31" i="54"/>
  <c r="B30" i="54"/>
  <c r="B29" i="54"/>
  <c r="B28" i="54"/>
  <c r="M28" i="54" s="1"/>
  <c r="K27" i="54"/>
  <c r="H27" i="54"/>
  <c r="E27" i="54"/>
  <c r="K26" i="54"/>
  <c r="H26" i="54"/>
  <c r="E26" i="54"/>
  <c r="M25" i="54"/>
  <c r="I25" i="54"/>
  <c r="B25" i="54"/>
  <c r="B24" i="54"/>
  <c r="I24" i="54" s="1"/>
  <c r="I23" i="54"/>
  <c r="B23" i="54"/>
  <c r="M23" i="54" s="1"/>
  <c r="B22" i="54"/>
  <c r="M22" i="54" s="1"/>
  <c r="K21" i="54"/>
  <c r="H21" i="54"/>
  <c r="E21" i="54"/>
  <c r="M20" i="54"/>
  <c r="I20" i="54"/>
  <c r="F20" i="54"/>
  <c r="B20" i="54"/>
  <c r="M19" i="54"/>
  <c r="I19" i="54"/>
  <c r="B19" i="54"/>
  <c r="B18" i="54"/>
  <c r="M18" i="54" s="1"/>
  <c r="B17" i="54"/>
  <c r="M17" i="54" s="1"/>
  <c r="K16" i="54"/>
  <c r="K15" i="54" s="1"/>
  <c r="H16" i="54"/>
  <c r="E16" i="54"/>
  <c r="H15" i="54"/>
  <c r="M12" i="54"/>
  <c r="I12" i="54"/>
  <c r="F12" i="54"/>
  <c r="B12" i="54"/>
  <c r="B35" i="53"/>
  <c r="R35" i="53" s="1"/>
  <c r="R34" i="53"/>
  <c r="O34" i="53"/>
  <c r="L34" i="53"/>
  <c r="I34" i="53"/>
  <c r="F34" i="53"/>
  <c r="C34" i="53"/>
  <c r="B34" i="53"/>
  <c r="B33" i="53"/>
  <c r="R32" i="53"/>
  <c r="O32" i="53"/>
  <c r="L32" i="53"/>
  <c r="I32" i="53"/>
  <c r="F32" i="53"/>
  <c r="C32" i="53"/>
  <c r="B31" i="53"/>
  <c r="R30" i="53"/>
  <c r="O30" i="53"/>
  <c r="L30" i="53"/>
  <c r="I30" i="53"/>
  <c r="F30" i="53"/>
  <c r="C30" i="53"/>
  <c r="B29" i="53"/>
  <c r="R29" i="53" s="1"/>
  <c r="R28" i="53"/>
  <c r="O28" i="53"/>
  <c r="L28" i="53"/>
  <c r="I28" i="53"/>
  <c r="F28" i="53"/>
  <c r="C28" i="53"/>
  <c r="B27" i="53"/>
  <c r="I27" i="53" s="1"/>
  <c r="R26" i="53"/>
  <c r="O26" i="53"/>
  <c r="L26" i="53"/>
  <c r="I26" i="53"/>
  <c r="F26" i="53"/>
  <c r="C26" i="53"/>
  <c r="Q25" i="53"/>
  <c r="N25" i="53"/>
  <c r="K25" i="53"/>
  <c r="H25" i="53"/>
  <c r="E25" i="53"/>
  <c r="R24" i="53"/>
  <c r="O24" i="53"/>
  <c r="L24" i="53"/>
  <c r="I24" i="53"/>
  <c r="F24" i="53"/>
  <c r="C24" i="53"/>
  <c r="B23" i="53"/>
  <c r="R23" i="53" s="1"/>
  <c r="R22" i="53"/>
  <c r="O22" i="53"/>
  <c r="L22" i="53"/>
  <c r="I22" i="53"/>
  <c r="F22" i="53"/>
  <c r="C22" i="53"/>
  <c r="B21" i="53"/>
  <c r="I21" i="53" s="1"/>
  <c r="R20" i="53"/>
  <c r="O20" i="53"/>
  <c r="L20" i="53"/>
  <c r="I20" i="53"/>
  <c r="F20" i="53"/>
  <c r="C20" i="53"/>
  <c r="B19" i="53"/>
  <c r="L19" i="53" s="1"/>
  <c r="R18" i="53"/>
  <c r="O18" i="53"/>
  <c r="L18" i="53"/>
  <c r="I18" i="53"/>
  <c r="F18" i="53"/>
  <c r="C18" i="53"/>
  <c r="F17" i="53"/>
  <c r="B17" i="53"/>
  <c r="O17" i="53" s="1"/>
  <c r="R16" i="53"/>
  <c r="O16" i="53"/>
  <c r="L16" i="53"/>
  <c r="I16" i="53"/>
  <c r="F16" i="53"/>
  <c r="C16" i="53"/>
  <c r="I15" i="53"/>
  <c r="B15" i="53"/>
  <c r="R15" i="53" s="1"/>
  <c r="R14" i="53"/>
  <c r="O14" i="53"/>
  <c r="L14" i="53"/>
  <c r="I14" i="53"/>
  <c r="F14" i="53"/>
  <c r="C14" i="53"/>
  <c r="Q13" i="53"/>
  <c r="Q11" i="53" s="1"/>
  <c r="N13" i="53"/>
  <c r="K13" i="53"/>
  <c r="H13" i="53"/>
  <c r="H11" i="53" s="1"/>
  <c r="E13" i="53"/>
  <c r="E11" i="53" s="1"/>
  <c r="R12" i="53"/>
  <c r="O12" i="53"/>
  <c r="L12" i="53"/>
  <c r="I12" i="53"/>
  <c r="F12" i="53"/>
  <c r="N11" i="53"/>
  <c r="I36" i="52"/>
  <c r="B36" i="52"/>
  <c r="R36" i="52" s="1"/>
  <c r="C35" i="52"/>
  <c r="I34" i="52"/>
  <c r="B34" i="52"/>
  <c r="R34" i="52" s="1"/>
  <c r="C33" i="52"/>
  <c r="B32" i="52"/>
  <c r="R32" i="52" s="1"/>
  <c r="C31" i="52"/>
  <c r="B30" i="52"/>
  <c r="R30" i="52" s="1"/>
  <c r="C29" i="52"/>
  <c r="B28" i="52"/>
  <c r="R28" i="52" s="1"/>
  <c r="C27" i="52"/>
  <c r="Q26" i="52"/>
  <c r="N26" i="52"/>
  <c r="K26" i="52"/>
  <c r="H26" i="52"/>
  <c r="E26" i="52"/>
  <c r="C25" i="52"/>
  <c r="B24" i="52"/>
  <c r="L24" i="52" s="1"/>
  <c r="C23" i="52"/>
  <c r="B22" i="52"/>
  <c r="I24" i="52" s="1"/>
  <c r="C21" i="52"/>
  <c r="B20" i="52"/>
  <c r="I20" i="52" s="1"/>
  <c r="C19" i="52"/>
  <c r="B18" i="52"/>
  <c r="I18" i="52" s="1"/>
  <c r="C17" i="52"/>
  <c r="B16" i="52"/>
  <c r="I16" i="52" s="1"/>
  <c r="C15" i="52"/>
  <c r="Q14" i="52"/>
  <c r="Q12" i="52" s="1"/>
  <c r="N14" i="52"/>
  <c r="K14" i="52"/>
  <c r="K12" i="52" s="1"/>
  <c r="H14" i="52"/>
  <c r="E14" i="52"/>
  <c r="E12" i="52" s="1"/>
  <c r="B29" i="51"/>
  <c r="B27" i="51"/>
  <c r="F27" i="51" s="1"/>
  <c r="C26" i="51"/>
  <c r="B25" i="51"/>
  <c r="O25" i="51" s="1"/>
  <c r="C24" i="51"/>
  <c r="N23" i="51"/>
  <c r="K23" i="51"/>
  <c r="H23" i="51"/>
  <c r="E23" i="51"/>
  <c r="I21" i="51"/>
  <c r="F21" i="51"/>
  <c r="B21" i="51"/>
  <c r="L21" i="51" s="1"/>
  <c r="C20" i="51"/>
  <c r="B19" i="51"/>
  <c r="L19" i="51" s="1"/>
  <c r="C18" i="51"/>
  <c r="B17" i="51"/>
  <c r="O17" i="51" s="1"/>
  <c r="C16" i="51"/>
  <c r="B15" i="51"/>
  <c r="F15" i="51" s="1"/>
  <c r="C14" i="51"/>
  <c r="Q13" i="51"/>
  <c r="N13" i="51"/>
  <c r="K13" i="51"/>
  <c r="H13" i="51"/>
  <c r="E13" i="51"/>
  <c r="Q11" i="51"/>
  <c r="K11" i="51"/>
  <c r="H11" i="51"/>
  <c r="B35" i="50"/>
  <c r="R35" i="50" s="1"/>
  <c r="C34" i="50"/>
  <c r="I33" i="50"/>
  <c r="B33" i="50"/>
  <c r="R33" i="50" s="1"/>
  <c r="C32" i="50"/>
  <c r="B31" i="50"/>
  <c r="R31" i="50" s="1"/>
  <c r="C30" i="50"/>
  <c r="B29" i="50"/>
  <c r="C28" i="50"/>
  <c r="B27" i="50"/>
  <c r="R27" i="50" s="1"/>
  <c r="C26" i="50"/>
  <c r="Q25" i="50"/>
  <c r="N25" i="50"/>
  <c r="K25" i="50"/>
  <c r="H25" i="50"/>
  <c r="E25" i="50"/>
  <c r="C24" i="50"/>
  <c r="B23" i="50"/>
  <c r="I23" i="50" s="1"/>
  <c r="C22" i="50"/>
  <c r="B21" i="50"/>
  <c r="I21" i="50" s="1"/>
  <c r="C20" i="50"/>
  <c r="B19" i="50"/>
  <c r="I19" i="50" s="1"/>
  <c r="C18" i="50"/>
  <c r="B17" i="50"/>
  <c r="I17" i="50" s="1"/>
  <c r="C16" i="50"/>
  <c r="B15" i="50"/>
  <c r="I15" i="50" s="1"/>
  <c r="C14" i="50"/>
  <c r="Q13" i="50"/>
  <c r="N13" i="50"/>
  <c r="K13" i="50"/>
  <c r="K11" i="50" s="1"/>
  <c r="H13" i="50"/>
  <c r="E13" i="50"/>
  <c r="B101" i="48"/>
  <c r="P101" i="48" s="1"/>
  <c r="B100" i="48"/>
  <c r="B99" i="48"/>
  <c r="P99" i="48" s="1"/>
  <c r="B98" i="48"/>
  <c r="M98" i="48" s="1"/>
  <c r="B97" i="48"/>
  <c r="P97" i="48" s="1"/>
  <c r="B96" i="48"/>
  <c r="M96" i="48" s="1"/>
  <c r="B95" i="48"/>
  <c r="B94" i="48"/>
  <c r="M94" i="48" s="1"/>
  <c r="R93" i="48"/>
  <c r="O93" i="48"/>
  <c r="L93" i="48"/>
  <c r="I93" i="48"/>
  <c r="H93" i="48"/>
  <c r="F93" i="48"/>
  <c r="B93" i="48" s="1"/>
  <c r="P92" i="48"/>
  <c r="M92" i="48"/>
  <c r="J92" i="48"/>
  <c r="G92" i="48"/>
  <c r="D92" i="48"/>
  <c r="B92" i="48"/>
  <c r="B91" i="48"/>
  <c r="P90" i="48"/>
  <c r="M90" i="48"/>
  <c r="J90" i="48"/>
  <c r="G90" i="48"/>
  <c r="D90" i="48"/>
  <c r="B90" i="48"/>
  <c r="R89" i="48"/>
  <c r="O89" i="48"/>
  <c r="L89" i="48"/>
  <c r="I89" i="48"/>
  <c r="F89" i="48"/>
  <c r="S88" i="48"/>
  <c r="P88" i="48"/>
  <c r="M88" i="48"/>
  <c r="J88" i="48"/>
  <c r="G88" i="48"/>
  <c r="D88" i="48"/>
  <c r="B88" i="48"/>
  <c r="O87" i="48"/>
  <c r="L87" i="48"/>
  <c r="I87" i="48"/>
  <c r="F87" i="48"/>
  <c r="P86" i="48"/>
  <c r="M86" i="48"/>
  <c r="J86" i="48"/>
  <c r="G86" i="48"/>
  <c r="D86" i="48"/>
  <c r="B86" i="48"/>
  <c r="B85" i="48"/>
  <c r="M85" i="48" s="1"/>
  <c r="B84" i="48"/>
  <c r="B83" i="48"/>
  <c r="R82" i="48"/>
  <c r="O82" i="48"/>
  <c r="L82" i="48"/>
  <c r="I82" i="48"/>
  <c r="F82" i="48"/>
  <c r="P81" i="48"/>
  <c r="M81" i="48"/>
  <c r="J81" i="48"/>
  <c r="G81" i="48"/>
  <c r="D81" i="48"/>
  <c r="B81" i="48"/>
  <c r="P80" i="48"/>
  <c r="B80" i="48"/>
  <c r="G80" i="48" s="1"/>
  <c r="B79" i="48"/>
  <c r="P79" i="48" s="1"/>
  <c r="P78" i="48"/>
  <c r="B78" i="48"/>
  <c r="M78" i="48" s="1"/>
  <c r="B77" i="48"/>
  <c r="B76" i="48"/>
  <c r="S76" i="48" s="1"/>
  <c r="B75" i="48"/>
  <c r="G75" i="48" s="1"/>
  <c r="B74" i="48"/>
  <c r="M74" i="48" s="1"/>
  <c r="B73" i="48"/>
  <c r="B72" i="48"/>
  <c r="G71" i="48"/>
  <c r="B71" i="48"/>
  <c r="P71" i="48" s="1"/>
  <c r="B70" i="48"/>
  <c r="M70" i="48" s="1"/>
  <c r="B69" i="48"/>
  <c r="B68" i="48"/>
  <c r="S68" i="48" s="1"/>
  <c r="B67" i="48"/>
  <c r="P67" i="48" s="1"/>
  <c r="B66" i="48"/>
  <c r="B65" i="48"/>
  <c r="B64" i="48"/>
  <c r="S64" i="48" s="1"/>
  <c r="B63" i="48"/>
  <c r="P63" i="48" s="1"/>
  <c r="P62" i="48"/>
  <c r="J62" i="48"/>
  <c r="B62" i="48"/>
  <c r="M62" i="48" s="1"/>
  <c r="B61" i="48"/>
  <c r="B60" i="48"/>
  <c r="S60" i="48" s="1"/>
  <c r="B59" i="48"/>
  <c r="B58" i="48"/>
  <c r="M58" i="48" s="1"/>
  <c r="B57" i="48"/>
  <c r="B56" i="48"/>
  <c r="B55" i="48"/>
  <c r="P55" i="48" s="1"/>
  <c r="B54" i="48"/>
  <c r="M54" i="48" s="1"/>
  <c r="B53" i="48"/>
  <c r="B52" i="48"/>
  <c r="S52" i="48" s="1"/>
  <c r="B51" i="48"/>
  <c r="S51" i="48" s="1"/>
  <c r="B50" i="48"/>
  <c r="M50" i="48" s="1"/>
  <c r="B49" i="48"/>
  <c r="S49" i="48" s="1"/>
  <c r="G48" i="48"/>
  <c r="B48" i="48"/>
  <c r="M48" i="48" s="1"/>
  <c r="J47" i="48"/>
  <c r="B47" i="48"/>
  <c r="M47" i="48" s="1"/>
  <c r="B46" i="48"/>
  <c r="G46" i="48" s="1"/>
  <c r="B45" i="48"/>
  <c r="S45" i="48" s="1"/>
  <c r="B44" i="48"/>
  <c r="M44" i="48" s="1"/>
  <c r="P43" i="48"/>
  <c r="J43" i="48"/>
  <c r="B43" i="48"/>
  <c r="M43" i="48" s="1"/>
  <c r="B42" i="48"/>
  <c r="M42" i="48" s="1"/>
  <c r="B41" i="48"/>
  <c r="S40" i="48"/>
  <c r="B40" i="48"/>
  <c r="M40" i="48" s="1"/>
  <c r="B39" i="48"/>
  <c r="J39" i="48" s="1"/>
  <c r="B38" i="48"/>
  <c r="B37" i="48"/>
  <c r="J37" i="48" s="1"/>
  <c r="G36" i="48"/>
  <c r="B36" i="48"/>
  <c r="M36" i="48" s="1"/>
  <c r="B35" i="48"/>
  <c r="G35" i="48" s="1"/>
  <c r="B34" i="48"/>
  <c r="M34" i="48" s="1"/>
  <c r="B33" i="48"/>
  <c r="J33" i="48" s="1"/>
  <c r="B32" i="48"/>
  <c r="M32" i="48" s="1"/>
  <c r="B31" i="48"/>
  <c r="P31" i="48" s="1"/>
  <c r="B30" i="48"/>
  <c r="B29" i="48"/>
  <c r="J29" i="48" s="1"/>
  <c r="S28" i="48"/>
  <c r="G28" i="48"/>
  <c r="B28" i="48"/>
  <c r="M28" i="48" s="1"/>
  <c r="B27" i="48"/>
  <c r="P26" i="48"/>
  <c r="B26" i="48"/>
  <c r="M26" i="48" s="1"/>
  <c r="B25" i="48"/>
  <c r="J25" i="48" s="1"/>
  <c r="B24" i="48"/>
  <c r="B23" i="48"/>
  <c r="P23" i="48" s="1"/>
  <c r="R22" i="48"/>
  <c r="O22" i="48"/>
  <c r="L22" i="48"/>
  <c r="I22" i="48"/>
  <c r="F22" i="48"/>
  <c r="S21" i="48"/>
  <c r="P21" i="48"/>
  <c r="M21" i="48"/>
  <c r="J21" i="48"/>
  <c r="G21" i="48"/>
  <c r="D21" i="48"/>
  <c r="B21" i="48"/>
  <c r="B20" i="48"/>
  <c r="J20" i="48" s="1"/>
  <c r="B19" i="48"/>
  <c r="S19" i="48" s="1"/>
  <c r="B18" i="48"/>
  <c r="M18" i="48" s="1"/>
  <c r="B17" i="48"/>
  <c r="J17" i="48" s="1"/>
  <c r="R16" i="48"/>
  <c r="O16" i="48"/>
  <c r="O14" i="48" s="1"/>
  <c r="L16" i="48"/>
  <c r="I16" i="48"/>
  <c r="F16" i="48"/>
  <c r="S15" i="48"/>
  <c r="P15" i="48"/>
  <c r="J15" i="48"/>
  <c r="G15" i="48"/>
  <c r="D15" i="48"/>
  <c r="B15" i="48"/>
  <c r="S13" i="48"/>
  <c r="P13" i="48"/>
  <c r="M13" i="48"/>
  <c r="J13" i="48"/>
  <c r="G13" i="48"/>
  <c r="D13" i="48"/>
  <c r="B13" i="48"/>
  <c r="B106" i="47"/>
  <c r="R106" i="47" s="1"/>
  <c r="R105" i="47"/>
  <c r="O105" i="47"/>
  <c r="L105" i="47"/>
  <c r="I105" i="47"/>
  <c r="F105" i="47"/>
  <c r="C105" i="47"/>
  <c r="B104" i="47"/>
  <c r="B103" i="47"/>
  <c r="R103" i="47" s="1"/>
  <c r="B102" i="47"/>
  <c r="O102" i="47" s="1"/>
  <c r="B101" i="47"/>
  <c r="L101" i="47" s="1"/>
  <c r="B100" i="47"/>
  <c r="L100" i="47" s="1"/>
  <c r="Q99" i="47"/>
  <c r="N99" i="47"/>
  <c r="K99" i="47"/>
  <c r="H99" i="47"/>
  <c r="E99" i="47"/>
  <c r="R98" i="47"/>
  <c r="O98" i="47"/>
  <c r="L98" i="47"/>
  <c r="I98" i="47"/>
  <c r="F98" i="47"/>
  <c r="C98" i="47"/>
  <c r="B98" i="47"/>
  <c r="B97" i="47"/>
  <c r="O97" i="47" s="1"/>
  <c r="O96" i="47"/>
  <c r="I96" i="47"/>
  <c r="B96" i="47"/>
  <c r="L96" i="47" s="1"/>
  <c r="R95" i="47"/>
  <c r="O95" i="47"/>
  <c r="L95" i="47"/>
  <c r="I95" i="47"/>
  <c r="F95" i="47"/>
  <c r="C95" i="47"/>
  <c r="B95" i="47"/>
  <c r="B94" i="47"/>
  <c r="R94" i="47" s="1"/>
  <c r="R93" i="47"/>
  <c r="O93" i="47"/>
  <c r="L93" i="47"/>
  <c r="I93" i="47"/>
  <c r="F93" i="47"/>
  <c r="C93" i="47"/>
  <c r="B92" i="47"/>
  <c r="I91" i="47"/>
  <c r="B91" i="47"/>
  <c r="R91" i="47" s="1"/>
  <c r="B90" i="47"/>
  <c r="F90" i="47" s="1"/>
  <c r="B89" i="47"/>
  <c r="L89" i="47" s="1"/>
  <c r="B88" i="47"/>
  <c r="B87" i="47"/>
  <c r="R86" i="47"/>
  <c r="F86" i="47"/>
  <c r="B86" i="47"/>
  <c r="O86" i="47" s="1"/>
  <c r="B85" i="47"/>
  <c r="L85" i="47" s="1"/>
  <c r="B84" i="47"/>
  <c r="L84" i="47" s="1"/>
  <c r="Q83" i="47"/>
  <c r="Q82" i="47" s="1"/>
  <c r="N83" i="47"/>
  <c r="N82" i="47" s="1"/>
  <c r="K83" i="47"/>
  <c r="K82" i="47" s="1"/>
  <c r="H83" i="47"/>
  <c r="E83" i="47"/>
  <c r="E82" i="47"/>
  <c r="R81" i="47"/>
  <c r="O81" i="47"/>
  <c r="L81" i="47"/>
  <c r="I81" i="47"/>
  <c r="F81" i="47"/>
  <c r="C81" i="47"/>
  <c r="B80" i="47"/>
  <c r="L80" i="47" s="1"/>
  <c r="B79" i="47"/>
  <c r="L79" i="47" s="1"/>
  <c r="B78" i="47"/>
  <c r="R78" i="47" s="1"/>
  <c r="R77" i="47"/>
  <c r="F77" i="47"/>
  <c r="B77" i="47"/>
  <c r="O77" i="47" s="1"/>
  <c r="Q76" i="47"/>
  <c r="Q75" i="47" s="1"/>
  <c r="N76" i="47"/>
  <c r="K76" i="47"/>
  <c r="H76" i="47"/>
  <c r="E76" i="47"/>
  <c r="E75" i="47" s="1"/>
  <c r="N75" i="47"/>
  <c r="H75" i="47"/>
  <c r="R74" i="47"/>
  <c r="O74" i="47"/>
  <c r="L74" i="47"/>
  <c r="I74" i="47"/>
  <c r="F74" i="47"/>
  <c r="C74" i="47"/>
  <c r="O73" i="47"/>
  <c r="B73" i="47"/>
  <c r="R73" i="47" s="1"/>
  <c r="R72" i="47"/>
  <c r="O72" i="47"/>
  <c r="L72" i="47"/>
  <c r="I72" i="47"/>
  <c r="F72" i="47"/>
  <c r="C72" i="47"/>
  <c r="B71" i="47"/>
  <c r="L71" i="47" s="1"/>
  <c r="R70" i="47"/>
  <c r="O70" i="47"/>
  <c r="L70" i="47"/>
  <c r="I70" i="47"/>
  <c r="F70" i="47"/>
  <c r="C70" i="47"/>
  <c r="B69" i="47"/>
  <c r="L69" i="47" s="1"/>
  <c r="B68" i="47"/>
  <c r="L68" i="47" s="1"/>
  <c r="B67" i="47"/>
  <c r="R67" i="47" s="1"/>
  <c r="B66" i="47"/>
  <c r="O65" i="47"/>
  <c r="B65" i="47"/>
  <c r="L65" i="47" s="1"/>
  <c r="Q64" i="47"/>
  <c r="N64" i="47"/>
  <c r="K64" i="47"/>
  <c r="K61" i="47" s="1"/>
  <c r="H64" i="47"/>
  <c r="E64" i="47"/>
  <c r="R63" i="47"/>
  <c r="O63" i="47"/>
  <c r="L63" i="47"/>
  <c r="I63" i="47"/>
  <c r="F63" i="47"/>
  <c r="C63" i="47"/>
  <c r="B62" i="47"/>
  <c r="Q61" i="47"/>
  <c r="H61" i="47"/>
  <c r="E61" i="47"/>
  <c r="R60" i="47"/>
  <c r="O60" i="47"/>
  <c r="L60" i="47"/>
  <c r="I60" i="47"/>
  <c r="F60" i="47"/>
  <c r="C60" i="47"/>
  <c r="I59" i="47"/>
  <c r="B59" i="47"/>
  <c r="R59" i="47" s="1"/>
  <c r="B58" i="47"/>
  <c r="F58" i="47" s="1"/>
  <c r="B57" i="47"/>
  <c r="L57" i="47" s="1"/>
  <c r="B56" i="47"/>
  <c r="B55" i="47"/>
  <c r="Q54" i="47"/>
  <c r="N54" i="47"/>
  <c r="K54" i="47"/>
  <c r="H54" i="47"/>
  <c r="E54" i="47"/>
  <c r="B54" i="47" s="1"/>
  <c r="L54" i="47" s="1"/>
  <c r="R53" i="47"/>
  <c r="O53" i="47"/>
  <c r="L53" i="47"/>
  <c r="I53" i="47"/>
  <c r="F53" i="47"/>
  <c r="C53" i="47"/>
  <c r="B52" i="47"/>
  <c r="L52" i="47" s="1"/>
  <c r="R51" i="47"/>
  <c r="O51" i="47"/>
  <c r="L51" i="47"/>
  <c r="I51" i="47"/>
  <c r="F51" i="47"/>
  <c r="C51" i="47"/>
  <c r="B50" i="47"/>
  <c r="L50" i="47" s="1"/>
  <c r="B49" i="47"/>
  <c r="R49" i="47" s="1"/>
  <c r="B48" i="47"/>
  <c r="B47" i="47"/>
  <c r="R47" i="47" s="1"/>
  <c r="B46" i="47"/>
  <c r="L46" i="47" s="1"/>
  <c r="B45" i="47"/>
  <c r="R45" i="47" s="1"/>
  <c r="B44" i="47"/>
  <c r="R44" i="47" s="1"/>
  <c r="B43" i="47"/>
  <c r="R43" i="47" s="1"/>
  <c r="Q42" i="47"/>
  <c r="N42" i="47"/>
  <c r="K42" i="47"/>
  <c r="H42" i="47"/>
  <c r="E42" i="47"/>
  <c r="R41" i="47"/>
  <c r="O41" i="47"/>
  <c r="L41" i="47"/>
  <c r="I41" i="47"/>
  <c r="F41" i="47"/>
  <c r="C41" i="47"/>
  <c r="B40" i="47"/>
  <c r="L40" i="47" s="1"/>
  <c r="B39" i="47"/>
  <c r="I39" i="47" s="1"/>
  <c r="I38" i="47"/>
  <c r="B38" i="47"/>
  <c r="R38" i="47" s="1"/>
  <c r="B37" i="47"/>
  <c r="F37" i="47" s="1"/>
  <c r="Q36" i="47"/>
  <c r="N36" i="47"/>
  <c r="K36" i="47"/>
  <c r="K35" i="47" s="1"/>
  <c r="H36" i="47"/>
  <c r="E36" i="47"/>
  <c r="E35" i="47" s="1"/>
  <c r="R34" i="47"/>
  <c r="O34" i="47"/>
  <c r="L34" i="47"/>
  <c r="I34" i="47"/>
  <c r="F34" i="47"/>
  <c r="C34" i="47"/>
  <c r="B33" i="47"/>
  <c r="R33" i="47" s="1"/>
  <c r="B32" i="47"/>
  <c r="O32" i="47" s="1"/>
  <c r="B31" i="47"/>
  <c r="B30" i="47"/>
  <c r="I30" i="47" s="1"/>
  <c r="B29" i="47"/>
  <c r="R29" i="47" s="1"/>
  <c r="Q28" i="47"/>
  <c r="N28" i="47"/>
  <c r="K28" i="47"/>
  <c r="H28" i="47"/>
  <c r="H27" i="47" s="1"/>
  <c r="E28" i="47"/>
  <c r="Q27" i="47"/>
  <c r="N27" i="47"/>
  <c r="K27" i="47"/>
  <c r="R26" i="47"/>
  <c r="O26" i="47"/>
  <c r="L26" i="47"/>
  <c r="I26" i="47"/>
  <c r="F26" i="47"/>
  <c r="C26" i="47"/>
  <c r="B25" i="47"/>
  <c r="I25" i="47" s="1"/>
  <c r="B24" i="47"/>
  <c r="B23" i="47"/>
  <c r="O23" i="47" s="1"/>
  <c r="Q22" i="47"/>
  <c r="N22" i="47"/>
  <c r="K22" i="47"/>
  <c r="H22" i="47"/>
  <c r="E22" i="47"/>
  <c r="R21" i="47"/>
  <c r="O21" i="47"/>
  <c r="L21" i="47"/>
  <c r="I21" i="47"/>
  <c r="F21" i="47"/>
  <c r="C21" i="47"/>
  <c r="B20" i="47"/>
  <c r="B19" i="47"/>
  <c r="O19" i="47" s="1"/>
  <c r="B18" i="47"/>
  <c r="L18" i="47" s="1"/>
  <c r="Q17" i="47"/>
  <c r="N17" i="47"/>
  <c r="K17" i="47"/>
  <c r="H17" i="47"/>
  <c r="B17" i="47" s="1"/>
  <c r="R17" i="47" s="1"/>
  <c r="E17" i="47"/>
  <c r="R15" i="47"/>
  <c r="O15" i="47"/>
  <c r="L15" i="47"/>
  <c r="I15" i="47"/>
  <c r="F15" i="47"/>
  <c r="C15" i="47"/>
  <c r="R13" i="47"/>
  <c r="O13" i="47"/>
  <c r="L13" i="47"/>
  <c r="I13" i="47"/>
  <c r="F13" i="47"/>
  <c r="B101" i="46"/>
  <c r="P101" i="46" s="1"/>
  <c r="B100" i="46"/>
  <c r="J99" i="46"/>
  <c r="B99" i="46"/>
  <c r="S99" i="46" s="1"/>
  <c r="B98" i="46"/>
  <c r="P98" i="46" s="1"/>
  <c r="B97" i="46"/>
  <c r="B96" i="46"/>
  <c r="B95" i="46"/>
  <c r="B94" i="46"/>
  <c r="R93" i="46"/>
  <c r="Q93" i="46"/>
  <c r="O93" i="46"/>
  <c r="N93" i="46"/>
  <c r="L93" i="46"/>
  <c r="K93" i="46"/>
  <c r="I93" i="46"/>
  <c r="F93" i="46"/>
  <c r="P92" i="46"/>
  <c r="M92" i="46"/>
  <c r="J92" i="46"/>
  <c r="G92" i="46"/>
  <c r="D92" i="46"/>
  <c r="B92" i="46"/>
  <c r="B91" i="46"/>
  <c r="M91" i="46" s="1"/>
  <c r="P90" i="46"/>
  <c r="M90" i="46"/>
  <c r="J90" i="46"/>
  <c r="G90" i="46"/>
  <c r="D90" i="46"/>
  <c r="B90" i="46"/>
  <c r="R89" i="46"/>
  <c r="O89" i="46"/>
  <c r="O87" i="46" s="1"/>
  <c r="L89" i="46"/>
  <c r="I89" i="46"/>
  <c r="F89" i="46"/>
  <c r="P88" i="46"/>
  <c r="M88" i="46"/>
  <c r="J88" i="46"/>
  <c r="G88" i="46"/>
  <c r="D88" i="46"/>
  <c r="B88" i="46"/>
  <c r="S86" i="46"/>
  <c r="P86" i="46"/>
  <c r="M86" i="46"/>
  <c r="J86" i="46"/>
  <c r="G86" i="46"/>
  <c r="D86" i="46"/>
  <c r="B86" i="46"/>
  <c r="B85" i="46"/>
  <c r="B84" i="46"/>
  <c r="G83" i="46"/>
  <c r="B83" i="46"/>
  <c r="J83" i="46" s="1"/>
  <c r="R82" i="46"/>
  <c r="Q82" i="46"/>
  <c r="O82" i="46"/>
  <c r="N82" i="46"/>
  <c r="L82" i="46"/>
  <c r="K82" i="46"/>
  <c r="I82" i="46"/>
  <c r="H82" i="46"/>
  <c r="F82" i="46"/>
  <c r="S81" i="46"/>
  <c r="P81" i="46"/>
  <c r="M81" i="46"/>
  <c r="J81" i="46"/>
  <c r="G81" i="46"/>
  <c r="D81" i="46"/>
  <c r="B81" i="46"/>
  <c r="B80" i="46"/>
  <c r="G79" i="46"/>
  <c r="B79" i="46"/>
  <c r="M79" i="46" s="1"/>
  <c r="B78" i="46"/>
  <c r="B77" i="46"/>
  <c r="S76" i="46"/>
  <c r="B76" i="46"/>
  <c r="B75" i="46"/>
  <c r="B74" i="46"/>
  <c r="M74" i="46" s="1"/>
  <c r="B73" i="46"/>
  <c r="M73" i="46" s="1"/>
  <c r="B72" i="46"/>
  <c r="G72" i="46" s="1"/>
  <c r="B71" i="46"/>
  <c r="B70" i="46"/>
  <c r="M70" i="46" s="1"/>
  <c r="B69" i="46"/>
  <c r="M69" i="46" s="1"/>
  <c r="J68" i="46"/>
  <c r="B68" i="46"/>
  <c r="P68" i="46" s="1"/>
  <c r="B67" i="46"/>
  <c r="S67" i="46" s="1"/>
  <c r="B66" i="46"/>
  <c r="M66" i="46" s="1"/>
  <c r="B65" i="46"/>
  <c r="M65" i="46" s="1"/>
  <c r="B64" i="46"/>
  <c r="P63" i="46"/>
  <c r="B63" i="46"/>
  <c r="M63" i="46" s="1"/>
  <c r="B62" i="46"/>
  <c r="M62" i="46" s="1"/>
  <c r="B61" i="46"/>
  <c r="B60" i="46"/>
  <c r="P60" i="46" s="1"/>
  <c r="S59" i="46"/>
  <c r="B59" i="46"/>
  <c r="M59" i="46" s="1"/>
  <c r="P58" i="46"/>
  <c r="B58" i="46"/>
  <c r="M58" i="46" s="1"/>
  <c r="B57" i="46"/>
  <c r="M57" i="46" s="1"/>
  <c r="J56" i="46"/>
  <c r="B56" i="46"/>
  <c r="P56" i="46" s="1"/>
  <c r="B55" i="46"/>
  <c r="M55" i="46" s="1"/>
  <c r="B54" i="46"/>
  <c r="P54" i="46" s="1"/>
  <c r="B53" i="46"/>
  <c r="M53" i="46" s="1"/>
  <c r="B52" i="46"/>
  <c r="P52" i="46" s="1"/>
  <c r="B51" i="46"/>
  <c r="B50" i="46"/>
  <c r="P50" i="46" s="1"/>
  <c r="J49" i="46"/>
  <c r="B49" i="46"/>
  <c r="P49" i="46" s="1"/>
  <c r="B48" i="46"/>
  <c r="B47" i="46"/>
  <c r="B46" i="46"/>
  <c r="M46" i="46" s="1"/>
  <c r="S45" i="46"/>
  <c r="J45" i="46"/>
  <c r="G45" i="46"/>
  <c r="B45" i="46"/>
  <c r="P45" i="46" s="1"/>
  <c r="B44" i="46"/>
  <c r="M44" i="46" s="1"/>
  <c r="P43" i="46"/>
  <c r="B43" i="46"/>
  <c r="M43" i="46" s="1"/>
  <c r="B42" i="46"/>
  <c r="M42" i="46" s="1"/>
  <c r="S41" i="46"/>
  <c r="B41" i="46"/>
  <c r="B40" i="46"/>
  <c r="P40" i="46" s="1"/>
  <c r="B39" i="46"/>
  <c r="B38" i="46"/>
  <c r="B37" i="46"/>
  <c r="J37" i="46" s="1"/>
  <c r="B36" i="46"/>
  <c r="S36" i="46" s="1"/>
  <c r="B35" i="46"/>
  <c r="B34" i="46"/>
  <c r="M34" i="46" s="1"/>
  <c r="B33" i="46"/>
  <c r="J33" i="46" s="1"/>
  <c r="P32" i="46"/>
  <c r="B32" i="46"/>
  <c r="S32" i="46" s="1"/>
  <c r="G31" i="46"/>
  <c r="B31" i="46"/>
  <c r="P31" i="46" s="1"/>
  <c r="B30" i="46"/>
  <c r="M30" i="46" s="1"/>
  <c r="B29" i="46"/>
  <c r="J29" i="46" s="1"/>
  <c r="B28" i="46"/>
  <c r="S28" i="46" s="1"/>
  <c r="B27" i="46"/>
  <c r="P27" i="46" s="1"/>
  <c r="B26" i="46"/>
  <c r="M26" i="46" s="1"/>
  <c r="B25" i="46"/>
  <c r="J25" i="46" s="1"/>
  <c r="B24" i="46"/>
  <c r="S24" i="46" s="1"/>
  <c r="G23" i="46"/>
  <c r="B23" i="46"/>
  <c r="P23" i="46" s="1"/>
  <c r="R22" i="46"/>
  <c r="Q22" i="46"/>
  <c r="O22" i="46"/>
  <c r="N22" i="46"/>
  <c r="L22" i="46"/>
  <c r="K22" i="46"/>
  <c r="I22" i="46"/>
  <c r="H22" i="46"/>
  <c r="F22" i="46"/>
  <c r="S21" i="46"/>
  <c r="P21" i="46"/>
  <c r="M21" i="46"/>
  <c r="J21" i="46"/>
  <c r="G21" i="46"/>
  <c r="D21" i="46"/>
  <c r="B20" i="46"/>
  <c r="S20" i="46" s="1"/>
  <c r="B19" i="46"/>
  <c r="M19" i="46" s="1"/>
  <c r="B18" i="46"/>
  <c r="S18" i="46" s="1"/>
  <c r="S17" i="46"/>
  <c r="B17" i="46"/>
  <c r="P17" i="46" s="1"/>
  <c r="R16" i="46"/>
  <c r="O16" i="46"/>
  <c r="L16" i="46"/>
  <c r="I16" i="46"/>
  <c r="F16" i="46"/>
  <c r="S15" i="46"/>
  <c r="P15" i="46"/>
  <c r="M15" i="46"/>
  <c r="J15" i="46"/>
  <c r="G15" i="46"/>
  <c r="D15" i="46"/>
  <c r="B15" i="46"/>
  <c r="S13" i="46"/>
  <c r="P13" i="46"/>
  <c r="M13" i="46"/>
  <c r="J13" i="46"/>
  <c r="G13" i="46"/>
  <c r="D13" i="46"/>
  <c r="B13" i="46"/>
  <c r="B106" i="45"/>
  <c r="R106" i="45" s="1"/>
  <c r="R105" i="45"/>
  <c r="O105" i="45"/>
  <c r="L105" i="45"/>
  <c r="I105" i="45"/>
  <c r="F105" i="45"/>
  <c r="C105" i="45"/>
  <c r="B105" i="45"/>
  <c r="B104" i="45"/>
  <c r="L104" i="45" s="1"/>
  <c r="B103" i="45"/>
  <c r="B102" i="45"/>
  <c r="O102" i="45" s="1"/>
  <c r="B101" i="45"/>
  <c r="L101" i="45" s="1"/>
  <c r="B100" i="45"/>
  <c r="L100" i="45" s="1"/>
  <c r="Q99" i="45"/>
  <c r="N99" i="45"/>
  <c r="K99" i="45"/>
  <c r="H99" i="45"/>
  <c r="B99" i="45" s="1"/>
  <c r="I99" i="45" s="1"/>
  <c r="E99" i="45"/>
  <c r="R98" i="45"/>
  <c r="O98" i="45"/>
  <c r="L98" i="45"/>
  <c r="I98" i="45"/>
  <c r="F98" i="45"/>
  <c r="C98" i="45"/>
  <c r="B98" i="45"/>
  <c r="B97" i="45"/>
  <c r="O97" i="45" s="1"/>
  <c r="B96" i="45"/>
  <c r="L96" i="45" s="1"/>
  <c r="R95" i="45"/>
  <c r="O95" i="45"/>
  <c r="L95" i="45"/>
  <c r="I95" i="45"/>
  <c r="F95" i="45"/>
  <c r="C95" i="45"/>
  <c r="B95" i="45"/>
  <c r="B94" i="45"/>
  <c r="L94" i="45" s="1"/>
  <c r="R93" i="45"/>
  <c r="O93" i="45"/>
  <c r="L93" i="45"/>
  <c r="I93" i="45"/>
  <c r="F93" i="45"/>
  <c r="C93" i="45"/>
  <c r="B92" i="45"/>
  <c r="L92" i="45" s="1"/>
  <c r="B91" i="45"/>
  <c r="L91" i="45" s="1"/>
  <c r="B90" i="45"/>
  <c r="O90" i="45" s="1"/>
  <c r="B89" i="45"/>
  <c r="L89" i="45" s="1"/>
  <c r="B88" i="45"/>
  <c r="L88" i="45" s="1"/>
  <c r="B87" i="45"/>
  <c r="B86" i="45"/>
  <c r="O86" i="45" s="1"/>
  <c r="B85" i="45"/>
  <c r="L85" i="45" s="1"/>
  <c r="B84" i="45"/>
  <c r="L84" i="45" s="1"/>
  <c r="Q83" i="45"/>
  <c r="N83" i="45"/>
  <c r="K83" i="45"/>
  <c r="H83" i="45"/>
  <c r="E83" i="45"/>
  <c r="N82" i="45"/>
  <c r="K82" i="45"/>
  <c r="H82" i="45"/>
  <c r="E82" i="45"/>
  <c r="R81" i="45"/>
  <c r="O81" i="45"/>
  <c r="L81" i="45"/>
  <c r="I81" i="45"/>
  <c r="F81" i="45"/>
  <c r="C81" i="45"/>
  <c r="F80" i="45"/>
  <c r="B80" i="45"/>
  <c r="L80" i="45" s="1"/>
  <c r="B79" i="45"/>
  <c r="L79" i="45" s="1"/>
  <c r="B78" i="45"/>
  <c r="B77" i="45"/>
  <c r="O77" i="45" s="1"/>
  <c r="Q76" i="45"/>
  <c r="Q75" i="45" s="1"/>
  <c r="N76" i="45"/>
  <c r="K76" i="45"/>
  <c r="H76" i="45"/>
  <c r="H75" i="45" s="1"/>
  <c r="E76" i="45"/>
  <c r="N75" i="45"/>
  <c r="K75" i="45"/>
  <c r="R74" i="45"/>
  <c r="O74" i="45"/>
  <c r="L74" i="45"/>
  <c r="I74" i="45"/>
  <c r="F74" i="45"/>
  <c r="C74" i="45"/>
  <c r="B73" i="45"/>
  <c r="R72" i="45"/>
  <c r="O72" i="45"/>
  <c r="L72" i="45"/>
  <c r="I72" i="45"/>
  <c r="F72" i="45"/>
  <c r="C72" i="45"/>
  <c r="B71" i="45"/>
  <c r="L71" i="45" s="1"/>
  <c r="R70" i="45"/>
  <c r="O70" i="45"/>
  <c r="L70" i="45"/>
  <c r="I70" i="45"/>
  <c r="F70" i="45"/>
  <c r="C70" i="45"/>
  <c r="O69" i="45"/>
  <c r="B69" i="45"/>
  <c r="L69" i="45" s="1"/>
  <c r="B68" i="45"/>
  <c r="L68" i="45" s="1"/>
  <c r="B67" i="45"/>
  <c r="R66" i="45"/>
  <c r="I66" i="45"/>
  <c r="F66" i="45"/>
  <c r="B66" i="45"/>
  <c r="O66" i="45" s="1"/>
  <c r="R65" i="45"/>
  <c r="O65" i="45"/>
  <c r="F65" i="45"/>
  <c r="B65" i="45"/>
  <c r="L65" i="45" s="1"/>
  <c r="Q64" i="45"/>
  <c r="N64" i="45"/>
  <c r="N61" i="45" s="1"/>
  <c r="K64" i="45"/>
  <c r="H64" i="45"/>
  <c r="E64" i="45"/>
  <c r="R63" i="45"/>
  <c r="O63" i="45"/>
  <c r="L63" i="45"/>
  <c r="I63" i="45"/>
  <c r="F63" i="45"/>
  <c r="C63" i="45"/>
  <c r="B62" i="45"/>
  <c r="O62" i="45" s="1"/>
  <c r="H61" i="45"/>
  <c r="R60" i="45"/>
  <c r="O60" i="45"/>
  <c r="L60" i="45"/>
  <c r="I60" i="45"/>
  <c r="F60" i="45"/>
  <c r="C60" i="45"/>
  <c r="B59" i="45"/>
  <c r="B58" i="45"/>
  <c r="R58" i="45" s="1"/>
  <c r="B57" i="45"/>
  <c r="O57" i="45" s="1"/>
  <c r="O56" i="45"/>
  <c r="B56" i="45"/>
  <c r="L56" i="45" s="1"/>
  <c r="B55" i="45"/>
  <c r="L55" i="45" s="1"/>
  <c r="Q54" i="45"/>
  <c r="N54" i="45"/>
  <c r="K54" i="45"/>
  <c r="H54" i="45"/>
  <c r="E54" i="45"/>
  <c r="R53" i="45"/>
  <c r="O53" i="45"/>
  <c r="L53" i="45"/>
  <c r="I53" i="45"/>
  <c r="F53" i="45"/>
  <c r="C53" i="45"/>
  <c r="B52" i="45"/>
  <c r="L52" i="45" s="1"/>
  <c r="R51" i="45"/>
  <c r="O51" i="45"/>
  <c r="L51" i="45"/>
  <c r="I51" i="45"/>
  <c r="F51" i="45"/>
  <c r="C51" i="45"/>
  <c r="B50" i="45"/>
  <c r="O50" i="45" s="1"/>
  <c r="B49" i="45"/>
  <c r="L49" i="45" s="1"/>
  <c r="B48" i="45"/>
  <c r="B47" i="45"/>
  <c r="R47" i="45" s="1"/>
  <c r="B46" i="45"/>
  <c r="O46" i="45" s="1"/>
  <c r="B45" i="45"/>
  <c r="L45" i="45" s="1"/>
  <c r="B44" i="45"/>
  <c r="L44" i="45" s="1"/>
  <c r="B43" i="45"/>
  <c r="R43" i="45" s="1"/>
  <c r="Q42" i="45"/>
  <c r="N42" i="45"/>
  <c r="K42" i="45"/>
  <c r="H42" i="45"/>
  <c r="E42" i="45"/>
  <c r="R41" i="45"/>
  <c r="O41" i="45"/>
  <c r="L41" i="45"/>
  <c r="I41" i="45"/>
  <c r="F41" i="45"/>
  <c r="C41" i="45"/>
  <c r="B40" i="45"/>
  <c r="R40" i="45" s="1"/>
  <c r="B39" i="45"/>
  <c r="O39" i="45" s="1"/>
  <c r="I38" i="45"/>
  <c r="F38" i="45"/>
  <c r="B38" i="45"/>
  <c r="L38" i="45" s="1"/>
  <c r="B37" i="45"/>
  <c r="I37" i="45" s="1"/>
  <c r="Q36" i="45"/>
  <c r="N36" i="45"/>
  <c r="K36" i="45"/>
  <c r="H36" i="45"/>
  <c r="E36" i="45"/>
  <c r="R34" i="45"/>
  <c r="O34" i="45"/>
  <c r="L34" i="45"/>
  <c r="I34" i="45"/>
  <c r="F34" i="45"/>
  <c r="C34" i="45"/>
  <c r="I33" i="45"/>
  <c r="F33" i="45"/>
  <c r="B33" i="45"/>
  <c r="L33" i="45" s="1"/>
  <c r="B32" i="45"/>
  <c r="I32" i="45" s="1"/>
  <c r="O31" i="45"/>
  <c r="I31" i="45"/>
  <c r="B31" i="45"/>
  <c r="R31" i="45" s="1"/>
  <c r="B30" i="45"/>
  <c r="O30" i="45" s="1"/>
  <c r="B29" i="45"/>
  <c r="L29" i="45" s="1"/>
  <c r="Q28" i="45"/>
  <c r="Q27" i="45" s="1"/>
  <c r="N28" i="45"/>
  <c r="K28" i="45"/>
  <c r="H28" i="45"/>
  <c r="H27" i="45" s="1"/>
  <c r="E28" i="45"/>
  <c r="B28" i="45" s="1"/>
  <c r="N27" i="45"/>
  <c r="K27" i="45"/>
  <c r="R26" i="45"/>
  <c r="O26" i="45"/>
  <c r="L26" i="45"/>
  <c r="I26" i="45"/>
  <c r="F26" i="45"/>
  <c r="C26" i="45"/>
  <c r="B25" i="45"/>
  <c r="O25" i="45" s="1"/>
  <c r="O24" i="45"/>
  <c r="I24" i="45"/>
  <c r="B24" i="45"/>
  <c r="L24" i="45" s="1"/>
  <c r="B23" i="45"/>
  <c r="I23" i="45" s="1"/>
  <c r="Q22" i="45"/>
  <c r="N22" i="45"/>
  <c r="K22" i="45"/>
  <c r="H22" i="45"/>
  <c r="E22" i="45"/>
  <c r="R21" i="45"/>
  <c r="O21" i="45"/>
  <c r="L21" i="45"/>
  <c r="I21" i="45"/>
  <c r="F21" i="45"/>
  <c r="C21" i="45"/>
  <c r="B20" i="45"/>
  <c r="L20" i="45" s="1"/>
  <c r="B19" i="45"/>
  <c r="I19" i="45" s="1"/>
  <c r="B18" i="45"/>
  <c r="R18" i="45" s="1"/>
  <c r="Q17" i="45"/>
  <c r="N17" i="45"/>
  <c r="K17" i="45"/>
  <c r="H17" i="45"/>
  <c r="E17" i="45"/>
  <c r="R15" i="45"/>
  <c r="O15" i="45"/>
  <c r="L15" i="45"/>
  <c r="I15" i="45"/>
  <c r="F15" i="45"/>
  <c r="C15" i="45"/>
  <c r="R13" i="45"/>
  <c r="O13" i="45"/>
  <c r="L13" i="45"/>
  <c r="I13" i="45"/>
  <c r="F13" i="45"/>
  <c r="B100" i="44"/>
  <c r="M100" i="44" s="1"/>
  <c r="B99" i="44"/>
  <c r="M99" i="44" s="1"/>
  <c r="B98" i="44"/>
  <c r="M98" i="44" s="1"/>
  <c r="P97" i="44"/>
  <c r="B97" i="44"/>
  <c r="M97" i="44" s="1"/>
  <c r="B96" i="44"/>
  <c r="M96" i="44" s="1"/>
  <c r="B95" i="44"/>
  <c r="B94" i="44"/>
  <c r="M94" i="44" s="1"/>
  <c r="B93" i="44"/>
  <c r="G93" i="44" s="1"/>
  <c r="O92" i="44"/>
  <c r="L92" i="44"/>
  <c r="I92" i="44"/>
  <c r="F92" i="44"/>
  <c r="P91" i="44"/>
  <c r="M91" i="44"/>
  <c r="J91" i="44"/>
  <c r="G91" i="44"/>
  <c r="D91" i="44"/>
  <c r="B91" i="44"/>
  <c r="B90" i="44"/>
  <c r="M90" i="44" s="1"/>
  <c r="P89" i="44"/>
  <c r="M89" i="44"/>
  <c r="J89" i="44"/>
  <c r="G89" i="44"/>
  <c r="D89" i="44"/>
  <c r="B89" i="44"/>
  <c r="O88" i="44"/>
  <c r="L88" i="44"/>
  <c r="I88" i="44"/>
  <c r="F88" i="44"/>
  <c r="P87" i="44"/>
  <c r="M87" i="44"/>
  <c r="J87" i="44"/>
  <c r="G87" i="44"/>
  <c r="D87" i="44"/>
  <c r="B87" i="44"/>
  <c r="O86" i="44"/>
  <c r="F86" i="44"/>
  <c r="P85" i="44"/>
  <c r="M85" i="44"/>
  <c r="J85" i="44"/>
  <c r="G85" i="44"/>
  <c r="D85" i="44"/>
  <c r="B85" i="44"/>
  <c r="B84" i="44"/>
  <c r="M84" i="44" s="1"/>
  <c r="B83" i="44"/>
  <c r="G83" i="44" s="1"/>
  <c r="B82" i="44"/>
  <c r="M82" i="44" s="1"/>
  <c r="O81" i="44"/>
  <c r="L81" i="44"/>
  <c r="I81" i="44"/>
  <c r="F81" i="44"/>
  <c r="M80" i="44"/>
  <c r="J80" i="44"/>
  <c r="G80" i="44"/>
  <c r="B79" i="44"/>
  <c r="M79" i="44" s="1"/>
  <c r="B78" i="44"/>
  <c r="M78" i="44" s="1"/>
  <c r="B77" i="44"/>
  <c r="G77" i="44" s="1"/>
  <c r="B76" i="44"/>
  <c r="M76" i="44" s="1"/>
  <c r="B75" i="44"/>
  <c r="G75" i="44" s="1"/>
  <c r="B74" i="44"/>
  <c r="M74" i="44" s="1"/>
  <c r="B73" i="44"/>
  <c r="G73" i="44" s="1"/>
  <c r="B72" i="44"/>
  <c r="M72" i="44" s="1"/>
  <c r="B71" i="44"/>
  <c r="G71" i="44" s="1"/>
  <c r="B70" i="44"/>
  <c r="M70" i="44" s="1"/>
  <c r="B69" i="44"/>
  <c r="G69" i="44" s="1"/>
  <c r="B68" i="44"/>
  <c r="M68" i="44" s="1"/>
  <c r="B67" i="44"/>
  <c r="G67" i="44" s="1"/>
  <c r="B66" i="44"/>
  <c r="M66" i="44" s="1"/>
  <c r="J65" i="44"/>
  <c r="B65" i="44"/>
  <c r="G65" i="44" s="1"/>
  <c r="B64" i="44"/>
  <c r="M64" i="44" s="1"/>
  <c r="B63" i="44"/>
  <c r="G63" i="44" s="1"/>
  <c r="B62" i="44"/>
  <c r="M62" i="44" s="1"/>
  <c r="B61" i="44"/>
  <c r="G61" i="44" s="1"/>
  <c r="B60" i="44"/>
  <c r="M60" i="44" s="1"/>
  <c r="B59" i="44"/>
  <c r="G59" i="44" s="1"/>
  <c r="B58" i="44"/>
  <c r="M58" i="44" s="1"/>
  <c r="B57" i="44"/>
  <c r="G57" i="44" s="1"/>
  <c r="B56" i="44"/>
  <c r="M56" i="44" s="1"/>
  <c r="B55" i="44"/>
  <c r="G55" i="44" s="1"/>
  <c r="B54" i="44"/>
  <c r="M54" i="44" s="1"/>
  <c r="B53" i="44"/>
  <c r="G53" i="44" s="1"/>
  <c r="B52" i="44"/>
  <c r="M52" i="44" s="1"/>
  <c r="B51" i="44"/>
  <c r="G51" i="44" s="1"/>
  <c r="B50" i="44"/>
  <c r="M50" i="44" s="1"/>
  <c r="J49" i="44"/>
  <c r="B49" i="44"/>
  <c r="G49" i="44" s="1"/>
  <c r="B48" i="44"/>
  <c r="M48" i="44" s="1"/>
  <c r="B47" i="44"/>
  <c r="G47" i="44" s="1"/>
  <c r="B46" i="44"/>
  <c r="M46" i="44" s="1"/>
  <c r="B45" i="44"/>
  <c r="P45" i="44" s="1"/>
  <c r="B44" i="44"/>
  <c r="M44" i="44" s="1"/>
  <c r="B43" i="44"/>
  <c r="P43" i="44" s="1"/>
  <c r="B42" i="44"/>
  <c r="B41" i="44"/>
  <c r="P41" i="44" s="1"/>
  <c r="B40" i="44"/>
  <c r="M40" i="44" s="1"/>
  <c r="B39" i="44"/>
  <c r="P39" i="44" s="1"/>
  <c r="B38" i="44"/>
  <c r="M38" i="44" s="1"/>
  <c r="B37" i="44"/>
  <c r="P37" i="44" s="1"/>
  <c r="B36" i="44"/>
  <c r="B35" i="44"/>
  <c r="M35" i="44" s="1"/>
  <c r="B34" i="44"/>
  <c r="P34" i="44" s="1"/>
  <c r="B33" i="44"/>
  <c r="M33" i="44" s="1"/>
  <c r="B32" i="44"/>
  <c r="G32" i="44" s="1"/>
  <c r="B31" i="44"/>
  <c r="M31" i="44" s="1"/>
  <c r="B30" i="44"/>
  <c r="P30" i="44" s="1"/>
  <c r="B29" i="44"/>
  <c r="M29" i="44" s="1"/>
  <c r="J28" i="44"/>
  <c r="B28" i="44"/>
  <c r="P28" i="44" s="1"/>
  <c r="B27" i="44"/>
  <c r="M27" i="44" s="1"/>
  <c r="B26" i="44"/>
  <c r="P26" i="44" s="1"/>
  <c r="B25" i="44"/>
  <c r="M25" i="44" s="1"/>
  <c r="B24" i="44"/>
  <c r="P24" i="44" s="1"/>
  <c r="B23" i="44"/>
  <c r="M23" i="44" s="1"/>
  <c r="B22" i="44"/>
  <c r="P22" i="44" s="1"/>
  <c r="O21" i="44"/>
  <c r="N21" i="44"/>
  <c r="L21" i="44"/>
  <c r="K21" i="44"/>
  <c r="I21" i="44"/>
  <c r="F21" i="44"/>
  <c r="P20" i="44"/>
  <c r="M20" i="44"/>
  <c r="J20" i="44"/>
  <c r="G20" i="44"/>
  <c r="B20" i="44"/>
  <c r="B19" i="44"/>
  <c r="M19" i="44" s="1"/>
  <c r="B18" i="44"/>
  <c r="P18" i="44" s="1"/>
  <c r="B17" i="44"/>
  <c r="M17" i="44" s="1"/>
  <c r="B16" i="44"/>
  <c r="P16" i="44" s="1"/>
  <c r="O15" i="44"/>
  <c r="L15" i="44"/>
  <c r="I15" i="44"/>
  <c r="F15" i="44"/>
  <c r="B15" i="44" s="1"/>
  <c r="P14" i="44"/>
  <c r="M14" i="44"/>
  <c r="J14" i="44"/>
  <c r="G14" i="44"/>
  <c r="D14" i="44"/>
  <c r="B14" i="44"/>
  <c r="O13" i="44"/>
  <c r="I13" i="44"/>
  <c r="P12" i="44"/>
  <c r="M12" i="44"/>
  <c r="J12" i="44"/>
  <c r="G12" i="44"/>
  <c r="B12" i="44"/>
  <c r="O11" i="44"/>
  <c r="G16" i="44" l="1"/>
  <c r="J30" i="44"/>
  <c r="J53" i="44"/>
  <c r="J69" i="44"/>
  <c r="I18" i="45"/>
  <c r="I20" i="45"/>
  <c r="B36" i="45"/>
  <c r="I40" i="45"/>
  <c r="O45" i="45"/>
  <c r="R50" i="45"/>
  <c r="O52" i="45"/>
  <c r="R89" i="45"/>
  <c r="R90" i="45"/>
  <c r="R96" i="45"/>
  <c r="O101" i="45"/>
  <c r="I102" i="45"/>
  <c r="P34" i="46"/>
  <c r="S60" i="46"/>
  <c r="R19" i="47"/>
  <c r="B22" i="47"/>
  <c r="O54" i="47"/>
  <c r="I65" i="47"/>
  <c r="I67" i="47"/>
  <c r="O69" i="47"/>
  <c r="G32" i="48"/>
  <c r="P34" i="48"/>
  <c r="P45" i="48"/>
  <c r="G55" i="48"/>
  <c r="J60" i="48"/>
  <c r="B89" i="48"/>
  <c r="M89" i="48" s="1"/>
  <c r="G99" i="48"/>
  <c r="N12" i="52"/>
  <c r="I28" i="52"/>
  <c r="O30" i="52"/>
  <c r="O19" i="53"/>
  <c r="M24" i="54"/>
  <c r="I64" i="54"/>
  <c r="F101" i="54"/>
  <c r="H15" i="55"/>
  <c r="B60" i="55"/>
  <c r="I66" i="55"/>
  <c r="F76" i="55"/>
  <c r="F83" i="55"/>
  <c r="F24" i="56"/>
  <c r="I28" i="56"/>
  <c r="I32" i="56"/>
  <c r="F35" i="56"/>
  <c r="F39" i="56"/>
  <c r="I49" i="56"/>
  <c r="I58" i="56"/>
  <c r="J16" i="44"/>
  <c r="G22" i="44"/>
  <c r="G24" i="44"/>
  <c r="G34" i="44"/>
  <c r="J57" i="44"/>
  <c r="J73" i="44"/>
  <c r="O18" i="45"/>
  <c r="O20" i="45"/>
  <c r="O33" i="45"/>
  <c r="O38" i="45"/>
  <c r="O40" i="45"/>
  <c r="H35" i="45"/>
  <c r="F58" i="45"/>
  <c r="R101" i="45"/>
  <c r="R102" i="45"/>
  <c r="S23" i="46"/>
  <c r="J28" i="46"/>
  <c r="G55" i="46"/>
  <c r="I87" i="46"/>
  <c r="G98" i="46"/>
  <c r="O18" i="47"/>
  <c r="I29" i="47"/>
  <c r="O57" i="47"/>
  <c r="I80" i="47"/>
  <c r="O89" i="47"/>
  <c r="I106" i="47"/>
  <c r="J32" i="48"/>
  <c r="S36" i="48"/>
  <c r="P47" i="48"/>
  <c r="J52" i="48"/>
  <c r="J54" i="48"/>
  <c r="S55" i="48"/>
  <c r="P58" i="48"/>
  <c r="P60" i="48"/>
  <c r="P64" i="48"/>
  <c r="S79" i="48"/>
  <c r="R87" i="48"/>
  <c r="R19" i="53"/>
  <c r="L21" i="53"/>
  <c r="I23" i="53"/>
  <c r="M78" i="54"/>
  <c r="M86" i="54"/>
  <c r="I88" i="54"/>
  <c r="I90" i="54"/>
  <c r="F27" i="56"/>
  <c r="F31" i="56"/>
  <c r="I37" i="56"/>
  <c r="I47" i="56"/>
  <c r="J21" i="65"/>
  <c r="G70" i="65"/>
  <c r="J81" i="65"/>
  <c r="G87" i="65"/>
  <c r="J22" i="44"/>
  <c r="P27" i="44"/>
  <c r="G41" i="44"/>
  <c r="J61" i="44"/>
  <c r="J77" i="44"/>
  <c r="J83" i="44"/>
  <c r="B88" i="44"/>
  <c r="M88" i="44" s="1"/>
  <c r="P90" i="44"/>
  <c r="P88" i="44" s="1"/>
  <c r="J93" i="44"/>
  <c r="R25" i="45"/>
  <c r="K35" i="45"/>
  <c r="R46" i="45"/>
  <c r="O49" i="45"/>
  <c r="R69" i="45"/>
  <c r="O71" i="45"/>
  <c r="B76" i="45"/>
  <c r="R76" i="45" s="1"/>
  <c r="F86" i="45"/>
  <c r="F89" i="45"/>
  <c r="F90" i="45"/>
  <c r="I97" i="45"/>
  <c r="P26" i="46"/>
  <c r="S31" i="46"/>
  <c r="P44" i="46"/>
  <c r="M50" i="46"/>
  <c r="J52" i="46"/>
  <c r="M54" i="46"/>
  <c r="P55" i="46"/>
  <c r="G60" i="46"/>
  <c r="S63" i="46"/>
  <c r="S68" i="46"/>
  <c r="P74" i="46"/>
  <c r="P79" i="46"/>
  <c r="F23" i="47"/>
  <c r="O29" i="47"/>
  <c r="I50" i="47"/>
  <c r="O78" i="47"/>
  <c r="O80" i="47"/>
  <c r="I85" i="47"/>
  <c r="O94" i="47"/>
  <c r="R97" i="47"/>
  <c r="F102" i="47"/>
  <c r="G23" i="48"/>
  <c r="G40" i="48"/>
  <c r="S44" i="48"/>
  <c r="P50" i="48"/>
  <c r="P52" i="48"/>
  <c r="P54" i="48"/>
  <c r="J68" i="48"/>
  <c r="J70" i="48"/>
  <c r="S71" i="48"/>
  <c r="P74" i="48"/>
  <c r="J76" i="48"/>
  <c r="J78" i="48"/>
  <c r="R14" i="48"/>
  <c r="P85" i="48"/>
  <c r="I27" i="50"/>
  <c r="I19" i="51"/>
  <c r="F25" i="51"/>
  <c r="O27" i="51"/>
  <c r="I63" i="55"/>
  <c r="F79" i="55"/>
  <c r="F23" i="56"/>
  <c r="F74" i="56"/>
  <c r="H11" i="56"/>
  <c r="J19" i="65"/>
  <c r="G28" i="65"/>
  <c r="J31" i="65"/>
  <c r="G50" i="65"/>
  <c r="P25" i="44"/>
  <c r="G30" i="44"/>
  <c r="G39" i="44"/>
  <c r="J88" i="44"/>
  <c r="L86" i="44"/>
  <c r="B54" i="45"/>
  <c r="O89" i="45"/>
  <c r="I90" i="45"/>
  <c r="O96" i="45"/>
  <c r="R97" i="45"/>
  <c r="O99" i="45"/>
  <c r="F101" i="45"/>
  <c r="F102" i="45"/>
  <c r="P24" i="46"/>
  <c r="J34" i="46"/>
  <c r="P36" i="46"/>
  <c r="G49" i="46"/>
  <c r="S52" i="46"/>
  <c r="S55" i="46"/>
  <c r="P59" i="46"/>
  <c r="J60" i="46"/>
  <c r="P62" i="46"/>
  <c r="G99" i="46"/>
  <c r="F17" i="47"/>
  <c r="F19" i="47"/>
  <c r="R23" i="47"/>
  <c r="I33" i="47"/>
  <c r="O50" i="47"/>
  <c r="I69" i="47"/>
  <c r="I73" i="47"/>
  <c r="R102" i="47"/>
  <c r="J19" i="48"/>
  <c r="S23" i="48"/>
  <c r="S63" i="48"/>
  <c r="P68" i="48"/>
  <c r="P70" i="48"/>
  <c r="P76" i="48"/>
  <c r="O21" i="51"/>
  <c r="I25" i="51"/>
  <c r="I30" i="52"/>
  <c r="I32" i="52"/>
  <c r="O34" i="52"/>
  <c r="R17" i="53"/>
  <c r="F19" i="53"/>
  <c r="I18" i="54"/>
  <c r="I22" i="54"/>
  <c r="B35" i="54"/>
  <c r="I55" i="54"/>
  <c r="M61" i="54"/>
  <c r="I79" i="54"/>
  <c r="M87" i="54"/>
  <c r="I89" i="54"/>
  <c r="I77" i="55"/>
  <c r="I60" i="56"/>
  <c r="G54" i="65"/>
  <c r="J65" i="65"/>
  <c r="C89" i="65"/>
  <c r="G89" i="65" s="1"/>
  <c r="J15" i="44"/>
  <c r="P15" i="44"/>
  <c r="G92" i="44"/>
  <c r="O87" i="44"/>
  <c r="B92" i="44"/>
  <c r="J92" i="44" s="1"/>
  <c r="B42" i="45"/>
  <c r="R99" i="45"/>
  <c r="P39" i="46"/>
  <c r="S39" i="46"/>
  <c r="G39" i="46"/>
  <c r="P47" i="46"/>
  <c r="M47" i="46"/>
  <c r="P72" i="46"/>
  <c r="S72" i="46"/>
  <c r="J72" i="46"/>
  <c r="L17" i="47"/>
  <c r="O37" i="47"/>
  <c r="R37" i="47"/>
  <c r="O58" i="47"/>
  <c r="R58" i="47"/>
  <c r="G15" i="44"/>
  <c r="M48" i="46"/>
  <c r="S48" i="46"/>
  <c r="M97" i="46"/>
  <c r="P97" i="46"/>
  <c r="P27" i="48"/>
  <c r="S27" i="48"/>
  <c r="I33" i="56"/>
  <c r="F33" i="56"/>
  <c r="I41" i="56"/>
  <c r="F41" i="56"/>
  <c r="J24" i="44"/>
  <c r="J34" i="44"/>
  <c r="G45" i="44"/>
  <c r="B81" i="44"/>
  <c r="G81" i="44" s="1"/>
  <c r="I86" i="44"/>
  <c r="I11" i="44" s="1"/>
  <c r="G94" i="44"/>
  <c r="G98" i="44"/>
  <c r="B17" i="45"/>
  <c r="I29" i="45"/>
  <c r="I36" i="45"/>
  <c r="I58" i="45"/>
  <c r="F77" i="45"/>
  <c r="O80" i="45"/>
  <c r="B83" i="45"/>
  <c r="F83" i="45" s="1"/>
  <c r="I86" i="45"/>
  <c r="O92" i="45"/>
  <c r="F99" i="45"/>
  <c r="O100" i="45"/>
  <c r="J20" i="46"/>
  <c r="B22" i="46"/>
  <c r="P28" i="46"/>
  <c r="P35" i="46"/>
  <c r="G35" i="46"/>
  <c r="G48" i="46"/>
  <c r="M51" i="46"/>
  <c r="P51" i="46"/>
  <c r="G51" i="46"/>
  <c r="P64" i="46"/>
  <c r="J64" i="46"/>
  <c r="G64" i="46"/>
  <c r="M78" i="46"/>
  <c r="P78" i="46"/>
  <c r="O17" i="47"/>
  <c r="R20" i="47"/>
  <c r="O20" i="47"/>
  <c r="R24" i="47"/>
  <c r="O24" i="47"/>
  <c r="I24" i="47"/>
  <c r="O33" i="47"/>
  <c r="L47" i="47"/>
  <c r="G27" i="48"/>
  <c r="S41" i="48"/>
  <c r="P41" i="48"/>
  <c r="J41" i="48"/>
  <c r="J89" i="48"/>
  <c r="G89" i="48"/>
  <c r="F78" i="55"/>
  <c r="G66" i="65"/>
  <c r="S56" i="48"/>
  <c r="P56" i="48"/>
  <c r="J56" i="48"/>
  <c r="B13" i="51"/>
  <c r="E11" i="51"/>
  <c r="I67" i="55"/>
  <c r="F67" i="55"/>
  <c r="I25" i="56"/>
  <c r="F25" i="56"/>
  <c r="M16" i="65"/>
  <c r="G16" i="65"/>
  <c r="P17" i="44"/>
  <c r="G28" i="44"/>
  <c r="P31" i="44"/>
  <c r="P50" i="44"/>
  <c r="P54" i="44"/>
  <c r="P58" i="44"/>
  <c r="P62" i="44"/>
  <c r="P66" i="44"/>
  <c r="P70" i="44"/>
  <c r="P74" i="44"/>
  <c r="P78" i="44"/>
  <c r="P94" i="44"/>
  <c r="J98" i="44"/>
  <c r="O29" i="45"/>
  <c r="L36" i="45"/>
  <c r="R38" i="45"/>
  <c r="O42" i="45"/>
  <c r="F46" i="45"/>
  <c r="F50" i="45"/>
  <c r="I77" i="45"/>
  <c r="R80" i="45"/>
  <c r="O84" i="45"/>
  <c r="R86" i="45"/>
  <c r="F96" i="45"/>
  <c r="G17" i="46"/>
  <c r="P20" i="46"/>
  <c r="J26" i="46"/>
  <c r="J32" i="46"/>
  <c r="S35" i="46"/>
  <c r="P41" i="46"/>
  <c r="J41" i="46"/>
  <c r="G41" i="46"/>
  <c r="P48" i="46"/>
  <c r="S51" i="46"/>
  <c r="S64" i="46"/>
  <c r="M85" i="46"/>
  <c r="P85" i="46"/>
  <c r="I20" i="47"/>
  <c r="R48" i="47"/>
  <c r="O48" i="47"/>
  <c r="I48" i="47"/>
  <c r="R54" i="47"/>
  <c r="O90" i="47"/>
  <c r="R90" i="47"/>
  <c r="M46" i="48"/>
  <c r="S46" i="48"/>
  <c r="M49" i="48"/>
  <c r="M66" i="48"/>
  <c r="P66" i="48"/>
  <c r="J66" i="48"/>
  <c r="P75" i="48"/>
  <c r="S75" i="48"/>
  <c r="F64" i="55"/>
  <c r="I75" i="55"/>
  <c r="F30" i="56"/>
  <c r="F38" i="56"/>
  <c r="F48" i="56"/>
  <c r="I48" i="56"/>
  <c r="J16" i="65"/>
  <c r="J61" i="65"/>
  <c r="M94" i="46"/>
  <c r="S94" i="46"/>
  <c r="P94" i="46"/>
  <c r="R55" i="47"/>
  <c r="O55" i="47"/>
  <c r="I55" i="47"/>
  <c r="N61" i="47"/>
  <c r="O31" i="53"/>
  <c r="R31" i="53"/>
  <c r="L33" i="53"/>
  <c r="R33" i="53"/>
  <c r="O33" i="53"/>
  <c r="I33" i="53"/>
  <c r="F33" i="53"/>
  <c r="G24" i="65"/>
  <c r="J32" i="44"/>
  <c r="J51" i="44"/>
  <c r="J67" i="44"/>
  <c r="F39" i="45"/>
  <c r="F62" i="45"/>
  <c r="O68" i="45"/>
  <c r="F85" i="45"/>
  <c r="L99" i="45"/>
  <c r="O104" i="45"/>
  <c r="B16" i="46"/>
  <c r="P16" i="46" s="1"/>
  <c r="J30" i="46"/>
  <c r="M75" i="46"/>
  <c r="S75" i="46"/>
  <c r="P75" i="46"/>
  <c r="P91" i="46"/>
  <c r="G94" i="46"/>
  <c r="B28" i="47"/>
  <c r="E27" i="47"/>
  <c r="I44" i="47"/>
  <c r="B64" i="47"/>
  <c r="O64" i="47" s="1"/>
  <c r="B22" i="48"/>
  <c r="F14" i="48"/>
  <c r="S24" i="48"/>
  <c r="P24" i="48"/>
  <c r="J24" i="48"/>
  <c r="M38" i="48"/>
  <c r="P38" i="48"/>
  <c r="J38" i="48"/>
  <c r="P59" i="48"/>
  <c r="S59" i="48"/>
  <c r="S83" i="48"/>
  <c r="P83" i="48"/>
  <c r="J83" i="48"/>
  <c r="P95" i="48"/>
  <c r="G95" i="48"/>
  <c r="N11" i="51"/>
  <c r="F29" i="51"/>
  <c r="B23" i="51"/>
  <c r="I29" i="53"/>
  <c r="F31" i="53"/>
  <c r="M57" i="54"/>
  <c r="I57" i="54"/>
  <c r="K81" i="54"/>
  <c r="F75" i="56"/>
  <c r="M20" i="65"/>
  <c r="G20" i="65"/>
  <c r="F36" i="45"/>
  <c r="R83" i="45"/>
  <c r="M15" i="44"/>
  <c r="B22" i="45"/>
  <c r="R22" i="45" s="1"/>
  <c r="O36" i="45"/>
  <c r="G18" i="44"/>
  <c r="J59" i="44"/>
  <c r="J71" i="44"/>
  <c r="G79" i="44"/>
  <c r="F30" i="45"/>
  <c r="R36" i="45"/>
  <c r="J18" i="44"/>
  <c r="G26" i="44"/>
  <c r="P29" i="44"/>
  <c r="G37" i="44"/>
  <c r="J79" i="44"/>
  <c r="G96" i="44"/>
  <c r="I22" i="45"/>
  <c r="R30" i="45"/>
  <c r="N35" i="45"/>
  <c r="R39" i="45"/>
  <c r="I43" i="45"/>
  <c r="I47" i="45"/>
  <c r="F57" i="45"/>
  <c r="I62" i="45"/>
  <c r="L83" i="45"/>
  <c r="O85" i="45"/>
  <c r="O88" i="45"/>
  <c r="I106" i="45"/>
  <c r="J18" i="46"/>
  <c r="G27" i="46"/>
  <c r="P30" i="46"/>
  <c r="M33" i="46"/>
  <c r="P66" i="46"/>
  <c r="M71" i="46"/>
  <c r="P71" i="46"/>
  <c r="G71" i="46"/>
  <c r="G75" i="46"/>
  <c r="P95" i="46"/>
  <c r="J95" i="46"/>
  <c r="G95" i="46"/>
  <c r="L31" i="47"/>
  <c r="O31" i="47"/>
  <c r="I31" i="47"/>
  <c r="I40" i="47"/>
  <c r="O44" i="47"/>
  <c r="F54" i="47"/>
  <c r="O62" i="47"/>
  <c r="R62" i="47"/>
  <c r="F62" i="47"/>
  <c r="O66" i="47"/>
  <c r="R66" i="47"/>
  <c r="L14" i="48"/>
  <c r="G59" i="48"/>
  <c r="B82" i="48"/>
  <c r="P82" i="48" s="1"/>
  <c r="P89" i="48"/>
  <c r="H11" i="50"/>
  <c r="R29" i="50"/>
  <c r="I29" i="50"/>
  <c r="B25" i="50"/>
  <c r="L25" i="50" s="1"/>
  <c r="K11" i="53"/>
  <c r="I17" i="54"/>
  <c r="I72" i="54"/>
  <c r="M83" i="54"/>
  <c r="I83" i="54"/>
  <c r="M91" i="54"/>
  <c r="I91" i="54"/>
  <c r="B21" i="55"/>
  <c r="F21" i="55" s="1"/>
  <c r="Q82" i="45"/>
  <c r="M92" i="44"/>
  <c r="R77" i="45"/>
  <c r="B21" i="44"/>
  <c r="J21" i="44" s="1"/>
  <c r="J55" i="44"/>
  <c r="J63" i="44"/>
  <c r="J75" i="44"/>
  <c r="G99" i="44"/>
  <c r="F22" i="45"/>
  <c r="F13" i="44"/>
  <c r="F11" i="44" s="1"/>
  <c r="P23" i="44"/>
  <c r="J26" i="44"/>
  <c r="P33" i="44"/>
  <c r="G43" i="44"/>
  <c r="P48" i="44"/>
  <c r="P52" i="44"/>
  <c r="P56" i="44"/>
  <c r="P60" i="44"/>
  <c r="P64" i="44"/>
  <c r="P68" i="44"/>
  <c r="P72" i="44"/>
  <c r="P76" i="44"/>
  <c r="P82" i="44"/>
  <c r="L22" i="45"/>
  <c r="F25" i="45"/>
  <c r="E27" i="45"/>
  <c r="Q35" i="45"/>
  <c r="R57" i="45"/>
  <c r="R62" i="45"/>
  <c r="F69" i="45"/>
  <c r="E75" i="45"/>
  <c r="O79" i="45"/>
  <c r="R85" i="45"/>
  <c r="F97" i="45"/>
  <c r="M16" i="46"/>
  <c r="P18" i="46"/>
  <c r="J24" i="46"/>
  <c r="S27" i="46"/>
  <c r="M38" i="46"/>
  <c r="P38" i="46"/>
  <c r="J38" i="46"/>
  <c r="M67" i="46"/>
  <c r="P67" i="46"/>
  <c r="G67" i="46"/>
  <c r="S71" i="46"/>
  <c r="P76" i="46"/>
  <c r="J76" i="46"/>
  <c r="G76" i="46"/>
  <c r="P83" i="46"/>
  <c r="S83" i="46"/>
  <c r="S95" i="46"/>
  <c r="I17" i="47"/>
  <c r="Q35" i="47"/>
  <c r="O40" i="47"/>
  <c r="B42" i="47"/>
  <c r="I54" i="47"/>
  <c r="F66" i="47"/>
  <c r="R87" i="47"/>
  <c r="O87" i="47"/>
  <c r="I87" i="47"/>
  <c r="M30" i="48"/>
  <c r="P30" i="48"/>
  <c r="J30" i="48"/>
  <c r="P35" i="48"/>
  <c r="S35" i="48"/>
  <c r="S72" i="48"/>
  <c r="P72" i="48"/>
  <c r="J72" i="48"/>
  <c r="I51" i="54"/>
  <c r="M65" i="54"/>
  <c r="F65" i="54"/>
  <c r="H34" i="55"/>
  <c r="B82" i="55"/>
  <c r="F82" i="55" s="1"/>
  <c r="I86" i="55"/>
  <c r="F86" i="55"/>
  <c r="F57" i="56"/>
  <c r="I57" i="56"/>
  <c r="J45" i="65"/>
  <c r="J77" i="65"/>
  <c r="I14" i="48"/>
  <c r="B13" i="50"/>
  <c r="B53" i="55"/>
  <c r="I53" i="55" s="1"/>
  <c r="J22" i="48"/>
  <c r="P32" i="48"/>
  <c r="I13" i="51"/>
  <c r="G44" i="46"/>
  <c r="G56" i="46"/>
  <c r="G59" i="46"/>
  <c r="P70" i="46"/>
  <c r="G101" i="46"/>
  <c r="I18" i="47"/>
  <c r="B36" i="47"/>
  <c r="L45" i="47"/>
  <c r="I78" i="47"/>
  <c r="F97" i="47"/>
  <c r="I103" i="47"/>
  <c r="S32" i="48"/>
  <c r="G44" i="48"/>
  <c r="J50" i="48"/>
  <c r="G63" i="48"/>
  <c r="G79" i="48"/>
  <c r="G101" i="48"/>
  <c r="N11" i="50"/>
  <c r="I35" i="50"/>
  <c r="B63" i="54"/>
  <c r="M63" i="54" s="1"/>
  <c r="I99" i="54"/>
  <c r="B35" i="55"/>
  <c r="I35" i="55" s="1"/>
  <c r="F76" i="56"/>
  <c r="J25" i="65"/>
  <c r="J41" i="65"/>
  <c r="G46" i="65"/>
  <c r="J57" i="65"/>
  <c r="G62" i="65"/>
  <c r="J73" i="65"/>
  <c r="G78" i="65"/>
  <c r="C85" i="65"/>
  <c r="M85" i="65" s="1"/>
  <c r="B99" i="47"/>
  <c r="L99" i="47" s="1"/>
  <c r="P22" i="48"/>
  <c r="E11" i="50"/>
  <c r="R25" i="50"/>
  <c r="B26" i="52"/>
  <c r="R26" i="52" s="1"/>
  <c r="H81" i="54"/>
  <c r="B96" i="54"/>
  <c r="M96" i="54" s="1"/>
  <c r="G90" i="65"/>
  <c r="S44" i="46"/>
  <c r="S56" i="46"/>
  <c r="S98" i="46"/>
  <c r="F32" i="47"/>
  <c r="L36" i="47"/>
  <c r="O38" i="47"/>
  <c r="I46" i="47"/>
  <c r="L49" i="47"/>
  <c r="O59" i="47"/>
  <c r="O67" i="47"/>
  <c r="O85" i="47"/>
  <c r="O91" i="47"/>
  <c r="I101" i="47"/>
  <c r="B16" i="48"/>
  <c r="S16" i="48" s="1"/>
  <c r="J18" i="48"/>
  <c r="J28" i="48"/>
  <c r="G31" i="48"/>
  <c r="J36" i="48"/>
  <c r="G39" i="48"/>
  <c r="G42" i="48"/>
  <c r="G67" i="48"/>
  <c r="G97" i="48"/>
  <c r="I31" i="50"/>
  <c r="I23" i="51"/>
  <c r="O28" i="52"/>
  <c r="O32" i="52"/>
  <c r="I19" i="53"/>
  <c r="B16" i="54"/>
  <c r="I16" i="54" s="1"/>
  <c r="B21" i="54"/>
  <c r="B26" i="54"/>
  <c r="F58" i="54"/>
  <c r="I76" i="54"/>
  <c r="I84" i="54"/>
  <c r="F100" i="54"/>
  <c r="F68" i="55"/>
  <c r="E74" i="55"/>
  <c r="I13" i="56"/>
  <c r="F26" i="56"/>
  <c r="F34" i="56"/>
  <c r="F42" i="56"/>
  <c r="F55" i="56"/>
  <c r="M33" i="65"/>
  <c r="J37" i="65"/>
  <c r="G42" i="65"/>
  <c r="J53" i="65"/>
  <c r="G58" i="65"/>
  <c r="J69" i="65"/>
  <c r="G74" i="65"/>
  <c r="J36" i="46"/>
  <c r="G52" i="46"/>
  <c r="G63" i="46"/>
  <c r="G68" i="46"/>
  <c r="R32" i="47"/>
  <c r="O36" i="47"/>
  <c r="L43" i="47"/>
  <c r="O46" i="47"/>
  <c r="I57" i="47"/>
  <c r="I89" i="47"/>
  <c r="I94" i="47"/>
  <c r="O101" i="47"/>
  <c r="G16" i="48"/>
  <c r="P18" i="48"/>
  <c r="J26" i="48"/>
  <c r="P28" i="48"/>
  <c r="S31" i="48"/>
  <c r="J34" i="48"/>
  <c r="P36" i="48"/>
  <c r="S42" i="48"/>
  <c r="J45" i="48"/>
  <c r="M51" i="48"/>
  <c r="J58" i="48"/>
  <c r="J64" i="48"/>
  <c r="S67" i="48"/>
  <c r="J74" i="48"/>
  <c r="J80" i="48"/>
  <c r="J85" i="48"/>
  <c r="Q11" i="50"/>
  <c r="H12" i="52"/>
  <c r="B12" i="52" s="1"/>
  <c r="I35" i="53"/>
  <c r="F35" i="54"/>
  <c r="B82" i="54"/>
  <c r="M82" i="54" s="1"/>
  <c r="I100" i="54"/>
  <c r="F84" i="55"/>
  <c r="F88" i="55"/>
  <c r="I46" i="56"/>
  <c r="I50" i="56"/>
  <c r="I59" i="56"/>
  <c r="J27" i="65"/>
  <c r="J22" i="65"/>
  <c r="G22" i="65"/>
  <c r="L12" i="65"/>
  <c r="M22" i="65"/>
  <c r="J26" i="65"/>
  <c r="G26" i="65"/>
  <c r="J30" i="65"/>
  <c r="G30" i="65"/>
  <c r="D30" i="65" s="1"/>
  <c r="J36" i="65"/>
  <c r="G36" i="65"/>
  <c r="J40" i="65"/>
  <c r="G40" i="65"/>
  <c r="J44" i="65"/>
  <c r="G44" i="65"/>
  <c r="J48" i="65"/>
  <c r="G48" i="65"/>
  <c r="D48" i="65" s="1"/>
  <c r="J52" i="65"/>
  <c r="G52" i="65"/>
  <c r="J56" i="65"/>
  <c r="G56" i="65"/>
  <c r="J68" i="65"/>
  <c r="G68" i="65"/>
  <c r="M68" i="65"/>
  <c r="D23" i="65"/>
  <c r="M26" i="65"/>
  <c r="M30" i="65"/>
  <c r="M36" i="65"/>
  <c r="M40" i="65"/>
  <c r="M44" i="65"/>
  <c r="M48" i="65"/>
  <c r="M52" i="65"/>
  <c r="M56" i="65"/>
  <c r="F12" i="65"/>
  <c r="C14" i="65"/>
  <c r="J14" i="65" s="1"/>
  <c r="J18" i="65"/>
  <c r="G18" i="65"/>
  <c r="D18" i="65" s="1"/>
  <c r="M60" i="65"/>
  <c r="M64" i="65"/>
  <c r="M72" i="65"/>
  <c r="M76" i="65"/>
  <c r="M80" i="65"/>
  <c r="J89" i="65"/>
  <c r="M19" i="65"/>
  <c r="D19" i="65" s="1"/>
  <c r="J20" i="65"/>
  <c r="D20" i="65" s="1"/>
  <c r="G21" i="65"/>
  <c r="D21" i="65" s="1"/>
  <c r="M23" i="65"/>
  <c r="J24" i="65"/>
  <c r="D24" i="65" s="1"/>
  <c r="G25" i="65"/>
  <c r="D25" i="65" s="1"/>
  <c r="M27" i="65"/>
  <c r="J28" i="65"/>
  <c r="D28" i="65" s="1"/>
  <c r="G29" i="65"/>
  <c r="M31" i="65"/>
  <c r="D31" i="65" s="1"/>
  <c r="G35" i="65"/>
  <c r="M37" i="65"/>
  <c r="D37" i="65" s="1"/>
  <c r="J38" i="65"/>
  <c r="D38" i="65" s="1"/>
  <c r="G39" i="65"/>
  <c r="M41" i="65"/>
  <c r="D41" i="65" s="1"/>
  <c r="J42" i="65"/>
  <c r="D42" i="65" s="1"/>
  <c r="G43" i="65"/>
  <c r="M45" i="65"/>
  <c r="J46" i="65"/>
  <c r="D46" i="65" s="1"/>
  <c r="G47" i="65"/>
  <c r="M49" i="65"/>
  <c r="D49" i="65" s="1"/>
  <c r="J50" i="65"/>
  <c r="D50" i="65" s="1"/>
  <c r="G51" i="65"/>
  <c r="M53" i="65"/>
  <c r="D53" i="65" s="1"/>
  <c r="J54" i="65"/>
  <c r="D54" i="65" s="1"/>
  <c r="G55" i="65"/>
  <c r="M57" i="65"/>
  <c r="J58" i="65"/>
  <c r="D58" i="65" s="1"/>
  <c r="G59" i="65"/>
  <c r="M61" i="65"/>
  <c r="D61" i="65" s="1"/>
  <c r="J62" i="65"/>
  <c r="D62" i="65" s="1"/>
  <c r="G63" i="65"/>
  <c r="M65" i="65"/>
  <c r="D65" i="65" s="1"/>
  <c r="J66" i="65"/>
  <c r="D66" i="65" s="1"/>
  <c r="G67" i="65"/>
  <c r="M69" i="65"/>
  <c r="J70" i="65"/>
  <c r="D70" i="65" s="1"/>
  <c r="G71" i="65"/>
  <c r="M73" i="65"/>
  <c r="D73" i="65" s="1"/>
  <c r="J74" i="65"/>
  <c r="D74" i="65" s="1"/>
  <c r="G75" i="65"/>
  <c r="M77" i="65"/>
  <c r="D77" i="65" s="1"/>
  <c r="J78" i="65"/>
  <c r="D78" i="65" s="1"/>
  <c r="G79" i="65"/>
  <c r="M81" i="65"/>
  <c r="D81" i="65" s="1"/>
  <c r="G83" i="65"/>
  <c r="J87" i="65"/>
  <c r="D87" i="65" s="1"/>
  <c r="G88" i="65"/>
  <c r="M89" i="65"/>
  <c r="D89" i="65" s="1"/>
  <c r="J90" i="65"/>
  <c r="G91" i="65"/>
  <c r="J29" i="65"/>
  <c r="G33" i="65"/>
  <c r="J35" i="65"/>
  <c r="J39" i="65"/>
  <c r="J43" i="65"/>
  <c r="J47" i="65"/>
  <c r="J51" i="65"/>
  <c r="J55" i="65"/>
  <c r="J59" i="65"/>
  <c r="G60" i="65"/>
  <c r="J63" i="65"/>
  <c r="G64" i="65"/>
  <c r="D64" i="65" s="1"/>
  <c r="J67" i="65"/>
  <c r="J71" i="65"/>
  <c r="G72" i="65"/>
  <c r="D72" i="65" s="1"/>
  <c r="J75" i="65"/>
  <c r="G76" i="65"/>
  <c r="J79" i="65"/>
  <c r="G80" i="65"/>
  <c r="D80" i="65" s="1"/>
  <c r="J83" i="65"/>
  <c r="J88" i="65"/>
  <c r="J91" i="65"/>
  <c r="I13" i="57"/>
  <c r="I11" i="57"/>
  <c r="E11" i="57"/>
  <c r="B13" i="57"/>
  <c r="B11" i="57" s="1"/>
  <c r="F15" i="57"/>
  <c r="C15" i="57" s="1"/>
  <c r="F17" i="57"/>
  <c r="C17" i="57" s="1"/>
  <c r="F19" i="57"/>
  <c r="C19" i="57" s="1"/>
  <c r="F21" i="57"/>
  <c r="C21" i="57" s="1"/>
  <c r="F23" i="57"/>
  <c r="C23" i="57" s="1"/>
  <c r="F25" i="57"/>
  <c r="C25" i="57" s="1"/>
  <c r="F27" i="57"/>
  <c r="C27" i="57" s="1"/>
  <c r="F29" i="57"/>
  <c r="C29" i="57" s="1"/>
  <c r="F31" i="57"/>
  <c r="C31" i="57" s="1"/>
  <c r="F33" i="57"/>
  <c r="C33" i="57" s="1"/>
  <c r="I79" i="56"/>
  <c r="B22" i="56"/>
  <c r="I22" i="56" s="1"/>
  <c r="F13" i="56"/>
  <c r="I43" i="56"/>
  <c r="I44" i="56"/>
  <c r="F77" i="56"/>
  <c r="F79" i="56"/>
  <c r="E11" i="56"/>
  <c r="F14" i="56"/>
  <c r="F15" i="56"/>
  <c r="F16" i="56"/>
  <c r="F17" i="56"/>
  <c r="F18" i="56"/>
  <c r="F19" i="56"/>
  <c r="F20" i="56"/>
  <c r="F52" i="56"/>
  <c r="F62" i="56"/>
  <c r="F63" i="56"/>
  <c r="F64" i="56"/>
  <c r="F65" i="56"/>
  <c r="F66" i="56"/>
  <c r="F67" i="56"/>
  <c r="F68" i="56"/>
  <c r="F69" i="56"/>
  <c r="F70" i="56"/>
  <c r="F71" i="56"/>
  <c r="F72" i="56"/>
  <c r="F80" i="56"/>
  <c r="F81" i="56"/>
  <c r="F82" i="56"/>
  <c r="F83" i="56"/>
  <c r="I16" i="55"/>
  <c r="F16" i="55"/>
  <c r="F27" i="55"/>
  <c r="I27" i="55"/>
  <c r="F41" i="55"/>
  <c r="I41" i="55"/>
  <c r="H13" i="55"/>
  <c r="B74" i="55"/>
  <c r="I96" i="55"/>
  <c r="F53" i="55"/>
  <c r="F60" i="55"/>
  <c r="B81" i="55"/>
  <c r="E15" i="55"/>
  <c r="F17" i="55"/>
  <c r="F18" i="55"/>
  <c r="F19" i="55"/>
  <c r="I21" i="55"/>
  <c r="I22" i="55"/>
  <c r="I23" i="55"/>
  <c r="I24" i="55"/>
  <c r="E26" i="55"/>
  <c r="F28" i="55"/>
  <c r="F29" i="55"/>
  <c r="F30" i="55"/>
  <c r="F31" i="55"/>
  <c r="F32" i="55"/>
  <c r="F35" i="55"/>
  <c r="F42" i="55"/>
  <c r="F43" i="55"/>
  <c r="F44" i="55"/>
  <c r="F45" i="55"/>
  <c r="F46" i="55"/>
  <c r="F47" i="55"/>
  <c r="F48" i="55"/>
  <c r="F49" i="55"/>
  <c r="F54" i="55"/>
  <c r="F55" i="55"/>
  <c r="F56" i="55"/>
  <c r="F57" i="55"/>
  <c r="F58" i="55"/>
  <c r="I60" i="55"/>
  <c r="I61" i="55"/>
  <c r="F70" i="55"/>
  <c r="F81" i="55"/>
  <c r="I82" i="55"/>
  <c r="I90" i="55"/>
  <c r="I91" i="55"/>
  <c r="I93" i="55"/>
  <c r="I94" i="55"/>
  <c r="F96" i="55"/>
  <c r="E34" i="55"/>
  <c r="F36" i="55"/>
  <c r="F37" i="55"/>
  <c r="F38" i="55"/>
  <c r="F39" i="55"/>
  <c r="F51" i="55"/>
  <c r="F72" i="55"/>
  <c r="F97" i="55"/>
  <c r="F98" i="55"/>
  <c r="F99" i="55"/>
  <c r="F100" i="55"/>
  <c r="F101" i="55"/>
  <c r="F26" i="54"/>
  <c r="M26" i="54"/>
  <c r="M32" i="54"/>
  <c r="I32" i="54"/>
  <c r="I41" i="54"/>
  <c r="M45" i="54"/>
  <c r="I45" i="54"/>
  <c r="M49" i="54"/>
  <c r="I49" i="54"/>
  <c r="K34" i="54"/>
  <c r="K13" i="54" s="1"/>
  <c r="B74" i="54"/>
  <c r="F74" i="54" s="1"/>
  <c r="M93" i="54"/>
  <c r="I93" i="54"/>
  <c r="E15" i="54"/>
  <c r="F21" i="54"/>
  <c r="I28" i="54"/>
  <c r="M41" i="54"/>
  <c r="B53" i="54"/>
  <c r="E34" i="54"/>
  <c r="E60" i="54"/>
  <c r="F63" i="54"/>
  <c r="B75" i="54"/>
  <c r="M75" i="54" s="1"/>
  <c r="B81" i="54"/>
  <c r="M97" i="54"/>
  <c r="I97" i="54"/>
  <c r="M16" i="54"/>
  <c r="I21" i="54"/>
  <c r="M31" i="54"/>
  <c r="I31" i="54"/>
  <c r="I35" i="54"/>
  <c r="I37" i="54"/>
  <c r="F37" i="54"/>
  <c r="M39" i="54"/>
  <c r="I39" i="54"/>
  <c r="F41" i="54"/>
  <c r="M42" i="54"/>
  <c r="I42" i="54"/>
  <c r="M44" i="54"/>
  <c r="I44" i="54"/>
  <c r="M46" i="54"/>
  <c r="I46" i="54"/>
  <c r="M48" i="54"/>
  <c r="I48" i="54"/>
  <c r="I63" i="54"/>
  <c r="I67" i="54"/>
  <c r="F70" i="54"/>
  <c r="M94" i="54"/>
  <c r="I94" i="54"/>
  <c r="F96" i="54"/>
  <c r="I98" i="54"/>
  <c r="F98" i="54"/>
  <c r="M21" i="54"/>
  <c r="I26" i="54"/>
  <c r="H13" i="54"/>
  <c r="M30" i="54"/>
  <c r="I30" i="54"/>
  <c r="M36" i="54"/>
  <c r="I36" i="54"/>
  <c r="M38" i="54"/>
  <c r="I38" i="54"/>
  <c r="M43" i="54"/>
  <c r="I43" i="54"/>
  <c r="M47" i="54"/>
  <c r="I47" i="54"/>
  <c r="I68" i="54"/>
  <c r="F16" i="54"/>
  <c r="B27" i="54"/>
  <c r="I27" i="54" s="1"/>
  <c r="I29" i="54"/>
  <c r="M35" i="54"/>
  <c r="I66" i="54"/>
  <c r="F66" i="54"/>
  <c r="M67" i="54"/>
  <c r="I70" i="54"/>
  <c r="I96" i="54"/>
  <c r="M98" i="54"/>
  <c r="M99" i="54"/>
  <c r="M58" i="54"/>
  <c r="M64" i="54"/>
  <c r="I65" i="54"/>
  <c r="M79" i="54"/>
  <c r="I101" i="54"/>
  <c r="L15" i="53"/>
  <c r="I17" i="53"/>
  <c r="O21" i="53"/>
  <c r="L23" i="53"/>
  <c r="O27" i="53"/>
  <c r="L29" i="53"/>
  <c r="I31" i="53"/>
  <c r="L35" i="53"/>
  <c r="L27" i="53"/>
  <c r="O15" i="53"/>
  <c r="L17" i="53"/>
  <c r="F21" i="53"/>
  <c r="R21" i="53"/>
  <c r="O23" i="53"/>
  <c r="B25" i="53"/>
  <c r="F27" i="53"/>
  <c r="R27" i="53"/>
  <c r="O29" i="53"/>
  <c r="L31" i="53"/>
  <c r="O35" i="53"/>
  <c r="B13" i="53"/>
  <c r="F15" i="53"/>
  <c r="F23" i="53"/>
  <c r="F29" i="53"/>
  <c r="F35" i="53"/>
  <c r="L22" i="52"/>
  <c r="O16" i="52"/>
  <c r="O18" i="52"/>
  <c r="O20" i="52"/>
  <c r="O22" i="52"/>
  <c r="O24" i="52"/>
  <c r="I26" i="52"/>
  <c r="O26" i="52"/>
  <c r="L28" i="52"/>
  <c r="L30" i="52"/>
  <c r="L32" i="52"/>
  <c r="L34" i="52"/>
  <c r="L36" i="52"/>
  <c r="F16" i="52"/>
  <c r="R16" i="52"/>
  <c r="F18" i="52"/>
  <c r="R18" i="52"/>
  <c r="F20" i="52"/>
  <c r="R20" i="52"/>
  <c r="F22" i="52"/>
  <c r="R22" i="52"/>
  <c r="F24" i="52"/>
  <c r="R24" i="52"/>
  <c r="O36" i="52"/>
  <c r="L16" i="52"/>
  <c r="L18" i="52"/>
  <c r="L20" i="52"/>
  <c r="B14" i="52"/>
  <c r="L14" i="52" s="1"/>
  <c r="I22" i="52"/>
  <c r="F28" i="52"/>
  <c r="F30" i="52"/>
  <c r="F32" i="52"/>
  <c r="F34" i="52"/>
  <c r="F36" i="52"/>
  <c r="B11" i="51"/>
  <c r="C13" i="51" s="1"/>
  <c r="L13" i="51"/>
  <c r="O13" i="51"/>
  <c r="I15" i="51"/>
  <c r="F17" i="51"/>
  <c r="C19" i="51"/>
  <c r="O19" i="51"/>
  <c r="L25" i="51"/>
  <c r="I27" i="51"/>
  <c r="I29" i="51"/>
  <c r="L15" i="51"/>
  <c r="I17" i="51"/>
  <c r="F19" i="51"/>
  <c r="L27" i="51"/>
  <c r="L29" i="51"/>
  <c r="F13" i="51"/>
  <c r="C15" i="51"/>
  <c r="O15" i="51"/>
  <c r="L17" i="51"/>
  <c r="O29" i="51"/>
  <c r="C17" i="51"/>
  <c r="L13" i="50"/>
  <c r="I11" i="50"/>
  <c r="B11" i="50"/>
  <c r="F11" i="50" s="1"/>
  <c r="O13" i="50"/>
  <c r="I13" i="50"/>
  <c r="R13" i="50"/>
  <c r="C25" i="50"/>
  <c r="O11" i="50"/>
  <c r="L15" i="50"/>
  <c r="L19" i="50"/>
  <c r="L21" i="50"/>
  <c r="O15" i="50"/>
  <c r="C19" i="50"/>
  <c r="C21" i="50"/>
  <c r="C23" i="50"/>
  <c r="O23" i="50"/>
  <c r="I25" i="50"/>
  <c r="O25" i="50"/>
  <c r="L27" i="50"/>
  <c r="L29" i="50"/>
  <c r="L33" i="50"/>
  <c r="L35" i="50"/>
  <c r="F13" i="50"/>
  <c r="F15" i="50"/>
  <c r="R15" i="50"/>
  <c r="F17" i="50"/>
  <c r="R17" i="50"/>
  <c r="F19" i="50"/>
  <c r="R19" i="50"/>
  <c r="F21" i="50"/>
  <c r="R21" i="50"/>
  <c r="F23" i="50"/>
  <c r="R23" i="50"/>
  <c r="C27" i="50"/>
  <c r="O27" i="50"/>
  <c r="C29" i="50"/>
  <c r="O29" i="50"/>
  <c r="C31" i="50"/>
  <c r="O31" i="50"/>
  <c r="C33" i="50"/>
  <c r="O33" i="50"/>
  <c r="C35" i="50"/>
  <c r="O35" i="50"/>
  <c r="L17" i="50"/>
  <c r="L23" i="50"/>
  <c r="C15" i="50"/>
  <c r="C17" i="50"/>
  <c r="O17" i="50"/>
  <c r="O19" i="50"/>
  <c r="O21" i="50"/>
  <c r="L31" i="50"/>
  <c r="F27" i="50"/>
  <c r="F29" i="50"/>
  <c r="F31" i="50"/>
  <c r="F33" i="50"/>
  <c r="F35" i="50"/>
  <c r="O12" i="48"/>
  <c r="S22" i="48"/>
  <c r="I12" i="48"/>
  <c r="M22" i="48"/>
  <c r="M17" i="48"/>
  <c r="M20" i="48"/>
  <c r="M25" i="48"/>
  <c r="M33" i="48"/>
  <c r="J91" i="48"/>
  <c r="G91" i="48"/>
  <c r="P91" i="48"/>
  <c r="P93" i="48"/>
  <c r="J93" i="48"/>
  <c r="J100" i="48"/>
  <c r="G100" i="48"/>
  <c r="P100" i="48"/>
  <c r="F12" i="48"/>
  <c r="L12" i="48"/>
  <c r="R12" i="48"/>
  <c r="J16" i="48"/>
  <c r="P16" i="48"/>
  <c r="P17" i="48"/>
  <c r="G18" i="48"/>
  <c r="S18" i="48"/>
  <c r="M19" i="48"/>
  <c r="P20" i="48"/>
  <c r="G22" i="48"/>
  <c r="J23" i="48"/>
  <c r="M24" i="48"/>
  <c r="P25" i="48"/>
  <c r="G26" i="48"/>
  <c r="S26" i="48"/>
  <c r="J27" i="48"/>
  <c r="P29" i="48"/>
  <c r="G30" i="48"/>
  <c r="S30" i="48"/>
  <c r="J31" i="48"/>
  <c r="P33" i="48"/>
  <c r="G34" i="48"/>
  <c r="S34" i="48"/>
  <c r="J35" i="48"/>
  <c r="P37" i="48"/>
  <c r="G38" i="48"/>
  <c r="S38" i="48"/>
  <c r="M91" i="48"/>
  <c r="G93" i="48"/>
  <c r="M93" i="48"/>
  <c r="M100" i="48"/>
  <c r="M29" i="48"/>
  <c r="J98" i="48"/>
  <c r="G98" i="48"/>
  <c r="P98" i="48"/>
  <c r="G17" i="48"/>
  <c r="S17" i="48"/>
  <c r="P19" i="48"/>
  <c r="G20" i="48"/>
  <c r="S20" i="48"/>
  <c r="M23" i="48"/>
  <c r="G25" i="48"/>
  <c r="S25" i="48"/>
  <c r="M27" i="48"/>
  <c r="G29" i="48"/>
  <c r="S29" i="48"/>
  <c r="M31" i="48"/>
  <c r="G33" i="48"/>
  <c r="S33" i="48"/>
  <c r="M35" i="48"/>
  <c r="G37" i="48"/>
  <c r="S37" i="48"/>
  <c r="M39" i="48"/>
  <c r="S39" i="48"/>
  <c r="P39" i="48"/>
  <c r="J49" i="48"/>
  <c r="P49" i="48"/>
  <c r="P51" i="48"/>
  <c r="J51" i="48"/>
  <c r="J53" i="48"/>
  <c r="S53" i="48"/>
  <c r="G53" i="48"/>
  <c r="P53" i="48"/>
  <c r="J57" i="48"/>
  <c r="S57" i="48"/>
  <c r="G57" i="48"/>
  <c r="P57" i="48"/>
  <c r="J61" i="48"/>
  <c r="S61" i="48"/>
  <c r="G61" i="48"/>
  <c r="P61" i="48"/>
  <c r="J65" i="48"/>
  <c r="S65" i="48"/>
  <c r="G65" i="48"/>
  <c r="P65" i="48"/>
  <c r="J69" i="48"/>
  <c r="S69" i="48"/>
  <c r="G69" i="48"/>
  <c r="P69" i="48"/>
  <c r="J73" i="48"/>
  <c r="S73" i="48"/>
  <c r="G73" i="48"/>
  <c r="P73" i="48"/>
  <c r="J77" i="48"/>
  <c r="S77" i="48"/>
  <c r="G77" i="48"/>
  <c r="P77" i="48"/>
  <c r="J84" i="48"/>
  <c r="S84" i="48"/>
  <c r="G84" i="48"/>
  <c r="P84" i="48"/>
  <c r="B87" i="48"/>
  <c r="J87" i="48" s="1"/>
  <c r="M37" i="48"/>
  <c r="J94" i="48"/>
  <c r="G94" i="48"/>
  <c r="P94" i="48"/>
  <c r="J96" i="48"/>
  <c r="G96" i="48"/>
  <c r="P96" i="48"/>
  <c r="G19" i="48"/>
  <c r="G24" i="48"/>
  <c r="P40" i="48"/>
  <c r="J40" i="48"/>
  <c r="J42" i="48"/>
  <c r="P42" i="48"/>
  <c r="P44" i="48"/>
  <c r="J44" i="48"/>
  <c r="J46" i="48"/>
  <c r="P46" i="48"/>
  <c r="P48" i="48"/>
  <c r="J48" i="48"/>
  <c r="G49" i="48"/>
  <c r="G51" i="48"/>
  <c r="M53" i="48"/>
  <c r="M57" i="48"/>
  <c r="M61" i="48"/>
  <c r="M65" i="48"/>
  <c r="M69" i="48"/>
  <c r="M73" i="48"/>
  <c r="M77" i="48"/>
  <c r="M84" i="48"/>
  <c r="G87" i="48"/>
  <c r="S87" i="48"/>
  <c r="M41" i="48"/>
  <c r="G43" i="48"/>
  <c r="S43" i="48"/>
  <c r="M45" i="48"/>
  <c r="G47" i="48"/>
  <c r="S47" i="48"/>
  <c r="G50" i="48"/>
  <c r="S50" i="48"/>
  <c r="M52" i="48"/>
  <c r="G54" i="48"/>
  <c r="S54" i="48"/>
  <c r="J55" i="48"/>
  <c r="M56" i="48"/>
  <c r="G58" i="48"/>
  <c r="S58" i="48"/>
  <c r="J59" i="48"/>
  <c r="M60" i="48"/>
  <c r="G62" i="48"/>
  <c r="S62" i="48"/>
  <c r="J63" i="48"/>
  <c r="M64" i="48"/>
  <c r="G66" i="48"/>
  <c r="S66" i="48"/>
  <c r="J67" i="48"/>
  <c r="M68" i="48"/>
  <c r="G70" i="48"/>
  <c r="S70" i="48"/>
  <c r="J71" i="48"/>
  <c r="M72" i="48"/>
  <c r="G74" i="48"/>
  <c r="S74" i="48"/>
  <c r="J75" i="48"/>
  <c r="M76" i="48"/>
  <c r="G78" i="48"/>
  <c r="S78" i="48"/>
  <c r="J79" i="48"/>
  <c r="M80" i="48"/>
  <c r="M83" i="48"/>
  <c r="G85" i="48"/>
  <c r="S85" i="48"/>
  <c r="J95" i="48"/>
  <c r="J97" i="48"/>
  <c r="J99" i="48"/>
  <c r="J101" i="48"/>
  <c r="M55" i="48"/>
  <c r="M59" i="48"/>
  <c r="M63" i="48"/>
  <c r="M67" i="48"/>
  <c r="M71" i="48"/>
  <c r="M75" i="48"/>
  <c r="M79" i="48"/>
  <c r="M95" i="48"/>
  <c r="M97" i="48"/>
  <c r="M99" i="48"/>
  <c r="M101" i="48"/>
  <c r="G41" i="48"/>
  <c r="G45" i="48"/>
  <c r="G52" i="48"/>
  <c r="G56" i="48"/>
  <c r="G60" i="48"/>
  <c r="G64" i="48"/>
  <c r="G68" i="48"/>
  <c r="G72" i="48"/>
  <c r="G76" i="48"/>
  <c r="G83" i="48"/>
  <c r="I22" i="47"/>
  <c r="L42" i="47"/>
  <c r="B16" i="47"/>
  <c r="R22" i="47"/>
  <c r="L22" i="47"/>
  <c r="B35" i="47"/>
  <c r="R35" i="47" s="1"/>
  <c r="R36" i="47"/>
  <c r="O22" i="47"/>
  <c r="F28" i="47"/>
  <c r="O28" i="47"/>
  <c r="I28" i="47"/>
  <c r="R28" i="47"/>
  <c r="B27" i="47"/>
  <c r="L28" i="47"/>
  <c r="I36" i="47"/>
  <c r="F42" i="47"/>
  <c r="L30" i="47"/>
  <c r="L39" i="47"/>
  <c r="E16" i="47"/>
  <c r="K16" i="47"/>
  <c r="Q16" i="47"/>
  <c r="F18" i="47"/>
  <c r="R18" i="47"/>
  <c r="I19" i="47"/>
  <c r="L20" i="47"/>
  <c r="F22" i="47"/>
  <c r="I23" i="47"/>
  <c r="L24" i="47"/>
  <c r="O25" i="47"/>
  <c r="L29" i="47"/>
  <c r="O30" i="47"/>
  <c r="F31" i="47"/>
  <c r="R31" i="47"/>
  <c r="I32" i="47"/>
  <c r="L33" i="47"/>
  <c r="F36" i="47"/>
  <c r="I37" i="47"/>
  <c r="L38" i="47"/>
  <c r="O39" i="47"/>
  <c r="F40" i="47"/>
  <c r="R40" i="47"/>
  <c r="I42" i="47"/>
  <c r="R42" i="47"/>
  <c r="F52" i="47"/>
  <c r="I79" i="47"/>
  <c r="R79" i="47"/>
  <c r="F79" i="47"/>
  <c r="O79" i="47"/>
  <c r="I84" i="47"/>
  <c r="R84" i="47"/>
  <c r="F84" i="47"/>
  <c r="O84" i="47"/>
  <c r="I88" i="47"/>
  <c r="R88" i="47"/>
  <c r="F88" i="47"/>
  <c r="O88" i="47"/>
  <c r="I92" i="47"/>
  <c r="R92" i="47"/>
  <c r="F92" i="47"/>
  <c r="O92" i="47"/>
  <c r="O99" i="47"/>
  <c r="O42" i="47"/>
  <c r="L19" i="47"/>
  <c r="L23" i="47"/>
  <c r="F25" i="47"/>
  <c r="R25" i="47"/>
  <c r="F30" i="47"/>
  <c r="R30" i="47"/>
  <c r="L32" i="47"/>
  <c r="H35" i="47"/>
  <c r="I35" i="47" s="1"/>
  <c r="N35" i="47"/>
  <c r="O35" i="47" s="1"/>
  <c r="L37" i="47"/>
  <c r="F39" i="47"/>
  <c r="R39" i="47"/>
  <c r="O43" i="47"/>
  <c r="I43" i="47"/>
  <c r="I45" i="47"/>
  <c r="O45" i="47"/>
  <c r="O47" i="47"/>
  <c r="I47" i="47"/>
  <c r="I49" i="47"/>
  <c r="O49" i="47"/>
  <c r="I56" i="47"/>
  <c r="R56" i="47"/>
  <c r="F56" i="47"/>
  <c r="O56" i="47"/>
  <c r="B76" i="47"/>
  <c r="F76" i="47" s="1"/>
  <c r="L88" i="47"/>
  <c r="L92" i="47"/>
  <c r="F99" i="47"/>
  <c r="R99" i="47"/>
  <c r="I104" i="47"/>
  <c r="R104" i="47"/>
  <c r="F104" i="47"/>
  <c r="O104" i="47"/>
  <c r="L25" i="47"/>
  <c r="I52" i="47"/>
  <c r="O52" i="47"/>
  <c r="I68" i="47"/>
  <c r="R68" i="47"/>
  <c r="F68" i="47"/>
  <c r="O68" i="47"/>
  <c r="I71" i="47"/>
  <c r="R71" i="47"/>
  <c r="F71" i="47"/>
  <c r="B61" i="47"/>
  <c r="I61" i="47" s="1"/>
  <c r="O71" i="47"/>
  <c r="H16" i="47"/>
  <c r="N16" i="47"/>
  <c r="F20" i="47"/>
  <c r="F24" i="47"/>
  <c r="F29" i="47"/>
  <c r="F33" i="47"/>
  <c r="F38" i="47"/>
  <c r="F43" i="47"/>
  <c r="F45" i="47"/>
  <c r="F47" i="47"/>
  <c r="F49" i="47"/>
  <c r="R52" i="47"/>
  <c r="L56" i="47"/>
  <c r="K75" i="47"/>
  <c r="I76" i="47"/>
  <c r="H82" i="47"/>
  <c r="B83" i="47"/>
  <c r="F83" i="47" s="1"/>
  <c r="I99" i="47"/>
  <c r="I100" i="47"/>
  <c r="R100" i="47"/>
  <c r="F100" i="47"/>
  <c r="O100" i="47"/>
  <c r="L104" i="47"/>
  <c r="L44" i="47"/>
  <c r="F46" i="47"/>
  <c r="R46" i="47"/>
  <c r="L48" i="47"/>
  <c r="F50" i="47"/>
  <c r="R50" i="47"/>
  <c r="L55" i="47"/>
  <c r="F57" i="47"/>
  <c r="R57" i="47"/>
  <c r="I58" i="47"/>
  <c r="L59" i="47"/>
  <c r="I62" i="47"/>
  <c r="F65" i="47"/>
  <c r="R65" i="47"/>
  <c r="I66" i="47"/>
  <c r="L67" i="47"/>
  <c r="F69" i="47"/>
  <c r="R69" i="47"/>
  <c r="L73" i="47"/>
  <c r="I77" i="47"/>
  <c r="L78" i="47"/>
  <c r="F80" i="47"/>
  <c r="R80" i="47"/>
  <c r="F85" i="47"/>
  <c r="R85" i="47"/>
  <c r="I86" i="47"/>
  <c r="L87" i="47"/>
  <c r="F89" i="47"/>
  <c r="R89" i="47"/>
  <c r="I90" i="47"/>
  <c r="L91" i="47"/>
  <c r="L94" i="47"/>
  <c r="F96" i="47"/>
  <c r="R96" i="47"/>
  <c r="I97" i="47"/>
  <c r="F101" i="47"/>
  <c r="R101" i="47"/>
  <c r="I102" i="47"/>
  <c r="L103" i="47"/>
  <c r="L106" i="47"/>
  <c r="L58" i="47"/>
  <c r="L62" i="47"/>
  <c r="L66" i="47"/>
  <c r="L77" i="47"/>
  <c r="L86" i="47"/>
  <c r="L90" i="47"/>
  <c r="L97" i="47"/>
  <c r="L102" i="47"/>
  <c r="O103" i="47"/>
  <c r="O106" i="47"/>
  <c r="F44" i="47"/>
  <c r="F48" i="47"/>
  <c r="F55" i="47"/>
  <c r="F59" i="47"/>
  <c r="F67" i="47"/>
  <c r="F73" i="47"/>
  <c r="F78" i="47"/>
  <c r="F87" i="47"/>
  <c r="F91" i="47"/>
  <c r="F94" i="47"/>
  <c r="F103" i="47"/>
  <c r="F106" i="47"/>
  <c r="S16" i="46"/>
  <c r="J16" i="46"/>
  <c r="P22" i="46"/>
  <c r="J22" i="46"/>
  <c r="M22" i="46"/>
  <c r="S22" i="46"/>
  <c r="P19" i="46"/>
  <c r="M29" i="46"/>
  <c r="J100" i="46"/>
  <c r="G100" i="46"/>
  <c r="P100" i="46"/>
  <c r="F14" i="46"/>
  <c r="L14" i="46"/>
  <c r="R14" i="46"/>
  <c r="G16" i="46"/>
  <c r="J17" i="46"/>
  <c r="M18" i="46"/>
  <c r="G19" i="46"/>
  <c r="M20" i="46"/>
  <c r="G22" i="46"/>
  <c r="J23" i="46"/>
  <c r="M24" i="46"/>
  <c r="P25" i="46"/>
  <c r="G26" i="46"/>
  <c r="S26" i="46"/>
  <c r="J27" i="46"/>
  <c r="M28" i="46"/>
  <c r="P29" i="46"/>
  <c r="G30" i="46"/>
  <c r="S30" i="46"/>
  <c r="J31" i="46"/>
  <c r="M32" i="46"/>
  <c r="P33" i="46"/>
  <c r="G34" i="46"/>
  <c r="S34" i="46"/>
  <c r="J35" i="46"/>
  <c r="M36" i="46"/>
  <c r="P37" i="46"/>
  <c r="G38" i="46"/>
  <c r="S38" i="46"/>
  <c r="J39" i="46"/>
  <c r="M40" i="46"/>
  <c r="J40" i="46"/>
  <c r="S40" i="46"/>
  <c r="J43" i="46"/>
  <c r="S43" i="46"/>
  <c r="G43" i="46"/>
  <c r="J47" i="46"/>
  <c r="S47" i="46"/>
  <c r="G47" i="46"/>
  <c r="J50" i="46"/>
  <c r="S50" i="46"/>
  <c r="G50" i="46"/>
  <c r="J54" i="46"/>
  <c r="S54" i="46"/>
  <c r="G54" i="46"/>
  <c r="J57" i="46"/>
  <c r="S57" i="46"/>
  <c r="G57" i="46"/>
  <c r="P57" i="46"/>
  <c r="J73" i="46"/>
  <c r="S73" i="46"/>
  <c r="G73" i="46"/>
  <c r="P73" i="46"/>
  <c r="L87" i="46"/>
  <c r="J96" i="46"/>
  <c r="S96" i="46"/>
  <c r="G96" i="46"/>
  <c r="P96" i="46"/>
  <c r="M100" i="46"/>
  <c r="J69" i="46"/>
  <c r="S69" i="46"/>
  <c r="G69" i="46"/>
  <c r="P69" i="46"/>
  <c r="M17" i="46"/>
  <c r="J19" i="46"/>
  <c r="M23" i="46"/>
  <c r="G25" i="46"/>
  <c r="S25" i="46"/>
  <c r="M27" i="46"/>
  <c r="G29" i="46"/>
  <c r="S29" i="46"/>
  <c r="M31" i="46"/>
  <c r="G33" i="46"/>
  <c r="S33" i="46"/>
  <c r="M35" i="46"/>
  <c r="G37" i="46"/>
  <c r="S37" i="46"/>
  <c r="M39" i="46"/>
  <c r="S42" i="46"/>
  <c r="G42" i="46"/>
  <c r="P42" i="46"/>
  <c r="S46" i="46"/>
  <c r="G46" i="46"/>
  <c r="P46" i="46"/>
  <c r="S53" i="46"/>
  <c r="G53" i="46"/>
  <c r="P53" i="46"/>
  <c r="J61" i="46"/>
  <c r="S61" i="46"/>
  <c r="G61" i="46"/>
  <c r="P61" i="46"/>
  <c r="J77" i="46"/>
  <c r="S77" i="46"/>
  <c r="G77" i="46"/>
  <c r="P77" i="46"/>
  <c r="J80" i="46"/>
  <c r="G80" i="46"/>
  <c r="P80" i="46"/>
  <c r="J84" i="46"/>
  <c r="S84" i="46"/>
  <c r="G84" i="46"/>
  <c r="P84" i="46"/>
  <c r="M96" i="46"/>
  <c r="M25" i="46"/>
  <c r="M37" i="46"/>
  <c r="B93" i="46"/>
  <c r="S93" i="46" s="1"/>
  <c r="I14" i="46"/>
  <c r="O14" i="46"/>
  <c r="G18" i="46"/>
  <c r="G20" i="46"/>
  <c r="G24" i="46"/>
  <c r="G28" i="46"/>
  <c r="G32" i="46"/>
  <c r="G36" i="46"/>
  <c r="G40" i="46"/>
  <c r="J42" i="46"/>
  <c r="J46" i="46"/>
  <c r="J53" i="46"/>
  <c r="M61" i="46"/>
  <c r="J65" i="46"/>
  <c r="S65" i="46"/>
  <c r="G65" i="46"/>
  <c r="P65" i="46"/>
  <c r="M77" i="46"/>
  <c r="M80" i="46"/>
  <c r="B82" i="46"/>
  <c r="M82" i="46" s="1"/>
  <c r="M84" i="46"/>
  <c r="B89" i="46"/>
  <c r="G89" i="46" s="1"/>
  <c r="F87" i="46"/>
  <c r="R87" i="46"/>
  <c r="M41" i="46"/>
  <c r="J44" i="46"/>
  <c r="M45" i="46"/>
  <c r="J48" i="46"/>
  <c r="M49" i="46"/>
  <c r="J51" i="46"/>
  <c r="M52" i="46"/>
  <c r="J55" i="46"/>
  <c r="M56" i="46"/>
  <c r="G58" i="46"/>
  <c r="S58" i="46"/>
  <c r="J59" i="46"/>
  <c r="M60" i="46"/>
  <c r="G62" i="46"/>
  <c r="S62" i="46"/>
  <c r="J63" i="46"/>
  <c r="M64" i="46"/>
  <c r="G66" i="46"/>
  <c r="S66" i="46"/>
  <c r="J67" i="46"/>
  <c r="M68" i="46"/>
  <c r="G70" i="46"/>
  <c r="S70" i="46"/>
  <c r="J71" i="46"/>
  <c r="M72" i="46"/>
  <c r="G74" i="46"/>
  <c r="S74" i="46"/>
  <c r="J75" i="46"/>
  <c r="M76" i="46"/>
  <c r="G78" i="46"/>
  <c r="S78" i="46"/>
  <c r="J79" i="46"/>
  <c r="M83" i="46"/>
  <c r="G85" i="46"/>
  <c r="G91" i="46"/>
  <c r="J94" i="46"/>
  <c r="M95" i="46"/>
  <c r="G97" i="46"/>
  <c r="S97" i="46"/>
  <c r="J98" i="46"/>
  <c r="M99" i="46"/>
  <c r="J101" i="46"/>
  <c r="J58" i="46"/>
  <c r="J62" i="46"/>
  <c r="J66" i="46"/>
  <c r="J70" i="46"/>
  <c r="J74" i="46"/>
  <c r="J78" i="46"/>
  <c r="J85" i="46"/>
  <c r="J91" i="46"/>
  <c r="J97" i="46"/>
  <c r="M98" i="46"/>
  <c r="P99" i="46"/>
  <c r="M101" i="46"/>
  <c r="B27" i="45"/>
  <c r="O28" i="45"/>
  <c r="R28" i="45"/>
  <c r="L28" i="45"/>
  <c r="F28" i="45"/>
  <c r="I28" i="45"/>
  <c r="B35" i="45"/>
  <c r="O35" i="45" s="1"/>
  <c r="R42" i="45"/>
  <c r="I42" i="45"/>
  <c r="F17" i="45"/>
  <c r="O17" i="45"/>
  <c r="I17" i="45"/>
  <c r="L17" i="45"/>
  <c r="B16" i="45"/>
  <c r="R17" i="45"/>
  <c r="L19" i="45"/>
  <c r="L32" i="45"/>
  <c r="L37" i="45"/>
  <c r="H16" i="45"/>
  <c r="N16" i="45"/>
  <c r="L18" i="45"/>
  <c r="O19" i="45"/>
  <c r="F20" i="45"/>
  <c r="R20" i="45"/>
  <c r="O23" i="45"/>
  <c r="F24" i="45"/>
  <c r="R24" i="45"/>
  <c r="I25" i="45"/>
  <c r="F29" i="45"/>
  <c r="R29" i="45"/>
  <c r="I30" i="45"/>
  <c r="L31" i="45"/>
  <c r="O32" i="45"/>
  <c r="R33" i="45"/>
  <c r="O37" i="45"/>
  <c r="I39" i="45"/>
  <c r="L40" i="45"/>
  <c r="F42" i="45"/>
  <c r="L42" i="45"/>
  <c r="R54" i="45"/>
  <c r="L54" i="45"/>
  <c r="F54" i="45"/>
  <c r="O54" i="45"/>
  <c r="E61" i="45"/>
  <c r="B64" i="45"/>
  <c r="Q61" i="45"/>
  <c r="F19" i="45"/>
  <c r="R19" i="45"/>
  <c r="F23" i="45"/>
  <c r="R23" i="45"/>
  <c r="L25" i="45"/>
  <c r="L30" i="45"/>
  <c r="F32" i="45"/>
  <c r="R32" i="45"/>
  <c r="E35" i="45"/>
  <c r="F35" i="45" s="1"/>
  <c r="F37" i="45"/>
  <c r="R37" i="45"/>
  <c r="L39" i="45"/>
  <c r="I48" i="45"/>
  <c r="R48" i="45"/>
  <c r="F48" i="45"/>
  <c r="O48" i="45"/>
  <c r="I59" i="45"/>
  <c r="R59" i="45"/>
  <c r="F59" i="45"/>
  <c r="O59" i="45"/>
  <c r="I67" i="45"/>
  <c r="R67" i="45"/>
  <c r="F67" i="45"/>
  <c r="O67" i="45"/>
  <c r="I73" i="45"/>
  <c r="R73" i="45"/>
  <c r="F73" i="45"/>
  <c r="O73" i="45"/>
  <c r="O76" i="45"/>
  <c r="I76" i="45"/>
  <c r="B75" i="45"/>
  <c r="L76" i="45"/>
  <c r="I78" i="45"/>
  <c r="R78" i="45"/>
  <c r="F78" i="45"/>
  <c r="O78" i="45"/>
  <c r="I87" i="45"/>
  <c r="R87" i="45"/>
  <c r="F87" i="45"/>
  <c r="O87" i="45"/>
  <c r="I94" i="45"/>
  <c r="R94" i="45"/>
  <c r="F94" i="45"/>
  <c r="O94" i="45"/>
  <c r="I103" i="45"/>
  <c r="R103" i="45"/>
  <c r="F103" i="45"/>
  <c r="O103" i="45"/>
  <c r="L23" i="45"/>
  <c r="I44" i="45"/>
  <c r="R44" i="45"/>
  <c r="F44" i="45"/>
  <c r="O44" i="45"/>
  <c r="E16" i="45"/>
  <c r="K16" i="45"/>
  <c r="Q16" i="45"/>
  <c r="F18" i="45"/>
  <c r="F31" i="45"/>
  <c r="F40" i="45"/>
  <c r="L48" i="45"/>
  <c r="I54" i="45"/>
  <c r="I55" i="45"/>
  <c r="R55" i="45"/>
  <c r="F55" i="45"/>
  <c r="O55" i="45"/>
  <c r="L59" i="45"/>
  <c r="K61" i="45"/>
  <c r="L67" i="45"/>
  <c r="L73" i="45"/>
  <c r="F76" i="45"/>
  <c r="L78" i="45"/>
  <c r="L87" i="45"/>
  <c r="I91" i="45"/>
  <c r="R91" i="45"/>
  <c r="F91" i="45"/>
  <c r="O91" i="45"/>
  <c r="L103" i="45"/>
  <c r="L43" i="45"/>
  <c r="F45" i="45"/>
  <c r="R45" i="45"/>
  <c r="I46" i="45"/>
  <c r="L47" i="45"/>
  <c r="F49" i="45"/>
  <c r="R49" i="45"/>
  <c r="I50" i="45"/>
  <c r="F52" i="45"/>
  <c r="R52" i="45"/>
  <c r="F56" i="45"/>
  <c r="R56" i="45"/>
  <c r="I57" i="45"/>
  <c r="L58" i="45"/>
  <c r="L62" i="45"/>
  <c r="I65" i="45"/>
  <c r="L66" i="45"/>
  <c r="F68" i="45"/>
  <c r="R68" i="45"/>
  <c r="I69" i="45"/>
  <c r="F71" i="45"/>
  <c r="R71" i="45"/>
  <c r="L77" i="45"/>
  <c r="F79" i="45"/>
  <c r="R79" i="45"/>
  <c r="I80" i="45"/>
  <c r="F84" i="45"/>
  <c r="R84" i="45"/>
  <c r="I85" i="45"/>
  <c r="L86" i="45"/>
  <c r="F88" i="45"/>
  <c r="R88" i="45"/>
  <c r="I89" i="45"/>
  <c r="L90" i="45"/>
  <c r="F92" i="45"/>
  <c r="R92" i="45"/>
  <c r="I96" i="45"/>
  <c r="L97" i="45"/>
  <c r="F100" i="45"/>
  <c r="R100" i="45"/>
  <c r="I101" i="45"/>
  <c r="L102" i="45"/>
  <c r="F104" i="45"/>
  <c r="R104" i="45"/>
  <c r="L106" i="45"/>
  <c r="O43" i="45"/>
  <c r="I45" i="45"/>
  <c r="L46" i="45"/>
  <c r="O47" i="45"/>
  <c r="I49" i="45"/>
  <c r="L50" i="45"/>
  <c r="I52" i="45"/>
  <c r="I56" i="45"/>
  <c r="L57" i="45"/>
  <c r="O58" i="45"/>
  <c r="I68" i="45"/>
  <c r="I71" i="45"/>
  <c r="I79" i="45"/>
  <c r="I84" i="45"/>
  <c r="I88" i="45"/>
  <c r="I92" i="45"/>
  <c r="I100" i="45"/>
  <c r="I104" i="45"/>
  <c r="O106" i="45"/>
  <c r="F43" i="45"/>
  <c r="F47" i="45"/>
  <c r="F106" i="45"/>
  <c r="P21" i="44"/>
  <c r="G21" i="44"/>
  <c r="J36" i="44"/>
  <c r="G36" i="44"/>
  <c r="P36" i="44"/>
  <c r="J42" i="44"/>
  <c r="G42" i="44"/>
  <c r="P42" i="44"/>
  <c r="M81" i="44"/>
  <c r="L13" i="44"/>
  <c r="M16" i="44"/>
  <c r="G17" i="44"/>
  <c r="M18" i="44"/>
  <c r="G19" i="44"/>
  <c r="M22" i="44"/>
  <c r="G23" i="44"/>
  <c r="M24" i="44"/>
  <c r="G25" i="44"/>
  <c r="M26" i="44"/>
  <c r="G27" i="44"/>
  <c r="M28" i="44"/>
  <c r="G29" i="44"/>
  <c r="M30" i="44"/>
  <c r="G31" i="44"/>
  <c r="M36" i="44"/>
  <c r="M42" i="44"/>
  <c r="J40" i="44"/>
  <c r="G40" i="44"/>
  <c r="P40" i="44"/>
  <c r="J46" i="44"/>
  <c r="G46" i="44"/>
  <c r="P46" i="44"/>
  <c r="J17" i="44"/>
  <c r="J19" i="44"/>
  <c r="J23" i="44"/>
  <c r="J25" i="44"/>
  <c r="J27" i="44"/>
  <c r="J29" i="44"/>
  <c r="J31" i="44"/>
  <c r="J95" i="44"/>
  <c r="G95" i="44"/>
  <c r="P95" i="44"/>
  <c r="P92" i="44" s="1"/>
  <c r="P86" i="44" s="1"/>
  <c r="J38" i="44"/>
  <c r="G38" i="44"/>
  <c r="P38" i="44"/>
  <c r="J44" i="44"/>
  <c r="G44" i="44"/>
  <c r="P44" i="44"/>
  <c r="P81" i="44"/>
  <c r="J81" i="44"/>
  <c r="B86" i="44"/>
  <c r="G86" i="44" s="1"/>
  <c r="M95" i="44"/>
  <c r="M32" i="44"/>
  <c r="G33" i="44"/>
  <c r="M34" i="44"/>
  <c r="G35" i="44"/>
  <c r="J37" i="44"/>
  <c r="J39" i="44"/>
  <c r="J41" i="44"/>
  <c r="J43" i="44"/>
  <c r="J45" i="44"/>
  <c r="J47" i="44"/>
  <c r="G48" i="44"/>
  <c r="M49" i="44"/>
  <c r="G50" i="44"/>
  <c r="M51" i="44"/>
  <c r="G52" i="44"/>
  <c r="M53" i="44"/>
  <c r="G54" i="44"/>
  <c r="M55" i="44"/>
  <c r="G56" i="44"/>
  <c r="M57" i="44"/>
  <c r="G58" i="44"/>
  <c r="M59" i="44"/>
  <c r="G60" i="44"/>
  <c r="M61" i="44"/>
  <c r="G62" i="44"/>
  <c r="M63" i="44"/>
  <c r="G64" i="44"/>
  <c r="M65" i="44"/>
  <c r="G66" i="44"/>
  <c r="M67" i="44"/>
  <c r="G68" i="44"/>
  <c r="M69" i="44"/>
  <c r="G70" i="44"/>
  <c r="M71" i="44"/>
  <c r="G72" i="44"/>
  <c r="M73" i="44"/>
  <c r="G74" i="44"/>
  <c r="M75" i="44"/>
  <c r="G76" i="44"/>
  <c r="M77" i="44"/>
  <c r="G78" i="44"/>
  <c r="G82" i="44"/>
  <c r="M83" i="44"/>
  <c r="G84" i="44"/>
  <c r="G90" i="44"/>
  <c r="M93" i="44"/>
  <c r="J94" i="44"/>
  <c r="J96" i="44"/>
  <c r="G97" i="44"/>
  <c r="J99" i="44"/>
  <c r="G100" i="44"/>
  <c r="P32" i="44"/>
  <c r="J33" i="44"/>
  <c r="J35" i="44"/>
  <c r="M37" i="44"/>
  <c r="M39" i="44"/>
  <c r="M41" i="44"/>
  <c r="M43" i="44"/>
  <c r="M45" i="44"/>
  <c r="M47" i="44"/>
  <c r="J48" i="44"/>
  <c r="P49" i="44"/>
  <c r="J50" i="44"/>
  <c r="P51" i="44"/>
  <c r="J52" i="44"/>
  <c r="P53" i="44"/>
  <c r="J54" i="44"/>
  <c r="P55" i="44"/>
  <c r="J56" i="44"/>
  <c r="P57" i="44"/>
  <c r="J58" i="44"/>
  <c r="P59" i="44"/>
  <c r="J60" i="44"/>
  <c r="P61" i="44"/>
  <c r="J62" i="44"/>
  <c r="P63" i="44"/>
  <c r="J64" i="44"/>
  <c r="P65" i="44"/>
  <c r="J66" i="44"/>
  <c r="P67" i="44"/>
  <c r="J68" i="44"/>
  <c r="P69" i="44"/>
  <c r="J70" i="44"/>
  <c r="P71" i="44"/>
  <c r="J72" i="44"/>
  <c r="P73" i="44"/>
  <c r="J74" i="44"/>
  <c r="P75" i="44"/>
  <c r="J76" i="44"/>
  <c r="P77" i="44"/>
  <c r="J78" i="44"/>
  <c r="J82" i="44"/>
  <c r="P83" i="44"/>
  <c r="J84" i="44"/>
  <c r="G88" i="44"/>
  <c r="J90" i="44"/>
  <c r="J97" i="44"/>
  <c r="J100" i="44"/>
  <c r="B105" i="43"/>
  <c r="R105" i="43" s="1"/>
  <c r="R104" i="43"/>
  <c r="O104" i="43"/>
  <c r="L104" i="43"/>
  <c r="I104" i="43"/>
  <c r="F104" i="43"/>
  <c r="C104" i="43"/>
  <c r="R103" i="43"/>
  <c r="F103" i="43"/>
  <c r="B103" i="43"/>
  <c r="I103" i="43" s="1"/>
  <c r="B102" i="43"/>
  <c r="R102" i="43" s="1"/>
  <c r="B101" i="43"/>
  <c r="O101" i="43" s="1"/>
  <c r="I100" i="43"/>
  <c r="B100" i="43"/>
  <c r="L100" i="43" s="1"/>
  <c r="R99" i="43"/>
  <c r="B99" i="43"/>
  <c r="I99" i="43" s="1"/>
  <c r="Q98" i="43"/>
  <c r="N98" i="43"/>
  <c r="K98" i="43"/>
  <c r="H98" i="43"/>
  <c r="E98" i="43"/>
  <c r="R97" i="43"/>
  <c r="O97" i="43"/>
  <c r="L97" i="43"/>
  <c r="I97" i="43"/>
  <c r="F97" i="43"/>
  <c r="C97" i="43"/>
  <c r="B97" i="43"/>
  <c r="B96" i="43"/>
  <c r="O96" i="43" s="1"/>
  <c r="B95" i="43"/>
  <c r="L95" i="43" s="1"/>
  <c r="R94" i="43"/>
  <c r="O94" i="43"/>
  <c r="L94" i="43"/>
  <c r="I94" i="43"/>
  <c r="F94" i="43"/>
  <c r="C94" i="43"/>
  <c r="B94" i="43"/>
  <c r="B93" i="43"/>
  <c r="R93" i="43" s="1"/>
  <c r="R92" i="43"/>
  <c r="O92" i="43"/>
  <c r="L92" i="43"/>
  <c r="I92" i="43"/>
  <c r="F92" i="43"/>
  <c r="C92" i="43"/>
  <c r="B92" i="43"/>
  <c r="F91" i="43"/>
  <c r="B91" i="43"/>
  <c r="L91" i="43" s="1"/>
  <c r="B90" i="43"/>
  <c r="I90" i="43" s="1"/>
  <c r="B89" i="43"/>
  <c r="R89" i="43" s="1"/>
  <c r="B88" i="43"/>
  <c r="O88" i="43" s="1"/>
  <c r="R87" i="43"/>
  <c r="B87" i="43"/>
  <c r="L87" i="43" s="1"/>
  <c r="R86" i="43"/>
  <c r="B86" i="43"/>
  <c r="I86" i="43" s="1"/>
  <c r="B85" i="43"/>
  <c r="R85" i="43" s="1"/>
  <c r="B84" i="43"/>
  <c r="O84" i="43" s="1"/>
  <c r="I83" i="43"/>
  <c r="B83" i="43"/>
  <c r="L83" i="43" s="1"/>
  <c r="Q82" i="43"/>
  <c r="N82" i="43"/>
  <c r="K82" i="43"/>
  <c r="K81" i="43" s="1"/>
  <c r="H82" i="43"/>
  <c r="E82" i="43"/>
  <c r="Q81" i="43"/>
  <c r="H81" i="43"/>
  <c r="E81" i="43"/>
  <c r="R80" i="43"/>
  <c r="O80" i="43"/>
  <c r="L80" i="43"/>
  <c r="I80" i="43"/>
  <c r="F80" i="43"/>
  <c r="I79" i="43"/>
  <c r="F79" i="43"/>
  <c r="B79" i="43"/>
  <c r="L79" i="43" s="1"/>
  <c r="B78" i="43"/>
  <c r="I78" i="43" s="1"/>
  <c r="B77" i="43"/>
  <c r="R77" i="43" s="1"/>
  <c r="B76" i="43"/>
  <c r="Q75" i="43"/>
  <c r="Q74" i="43" s="1"/>
  <c r="N75" i="43"/>
  <c r="K75" i="43"/>
  <c r="H75" i="43"/>
  <c r="E75" i="43"/>
  <c r="E74" i="43" s="1"/>
  <c r="N74" i="43"/>
  <c r="K74" i="43"/>
  <c r="R73" i="43"/>
  <c r="O73" i="43"/>
  <c r="L73" i="43"/>
  <c r="I73" i="43"/>
  <c r="F73" i="43"/>
  <c r="C73" i="43"/>
  <c r="B72" i="43"/>
  <c r="R72" i="43" s="1"/>
  <c r="R71" i="43"/>
  <c r="O71" i="43"/>
  <c r="L71" i="43"/>
  <c r="I71" i="43"/>
  <c r="F71" i="43"/>
  <c r="C71" i="43"/>
  <c r="B70" i="43"/>
  <c r="I70" i="43" s="1"/>
  <c r="R69" i="43"/>
  <c r="O69" i="43"/>
  <c r="L69" i="43"/>
  <c r="I69" i="43"/>
  <c r="F69" i="43"/>
  <c r="C69" i="43"/>
  <c r="R68" i="43"/>
  <c r="F68" i="43"/>
  <c r="B68" i="43"/>
  <c r="L68" i="43" s="1"/>
  <c r="B67" i="43"/>
  <c r="I67" i="43" s="1"/>
  <c r="O66" i="43"/>
  <c r="B66" i="43"/>
  <c r="R66" i="43" s="1"/>
  <c r="B65" i="43"/>
  <c r="B64" i="43"/>
  <c r="L64" i="43" s="1"/>
  <c r="Q63" i="43"/>
  <c r="Q60" i="43" s="1"/>
  <c r="N63" i="43"/>
  <c r="N60" i="43" s="1"/>
  <c r="K63" i="43"/>
  <c r="K60" i="43" s="1"/>
  <c r="H63" i="43"/>
  <c r="H60" i="43" s="1"/>
  <c r="E63" i="43"/>
  <c r="R62" i="43"/>
  <c r="O62" i="43"/>
  <c r="L62" i="43"/>
  <c r="I62" i="43"/>
  <c r="F62" i="43"/>
  <c r="C62" i="43"/>
  <c r="B61" i="43"/>
  <c r="R59" i="43"/>
  <c r="O59" i="43"/>
  <c r="L59" i="43"/>
  <c r="I59" i="43"/>
  <c r="F59" i="43"/>
  <c r="C59" i="43"/>
  <c r="B58" i="43"/>
  <c r="R58" i="43" s="1"/>
  <c r="B57" i="43"/>
  <c r="B56" i="43"/>
  <c r="L56" i="43" s="1"/>
  <c r="B55" i="43"/>
  <c r="I55" i="43" s="1"/>
  <c r="B54" i="43"/>
  <c r="R54" i="43" s="1"/>
  <c r="Q53" i="43"/>
  <c r="N53" i="43"/>
  <c r="K53" i="43"/>
  <c r="H53" i="43"/>
  <c r="E53" i="43"/>
  <c r="R52" i="43"/>
  <c r="O52" i="43"/>
  <c r="L52" i="43"/>
  <c r="I52" i="43"/>
  <c r="F52" i="43"/>
  <c r="C52" i="43"/>
  <c r="B51" i="43"/>
  <c r="I51" i="43" s="1"/>
  <c r="R50" i="43"/>
  <c r="O50" i="43"/>
  <c r="L50" i="43"/>
  <c r="I50" i="43"/>
  <c r="F50" i="43"/>
  <c r="C50" i="43"/>
  <c r="I49" i="43"/>
  <c r="F49" i="43"/>
  <c r="B49" i="43"/>
  <c r="L49" i="43" s="1"/>
  <c r="B48" i="43"/>
  <c r="I48" i="43" s="1"/>
  <c r="B47" i="43"/>
  <c r="B46" i="43"/>
  <c r="I46" i="43" s="1"/>
  <c r="R45" i="43"/>
  <c r="I45" i="43"/>
  <c r="B45" i="43"/>
  <c r="L45" i="43" s="1"/>
  <c r="B44" i="43"/>
  <c r="I44" i="43" s="1"/>
  <c r="B43" i="43"/>
  <c r="B42" i="43"/>
  <c r="I42" i="43" s="1"/>
  <c r="Q41" i="43"/>
  <c r="N41" i="43"/>
  <c r="K41" i="43"/>
  <c r="H41" i="43"/>
  <c r="E41" i="43"/>
  <c r="R40" i="43"/>
  <c r="O40" i="43"/>
  <c r="L40" i="43"/>
  <c r="I40" i="43"/>
  <c r="F40" i="43"/>
  <c r="C40" i="43"/>
  <c r="B39" i="43"/>
  <c r="R39" i="43" s="1"/>
  <c r="B38" i="43"/>
  <c r="R38" i="43" s="1"/>
  <c r="B37" i="43"/>
  <c r="O37" i="43" s="1"/>
  <c r="B36" i="43"/>
  <c r="L36" i="43" s="1"/>
  <c r="Q35" i="43"/>
  <c r="N35" i="43"/>
  <c r="K35" i="43"/>
  <c r="K34" i="43" s="1"/>
  <c r="H35" i="43"/>
  <c r="E35" i="43"/>
  <c r="Q34" i="43"/>
  <c r="H34" i="43"/>
  <c r="R33" i="43"/>
  <c r="O33" i="43"/>
  <c r="L33" i="43"/>
  <c r="I33" i="43"/>
  <c r="F33" i="43"/>
  <c r="C33" i="43"/>
  <c r="B32" i="43"/>
  <c r="O32" i="43" s="1"/>
  <c r="I31" i="43"/>
  <c r="F31" i="43"/>
  <c r="B31" i="43"/>
  <c r="L31" i="43" s="1"/>
  <c r="B30" i="43"/>
  <c r="I30" i="43" s="1"/>
  <c r="B29" i="43"/>
  <c r="R29" i="43" s="1"/>
  <c r="R28" i="43"/>
  <c r="B28" i="43"/>
  <c r="O28" i="43" s="1"/>
  <c r="Q27" i="43"/>
  <c r="N27" i="43"/>
  <c r="N26" i="43" s="1"/>
  <c r="K27" i="43"/>
  <c r="H27" i="43"/>
  <c r="E27" i="43"/>
  <c r="Q26" i="43"/>
  <c r="K26" i="43"/>
  <c r="H26" i="43"/>
  <c r="E26" i="43"/>
  <c r="R25" i="43"/>
  <c r="O25" i="43"/>
  <c r="L25" i="43"/>
  <c r="I25" i="43"/>
  <c r="F25" i="43"/>
  <c r="C25" i="43"/>
  <c r="B24" i="43"/>
  <c r="R24" i="43" s="1"/>
  <c r="F23" i="43"/>
  <c r="B23" i="43"/>
  <c r="O23" i="43" s="1"/>
  <c r="B22" i="43"/>
  <c r="L22" i="43" s="1"/>
  <c r="Q21" i="43"/>
  <c r="N21" i="43"/>
  <c r="K21" i="43"/>
  <c r="H21" i="43"/>
  <c r="E21" i="43"/>
  <c r="R20" i="43"/>
  <c r="O20" i="43"/>
  <c r="L20" i="43"/>
  <c r="I20" i="43"/>
  <c r="F20" i="43"/>
  <c r="C20" i="43"/>
  <c r="R19" i="43"/>
  <c r="B19" i="43"/>
  <c r="O19" i="43" s="1"/>
  <c r="B18" i="43"/>
  <c r="L18" i="43" s="1"/>
  <c r="B17" i="43"/>
  <c r="I17" i="43" s="1"/>
  <c r="Q16" i="43"/>
  <c r="N16" i="43"/>
  <c r="K16" i="43"/>
  <c r="B16" i="43" s="1"/>
  <c r="H16" i="43"/>
  <c r="E16" i="43"/>
  <c r="Q15" i="43"/>
  <c r="H15" i="43"/>
  <c r="E15" i="43"/>
  <c r="R14" i="43"/>
  <c r="O14" i="43"/>
  <c r="L14" i="43"/>
  <c r="I14" i="43"/>
  <c r="F14" i="43"/>
  <c r="C14" i="43"/>
  <c r="R12" i="43"/>
  <c r="O12" i="43"/>
  <c r="L12" i="43"/>
  <c r="I12" i="43"/>
  <c r="F12" i="43"/>
  <c r="B103" i="42"/>
  <c r="R103" i="42" s="1"/>
  <c r="B102" i="42"/>
  <c r="O102" i="42" s="1"/>
  <c r="B101" i="42"/>
  <c r="O101" i="42" s="1"/>
  <c r="B100" i="42"/>
  <c r="L100" i="42" s="1"/>
  <c r="B99" i="42"/>
  <c r="O99" i="42" s="1"/>
  <c r="B98" i="42"/>
  <c r="O98" i="42" s="1"/>
  <c r="B97" i="42"/>
  <c r="B96" i="42"/>
  <c r="L96" i="42" s="1"/>
  <c r="B95" i="42"/>
  <c r="I95" i="42" s="1"/>
  <c r="Q94" i="42"/>
  <c r="N94" i="42"/>
  <c r="K94" i="42"/>
  <c r="H94" i="42"/>
  <c r="E94" i="42"/>
  <c r="R93" i="42"/>
  <c r="O93" i="42"/>
  <c r="L93" i="42"/>
  <c r="I93" i="42"/>
  <c r="F93" i="42"/>
  <c r="C93" i="42"/>
  <c r="B93" i="42"/>
  <c r="B92" i="42"/>
  <c r="F92" i="42" s="1"/>
  <c r="L91" i="42"/>
  <c r="I91" i="42"/>
  <c r="F91" i="42"/>
  <c r="C91" i="42"/>
  <c r="B91" i="42"/>
  <c r="Q90" i="42"/>
  <c r="N90" i="42"/>
  <c r="K90" i="42"/>
  <c r="K88" i="42" s="1"/>
  <c r="H90" i="42"/>
  <c r="E90" i="42"/>
  <c r="L89" i="42"/>
  <c r="I89" i="42"/>
  <c r="F89" i="42"/>
  <c r="C89" i="42"/>
  <c r="B89" i="42"/>
  <c r="H88" i="42"/>
  <c r="R87" i="42"/>
  <c r="O87" i="42"/>
  <c r="L87" i="42"/>
  <c r="I87" i="42"/>
  <c r="F87" i="42"/>
  <c r="C87" i="42"/>
  <c r="B87" i="42"/>
  <c r="I86" i="42"/>
  <c r="B86" i="42"/>
  <c r="L86" i="42" s="1"/>
  <c r="B85" i="42"/>
  <c r="B84" i="42"/>
  <c r="R84" i="42" s="1"/>
  <c r="B83" i="42"/>
  <c r="R83" i="42" s="1"/>
  <c r="N82" i="42"/>
  <c r="K82" i="42"/>
  <c r="H82" i="42"/>
  <c r="E82" i="42"/>
  <c r="R81" i="42"/>
  <c r="O81" i="42"/>
  <c r="L81" i="42"/>
  <c r="I81" i="42"/>
  <c r="F81" i="42"/>
  <c r="C81" i="42"/>
  <c r="B81" i="42"/>
  <c r="B80" i="42"/>
  <c r="R80" i="42" s="1"/>
  <c r="B79" i="42"/>
  <c r="R79" i="42" s="1"/>
  <c r="B78" i="42"/>
  <c r="B77" i="42"/>
  <c r="R77" i="42" s="1"/>
  <c r="B76" i="42"/>
  <c r="R76" i="42" s="1"/>
  <c r="B75" i="42"/>
  <c r="R75" i="42" s="1"/>
  <c r="B74" i="42"/>
  <c r="R74" i="42" s="1"/>
  <c r="B73" i="42"/>
  <c r="R73" i="42" s="1"/>
  <c r="B72" i="42"/>
  <c r="R72" i="42" s="1"/>
  <c r="I71" i="42"/>
  <c r="B71" i="42"/>
  <c r="R71" i="42" s="1"/>
  <c r="B70" i="42"/>
  <c r="B69" i="42"/>
  <c r="R69" i="42" s="1"/>
  <c r="L68" i="42"/>
  <c r="B68" i="42"/>
  <c r="R68" i="42" s="1"/>
  <c r="B67" i="42"/>
  <c r="R67" i="42" s="1"/>
  <c r="B66" i="42"/>
  <c r="L66" i="42" s="1"/>
  <c r="B65" i="42"/>
  <c r="L65" i="42" s="1"/>
  <c r="B64" i="42"/>
  <c r="L64" i="42" s="1"/>
  <c r="B63" i="42"/>
  <c r="L63" i="42" s="1"/>
  <c r="B62" i="42"/>
  <c r="L62" i="42" s="1"/>
  <c r="B61" i="42"/>
  <c r="L61" i="42" s="1"/>
  <c r="B60" i="42"/>
  <c r="L60" i="42" s="1"/>
  <c r="B59" i="42"/>
  <c r="L59" i="42" s="1"/>
  <c r="B58" i="42"/>
  <c r="L58" i="42" s="1"/>
  <c r="B57" i="42"/>
  <c r="L57" i="42" s="1"/>
  <c r="B56" i="42"/>
  <c r="I56" i="42" s="1"/>
  <c r="B55" i="42"/>
  <c r="L55" i="42" s="1"/>
  <c r="B54" i="42"/>
  <c r="L54" i="42" s="1"/>
  <c r="F53" i="42"/>
  <c r="B53" i="42"/>
  <c r="L53" i="42" s="1"/>
  <c r="B52" i="42"/>
  <c r="I52" i="42" s="1"/>
  <c r="B51" i="42"/>
  <c r="L51" i="42" s="1"/>
  <c r="I50" i="42"/>
  <c r="B50" i="42"/>
  <c r="L50" i="42" s="1"/>
  <c r="B49" i="42"/>
  <c r="L49" i="42" s="1"/>
  <c r="B48" i="42"/>
  <c r="I48" i="42" s="1"/>
  <c r="R47" i="42"/>
  <c r="B47" i="42"/>
  <c r="L47" i="42" s="1"/>
  <c r="B46" i="42"/>
  <c r="L46" i="42" s="1"/>
  <c r="B45" i="42"/>
  <c r="L45" i="42" s="1"/>
  <c r="B44" i="42"/>
  <c r="L44" i="42" s="1"/>
  <c r="B43" i="42"/>
  <c r="L43" i="42" s="1"/>
  <c r="B42" i="42"/>
  <c r="L42" i="42" s="1"/>
  <c r="B41" i="42"/>
  <c r="L41" i="42" s="1"/>
  <c r="B40" i="42"/>
  <c r="I40" i="42" s="1"/>
  <c r="B39" i="42"/>
  <c r="L39" i="42" s="1"/>
  <c r="B38" i="42"/>
  <c r="I38" i="42" s="1"/>
  <c r="B37" i="42"/>
  <c r="L37" i="42" s="1"/>
  <c r="B36" i="42"/>
  <c r="L36" i="42" s="1"/>
  <c r="B35" i="42"/>
  <c r="L35" i="42" s="1"/>
  <c r="B34" i="42"/>
  <c r="L34" i="42" s="1"/>
  <c r="B33" i="42"/>
  <c r="L33" i="42" s="1"/>
  <c r="B32" i="42"/>
  <c r="R32" i="42" s="1"/>
  <c r="B31" i="42"/>
  <c r="I31" i="42" s="1"/>
  <c r="B30" i="42"/>
  <c r="L30" i="42" s="1"/>
  <c r="B29" i="42"/>
  <c r="I29" i="42" s="1"/>
  <c r="B28" i="42"/>
  <c r="L28" i="42" s="1"/>
  <c r="B27" i="42"/>
  <c r="I27" i="42" s="1"/>
  <c r="B26" i="42"/>
  <c r="L26" i="42" s="1"/>
  <c r="B25" i="42"/>
  <c r="I25" i="42" s="1"/>
  <c r="R24" i="42"/>
  <c r="B24" i="42"/>
  <c r="L24" i="42" s="1"/>
  <c r="B23" i="42"/>
  <c r="I23" i="42" s="1"/>
  <c r="B22" i="42"/>
  <c r="L22" i="42" s="1"/>
  <c r="Q21" i="42"/>
  <c r="N21" i="42"/>
  <c r="K21" i="42"/>
  <c r="H21" i="42"/>
  <c r="E21" i="42"/>
  <c r="R20" i="42"/>
  <c r="O20" i="42"/>
  <c r="L20" i="42"/>
  <c r="I20" i="42"/>
  <c r="F20" i="42"/>
  <c r="C20" i="42"/>
  <c r="B20" i="42"/>
  <c r="B19" i="42"/>
  <c r="L19" i="42" s="1"/>
  <c r="B18" i="42"/>
  <c r="L18" i="42" s="1"/>
  <c r="B17" i="42"/>
  <c r="L17" i="42" s="1"/>
  <c r="B16" i="42"/>
  <c r="L16" i="42" s="1"/>
  <c r="Q15" i="42"/>
  <c r="N15" i="42"/>
  <c r="K15" i="42"/>
  <c r="H15" i="42"/>
  <c r="E15" i="42"/>
  <c r="R14" i="42"/>
  <c r="O14" i="42"/>
  <c r="L14" i="42"/>
  <c r="I14" i="42"/>
  <c r="F14" i="42"/>
  <c r="C14" i="42"/>
  <c r="B14" i="42"/>
  <c r="R12" i="42"/>
  <c r="C12" i="42"/>
  <c r="B12" i="42"/>
  <c r="I105" i="40"/>
  <c r="B105" i="40"/>
  <c r="R104" i="40"/>
  <c r="O104" i="40"/>
  <c r="L104" i="40"/>
  <c r="I104" i="40"/>
  <c r="F104" i="40"/>
  <c r="C104" i="40"/>
  <c r="B103" i="40"/>
  <c r="O103" i="40" s="1"/>
  <c r="B102" i="40"/>
  <c r="B101" i="40"/>
  <c r="O101" i="40" s="1"/>
  <c r="O100" i="40"/>
  <c r="B100" i="40"/>
  <c r="L100" i="40" s="1"/>
  <c r="B99" i="40"/>
  <c r="O99" i="40" s="1"/>
  <c r="Q98" i="40"/>
  <c r="N98" i="40"/>
  <c r="K98" i="40"/>
  <c r="H98" i="40"/>
  <c r="E98" i="40"/>
  <c r="R97" i="40"/>
  <c r="O97" i="40"/>
  <c r="L97" i="40"/>
  <c r="I97" i="40"/>
  <c r="F97" i="40"/>
  <c r="C97" i="40"/>
  <c r="B96" i="40"/>
  <c r="O96" i="40" s="1"/>
  <c r="B95" i="40"/>
  <c r="R94" i="40"/>
  <c r="O94" i="40"/>
  <c r="L94" i="40"/>
  <c r="I94" i="40"/>
  <c r="F94" i="40"/>
  <c r="C94" i="40"/>
  <c r="B93" i="40"/>
  <c r="O93" i="40" s="1"/>
  <c r="R92" i="40"/>
  <c r="O92" i="40"/>
  <c r="L92" i="40"/>
  <c r="I92" i="40"/>
  <c r="F92" i="40"/>
  <c r="C92" i="40"/>
  <c r="B91" i="40"/>
  <c r="L91" i="40" s="1"/>
  <c r="B90" i="40"/>
  <c r="O90" i="40" s="1"/>
  <c r="B89" i="40"/>
  <c r="L89" i="40" s="1"/>
  <c r="B88" i="40"/>
  <c r="O88" i="40" s="1"/>
  <c r="B87" i="40"/>
  <c r="L87" i="40" s="1"/>
  <c r="B86" i="40"/>
  <c r="L86" i="40" s="1"/>
  <c r="B85" i="40"/>
  <c r="I85" i="40" s="1"/>
  <c r="R84" i="40"/>
  <c r="B84" i="40"/>
  <c r="O84" i="40" s="1"/>
  <c r="R83" i="40"/>
  <c r="F83" i="40"/>
  <c r="B83" i="40"/>
  <c r="L83" i="40" s="1"/>
  <c r="Q82" i="40"/>
  <c r="N82" i="40"/>
  <c r="K82" i="40"/>
  <c r="K81" i="40" s="1"/>
  <c r="H82" i="40"/>
  <c r="H81" i="40" s="1"/>
  <c r="E82" i="40"/>
  <c r="Q81" i="40"/>
  <c r="N81" i="40"/>
  <c r="E81" i="40"/>
  <c r="R80" i="40"/>
  <c r="O80" i="40"/>
  <c r="L80" i="40"/>
  <c r="I80" i="40"/>
  <c r="F80" i="40"/>
  <c r="C80" i="40"/>
  <c r="B79" i="40"/>
  <c r="O79" i="40" s="1"/>
  <c r="I78" i="40"/>
  <c r="F78" i="40"/>
  <c r="B78" i="40"/>
  <c r="L78" i="40" s="1"/>
  <c r="B77" i="40"/>
  <c r="L76" i="40"/>
  <c r="I76" i="40"/>
  <c r="B76" i="40"/>
  <c r="Q75" i="40"/>
  <c r="N75" i="40"/>
  <c r="N74" i="40" s="1"/>
  <c r="K75" i="40"/>
  <c r="K74" i="40" s="1"/>
  <c r="H75" i="40"/>
  <c r="H74" i="40" s="1"/>
  <c r="E75" i="40"/>
  <c r="E74" i="40" s="1"/>
  <c r="Q74" i="40"/>
  <c r="R73" i="40"/>
  <c r="O73" i="40"/>
  <c r="L73" i="40"/>
  <c r="I73" i="40"/>
  <c r="F73" i="40"/>
  <c r="C73" i="40"/>
  <c r="B72" i="40"/>
  <c r="L72" i="40" s="1"/>
  <c r="R71" i="40"/>
  <c r="O71" i="40"/>
  <c r="L71" i="40"/>
  <c r="I71" i="40"/>
  <c r="F71" i="40"/>
  <c r="C71" i="40"/>
  <c r="B70" i="40"/>
  <c r="L70" i="40" s="1"/>
  <c r="R69" i="40"/>
  <c r="O69" i="40"/>
  <c r="L69" i="40"/>
  <c r="I69" i="40"/>
  <c r="F69" i="40"/>
  <c r="C69" i="40"/>
  <c r="B68" i="40"/>
  <c r="O68" i="40" s="1"/>
  <c r="I67" i="40"/>
  <c r="F67" i="40"/>
  <c r="B67" i="40"/>
  <c r="L67" i="40" s="1"/>
  <c r="B66" i="40"/>
  <c r="L66" i="40" s="1"/>
  <c r="B65" i="40"/>
  <c r="I65" i="40" s="1"/>
  <c r="B64" i="40"/>
  <c r="O64" i="40" s="1"/>
  <c r="Q63" i="40"/>
  <c r="Q60" i="40" s="1"/>
  <c r="N63" i="40"/>
  <c r="K63" i="40"/>
  <c r="K60" i="40" s="1"/>
  <c r="H63" i="40"/>
  <c r="H60" i="40" s="1"/>
  <c r="E63" i="40"/>
  <c r="R62" i="40"/>
  <c r="O62" i="40"/>
  <c r="L62" i="40"/>
  <c r="I62" i="40"/>
  <c r="F62" i="40"/>
  <c r="C62" i="40"/>
  <c r="L61" i="40"/>
  <c r="B61" i="40"/>
  <c r="I61" i="40" s="1"/>
  <c r="N60" i="40"/>
  <c r="R59" i="40"/>
  <c r="O59" i="40"/>
  <c r="L59" i="40"/>
  <c r="I59" i="40"/>
  <c r="F59" i="40"/>
  <c r="C59" i="40"/>
  <c r="O58" i="40"/>
  <c r="B58" i="40"/>
  <c r="L58" i="40" s="1"/>
  <c r="B57" i="40"/>
  <c r="I57" i="40" s="1"/>
  <c r="I56" i="40"/>
  <c r="B56" i="40"/>
  <c r="O56" i="40" s="1"/>
  <c r="R55" i="40"/>
  <c r="F55" i="40"/>
  <c r="B55" i="40"/>
  <c r="L55" i="40" s="1"/>
  <c r="B54" i="40"/>
  <c r="Q53" i="40"/>
  <c r="N53" i="40"/>
  <c r="K53" i="40"/>
  <c r="H53" i="40"/>
  <c r="E53" i="40"/>
  <c r="B53" i="40"/>
  <c r="I53" i="40" s="1"/>
  <c r="R52" i="40"/>
  <c r="O52" i="40"/>
  <c r="L52" i="40"/>
  <c r="I52" i="40"/>
  <c r="F52" i="40"/>
  <c r="C52" i="40"/>
  <c r="B51" i="40"/>
  <c r="L51" i="40" s="1"/>
  <c r="R50" i="40"/>
  <c r="O50" i="40"/>
  <c r="L50" i="40"/>
  <c r="I50" i="40"/>
  <c r="F50" i="40"/>
  <c r="C50" i="40"/>
  <c r="B49" i="40"/>
  <c r="O49" i="40" s="1"/>
  <c r="B48" i="40"/>
  <c r="L48" i="40" s="1"/>
  <c r="R47" i="40"/>
  <c r="L47" i="40"/>
  <c r="B47" i="40"/>
  <c r="I47" i="40" s="1"/>
  <c r="B46" i="40"/>
  <c r="O46" i="40" s="1"/>
  <c r="B45" i="40"/>
  <c r="L45" i="40" s="1"/>
  <c r="B44" i="40"/>
  <c r="L44" i="40" s="1"/>
  <c r="B43" i="40"/>
  <c r="O43" i="40" s="1"/>
  <c r="B42" i="40"/>
  <c r="L42" i="40" s="1"/>
  <c r="Q41" i="40"/>
  <c r="N41" i="40"/>
  <c r="K41" i="40"/>
  <c r="H41" i="40"/>
  <c r="E41" i="40"/>
  <c r="R40" i="40"/>
  <c r="O40" i="40"/>
  <c r="L40" i="40"/>
  <c r="I40" i="40"/>
  <c r="F40" i="40"/>
  <c r="C40" i="40"/>
  <c r="B39" i="40"/>
  <c r="L39" i="40" s="1"/>
  <c r="B38" i="40"/>
  <c r="L38" i="40" s="1"/>
  <c r="B37" i="40"/>
  <c r="L37" i="40" s="1"/>
  <c r="B36" i="40"/>
  <c r="Q35" i="40"/>
  <c r="N35" i="40"/>
  <c r="K35" i="40"/>
  <c r="H35" i="40"/>
  <c r="E35" i="40"/>
  <c r="N34" i="40"/>
  <c r="K34" i="40"/>
  <c r="R33" i="40"/>
  <c r="O33" i="40"/>
  <c r="L33" i="40"/>
  <c r="I33" i="40"/>
  <c r="F33" i="40"/>
  <c r="C33" i="40"/>
  <c r="B32" i="40"/>
  <c r="L32" i="40" s="1"/>
  <c r="B31" i="40"/>
  <c r="B30" i="40"/>
  <c r="L30" i="40" s="1"/>
  <c r="R29" i="40"/>
  <c r="B29" i="40"/>
  <c r="L29" i="40" s="1"/>
  <c r="B28" i="40"/>
  <c r="Q27" i="40"/>
  <c r="Q26" i="40" s="1"/>
  <c r="N27" i="40"/>
  <c r="K27" i="40"/>
  <c r="H27" i="40"/>
  <c r="E27" i="40"/>
  <c r="E26" i="40" s="1"/>
  <c r="N26" i="40"/>
  <c r="K26" i="40"/>
  <c r="R25" i="40"/>
  <c r="O25" i="40"/>
  <c r="L25" i="40"/>
  <c r="I25" i="40"/>
  <c r="F25" i="40"/>
  <c r="C25" i="40"/>
  <c r="B24" i="40"/>
  <c r="L24" i="40" s="1"/>
  <c r="B23" i="40"/>
  <c r="L23" i="40" s="1"/>
  <c r="B22" i="40"/>
  <c r="L22" i="40" s="1"/>
  <c r="Q21" i="40"/>
  <c r="N21" i="40"/>
  <c r="K21" i="40"/>
  <c r="H21" i="40"/>
  <c r="E21" i="40"/>
  <c r="R20" i="40"/>
  <c r="O20" i="40"/>
  <c r="L20" i="40"/>
  <c r="I20" i="40"/>
  <c r="F20" i="40"/>
  <c r="C20" i="40"/>
  <c r="B19" i="40"/>
  <c r="O19" i="40" s="1"/>
  <c r="B18" i="40"/>
  <c r="L18" i="40" s="1"/>
  <c r="B17" i="40"/>
  <c r="L17" i="40" s="1"/>
  <c r="Q16" i="40"/>
  <c r="N16" i="40"/>
  <c r="K16" i="40"/>
  <c r="H16" i="40"/>
  <c r="E16" i="40"/>
  <c r="Q15" i="40"/>
  <c r="E15" i="40"/>
  <c r="R14" i="40"/>
  <c r="O14" i="40"/>
  <c r="L14" i="40"/>
  <c r="I14" i="40"/>
  <c r="F14" i="40"/>
  <c r="C14" i="40"/>
  <c r="R12" i="40"/>
  <c r="O12" i="40"/>
  <c r="L12" i="40"/>
  <c r="I12" i="40"/>
  <c r="F12" i="40"/>
  <c r="C12" i="40"/>
  <c r="L26" i="38"/>
  <c r="B25" i="38"/>
  <c r="F25" i="38" s="1"/>
  <c r="O24" i="38"/>
  <c r="L24" i="38"/>
  <c r="I24" i="38"/>
  <c r="F24" i="38"/>
  <c r="C24" i="38"/>
  <c r="B24" i="38"/>
  <c r="B23" i="38"/>
  <c r="F23" i="38" s="1"/>
  <c r="O22" i="38"/>
  <c r="L22" i="38"/>
  <c r="I22" i="38"/>
  <c r="F22" i="38"/>
  <c r="C22" i="38"/>
  <c r="B22" i="38"/>
  <c r="B21" i="38"/>
  <c r="F21" i="38" s="1"/>
  <c r="O20" i="38"/>
  <c r="L20" i="38"/>
  <c r="I20" i="38"/>
  <c r="F20" i="38"/>
  <c r="C20" i="38"/>
  <c r="B20" i="38"/>
  <c r="B19" i="38"/>
  <c r="F19" i="38" s="1"/>
  <c r="O18" i="38"/>
  <c r="L18" i="38"/>
  <c r="I18" i="38"/>
  <c r="F18" i="38"/>
  <c r="C18" i="38"/>
  <c r="B18" i="38"/>
  <c r="B17" i="38"/>
  <c r="F17" i="38" s="1"/>
  <c r="O16" i="38"/>
  <c r="L16" i="38"/>
  <c r="I16" i="38"/>
  <c r="F16" i="38"/>
  <c r="C16" i="38"/>
  <c r="B16" i="38"/>
  <c r="B15" i="38"/>
  <c r="F15" i="38" s="1"/>
  <c r="O14" i="38"/>
  <c r="L14" i="38"/>
  <c r="I14" i="38"/>
  <c r="F14" i="38"/>
  <c r="C14" i="38"/>
  <c r="B14" i="38"/>
  <c r="B13" i="38"/>
  <c r="F13" i="38" s="1"/>
  <c r="O12" i="38"/>
  <c r="L12" i="38"/>
  <c r="I12" i="38"/>
  <c r="F12" i="38"/>
  <c r="C12" i="38"/>
  <c r="B12" i="38"/>
  <c r="B11" i="38" s="1"/>
  <c r="N11" i="38"/>
  <c r="K11" i="38"/>
  <c r="H11" i="38"/>
  <c r="E11" i="38"/>
  <c r="B101" i="145"/>
  <c r="L101" i="145" s="1"/>
  <c r="B100" i="145"/>
  <c r="L100" i="145" s="1"/>
  <c r="B99" i="145"/>
  <c r="L99" i="145" s="1"/>
  <c r="B98" i="145"/>
  <c r="B97" i="145"/>
  <c r="L97" i="145" s="1"/>
  <c r="K96" i="145"/>
  <c r="H96" i="145"/>
  <c r="E96" i="145"/>
  <c r="L95" i="145"/>
  <c r="I95" i="145"/>
  <c r="F95" i="145"/>
  <c r="C95" i="145"/>
  <c r="B95" i="145"/>
  <c r="B94" i="145"/>
  <c r="L94" i="145" s="1"/>
  <c r="B93" i="145"/>
  <c r="L92" i="145"/>
  <c r="I92" i="145"/>
  <c r="F92" i="145"/>
  <c r="C92" i="145"/>
  <c r="B92" i="145"/>
  <c r="B91" i="145"/>
  <c r="F91" i="145" s="1"/>
  <c r="L90" i="145"/>
  <c r="I90" i="145"/>
  <c r="F90" i="145"/>
  <c r="C90" i="145"/>
  <c r="B90" i="145"/>
  <c r="B89" i="145"/>
  <c r="L88" i="145"/>
  <c r="I88" i="145"/>
  <c r="F88" i="145"/>
  <c r="C88" i="145"/>
  <c r="B88" i="145"/>
  <c r="B87" i="145"/>
  <c r="F87" i="145" s="1"/>
  <c r="L86" i="145"/>
  <c r="I86" i="145"/>
  <c r="F86" i="145"/>
  <c r="C86" i="145"/>
  <c r="B86" i="145"/>
  <c r="B85" i="145"/>
  <c r="B84" i="145"/>
  <c r="L84" i="145" s="1"/>
  <c r="B83" i="145"/>
  <c r="I83" i="145" s="1"/>
  <c r="B82" i="145"/>
  <c r="L82" i="145" s="1"/>
  <c r="B81" i="145"/>
  <c r="L81" i="145" s="1"/>
  <c r="K80" i="145"/>
  <c r="K79" i="145" s="1"/>
  <c r="H80" i="145"/>
  <c r="H79" i="145" s="1"/>
  <c r="E80" i="145"/>
  <c r="E79" i="145" s="1"/>
  <c r="L78" i="145"/>
  <c r="I78" i="145"/>
  <c r="F78" i="145"/>
  <c r="C78" i="145"/>
  <c r="B78" i="145"/>
  <c r="B77" i="145"/>
  <c r="I77" i="145" s="1"/>
  <c r="B76" i="145"/>
  <c r="L76" i="145" s="1"/>
  <c r="B75" i="145"/>
  <c r="L75" i="145" s="1"/>
  <c r="B74" i="145"/>
  <c r="L74" i="145" s="1"/>
  <c r="K73" i="145"/>
  <c r="H73" i="145"/>
  <c r="H72" i="145" s="1"/>
  <c r="E73" i="145"/>
  <c r="K72" i="145"/>
  <c r="L71" i="145"/>
  <c r="I71" i="145"/>
  <c r="F71" i="145"/>
  <c r="C71" i="145"/>
  <c r="B71" i="145"/>
  <c r="B70" i="145"/>
  <c r="L70" i="145" s="1"/>
  <c r="B69" i="145"/>
  <c r="L69" i="145" s="1"/>
  <c r="B68" i="145"/>
  <c r="L68" i="145" s="1"/>
  <c r="B67" i="145"/>
  <c r="I67" i="145" s="1"/>
  <c r="B66" i="145"/>
  <c r="L66" i="145" s="1"/>
  <c r="B65" i="145"/>
  <c r="L65" i="145" s="1"/>
  <c r="B64" i="145"/>
  <c r="L64" i="145" s="1"/>
  <c r="B63" i="145"/>
  <c r="I63" i="145" s="1"/>
  <c r="B62" i="145"/>
  <c r="L62" i="145" s="1"/>
  <c r="K61" i="145"/>
  <c r="K60" i="145" s="1"/>
  <c r="H61" i="145"/>
  <c r="H60" i="145" s="1"/>
  <c r="E61" i="145"/>
  <c r="L59" i="145"/>
  <c r="I59" i="145"/>
  <c r="F59" i="145"/>
  <c r="C59" i="145"/>
  <c r="B59" i="145"/>
  <c r="F58" i="145"/>
  <c r="B58" i="145"/>
  <c r="L58" i="145" s="1"/>
  <c r="B57" i="145"/>
  <c r="F57" i="145" s="1"/>
  <c r="B56" i="145"/>
  <c r="L56" i="145" s="1"/>
  <c r="B55" i="145"/>
  <c r="L55" i="145" s="1"/>
  <c r="B54" i="145"/>
  <c r="L54" i="145" s="1"/>
  <c r="I53" i="145"/>
  <c r="B53" i="145"/>
  <c r="F53" i="145" s="1"/>
  <c r="B52" i="145"/>
  <c r="L52" i="145" s="1"/>
  <c r="B51" i="145"/>
  <c r="L51" i="145" s="1"/>
  <c r="K50" i="145"/>
  <c r="H50" i="145"/>
  <c r="E50" i="145"/>
  <c r="L49" i="145"/>
  <c r="I49" i="145"/>
  <c r="F49" i="145"/>
  <c r="C49" i="145"/>
  <c r="B49" i="145"/>
  <c r="B48" i="145"/>
  <c r="I48" i="145" s="1"/>
  <c r="B47" i="145"/>
  <c r="I47" i="145" s="1"/>
  <c r="B46" i="145"/>
  <c r="L46" i="145" s="1"/>
  <c r="B45" i="145"/>
  <c r="L45" i="145" s="1"/>
  <c r="K44" i="145"/>
  <c r="H44" i="145"/>
  <c r="E44" i="145"/>
  <c r="L43" i="145"/>
  <c r="I43" i="145"/>
  <c r="F43" i="145"/>
  <c r="C43" i="145"/>
  <c r="B43" i="145"/>
  <c r="B42" i="145"/>
  <c r="L42" i="145" s="1"/>
  <c r="B41" i="145"/>
  <c r="L41" i="145" s="1"/>
  <c r="B40" i="145"/>
  <c r="L40" i="145" s="1"/>
  <c r="B39" i="145"/>
  <c r="F39" i="145" s="1"/>
  <c r="B38" i="145"/>
  <c r="I38" i="145" s="1"/>
  <c r="K37" i="145"/>
  <c r="H37" i="145"/>
  <c r="E37" i="145"/>
  <c r="E34" i="145" s="1"/>
  <c r="L36" i="145"/>
  <c r="I36" i="145"/>
  <c r="F36" i="145"/>
  <c r="C36" i="145"/>
  <c r="B36" i="145"/>
  <c r="B35" i="145"/>
  <c r="L35" i="145" s="1"/>
  <c r="K34" i="145"/>
  <c r="L33" i="145"/>
  <c r="I33" i="145"/>
  <c r="F33" i="145"/>
  <c r="C33" i="145"/>
  <c r="B33" i="145"/>
  <c r="B32" i="145"/>
  <c r="L32" i="145" s="1"/>
  <c r="B31" i="145"/>
  <c r="L31" i="145" s="1"/>
  <c r="B30" i="145"/>
  <c r="L30" i="145" s="1"/>
  <c r="B29" i="145"/>
  <c r="I29" i="145" s="1"/>
  <c r="B28" i="145"/>
  <c r="L28" i="145" s="1"/>
  <c r="K27" i="145"/>
  <c r="K26" i="145" s="1"/>
  <c r="H27" i="145"/>
  <c r="H26" i="145" s="1"/>
  <c r="E27" i="145"/>
  <c r="E26" i="145" s="1"/>
  <c r="L25" i="145"/>
  <c r="I25" i="145"/>
  <c r="F25" i="145"/>
  <c r="C25" i="145"/>
  <c r="B25" i="145"/>
  <c r="F24" i="145"/>
  <c r="B24" i="145"/>
  <c r="L24" i="145" s="1"/>
  <c r="B23" i="145"/>
  <c r="I23" i="145" s="1"/>
  <c r="B22" i="145"/>
  <c r="I22" i="145" s="1"/>
  <c r="K21" i="145"/>
  <c r="H21" i="145"/>
  <c r="E21" i="145"/>
  <c r="L20" i="145"/>
  <c r="I20" i="145"/>
  <c r="F20" i="145"/>
  <c r="C20" i="145"/>
  <c r="B20" i="145"/>
  <c r="B19" i="145"/>
  <c r="L19" i="145" s="1"/>
  <c r="B18" i="145"/>
  <c r="F18" i="145" s="1"/>
  <c r="B17" i="145"/>
  <c r="I17" i="145" s="1"/>
  <c r="K16" i="145"/>
  <c r="H16" i="145"/>
  <c r="E16" i="145"/>
  <c r="E15" i="145" s="1"/>
  <c r="K15" i="145"/>
  <c r="H15" i="145"/>
  <c r="L14" i="145"/>
  <c r="I14" i="145"/>
  <c r="F14" i="145"/>
  <c r="C14" i="145"/>
  <c r="B14" i="145"/>
  <c r="L12" i="145"/>
  <c r="I12" i="145"/>
  <c r="F12" i="145"/>
  <c r="C12" i="145"/>
  <c r="B12" i="145"/>
  <c r="G112" i="34"/>
  <c r="C112" i="34"/>
  <c r="M112" i="34" s="1"/>
  <c r="C111" i="34"/>
  <c r="M111" i="34" s="1"/>
  <c r="F110" i="34"/>
  <c r="F106" i="34" s="1"/>
  <c r="C106" i="34" s="1"/>
  <c r="C110" i="34"/>
  <c r="G110" i="34" s="1"/>
  <c r="C109" i="34"/>
  <c r="M109" i="34" s="1"/>
  <c r="F108" i="34"/>
  <c r="M107" i="34"/>
  <c r="J107" i="34"/>
  <c r="G107" i="34"/>
  <c r="D107" i="34"/>
  <c r="C107" i="34"/>
  <c r="L106" i="34"/>
  <c r="I106" i="34"/>
  <c r="M105" i="34"/>
  <c r="J105" i="34"/>
  <c r="G105" i="34"/>
  <c r="D105" i="34"/>
  <c r="C105" i="34"/>
  <c r="F104" i="34"/>
  <c r="C104" i="34" s="1"/>
  <c r="M104" i="34" s="1"/>
  <c r="M103" i="34"/>
  <c r="D103" i="34"/>
  <c r="C103" i="34"/>
  <c r="F102" i="34"/>
  <c r="C102" i="34" s="1"/>
  <c r="C101" i="34"/>
  <c r="M101" i="34" s="1"/>
  <c r="G100" i="34"/>
  <c r="C100" i="34"/>
  <c r="M100" i="34" s="1"/>
  <c r="F99" i="34"/>
  <c r="C99" i="34" s="1"/>
  <c r="G99" i="34" s="1"/>
  <c r="C98" i="34"/>
  <c r="M98" i="34" s="1"/>
  <c r="C97" i="34"/>
  <c r="M97" i="34" s="1"/>
  <c r="F96" i="34"/>
  <c r="C96" i="34" s="1"/>
  <c r="G96" i="34" s="1"/>
  <c r="C95" i="34"/>
  <c r="M95" i="34" s="1"/>
  <c r="G94" i="34"/>
  <c r="C94" i="34"/>
  <c r="M94" i="34" s="1"/>
  <c r="L93" i="34"/>
  <c r="L92" i="34" s="1"/>
  <c r="I93" i="34"/>
  <c r="I92" i="34" s="1"/>
  <c r="M91" i="34"/>
  <c r="D91" i="34"/>
  <c r="C91" i="34"/>
  <c r="J90" i="34"/>
  <c r="G90" i="34"/>
  <c r="C90" i="34"/>
  <c r="M90" i="34" s="1"/>
  <c r="F89" i="34"/>
  <c r="C89" i="34"/>
  <c r="G89" i="34" s="1"/>
  <c r="G88" i="34"/>
  <c r="C88" i="34"/>
  <c r="M88" i="34" s="1"/>
  <c r="F87" i="34"/>
  <c r="C87" i="34" s="1"/>
  <c r="L86" i="34"/>
  <c r="L85" i="34" s="1"/>
  <c r="I86" i="34"/>
  <c r="I85" i="34" s="1"/>
  <c r="F86" i="34"/>
  <c r="M84" i="34"/>
  <c r="J84" i="34"/>
  <c r="G84" i="34"/>
  <c r="D84" i="34"/>
  <c r="C84" i="34"/>
  <c r="G83" i="34"/>
  <c r="F83" i="34"/>
  <c r="C83" i="34" s="1"/>
  <c r="M82" i="34"/>
  <c r="J82" i="34"/>
  <c r="G82" i="34"/>
  <c r="D82" i="34"/>
  <c r="C82" i="34"/>
  <c r="C81" i="34"/>
  <c r="M81" i="34" s="1"/>
  <c r="M80" i="34"/>
  <c r="J80" i="34"/>
  <c r="G80" i="34"/>
  <c r="D80" i="34"/>
  <c r="C80" i="34"/>
  <c r="C79" i="34"/>
  <c r="M79" i="34" s="1"/>
  <c r="C78" i="34"/>
  <c r="G78" i="34" s="1"/>
  <c r="C77" i="34"/>
  <c r="C76" i="34"/>
  <c r="M76" i="34" s="1"/>
  <c r="C75" i="34"/>
  <c r="M75" i="34" s="1"/>
  <c r="L74" i="34"/>
  <c r="I74" i="34"/>
  <c r="F74" i="34"/>
  <c r="M73" i="34"/>
  <c r="J73" i="34"/>
  <c r="G73" i="34"/>
  <c r="D73" i="34"/>
  <c r="C73" i="34"/>
  <c r="F72" i="34"/>
  <c r="F71" i="34" s="1"/>
  <c r="L71" i="34"/>
  <c r="I71" i="34"/>
  <c r="I69" i="34" s="1"/>
  <c r="M70" i="34"/>
  <c r="J70" i="34"/>
  <c r="G70" i="34"/>
  <c r="D70" i="34"/>
  <c r="C70" i="34"/>
  <c r="M68" i="34"/>
  <c r="J68" i="34"/>
  <c r="G68" i="34"/>
  <c r="D68" i="34"/>
  <c r="C68" i="34"/>
  <c r="F67" i="34"/>
  <c r="F66" i="34"/>
  <c r="C66" i="34" s="1"/>
  <c r="M66" i="34" s="1"/>
  <c r="F65" i="34"/>
  <c r="F64" i="34"/>
  <c r="C64" i="34" s="1"/>
  <c r="F63" i="34"/>
  <c r="L62" i="34"/>
  <c r="I62" i="34"/>
  <c r="M61" i="34"/>
  <c r="J61" i="34"/>
  <c r="G61" i="34"/>
  <c r="D61" i="34"/>
  <c r="C61" i="34"/>
  <c r="F60" i="34"/>
  <c r="C60" i="34"/>
  <c r="G60" i="34" s="1"/>
  <c r="F58" i="34"/>
  <c r="C58" i="34" s="1"/>
  <c r="F57" i="34"/>
  <c r="C57" i="34" s="1"/>
  <c r="G57" i="34" s="1"/>
  <c r="C56" i="34"/>
  <c r="M56" i="34" s="1"/>
  <c r="F55" i="34"/>
  <c r="C55" i="34" s="1"/>
  <c r="M55" i="34" s="1"/>
  <c r="F54" i="34"/>
  <c r="G53" i="34"/>
  <c r="C53" i="34"/>
  <c r="M53" i="34" s="1"/>
  <c r="F52" i="34"/>
  <c r="C52" i="34"/>
  <c r="G52" i="34" s="1"/>
  <c r="F51" i="34"/>
  <c r="C51" i="34" s="1"/>
  <c r="L50" i="34"/>
  <c r="I50" i="34"/>
  <c r="M49" i="34"/>
  <c r="J49" i="34"/>
  <c r="G49" i="34"/>
  <c r="D49" i="34"/>
  <c r="C49" i="34"/>
  <c r="F48" i="34"/>
  <c r="F47" i="34"/>
  <c r="C47" i="34" s="1"/>
  <c r="M47" i="34" s="1"/>
  <c r="F46" i="34"/>
  <c r="C45" i="34"/>
  <c r="M45" i="34" s="1"/>
  <c r="L44" i="34"/>
  <c r="L43" i="34" s="1"/>
  <c r="I44" i="34"/>
  <c r="I43" i="34"/>
  <c r="M42" i="34"/>
  <c r="J42" i="34"/>
  <c r="G42" i="34"/>
  <c r="D42" i="34"/>
  <c r="C42" i="34"/>
  <c r="F41" i="34"/>
  <c r="C40" i="34"/>
  <c r="M40" i="34" s="1"/>
  <c r="F39" i="34"/>
  <c r="C39" i="34" s="1"/>
  <c r="M39" i="34" s="1"/>
  <c r="C38" i="34"/>
  <c r="M38" i="34" s="1"/>
  <c r="F37" i="34"/>
  <c r="C37" i="34" s="1"/>
  <c r="M37" i="34" s="1"/>
  <c r="L36" i="34"/>
  <c r="L35" i="34" s="1"/>
  <c r="I36" i="34"/>
  <c r="I35" i="34" s="1"/>
  <c r="M34" i="34"/>
  <c r="J34" i="34"/>
  <c r="G34" i="34"/>
  <c r="D34" i="34"/>
  <c r="C34" i="34"/>
  <c r="C33" i="34"/>
  <c r="M33" i="34" s="1"/>
  <c r="C32" i="34"/>
  <c r="M32" i="34" s="1"/>
  <c r="C31" i="34"/>
  <c r="G31" i="34" s="1"/>
  <c r="L30" i="34"/>
  <c r="I30" i="34"/>
  <c r="F30" i="34"/>
  <c r="M29" i="34"/>
  <c r="J29" i="34"/>
  <c r="G29" i="34"/>
  <c r="D29" i="34"/>
  <c r="C29" i="34"/>
  <c r="C28" i="34"/>
  <c r="M28" i="34" s="1"/>
  <c r="C27" i="34"/>
  <c r="M27" i="34" s="1"/>
  <c r="C26" i="34"/>
  <c r="G26" i="34" s="1"/>
  <c r="L25" i="34"/>
  <c r="I25" i="34"/>
  <c r="F25" i="34"/>
  <c r="F24" i="34" s="1"/>
  <c r="M23" i="34"/>
  <c r="J23" i="34"/>
  <c r="G23" i="34"/>
  <c r="D23" i="34"/>
  <c r="C23" i="34"/>
  <c r="C22" i="34"/>
  <c r="M22" i="34" s="1"/>
  <c r="C21" i="34"/>
  <c r="M21" i="34" s="1"/>
  <c r="F20" i="34"/>
  <c r="C20" i="34" s="1"/>
  <c r="M20" i="34" s="1"/>
  <c r="C19" i="34"/>
  <c r="J19" i="34" s="1"/>
  <c r="C18" i="34"/>
  <c r="M18" i="34" s="1"/>
  <c r="M17" i="34"/>
  <c r="J17" i="34"/>
  <c r="G17" i="34"/>
  <c r="D17" i="34"/>
  <c r="C17" i="34"/>
  <c r="L16" i="34"/>
  <c r="I16" i="34"/>
  <c r="M15" i="34"/>
  <c r="J15" i="34"/>
  <c r="G15" i="34"/>
  <c r="D15" i="34"/>
  <c r="C15" i="34"/>
  <c r="M13" i="34"/>
  <c r="J13" i="34"/>
  <c r="G13" i="34"/>
  <c r="D13" i="34"/>
  <c r="C13" i="34"/>
  <c r="F44" i="34" l="1"/>
  <c r="C44" i="34" s="1"/>
  <c r="M44" i="34" s="1"/>
  <c r="F11" i="38"/>
  <c r="L61" i="47"/>
  <c r="L26" i="52"/>
  <c r="I39" i="145"/>
  <c r="I11" i="38"/>
  <c r="I17" i="40"/>
  <c r="O23" i="40"/>
  <c r="O32" i="40"/>
  <c r="I49" i="40"/>
  <c r="O51" i="40"/>
  <c r="F64" i="40"/>
  <c r="F87" i="40"/>
  <c r="I88" i="40"/>
  <c r="F84" i="42"/>
  <c r="F18" i="43"/>
  <c r="F22" i="43"/>
  <c r="R32" i="43"/>
  <c r="B41" i="43"/>
  <c r="O44" i="43"/>
  <c r="O48" i="43"/>
  <c r="F56" i="43"/>
  <c r="F64" i="43"/>
  <c r="F70" i="43"/>
  <c r="F78" i="43"/>
  <c r="O105" i="43"/>
  <c r="D83" i="65"/>
  <c r="D39" i="65"/>
  <c r="D57" i="65"/>
  <c r="O22" i="45"/>
  <c r="L24" i="34"/>
  <c r="G40" i="34"/>
  <c r="G56" i="34"/>
  <c r="G75" i="34"/>
  <c r="G95" i="34"/>
  <c r="I18" i="145"/>
  <c r="F54" i="145"/>
  <c r="I57" i="145"/>
  <c r="B61" i="145"/>
  <c r="F61" i="145" s="1"/>
  <c r="F74" i="145"/>
  <c r="F77" i="145"/>
  <c r="I91" i="145"/>
  <c r="L11" i="38"/>
  <c r="I30" i="40"/>
  <c r="F38" i="40"/>
  <c r="Q34" i="40"/>
  <c r="I44" i="40"/>
  <c r="I64" i="40"/>
  <c r="O66" i="40"/>
  <c r="I87" i="40"/>
  <c r="I91" i="40"/>
  <c r="L93" i="40"/>
  <c r="R101" i="40"/>
  <c r="R26" i="42"/>
  <c r="F79" i="42"/>
  <c r="E88" i="42"/>
  <c r="Q88" i="42"/>
  <c r="F95" i="42"/>
  <c r="R18" i="43"/>
  <c r="N15" i="43"/>
  <c r="R22" i="43"/>
  <c r="I24" i="43"/>
  <c r="O31" i="43"/>
  <c r="R48" i="43"/>
  <c r="R49" i="43"/>
  <c r="F51" i="43"/>
  <c r="I56" i="43"/>
  <c r="O67" i="43"/>
  <c r="O70" i="43"/>
  <c r="B75" i="43"/>
  <c r="R78" i="43"/>
  <c r="O93" i="43"/>
  <c r="O102" i="43"/>
  <c r="M16" i="48"/>
  <c r="F16" i="34"/>
  <c r="J52" i="34"/>
  <c r="J75" i="34"/>
  <c r="C86" i="34"/>
  <c r="G86" i="34" s="1"/>
  <c r="G104" i="34"/>
  <c r="L38" i="145"/>
  <c r="O11" i="38"/>
  <c r="I13" i="38"/>
  <c r="I15" i="38"/>
  <c r="I17" i="38"/>
  <c r="I19" i="38"/>
  <c r="I21" i="38"/>
  <c r="I23" i="38"/>
  <c r="I25" i="38"/>
  <c r="O24" i="40"/>
  <c r="R44" i="40"/>
  <c r="F47" i="40"/>
  <c r="I48" i="40"/>
  <c r="F56" i="40"/>
  <c r="R64" i="40"/>
  <c r="I68" i="40"/>
  <c r="O70" i="40"/>
  <c r="I79" i="40"/>
  <c r="F84" i="40"/>
  <c r="O86" i="40"/>
  <c r="O87" i="40"/>
  <c r="I89" i="40"/>
  <c r="F73" i="42"/>
  <c r="N88" i="42"/>
  <c r="I99" i="42"/>
  <c r="F28" i="43"/>
  <c r="R31" i="43"/>
  <c r="F45" i="43"/>
  <c r="R56" i="43"/>
  <c r="R70" i="43"/>
  <c r="O72" i="43"/>
  <c r="O85" i="43"/>
  <c r="I87" i="43"/>
  <c r="P87" i="48"/>
  <c r="B14" i="48"/>
  <c r="M64" i="34"/>
  <c r="J64" i="34"/>
  <c r="Q13" i="43"/>
  <c r="Q11" i="43" s="1"/>
  <c r="M87" i="34"/>
  <c r="J87" i="34"/>
  <c r="G87" i="34"/>
  <c r="G102" i="34"/>
  <c r="J102" i="34"/>
  <c r="C30" i="52"/>
  <c r="C16" i="52"/>
  <c r="C24" i="52"/>
  <c r="C28" i="52"/>
  <c r="F12" i="52"/>
  <c r="L12" i="52"/>
  <c r="C18" i="52"/>
  <c r="I12" i="52"/>
  <c r="R12" i="52"/>
  <c r="C20" i="52"/>
  <c r="C36" i="52"/>
  <c r="C26" i="52"/>
  <c r="C34" i="52"/>
  <c r="O12" i="52"/>
  <c r="C22" i="52"/>
  <c r="C32" i="52"/>
  <c r="G32" i="34"/>
  <c r="G38" i="34"/>
  <c r="F62" i="34"/>
  <c r="G98" i="34"/>
  <c r="C108" i="34"/>
  <c r="J110" i="34"/>
  <c r="F23" i="145"/>
  <c r="F35" i="145"/>
  <c r="F40" i="145"/>
  <c r="I87" i="145"/>
  <c r="R17" i="40"/>
  <c r="R30" i="40"/>
  <c r="F44" i="40"/>
  <c r="R48" i="40"/>
  <c r="O55" i="40"/>
  <c r="L57" i="40"/>
  <c r="L65" i="40"/>
  <c r="R67" i="40"/>
  <c r="O72" i="40"/>
  <c r="R78" i="40"/>
  <c r="O83" i="40"/>
  <c r="L85" i="40"/>
  <c r="R87" i="40"/>
  <c r="L90" i="40"/>
  <c r="R22" i="42"/>
  <c r="F57" i="42"/>
  <c r="I69" i="42"/>
  <c r="I77" i="42"/>
  <c r="I92" i="42"/>
  <c r="B94" i="42"/>
  <c r="K15" i="43"/>
  <c r="K13" i="43" s="1"/>
  <c r="K11" i="43" s="1"/>
  <c r="R16" i="43"/>
  <c r="F19" i="43"/>
  <c r="B21" i="43"/>
  <c r="O22" i="43"/>
  <c r="I36" i="43"/>
  <c r="O38" i="43"/>
  <c r="F87" i="43"/>
  <c r="O90" i="43"/>
  <c r="I95" i="43"/>
  <c r="F99" i="43"/>
  <c r="R76" i="47"/>
  <c r="D69" i="65"/>
  <c r="G14" i="65"/>
  <c r="M82" i="48"/>
  <c r="G82" i="48"/>
  <c r="S82" i="48"/>
  <c r="F25" i="50"/>
  <c r="I64" i="47"/>
  <c r="R64" i="47"/>
  <c r="F64" i="47"/>
  <c r="L64" i="47"/>
  <c r="G20" i="34"/>
  <c r="J32" i="34"/>
  <c r="G45" i="34"/>
  <c r="J55" i="34"/>
  <c r="G76" i="34"/>
  <c r="J89" i="34"/>
  <c r="J104" i="34"/>
  <c r="D104" i="34" s="1"/>
  <c r="F29" i="145"/>
  <c r="F29" i="40"/>
  <c r="L53" i="40"/>
  <c r="F101" i="40"/>
  <c r="B15" i="42"/>
  <c r="I19" i="42"/>
  <c r="R28" i="42"/>
  <c r="I34" i="42"/>
  <c r="F39" i="42"/>
  <c r="I44" i="42"/>
  <c r="R49" i="42"/>
  <c r="B35" i="43"/>
  <c r="O36" i="43"/>
  <c r="R90" i="43"/>
  <c r="R95" i="43"/>
  <c r="F82" i="54"/>
  <c r="D91" i="65"/>
  <c r="M21" i="44"/>
  <c r="G27" i="34"/>
  <c r="G39" i="34"/>
  <c r="J45" i="34"/>
  <c r="F85" i="34"/>
  <c r="F93" i="34"/>
  <c r="F92" i="34" s="1"/>
  <c r="G111" i="34"/>
  <c r="I99" i="145"/>
  <c r="O29" i="40"/>
  <c r="O44" i="40"/>
  <c r="F49" i="40"/>
  <c r="F68" i="40"/>
  <c r="B75" i="40"/>
  <c r="R75" i="40" s="1"/>
  <c r="F79" i="40"/>
  <c r="F88" i="40"/>
  <c r="F91" i="40"/>
  <c r="L99" i="40"/>
  <c r="I101" i="40"/>
  <c r="R19" i="42"/>
  <c r="R53" i="42"/>
  <c r="I65" i="42"/>
  <c r="F75" i="42"/>
  <c r="R36" i="43"/>
  <c r="F44" i="43"/>
  <c r="O54" i="43"/>
  <c r="F67" i="43"/>
  <c r="I83" i="47"/>
  <c r="R61" i="47"/>
  <c r="I75" i="54"/>
  <c r="D90" i="65"/>
  <c r="D55" i="65"/>
  <c r="D45" i="65"/>
  <c r="D22" i="65"/>
  <c r="B82" i="45"/>
  <c r="O83" i="45"/>
  <c r="G21" i="34"/>
  <c r="J27" i="34"/>
  <c r="G33" i="34"/>
  <c r="J111" i="34"/>
  <c r="E60" i="145"/>
  <c r="B27" i="43"/>
  <c r="O27" i="43" s="1"/>
  <c r="D16" i="65"/>
  <c r="F19" i="145"/>
  <c r="F30" i="145"/>
  <c r="I42" i="145"/>
  <c r="F48" i="145"/>
  <c r="F63" i="145"/>
  <c r="F67" i="145"/>
  <c r="F83" i="145"/>
  <c r="F100" i="145"/>
  <c r="L19" i="40"/>
  <c r="O37" i="40"/>
  <c r="R49" i="40"/>
  <c r="F51" i="40"/>
  <c r="R68" i="40"/>
  <c r="F70" i="40"/>
  <c r="R79" i="40"/>
  <c r="I84" i="40"/>
  <c r="R88" i="40"/>
  <c r="O91" i="40"/>
  <c r="F100" i="40"/>
  <c r="R30" i="42"/>
  <c r="F41" i="42"/>
  <c r="I46" i="42"/>
  <c r="L76" i="42"/>
  <c r="I79" i="42"/>
  <c r="F16" i="43"/>
  <c r="I18" i="43"/>
  <c r="R23" i="43"/>
  <c r="I29" i="43"/>
  <c r="F37" i="43"/>
  <c r="R44" i="43"/>
  <c r="O51" i="43"/>
  <c r="F55" i="43"/>
  <c r="I64" i="43"/>
  <c r="R67" i="43"/>
  <c r="O77" i="43"/>
  <c r="R79" i="43"/>
  <c r="F86" i="43"/>
  <c r="I91" i="43"/>
  <c r="F25" i="53"/>
  <c r="M74" i="54"/>
  <c r="F23" i="51"/>
  <c r="L23" i="51"/>
  <c r="J85" i="65"/>
  <c r="G85" i="65"/>
  <c r="G18" i="34"/>
  <c r="G22" i="34"/>
  <c r="G28" i="34"/>
  <c r="J40" i="34"/>
  <c r="J53" i="34"/>
  <c r="D53" i="34" s="1"/>
  <c r="G79" i="34"/>
  <c r="G97" i="34"/>
  <c r="J100" i="34"/>
  <c r="G109" i="34"/>
  <c r="I100" i="145"/>
  <c r="F17" i="40"/>
  <c r="F24" i="40"/>
  <c r="F30" i="40"/>
  <c r="F42" i="40"/>
  <c r="F45" i="40"/>
  <c r="F48" i="40"/>
  <c r="I51" i="40"/>
  <c r="R56" i="40"/>
  <c r="I70" i="40"/>
  <c r="R91" i="40"/>
  <c r="I100" i="40"/>
  <c r="N13" i="42"/>
  <c r="F37" i="42"/>
  <c r="F51" i="42"/>
  <c r="F55" i="42"/>
  <c r="I61" i="42"/>
  <c r="I16" i="43"/>
  <c r="O18" i="43"/>
  <c r="O29" i="43"/>
  <c r="F32" i="43"/>
  <c r="E34" i="43"/>
  <c r="R37" i="43"/>
  <c r="F48" i="43"/>
  <c r="R51" i="43"/>
  <c r="O55" i="43"/>
  <c r="O58" i="43"/>
  <c r="B63" i="43"/>
  <c r="L63" i="43" s="1"/>
  <c r="R64" i="43"/>
  <c r="N81" i="43"/>
  <c r="F83" i="43"/>
  <c r="O86" i="43"/>
  <c r="O89" i="43"/>
  <c r="R91" i="43"/>
  <c r="O61" i="47"/>
  <c r="R11" i="51"/>
  <c r="D27" i="65"/>
  <c r="F26" i="52"/>
  <c r="I82" i="54"/>
  <c r="B11" i="53"/>
  <c r="C25" i="53" s="1"/>
  <c r="J82" i="48"/>
  <c r="C25" i="34"/>
  <c r="G47" i="34"/>
  <c r="J79" i="34"/>
  <c r="J97" i="34"/>
  <c r="Q13" i="40"/>
  <c r="Q11" i="40" s="1"/>
  <c r="L16" i="43"/>
  <c r="R55" i="43"/>
  <c r="D71" i="65"/>
  <c r="J94" i="34"/>
  <c r="G101" i="34"/>
  <c r="I28" i="145"/>
  <c r="I32" i="145"/>
  <c r="F45" i="145"/>
  <c r="F64" i="145"/>
  <c r="F68" i="145"/>
  <c r="F84" i="145"/>
  <c r="F97" i="145"/>
  <c r="F101" i="145"/>
  <c r="O17" i="40"/>
  <c r="R24" i="40"/>
  <c r="O30" i="40"/>
  <c r="I38" i="40"/>
  <c r="B41" i="40"/>
  <c r="O48" i="40"/>
  <c r="R51" i="40"/>
  <c r="I55" i="40"/>
  <c r="O67" i="40"/>
  <c r="R70" i="40"/>
  <c r="O78" i="40"/>
  <c r="I83" i="40"/>
  <c r="R100" i="40"/>
  <c r="L38" i="42"/>
  <c r="R43" i="42"/>
  <c r="L52" i="42"/>
  <c r="I73" i="42"/>
  <c r="F77" i="42"/>
  <c r="I102" i="42"/>
  <c r="O16" i="43"/>
  <c r="I22" i="43"/>
  <c r="O24" i="43"/>
  <c r="F36" i="43"/>
  <c r="I38" i="43"/>
  <c r="B53" i="43"/>
  <c r="R53" i="43" s="1"/>
  <c r="I68" i="43"/>
  <c r="O78" i="43"/>
  <c r="B82" i="43"/>
  <c r="O82" i="43" s="1"/>
  <c r="R83" i="43"/>
  <c r="F90" i="43"/>
  <c r="F95" i="43"/>
  <c r="L83" i="47"/>
  <c r="F35" i="47"/>
  <c r="C23" i="51"/>
  <c r="C11" i="51" s="1"/>
  <c r="D60" i="65"/>
  <c r="D33" i="65"/>
  <c r="D56" i="65"/>
  <c r="D40" i="65"/>
  <c r="O23" i="51"/>
  <c r="I83" i="45"/>
  <c r="D75" i="65"/>
  <c r="D59" i="65"/>
  <c r="D43" i="65"/>
  <c r="D29" i="65"/>
  <c r="D68" i="65"/>
  <c r="D76" i="65"/>
  <c r="D88" i="65"/>
  <c r="D79" i="65"/>
  <c r="D63" i="65"/>
  <c r="D47" i="65"/>
  <c r="D52" i="65"/>
  <c r="D44" i="65"/>
  <c r="D36" i="65"/>
  <c r="D26" i="65"/>
  <c r="C12" i="65"/>
  <c r="J12" i="65" s="1"/>
  <c r="D67" i="65"/>
  <c r="D51" i="65"/>
  <c r="D35" i="65"/>
  <c r="M14" i="65"/>
  <c r="D14" i="65" s="1"/>
  <c r="F11" i="57"/>
  <c r="C11" i="57" s="1"/>
  <c r="F13" i="57"/>
  <c r="C13" i="57" s="1"/>
  <c r="B11" i="56"/>
  <c r="C22" i="56" s="1"/>
  <c r="F22" i="56"/>
  <c r="B26" i="55"/>
  <c r="F26" i="55" s="1"/>
  <c r="B15" i="55"/>
  <c r="F15" i="55" s="1"/>
  <c r="E13" i="55"/>
  <c r="B34" i="55"/>
  <c r="H11" i="55"/>
  <c r="I81" i="55"/>
  <c r="F74" i="55"/>
  <c r="I74" i="55"/>
  <c r="H11" i="54"/>
  <c r="F81" i="54"/>
  <c r="B60" i="54"/>
  <c r="F60" i="54" s="1"/>
  <c r="F75" i="54"/>
  <c r="F27" i="54"/>
  <c r="M27" i="54"/>
  <c r="I53" i="54"/>
  <c r="I81" i="54"/>
  <c r="I74" i="54"/>
  <c r="B34" i="54"/>
  <c r="M34" i="54" s="1"/>
  <c r="M81" i="54"/>
  <c r="F53" i="54"/>
  <c r="B15" i="54"/>
  <c r="F15" i="54" s="1"/>
  <c r="E13" i="54"/>
  <c r="M53" i="54"/>
  <c r="K11" i="54"/>
  <c r="O25" i="53"/>
  <c r="L25" i="53"/>
  <c r="O13" i="53"/>
  <c r="C13" i="53"/>
  <c r="R13" i="53"/>
  <c r="L13" i="53"/>
  <c r="F13" i="53"/>
  <c r="I13" i="53"/>
  <c r="R25" i="53"/>
  <c r="I25" i="53"/>
  <c r="C14" i="52"/>
  <c r="C12" i="52" s="1"/>
  <c r="R14" i="52"/>
  <c r="O14" i="52"/>
  <c r="I14" i="52"/>
  <c r="F14" i="52"/>
  <c r="R13" i="51"/>
  <c r="O11" i="51"/>
  <c r="R29" i="51"/>
  <c r="R27" i="51"/>
  <c r="R24" i="51"/>
  <c r="R20" i="51"/>
  <c r="R15" i="51"/>
  <c r="C29" i="51"/>
  <c r="C27" i="51"/>
  <c r="R25" i="51"/>
  <c r="R21" i="51"/>
  <c r="R18" i="51"/>
  <c r="R12" i="51"/>
  <c r="C25" i="51"/>
  <c r="R23" i="51"/>
  <c r="C21" i="51"/>
  <c r="R19" i="51"/>
  <c r="R16" i="51"/>
  <c r="R28" i="51"/>
  <c r="R26" i="51"/>
  <c r="R17" i="51"/>
  <c r="R14" i="51"/>
  <c r="F11" i="51"/>
  <c r="L11" i="51"/>
  <c r="I11" i="51"/>
  <c r="L11" i="50"/>
  <c r="C13" i="50"/>
  <c r="C11" i="50" s="1"/>
  <c r="R11" i="50"/>
  <c r="M87" i="48"/>
  <c r="B12" i="48"/>
  <c r="M12" i="48" s="1"/>
  <c r="R83" i="47"/>
  <c r="B75" i="47"/>
  <c r="L75" i="47" s="1"/>
  <c r="L76" i="47"/>
  <c r="E14" i="47"/>
  <c r="F16" i="47"/>
  <c r="I16" i="47"/>
  <c r="H14" i="47"/>
  <c r="K14" i="47"/>
  <c r="L16" i="47"/>
  <c r="O83" i="47"/>
  <c r="F61" i="47"/>
  <c r="B82" i="47"/>
  <c r="I82" i="47" s="1"/>
  <c r="N14" i="47"/>
  <c r="O16" i="47"/>
  <c r="O76" i="47"/>
  <c r="Q14" i="47"/>
  <c r="R16" i="47"/>
  <c r="F27" i="47"/>
  <c r="O27" i="47"/>
  <c r="I27" i="47"/>
  <c r="R27" i="47"/>
  <c r="L27" i="47"/>
  <c r="L35" i="47"/>
  <c r="M89" i="46"/>
  <c r="I12" i="46"/>
  <c r="P93" i="46"/>
  <c r="G93" i="46"/>
  <c r="O12" i="46"/>
  <c r="B14" i="46"/>
  <c r="J14" i="46" s="1"/>
  <c r="F12" i="46"/>
  <c r="R12" i="46"/>
  <c r="P89" i="46"/>
  <c r="J89" i="46"/>
  <c r="G87" i="46"/>
  <c r="B87" i="46"/>
  <c r="J82" i="46"/>
  <c r="S82" i="46"/>
  <c r="G82" i="46"/>
  <c r="M93" i="46"/>
  <c r="J93" i="46"/>
  <c r="P82" i="46"/>
  <c r="L12" i="46"/>
  <c r="O64" i="45"/>
  <c r="I64" i="45"/>
  <c r="B61" i="45"/>
  <c r="H14" i="45"/>
  <c r="I16" i="45"/>
  <c r="F16" i="45"/>
  <c r="E14" i="45"/>
  <c r="O75" i="45"/>
  <c r="I75" i="45"/>
  <c r="F75" i="45"/>
  <c r="L75" i="45"/>
  <c r="R75" i="45"/>
  <c r="R64" i="45"/>
  <c r="F61" i="45"/>
  <c r="O27" i="45"/>
  <c r="R27" i="45"/>
  <c r="L27" i="45"/>
  <c r="F27" i="45"/>
  <c r="I27" i="45"/>
  <c r="L16" i="45"/>
  <c r="K14" i="45"/>
  <c r="L64" i="45"/>
  <c r="I35" i="45"/>
  <c r="L35" i="45"/>
  <c r="Q14" i="45"/>
  <c r="R16" i="45"/>
  <c r="F64" i="45"/>
  <c r="N14" i="45"/>
  <c r="O16" i="45"/>
  <c r="B14" i="45"/>
  <c r="R35" i="45"/>
  <c r="M86" i="44"/>
  <c r="J86" i="44"/>
  <c r="B13" i="44"/>
  <c r="L11" i="44"/>
  <c r="R75" i="43"/>
  <c r="L75" i="43"/>
  <c r="F75" i="43"/>
  <c r="B74" i="43"/>
  <c r="R27" i="43"/>
  <c r="R21" i="43"/>
  <c r="L21" i="43"/>
  <c r="F21" i="43"/>
  <c r="I21" i="43"/>
  <c r="O21" i="43"/>
  <c r="L27" i="43"/>
  <c r="R35" i="43"/>
  <c r="L35" i="43"/>
  <c r="F35" i="43"/>
  <c r="O35" i="43"/>
  <c r="I35" i="43"/>
  <c r="L30" i="43"/>
  <c r="R41" i="43"/>
  <c r="R43" i="43"/>
  <c r="F43" i="43"/>
  <c r="I43" i="43"/>
  <c r="R47" i="43"/>
  <c r="F47" i="43"/>
  <c r="I47" i="43"/>
  <c r="O61" i="43"/>
  <c r="I61" i="43"/>
  <c r="R61" i="43"/>
  <c r="F61" i="43"/>
  <c r="O65" i="43"/>
  <c r="I65" i="43"/>
  <c r="R65" i="43"/>
  <c r="F65" i="43"/>
  <c r="H74" i="43"/>
  <c r="I74" i="43" s="1"/>
  <c r="O75" i="43"/>
  <c r="B15" i="43"/>
  <c r="I15" i="43" s="1"/>
  <c r="L17" i="43"/>
  <c r="O17" i="43"/>
  <c r="I19" i="43"/>
  <c r="I23" i="43"/>
  <c r="L24" i="43"/>
  <c r="F27" i="43"/>
  <c r="I28" i="43"/>
  <c r="L29" i="43"/>
  <c r="O30" i="43"/>
  <c r="I32" i="43"/>
  <c r="I37" i="43"/>
  <c r="L38" i="43"/>
  <c r="O39" i="43"/>
  <c r="L41" i="43"/>
  <c r="O42" i="43"/>
  <c r="R42" i="43"/>
  <c r="F42" i="43"/>
  <c r="O46" i="43"/>
  <c r="R46" i="43"/>
  <c r="F46" i="43"/>
  <c r="O53" i="43"/>
  <c r="L61" i="43"/>
  <c r="L65" i="43"/>
  <c r="B81" i="43"/>
  <c r="I81" i="43" s="1"/>
  <c r="R82" i="43"/>
  <c r="L82" i="43"/>
  <c r="F82" i="43"/>
  <c r="L39" i="43"/>
  <c r="F17" i="43"/>
  <c r="R17" i="43"/>
  <c r="L19" i="43"/>
  <c r="L23" i="43"/>
  <c r="L28" i="43"/>
  <c r="F30" i="43"/>
  <c r="R30" i="43"/>
  <c r="L32" i="43"/>
  <c r="L37" i="43"/>
  <c r="F39" i="43"/>
  <c r="F41" i="43"/>
  <c r="O41" i="43"/>
  <c r="L43" i="43"/>
  <c r="L47" i="43"/>
  <c r="O57" i="43"/>
  <c r="I57" i="43"/>
  <c r="R57" i="43"/>
  <c r="F57" i="43"/>
  <c r="O74" i="43"/>
  <c r="I75" i="43"/>
  <c r="O76" i="43"/>
  <c r="I76" i="43"/>
  <c r="R76" i="43"/>
  <c r="F76" i="43"/>
  <c r="F24" i="43"/>
  <c r="F29" i="43"/>
  <c r="N34" i="43"/>
  <c r="F38" i="43"/>
  <c r="I39" i="43"/>
  <c r="I41" i="43"/>
  <c r="L42" i="43"/>
  <c r="O43" i="43"/>
  <c r="L46" i="43"/>
  <c r="O47" i="43"/>
  <c r="L57" i="43"/>
  <c r="L76" i="43"/>
  <c r="L44" i="43"/>
  <c r="O45" i="43"/>
  <c r="L48" i="43"/>
  <c r="O49" i="43"/>
  <c r="L51" i="43"/>
  <c r="I54" i="43"/>
  <c r="L55" i="43"/>
  <c r="O56" i="43"/>
  <c r="I58" i="43"/>
  <c r="E60" i="43"/>
  <c r="O64" i="43"/>
  <c r="I66" i="43"/>
  <c r="L67" i="43"/>
  <c r="O68" i="43"/>
  <c r="L70" i="43"/>
  <c r="I72" i="43"/>
  <c r="I77" i="43"/>
  <c r="L78" i="43"/>
  <c r="O79" i="43"/>
  <c r="O83" i="43"/>
  <c r="F84" i="43"/>
  <c r="R84" i="43"/>
  <c r="I85" i="43"/>
  <c r="L86" i="43"/>
  <c r="O87" i="43"/>
  <c r="F88" i="43"/>
  <c r="R88" i="43"/>
  <c r="I89" i="43"/>
  <c r="L90" i="43"/>
  <c r="O91" i="43"/>
  <c r="I93" i="43"/>
  <c r="O95" i="43"/>
  <c r="F96" i="43"/>
  <c r="R96" i="43"/>
  <c r="B98" i="43"/>
  <c r="L99" i="43"/>
  <c r="O100" i="43"/>
  <c r="F101" i="43"/>
  <c r="R101" i="43"/>
  <c r="I102" i="43"/>
  <c r="L103" i="43"/>
  <c r="I105" i="43"/>
  <c r="L54" i="43"/>
  <c r="L58" i="43"/>
  <c r="L66" i="43"/>
  <c r="L72" i="43"/>
  <c r="L77" i="43"/>
  <c r="I84" i="43"/>
  <c r="L85" i="43"/>
  <c r="I88" i="43"/>
  <c r="L89" i="43"/>
  <c r="L93" i="43"/>
  <c r="I96" i="43"/>
  <c r="O99" i="43"/>
  <c r="F100" i="43"/>
  <c r="R100" i="43"/>
  <c r="I101" i="43"/>
  <c r="L102" i="43"/>
  <c r="O103" i="43"/>
  <c r="L105" i="43"/>
  <c r="L84" i="43"/>
  <c r="L88" i="43"/>
  <c r="L96" i="43"/>
  <c r="L101" i="43"/>
  <c r="F54" i="43"/>
  <c r="F58" i="43"/>
  <c r="F66" i="43"/>
  <c r="F72" i="43"/>
  <c r="F77" i="43"/>
  <c r="F85" i="43"/>
  <c r="F89" i="43"/>
  <c r="F93" i="43"/>
  <c r="F102" i="43"/>
  <c r="F105" i="43"/>
  <c r="R15" i="42"/>
  <c r="O15" i="42"/>
  <c r="H13" i="42"/>
  <c r="H11" i="42" s="1"/>
  <c r="I15" i="42"/>
  <c r="F17" i="42"/>
  <c r="R18" i="42"/>
  <c r="B21" i="42"/>
  <c r="F21" i="42" s="1"/>
  <c r="Q11" i="42"/>
  <c r="F33" i="42"/>
  <c r="I36" i="42"/>
  <c r="R37" i="42"/>
  <c r="I42" i="42"/>
  <c r="F45" i="42"/>
  <c r="R51" i="42"/>
  <c r="I54" i="42"/>
  <c r="R55" i="42"/>
  <c r="R57" i="42"/>
  <c r="F59" i="42"/>
  <c r="I60" i="42"/>
  <c r="R61" i="42"/>
  <c r="F63" i="42"/>
  <c r="I64" i="42"/>
  <c r="R65" i="42"/>
  <c r="F67" i="42"/>
  <c r="I75" i="42"/>
  <c r="L83" i="42"/>
  <c r="I84" i="42"/>
  <c r="F96" i="42"/>
  <c r="R99" i="42"/>
  <c r="L101" i="42"/>
  <c r="R102" i="42"/>
  <c r="I17" i="42"/>
  <c r="R33" i="42"/>
  <c r="F35" i="42"/>
  <c r="R45" i="42"/>
  <c r="I59" i="42"/>
  <c r="I63" i="42"/>
  <c r="I67" i="42"/>
  <c r="L74" i="42"/>
  <c r="I96" i="42"/>
  <c r="R16" i="42"/>
  <c r="R17" i="42"/>
  <c r="F19" i="42"/>
  <c r="K13" i="42"/>
  <c r="K11" i="42" s="1"/>
  <c r="F22" i="42"/>
  <c r="F24" i="42"/>
  <c r="F26" i="42"/>
  <c r="F28" i="42"/>
  <c r="F30" i="42"/>
  <c r="F32" i="42"/>
  <c r="R35" i="42"/>
  <c r="R39" i="42"/>
  <c r="R41" i="42"/>
  <c r="F43" i="42"/>
  <c r="F47" i="42"/>
  <c r="F49" i="42"/>
  <c r="I58" i="42"/>
  <c r="R59" i="42"/>
  <c r="F61" i="42"/>
  <c r="I62" i="42"/>
  <c r="R63" i="42"/>
  <c r="F65" i="42"/>
  <c r="I66" i="42"/>
  <c r="F69" i="42"/>
  <c r="F71" i="42"/>
  <c r="O96" i="42"/>
  <c r="F99" i="42"/>
  <c r="I100" i="42"/>
  <c r="F102" i="42"/>
  <c r="I103" i="42"/>
  <c r="O21" i="42"/>
  <c r="I21" i="42"/>
  <c r="B88" i="42"/>
  <c r="L88" i="42" s="1"/>
  <c r="L23" i="42"/>
  <c r="I85" i="42"/>
  <c r="F85" i="42"/>
  <c r="R97" i="42"/>
  <c r="F97" i="42"/>
  <c r="O97" i="42"/>
  <c r="N11" i="42"/>
  <c r="F16" i="42"/>
  <c r="F18" i="42"/>
  <c r="R21" i="42"/>
  <c r="I22" i="42"/>
  <c r="R23" i="42"/>
  <c r="I24" i="42"/>
  <c r="R25" i="42"/>
  <c r="I26" i="42"/>
  <c r="R27" i="42"/>
  <c r="I28" i="42"/>
  <c r="R29" i="42"/>
  <c r="I30" i="42"/>
  <c r="R31" i="42"/>
  <c r="I32" i="42"/>
  <c r="F38" i="42"/>
  <c r="R38" i="42"/>
  <c r="F46" i="42"/>
  <c r="R46" i="42"/>
  <c r="F54" i="42"/>
  <c r="R54" i="42"/>
  <c r="I68" i="42"/>
  <c r="F68" i="42"/>
  <c r="L72" i="42"/>
  <c r="I76" i="42"/>
  <c r="F76" i="42"/>
  <c r="L80" i="42"/>
  <c r="I83" i="42"/>
  <c r="F83" i="42"/>
  <c r="F94" i="42"/>
  <c r="O94" i="42"/>
  <c r="I97" i="42"/>
  <c r="L98" i="42"/>
  <c r="L25" i="42"/>
  <c r="L27" i="42"/>
  <c r="L29" i="42"/>
  <c r="L31" i="42"/>
  <c r="F40" i="42"/>
  <c r="R40" i="42"/>
  <c r="F48" i="42"/>
  <c r="R48" i="42"/>
  <c r="F56" i="42"/>
  <c r="R56" i="42"/>
  <c r="I70" i="42"/>
  <c r="F70" i="42"/>
  <c r="I78" i="42"/>
  <c r="F78" i="42"/>
  <c r="L94" i="42"/>
  <c r="E13" i="42"/>
  <c r="Q13" i="42"/>
  <c r="F15" i="42"/>
  <c r="L15" i="42"/>
  <c r="I16" i="42"/>
  <c r="I18" i="42"/>
  <c r="F23" i="42"/>
  <c r="F25" i="42"/>
  <c r="F27" i="42"/>
  <c r="F29" i="42"/>
  <c r="F31" i="42"/>
  <c r="L32" i="42"/>
  <c r="F36" i="42"/>
  <c r="R36" i="42"/>
  <c r="L40" i="42"/>
  <c r="F44" i="42"/>
  <c r="R44" i="42"/>
  <c r="L48" i="42"/>
  <c r="F52" i="42"/>
  <c r="R52" i="42"/>
  <c r="L56" i="42"/>
  <c r="L70" i="42"/>
  <c r="I74" i="42"/>
  <c r="F74" i="42"/>
  <c r="L78" i="42"/>
  <c r="B82" i="42"/>
  <c r="O82" i="42" s="1"/>
  <c r="L85" i="42"/>
  <c r="I94" i="42"/>
  <c r="L97" i="42"/>
  <c r="I101" i="42"/>
  <c r="F101" i="42"/>
  <c r="F34" i="42"/>
  <c r="R34" i="42"/>
  <c r="F42" i="42"/>
  <c r="R42" i="42"/>
  <c r="F50" i="42"/>
  <c r="R50" i="42"/>
  <c r="F58" i="42"/>
  <c r="R58" i="42"/>
  <c r="F60" i="42"/>
  <c r="R60" i="42"/>
  <c r="F62" i="42"/>
  <c r="R62" i="42"/>
  <c r="F64" i="42"/>
  <c r="R64" i="42"/>
  <c r="F66" i="42"/>
  <c r="R70" i="42"/>
  <c r="I72" i="42"/>
  <c r="F72" i="42"/>
  <c r="R78" i="42"/>
  <c r="I80" i="42"/>
  <c r="F80" i="42"/>
  <c r="F86" i="42"/>
  <c r="R86" i="42"/>
  <c r="I88" i="42"/>
  <c r="B90" i="42"/>
  <c r="F90" i="42" s="1"/>
  <c r="R94" i="42"/>
  <c r="I98" i="42"/>
  <c r="F98" i="42"/>
  <c r="R100" i="42"/>
  <c r="F100" i="42"/>
  <c r="O100" i="42"/>
  <c r="L103" i="42"/>
  <c r="I33" i="42"/>
  <c r="I35" i="42"/>
  <c r="I37" i="42"/>
  <c r="I39" i="42"/>
  <c r="I41" i="42"/>
  <c r="I43" i="42"/>
  <c r="I45" i="42"/>
  <c r="I47" i="42"/>
  <c r="I49" i="42"/>
  <c r="I51" i="42"/>
  <c r="I53" i="42"/>
  <c r="I55" i="42"/>
  <c r="I57" i="42"/>
  <c r="L67" i="42"/>
  <c r="L69" i="42"/>
  <c r="L71" i="42"/>
  <c r="L73" i="42"/>
  <c r="L75" i="42"/>
  <c r="L77" i="42"/>
  <c r="L79" i="42"/>
  <c r="L84" i="42"/>
  <c r="L92" i="42"/>
  <c r="L95" i="42"/>
  <c r="L99" i="42"/>
  <c r="L102" i="42"/>
  <c r="O103" i="42"/>
  <c r="F103" i="42"/>
  <c r="I36" i="40"/>
  <c r="R36" i="40"/>
  <c r="F36" i="40"/>
  <c r="O36" i="40"/>
  <c r="L41" i="40"/>
  <c r="R41" i="40"/>
  <c r="K15" i="40"/>
  <c r="B16" i="40"/>
  <c r="L16" i="40" s="1"/>
  <c r="I19" i="40"/>
  <c r="R19" i="40"/>
  <c r="F19" i="40"/>
  <c r="N15" i="40"/>
  <c r="I22" i="40"/>
  <c r="H26" i="40"/>
  <c r="L36" i="40"/>
  <c r="F41" i="40"/>
  <c r="R46" i="40"/>
  <c r="F46" i="40"/>
  <c r="L46" i="40"/>
  <c r="I46" i="40"/>
  <c r="I28" i="40"/>
  <c r="R28" i="40"/>
  <c r="F28" i="40"/>
  <c r="F43" i="40"/>
  <c r="L43" i="40"/>
  <c r="I43" i="40"/>
  <c r="R18" i="40"/>
  <c r="F18" i="40"/>
  <c r="O18" i="40"/>
  <c r="H15" i="40"/>
  <c r="L28" i="40"/>
  <c r="I31" i="40"/>
  <c r="R31" i="40"/>
  <c r="F31" i="40"/>
  <c r="O31" i="40"/>
  <c r="H34" i="40"/>
  <c r="B35" i="40"/>
  <c r="I54" i="40"/>
  <c r="R54" i="40"/>
  <c r="F54" i="40"/>
  <c r="O54" i="40"/>
  <c r="L54" i="40"/>
  <c r="I74" i="40"/>
  <c r="B74" i="40"/>
  <c r="R22" i="40"/>
  <c r="F22" i="40"/>
  <c r="O22" i="40"/>
  <c r="O41" i="40"/>
  <c r="I18" i="40"/>
  <c r="B21" i="40"/>
  <c r="I23" i="40"/>
  <c r="R23" i="40"/>
  <c r="F23" i="40"/>
  <c r="B27" i="40"/>
  <c r="O28" i="40"/>
  <c r="L31" i="40"/>
  <c r="R95" i="40"/>
  <c r="F95" i="40"/>
  <c r="O95" i="40"/>
  <c r="R102" i="40"/>
  <c r="F102" i="40"/>
  <c r="O102" i="40"/>
  <c r="I24" i="40"/>
  <c r="I29" i="40"/>
  <c r="F32" i="40"/>
  <c r="R32" i="40"/>
  <c r="F37" i="40"/>
  <c r="R37" i="40"/>
  <c r="I39" i="40"/>
  <c r="I41" i="40"/>
  <c r="I42" i="40"/>
  <c r="I45" i="40"/>
  <c r="O47" i="40"/>
  <c r="F53" i="40"/>
  <c r="I58" i="40"/>
  <c r="R58" i="40"/>
  <c r="F58" i="40"/>
  <c r="R61" i="40"/>
  <c r="F61" i="40"/>
  <c r="O61" i="40"/>
  <c r="I66" i="40"/>
  <c r="R66" i="40"/>
  <c r="F66" i="40"/>
  <c r="I72" i="40"/>
  <c r="R72" i="40"/>
  <c r="F72" i="40"/>
  <c r="R76" i="40"/>
  <c r="F76" i="40"/>
  <c r="O76" i="40"/>
  <c r="B81" i="40"/>
  <c r="F81" i="40"/>
  <c r="B82" i="40"/>
  <c r="R82" i="40" s="1"/>
  <c r="I86" i="40"/>
  <c r="R86" i="40"/>
  <c r="F86" i="40"/>
  <c r="I95" i="40"/>
  <c r="L96" i="40"/>
  <c r="B98" i="40"/>
  <c r="L98" i="40" s="1"/>
  <c r="I102" i="40"/>
  <c r="L103" i="40"/>
  <c r="R105" i="40"/>
  <c r="F105" i="40"/>
  <c r="O105" i="40"/>
  <c r="I77" i="40"/>
  <c r="R77" i="40"/>
  <c r="F77" i="40"/>
  <c r="I32" i="40"/>
  <c r="E34" i="40"/>
  <c r="I37" i="40"/>
  <c r="O38" i="40"/>
  <c r="R38" i="40"/>
  <c r="O53" i="40"/>
  <c r="R57" i="40"/>
  <c r="F57" i="40"/>
  <c r="O57" i="40"/>
  <c r="E60" i="40"/>
  <c r="B63" i="40"/>
  <c r="R65" i="40"/>
  <c r="F65" i="40"/>
  <c r="O65" i="40"/>
  <c r="L77" i="40"/>
  <c r="R85" i="40"/>
  <c r="F85" i="40"/>
  <c r="O85" i="40"/>
  <c r="I90" i="40"/>
  <c r="R90" i="40"/>
  <c r="F90" i="40"/>
  <c r="I93" i="40"/>
  <c r="R93" i="40"/>
  <c r="F93" i="40"/>
  <c r="L95" i="40"/>
  <c r="I99" i="40"/>
  <c r="R99" i="40"/>
  <c r="F99" i="40"/>
  <c r="L102" i="40"/>
  <c r="R39" i="40"/>
  <c r="F39" i="40"/>
  <c r="O39" i="40"/>
  <c r="O42" i="40"/>
  <c r="R42" i="40"/>
  <c r="O45" i="40"/>
  <c r="R45" i="40"/>
  <c r="R53" i="40"/>
  <c r="O77" i="40"/>
  <c r="R81" i="40"/>
  <c r="R89" i="40"/>
  <c r="F89" i="40"/>
  <c r="O89" i="40"/>
  <c r="I96" i="40"/>
  <c r="F96" i="40"/>
  <c r="I103" i="40"/>
  <c r="R103" i="40"/>
  <c r="F103" i="40"/>
  <c r="L105" i="40"/>
  <c r="L49" i="40"/>
  <c r="L56" i="40"/>
  <c r="L64" i="40"/>
  <c r="L68" i="40"/>
  <c r="L79" i="40"/>
  <c r="L84" i="40"/>
  <c r="L88" i="40"/>
  <c r="L101" i="40"/>
  <c r="L13" i="38"/>
  <c r="L15" i="38"/>
  <c r="L17" i="38"/>
  <c r="L19" i="38"/>
  <c r="L21" i="38"/>
  <c r="L23" i="38"/>
  <c r="L25" i="38"/>
  <c r="C13" i="38"/>
  <c r="O13" i="38"/>
  <c r="C15" i="38"/>
  <c r="O15" i="38"/>
  <c r="C17" i="38"/>
  <c r="O17" i="38"/>
  <c r="C19" i="38"/>
  <c r="O19" i="38"/>
  <c r="C21" i="38"/>
  <c r="O21" i="38"/>
  <c r="C23" i="38"/>
  <c r="O23" i="38"/>
  <c r="C25" i="38"/>
  <c r="O25" i="38"/>
  <c r="B26" i="145"/>
  <c r="B60" i="145"/>
  <c r="B15" i="145"/>
  <c r="F17" i="145"/>
  <c r="F22" i="145"/>
  <c r="B27" i="145"/>
  <c r="I27" i="145" s="1"/>
  <c r="F38" i="145"/>
  <c r="F42" i="145"/>
  <c r="I46" i="145"/>
  <c r="F46" i="145"/>
  <c r="I51" i="145"/>
  <c r="F51" i="145"/>
  <c r="I52" i="145"/>
  <c r="I55" i="145"/>
  <c r="F55" i="145"/>
  <c r="I56" i="145"/>
  <c r="L61" i="145"/>
  <c r="B79" i="145"/>
  <c r="I79" i="145" s="1"/>
  <c r="I81" i="145"/>
  <c r="F81" i="145"/>
  <c r="I82" i="145"/>
  <c r="I85" i="145"/>
  <c r="F85" i="145"/>
  <c r="I89" i="145"/>
  <c r="F89" i="145"/>
  <c r="I93" i="145"/>
  <c r="F93" i="145"/>
  <c r="I94" i="145"/>
  <c r="B96" i="145"/>
  <c r="F96" i="145" s="1"/>
  <c r="F47" i="145"/>
  <c r="B73" i="145"/>
  <c r="F73" i="145" s="1"/>
  <c r="I98" i="145"/>
  <c r="F98" i="145"/>
  <c r="K13" i="145"/>
  <c r="H34" i="145"/>
  <c r="B34" i="145" s="1"/>
  <c r="I41" i="145"/>
  <c r="F41" i="145"/>
  <c r="B44" i="145"/>
  <c r="L44" i="145" s="1"/>
  <c r="L47" i="145"/>
  <c r="F62" i="145"/>
  <c r="F66" i="145"/>
  <c r="F70" i="145"/>
  <c r="F76" i="145"/>
  <c r="L79" i="145"/>
  <c r="L98" i="145"/>
  <c r="I31" i="145"/>
  <c r="F31" i="145"/>
  <c r="F52" i="145"/>
  <c r="F56" i="145"/>
  <c r="F82" i="145"/>
  <c r="F94" i="145"/>
  <c r="B16" i="145"/>
  <c r="I16" i="145" s="1"/>
  <c r="L17" i="145"/>
  <c r="B21" i="145"/>
  <c r="L22" i="145"/>
  <c r="F28" i="145"/>
  <c r="F32" i="145"/>
  <c r="B37" i="145"/>
  <c r="I37" i="145" s="1"/>
  <c r="B50" i="145"/>
  <c r="I61" i="145"/>
  <c r="I62" i="145"/>
  <c r="I65" i="145"/>
  <c r="F65" i="145"/>
  <c r="I66" i="145"/>
  <c r="I69" i="145"/>
  <c r="F69" i="145"/>
  <c r="I70" i="145"/>
  <c r="E72" i="145"/>
  <c r="I75" i="145"/>
  <c r="F75" i="145"/>
  <c r="I76" i="145"/>
  <c r="F79" i="145"/>
  <c r="B80" i="145"/>
  <c r="F80" i="145" s="1"/>
  <c r="L85" i="145"/>
  <c r="L89" i="145"/>
  <c r="L93" i="145"/>
  <c r="F99" i="145"/>
  <c r="L18" i="145"/>
  <c r="I19" i="145"/>
  <c r="L23" i="145"/>
  <c r="I24" i="145"/>
  <c r="L29" i="145"/>
  <c r="I30" i="145"/>
  <c r="I35" i="145"/>
  <c r="L39" i="145"/>
  <c r="I40" i="145"/>
  <c r="I45" i="145"/>
  <c r="L48" i="145"/>
  <c r="L53" i="145"/>
  <c r="I54" i="145"/>
  <c r="L57" i="145"/>
  <c r="I58" i="145"/>
  <c r="L63" i="145"/>
  <c r="I64" i="145"/>
  <c r="L67" i="145"/>
  <c r="I68" i="145"/>
  <c r="I74" i="145"/>
  <c r="L77" i="145"/>
  <c r="L83" i="145"/>
  <c r="I84" i="145"/>
  <c r="L87" i="145"/>
  <c r="L91" i="145"/>
  <c r="I97" i="145"/>
  <c r="I101" i="145"/>
  <c r="M25" i="34"/>
  <c r="G25" i="34"/>
  <c r="C62" i="34"/>
  <c r="J62" i="34" s="1"/>
  <c r="C71" i="34"/>
  <c r="J71" i="34" s="1"/>
  <c r="F69" i="34"/>
  <c r="M19" i="34"/>
  <c r="C48" i="34"/>
  <c r="G16" i="34"/>
  <c r="J20" i="34"/>
  <c r="D20" i="34" s="1"/>
  <c r="M51" i="34"/>
  <c r="J51" i="34"/>
  <c r="M57" i="34"/>
  <c r="J26" i="34"/>
  <c r="D26" i="34" s="1"/>
  <c r="J31" i="34"/>
  <c r="D40" i="34"/>
  <c r="G44" i="34"/>
  <c r="C46" i="34"/>
  <c r="G46" i="34" s="1"/>
  <c r="G51" i="34"/>
  <c r="M58" i="34"/>
  <c r="J58" i="34"/>
  <c r="M62" i="34"/>
  <c r="C67" i="34"/>
  <c r="J77" i="34"/>
  <c r="G77" i="34"/>
  <c r="D77" i="34" s="1"/>
  <c r="J78" i="34"/>
  <c r="D78" i="34" s="1"/>
  <c r="M86" i="34"/>
  <c r="M89" i="34"/>
  <c r="D89" i="34" s="1"/>
  <c r="C93" i="34"/>
  <c r="J93" i="34" s="1"/>
  <c r="D100" i="34"/>
  <c r="M110" i="34"/>
  <c r="D110" i="34" s="1"/>
  <c r="C16" i="34"/>
  <c r="J16" i="34" s="1"/>
  <c r="J18" i="34"/>
  <c r="D18" i="34" s="1"/>
  <c r="G19" i="34"/>
  <c r="D19" i="34" s="1"/>
  <c r="J21" i="34"/>
  <c r="M26" i="34"/>
  <c r="C30" i="34"/>
  <c r="J30" i="34" s="1"/>
  <c r="M31" i="34"/>
  <c r="G37" i="34"/>
  <c r="J39" i="34"/>
  <c r="D39" i="34" s="1"/>
  <c r="J44" i="34"/>
  <c r="D45" i="34"/>
  <c r="J47" i="34"/>
  <c r="D47" i="34" s="1"/>
  <c r="M52" i="34"/>
  <c r="D52" i="34" s="1"/>
  <c r="G58" i="34"/>
  <c r="J60" i="34"/>
  <c r="C65" i="34"/>
  <c r="G66" i="34"/>
  <c r="L69" i="34"/>
  <c r="L14" i="34" s="1"/>
  <c r="C74" i="34"/>
  <c r="M74" i="34" s="1"/>
  <c r="M78" i="34"/>
  <c r="C85" i="34"/>
  <c r="D97" i="34"/>
  <c r="J99" i="34"/>
  <c r="M102" i="34"/>
  <c r="D102" i="34" s="1"/>
  <c r="C41" i="34"/>
  <c r="F36" i="34"/>
  <c r="C92" i="34"/>
  <c r="J92" i="34" s="1"/>
  <c r="M96" i="34"/>
  <c r="J25" i="34"/>
  <c r="I24" i="34"/>
  <c r="J37" i="34"/>
  <c r="F50" i="34"/>
  <c r="C54" i="34"/>
  <c r="G54" i="34"/>
  <c r="G55" i="34"/>
  <c r="D55" i="34" s="1"/>
  <c r="J57" i="34"/>
  <c r="M60" i="34"/>
  <c r="C63" i="34"/>
  <c r="G64" i="34"/>
  <c r="D64" i="34" s="1"/>
  <c r="J66" i="34"/>
  <c r="C72" i="34"/>
  <c r="G72" i="34"/>
  <c r="M77" i="34"/>
  <c r="J81" i="34"/>
  <c r="G81" i="34"/>
  <c r="M83" i="34"/>
  <c r="D83" i="34" s="1"/>
  <c r="J83" i="34"/>
  <c r="J86" i="34"/>
  <c r="D86" i="34" s="1"/>
  <c r="D90" i="34"/>
  <c r="D94" i="34"/>
  <c r="J96" i="34"/>
  <c r="D96" i="34" s="1"/>
  <c r="M99" i="34"/>
  <c r="M106" i="34"/>
  <c r="G106" i="34"/>
  <c r="J106" i="34"/>
  <c r="D111" i="34"/>
  <c r="J22" i="34"/>
  <c r="D22" i="34" s="1"/>
  <c r="J28" i="34"/>
  <c r="D28" i="34" s="1"/>
  <c r="J33" i="34"/>
  <c r="D33" i="34" s="1"/>
  <c r="J38" i="34"/>
  <c r="D38" i="34" s="1"/>
  <c r="J56" i="34"/>
  <c r="D56" i="34" s="1"/>
  <c r="J76" i="34"/>
  <c r="D76" i="34" s="1"/>
  <c r="J88" i="34"/>
  <c r="D88" i="34" s="1"/>
  <c r="J95" i="34"/>
  <c r="D95" i="34" s="1"/>
  <c r="J98" i="34"/>
  <c r="D98" i="34" s="1"/>
  <c r="J101" i="34"/>
  <c r="D101" i="34" s="1"/>
  <c r="J109" i="34"/>
  <c r="D109" i="34" s="1"/>
  <c r="J112" i="34"/>
  <c r="D112" i="34" s="1"/>
  <c r="D44" i="34" l="1"/>
  <c r="C11" i="38"/>
  <c r="I27" i="43"/>
  <c r="B26" i="43"/>
  <c r="G14" i="48"/>
  <c r="M14" i="48"/>
  <c r="S14" i="48"/>
  <c r="P14" i="48"/>
  <c r="J14" i="48"/>
  <c r="D75" i="34"/>
  <c r="E13" i="40"/>
  <c r="M14" i="46"/>
  <c r="M12" i="65"/>
  <c r="D85" i="65"/>
  <c r="M108" i="34"/>
  <c r="J108" i="34"/>
  <c r="L82" i="40"/>
  <c r="G93" i="34"/>
  <c r="D58" i="34"/>
  <c r="M93" i="34"/>
  <c r="F82" i="40"/>
  <c r="B60" i="43"/>
  <c r="B34" i="43"/>
  <c r="L34" i="43" s="1"/>
  <c r="P14" i="46"/>
  <c r="G12" i="48"/>
  <c r="D79" i="34"/>
  <c r="I82" i="43"/>
  <c r="D87" i="34"/>
  <c r="L90" i="42"/>
  <c r="I63" i="43"/>
  <c r="I53" i="43"/>
  <c r="J12" i="48"/>
  <c r="I75" i="40"/>
  <c r="D51" i="34"/>
  <c r="F75" i="40"/>
  <c r="L21" i="42"/>
  <c r="O81" i="43"/>
  <c r="F53" i="43"/>
  <c r="S12" i="48"/>
  <c r="R82" i="45"/>
  <c r="O82" i="45"/>
  <c r="I82" i="45"/>
  <c r="F82" i="45"/>
  <c r="L82" i="45"/>
  <c r="D21" i="34"/>
  <c r="O75" i="40"/>
  <c r="G92" i="34"/>
  <c r="L73" i="145"/>
  <c r="F44" i="145"/>
  <c r="L53" i="43"/>
  <c r="C11" i="53"/>
  <c r="D27" i="34"/>
  <c r="G108" i="34"/>
  <c r="R63" i="43"/>
  <c r="O63" i="43"/>
  <c r="C33" i="53"/>
  <c r="C17" i="53"/>
  <c r="C19" i="53"/>
  <c r="C29" i="53"/>
  <c r="R11" i="53"/>
  <c r="C27" i="53"/>
  <c r="C31" i="53"/>
  <c r="O11" i="53"/>
  <c r="F11" i="53"/>
  <c r="C23" i="53"/>
  <c r="C35" i="53"/>
  <c r="I11" i="53"/>
  <c r="C15" i="53"/>
  <c r="C21" i="53"/>
  <c r="D32" i="34"/>
  <c r="F63" i="43"/>
  <c r="P12" i="48"/>
  <c r="L11" i="53"/>
  <c r="D57" i="34"/>
  <c r="M16" i="34"/>
  <c r="D16" i="34" s="1"/>
  <c r="D31" i="34"/>
  <c r="G62" i="34"/>
  <c r="L75" i="40"/>
  <c r="R88" i="42"/>
  <c r="F34" i="54"/>
  <c r="G12" i="65"/>
  <c r="D12" i="65" s="1"/>
  <c r="C77" i="56"/>
  <c r="C76" i="56"/>
  <c r="C74" i="56"/>
  <c r="C75" i="56"/>
  <c r="C54" i="56"/>
  <c r="C28" i="56"/>
  <c r="C27" i="56"/>
  <c r="C43" i="56"/>
  <c r="C32" i="56"/>
  <c r="C30" i="56"/>
  <c r="C55" i="56"/>
  <c r="C25" i="56"/>
  <c r="C41" i="56"/>
  <c r="C17" i="56"/>
  <c r="C62" i="56"/>
  <c r="C66" i="56"/>
  <c r="C70" i="56"/>
  <c r="C82" i="56"/>
  <c r="C48" i="56"/>
  <c r="C60" i="56"/>
  <c r="C24" i="56"/>
  <c r="C26" i="56"/>
  <c r="C65" i="56"/>
  <c r="C51" i="56"/>
  <c r="C36" i="56"/>
  <c r="C31" i="56"/>
  <c r="C45" i="56"/>
  <c r="C40" i="56"/>
  <c r="C34" i="56"/>
  <c r="C79" i="56"/>
  <c r="C29" i="56"/>
  <c r="C44" i="56"/>
  <c r="C14" i="56"/>
  <c r="C18" i="56"/>
  <c r="C63" i="56"/>
  <c r="C67" i="56"/>
  <c r="C71" i="56"/>
  <c r="C83" i="56"/>
  <c r="C49" i="56"/>
  <c r="C57" i="56"/>
  <c r="C61" i="56"/>
  <c r="C39" i="56"/>
  <c r="C42" i="56"/>
  <c r="C37" i="56"/>
  <c r="C16" i="56"/>
  <c r="C20" i="56"/>
  <c r="C69" i="56"/>
  <c r="C81" i="56"/>
  <c r="C47" i="56"/>
  <c r="I11" i="56"/>
  <c r="C35" i="56"/>
  <c r="C56" i="56"/>
  <c r="C13" i="56"/>
  <c r="C11" i="56" s="1"/>
  <c r="C38" i="56"/>
  <c r="C33" i="56"/>
  <c r="C15" i="56"/>
  <c r="C19" i="56"/>
  <c r="C52" i="56"/>
  <c r="C64" i="56"/>
  <c r="C68" i="56"/>
  <c r="C72" i="56"/>
  <c r="C80" i="56"/>
  <c r="C46" i="56"/>
  <c r="C50" i="56"/>
  <c r="C58" i="56"/>
  <c r="C23" i="56"/>
  <c r="C53" i="56"/>
  <c r="C73" i="56"/>
  <c r="C59" i="56"/>
  <c r="F11" i="56"/>
  <c r="I34" i="55"/>
  <c r="I15" i="55"/>
  <c r="F34" i="55"/>
  <c r="I26" i="55"/>
  <c r="B13" i="55"/>
  <c r="E11" i="55"/>
  <c r="F13" i="55"/>
  <c r="B13" i="54"/>
  <c r="F13" i="54" s="1"/>
  <c r="E11" i="54"/>
  <c r="M15" i="54"/>
  <c r="I15" i="54"/>
  <c r="I34" i="54"/>
  <c r="I60" i="54"/>
  <c r="M60" i="54"/>
  <c r="D83" i="48"/>
  <c r="D82" i="48"/>
  <c r="D80" i="48"/>
  <c r="D76" i="48"/>
  <c r="D72" i="48"/>
  <c r="D68" i="48"/>
  <c r="D64" i="48"/>
  <c r="D60" i="48"/>
  <c r="D56" i="48"/>
  <c r="D52" i="48"/>
  <c r="D50" i="48"/>
  <c r="D45" i="48"/>
  <c r="D34" i="48"/>
  <c r="D36" i="48"/>
  <c r="D32" i="48"/>
  <c r="D28" i="48"/>
  <c r="D24" i="48"/>
  <c r="D47" i="48"/>
  <c r="D43" i="48"/>
  <c r="D38" i="48"/>
  <c r="D26" i="48"/>
  <c r="D18" i="48"/>
  <c r="D85" i="48"/>
  <c r="D78" i="48"/>
  <c r="D74" i="48"/>
  <c r="D70" i="48"/>
  <c r="D66" i="48"/>
  <c r="D62" i="48"/>
  <c r="D58" i="48"/>
  <c r="D54" i="48"/>
  <c r="D89" i="48"/>
  <c r="D41" i="48"/>
  <c r="D30" i="48"/>
  <c r="D14" i="48"/>
  <c r="D12" i="48" s="1"/>
  <c r="D29" i="48"/>
  <c r="D51" i="48"/>
  <c r="D61" i="48"/>
  <c r="D77" i="48"/>
  <c r="D94" i="48"/>
  <c r="D96" i="48"/>
  <c r="D27" i="48"/>
  <c r="D97" i="48"/>
  <c r="D91" i="48"/>
  <c r="D25" i="48"/>
  <c r="D39" i="48"/>
  <c r="D75" i="48"/>
  <c r="D22" i="48"/>
  <c r="D17" i="48"/>
  <c r="D33" i="48"/>
  <c r="D65" i="48"/>
  <c r="D84" i="48"/>
  <c r="D31" i="48"/>
  <c r="D40" i="48"/>
  <c r="D42" i="48"/>
  <c r="D48" i="48"/>
  <c r="D55" i="48"/>
  <c r="D63" i="48"/>
  <c r="D71" i="48"/>
  <c r="D79" i="48"/>
  <c r="D99" i="48"/>
  <c r="D73" i="48"/>
  <c r="D44" i="48"/>
  <c r="D67" i="48"/>
  <c r="D16" i="48"/>
  <c r="D93" i="48"/>
  <c r="D100" i="48"/>
  <c r="D20" i="48"/>
  <c r="D37" i="48"/>
  <c r="D49" i="48"/>
  <c r="D53" i="48"/>
  <c r="D69" i="48"/>
  <c r="D23" i="48"/>
  <c r="D35" i="48"/>
  <c r="D101" i="48"/>
  <c r="D98" i="48"/>
  <c r="D57" i="48"/>
  <c r="D46" i="48"/>
  <c r="D59" i="48"/>
  <c r="D95" i="48"/>
  <c r="D87" i="48"/>
  <c r="N12" i="47"/>
  <c r="F75" i="47"/>
  <c r="R75" i="47"/>
  <c r="I75" i="47"/>
  <c r="O75" i="47"/>
  <c r="Q12" i="47"/>
  <c r="L82" i="47"/>
  <c r="F82" i="47"/>
  <c r="O82" i="47"/>
  <c r="R82" i="47"/>
  <c r="K12" i="47"/>
  <c r="H12" i="47"/>
  <c r="E12" i="47"/>
  <c r="B14" i="47"/>
  <c r="O14" i="47" s="1"/>
  <c r="B12" i="46"/>
  <c r="J12" i="46" s="1"/>
  <c r="J87" i="46"/>
  <c r="P87" i="46"/>
  <c r="G14" i="46"/>
  <c r="S12" i="46"/>
  <c r="M87" i="46"/>
  <c r="S87" i="46"/>
  <c r="M12" i="46"/>
  <c r="S14" i="46"/>
  <c r="P12" i="46"/>
  <c r="B12" i="45"/>
  <c r="C61" i="45" s="1"/>
  <c r="O61" i="45"/>
  <c r="I61" i="45"/>
  <c r="R14" i="45"/>
  <c r="Q12" i="45"/>
  <c r="R61" i="45"/>
  <c r="L14" i="45"/>
  <c r="K12" i="45"/>
  <c r="O14" i="45"/>
  <c r="N12" i="45"/>
  <c r="L61" i="45"/>
  <c r="E12" i="45"/>
  <c r="F12" i="45" s="1"/>
  <c r="F14" i="45"/>
  <c r="H12" i="45"/>
  <c r="I14" i="45"/>
  <c r="P13" i="44"/>
  <c r="J13" i="44"/>
  <c r="G13" i="44"/>
  <c r="B11" i="44"/>
  <c r="M13" i="44"/>
  <c r="O98" i="43"/>
  <c r="I98" i="43"/>
  <c r="F60" i="43"/>
  <c r="E13" i="43"/>
  <c r="F34" i="43"/>
  <c r="L15" i="43"/>
  <c r="F26" i="43"/>
  <c r="R81" i="43"/>
  <c r="L81" i="43"/>
  <c r="F81" i="43"/>
  <c r="R98" i="43"/>
  <c r="R74" i="43"/>
  <c r="L74" i="43"/>
  <c r="F74" i="43"/>
  <c r="R15" i="43"/>
  <c r="L98" i="43"/>
  <c r="F98" i="43"/>
  <c r="F15" i="43"/>
  <c r="O15" i="43"/>
  <c r="N13" i="43"/>
  <c r="H13" i="43"/>
  <c r="R26" i="43"/>
  <c r="O88" i="42"/>
  <c r="F88" i="42"/>
  <c r="I82" i="42"/>
  <c r="I90" i="42"/>
  <c r="R82" i="42"/>
  <c r="L82" i="42"/>
  <c r="F82" i="42"/>
  <c r="E11" i="42"/>
  <c r="B13" i="42"/>
  <c r="F63" i="40"/>
  <c r="B60" i="40"/>
  <c r="L63" i="40"/>
  <c r="I63" i="40"/>
  <c r="E11" i="40"/>
  <c r="R35" i="40"/>
  <c r="L35" i="40"/>
  <c r="F35" i="40"/>
  <c r="B34" i="40"/>
  <c r="H13" i="40"/>
  <c r="N13" i="40"/>
  <c r="O63" i="40"/>
  <c r="F60" i="40"/>
  <c r="I81" i="40"/>
  <c r="O81" i="40"/>
  <c r="R63" i="40"/>
  <c r="R27" i="40"/>
  <c r="L27" i="40"/>
  <c r="F27" i="40"/>
  <c r="O27" i="40"/>
  <c r="B26" i="40"/>
  <c r="I26" i="40" s="1"/>
  <c r="R21" i="40"/>
  <c r="L21" i="40"/>
  <c r="F21" i="40"/>
  <c r="I21" i="40"/>
  <c r="O21" i="40"/>
  <c r="O16" i="40"/>
  <c r="I16" i="40"/>
  <c r="B15" i="40"/>
  <c r="L15" i="40" s="1"/>
  <c r="F16" i="40"/>
  <c r="R16" i="40"/>
  <c r="O98" i="40"/>
  <c r="I98" i="40"/>
  <c r="I35" i="40"/>
  <c r="K13" i="40"/>
  <c r="F98" i="40"/>
  <c r="R98" i="40"/>
  <c r="I82" i="40"/>
  <c r="O82" i="40"/>
  <c r="L81" i="40"/>
  <c r="R74" i="40"/>
  <c r="L74" i="40"/>
  <c r="F74" i="40"/>
  <c r="O35" i="40"/>
  <c r="O74" i="40"/>
  <c r="I27" i="40"/>
  <c r="F50" i="145"/>
  <c r="L50" i="145"/>
  <c r="B72" i="145"/>
  <c r="F72" i="145" s="1"/>
  <c r="L21" i="145"/>
  <c r="F21" i="145"/>
  <c r="I44" i="145"/>
  <c r="I34" i="145"/>
  <c r="I21" i="145"/>
  <c r="I73" i="145"/>
  <c r="I96" i="145"/>
  <c r="L60" i="145"/>
  <c r="F60" i="145"/>
  <c r="I50" i="145"/>
  <c r="K11" i="145"/>
  <c r="L96" i="145"/>
  <c r="F27" i="145"/>
  <c r="L27" i="145"/>
  <c r="E13" i="145"/>
  <c r="I60" i="145"/>
  <c r="F26" i="145"/>
  <c r="L26" i="145"/>
  <c r="F37" i="145"/>
  <c r="L37" i="145"/>
  <c r="L16" i="145"/>
  <c r="F16" i="145"/>
  <c r="L34" i="145"/>
  <c r="H13" i="145"/>
  <c r="L80" i="145"/>
  <c r="F15" i="145"/>
  <c r="L15" i="145"/>
  <c r="F34" i="145"/>
  <c r="I15" i="145"/>
  <c r="I80" i="145"/>
  <c r="I26" i="145"/>
  <c r="J41" i="34"/>
  <c r="M41" i="34"/>
  <c r="J65" i="34"/>
  <c r="M65" i="34"/>
  <c r="J67" i="34"/>
  <c r="M67" i="34"/>
  <c r="I14" i="34"/>
  <c r="C24" i="34"/>
  <c r="D62" i="34"/>
  <c r="D37" i="34"/>
  <c r="J48" i="34"/>
  <c r="M48" i="34"/>
  <c r="J54" i="34"/>
  <c r="M54" i="34"/>
  <c r="D60" i="34"/>
  <c r="D106" i="34"/>
  <c r="M30" i="34"/>
  <c r="G30" i="34"/>
  <c r="M71" i="34"/>
  <c r="C69" i="34"/>
  <c r="J69" i="34" s="1"/>
  <c r="J63" i="34"/>
  <c r="M63" i="34"/>
  <c r="J74" i="34"/>
  <c r="G74" i="34"/>
  <c r="D74" i="34" s="1"/>
  <c r="L12" i="34"/>
  <c r="C50" i="34"/>
  <c r="G50" i="34" s="1"/>
  <c r="G41" i="34"/>
  <c r="M85" i="34"/>
  <c r="G85" i="34"/>
  <c r="D66" i="34"/>
  <c r="J85" i="34"/>
  <c r="D25" i="34"/>
  <c r="D81" i="34"/>
  <c r="J72" i="34"/>
  <c r="M72" i="34"/>
  <c r="G63" i="34"/>
  <c r="F43" i="34"/>
  <c r="F35" i="34"/>
  <c r="C36" i="34"/>
  <c r="D99" i="34"/>
  <c r="G65" i="34"/>
  <c r="G67" i="34"/>
  <c r="D67" i="34" s="1"/>
  <c r="J46" i="34"/>
  <c r="D46" i="34" s="1"/>
  <c r="M46" i="34"/>
  <c r="G48" i="34"/>
  <c r="M92" i="34"/>
  <c r="D92" i="34" s="1"/>
  <c r="G71" i="34"/>
  <c r="D72" i="34" l="1"/>
  <c r="I26" i="43"/>
  <c r="L26" i="43"/>
  <c r="O26" i="43"/>
  <c r="L12" i="45"/>
  <c r="R34" i="43"/>
  <c r="O12" i="45"/>
  <c r="R14" i="47"/>
  <c r="O34" i="43"/>
  <c r="B13" i="43"/>
  <c r="L14" i="47"/>
  <c r="D41" i="34"/>
  <c r="G69" i="34"/>
  <c r="D54" i="34"/>
  <c r="I12" i="45"/>
  <c r="D87" i="46"/>
  <c r="D93" i="34"/>
  <c r="D30" i="34"/>
  <c r="I34" i="43"/>
  <c r="R12" i="45"/>
  <c r="M69" i="34"/>
  <c r="D108" i="34"/>
  <c r="O60" i="43"/>
  <c r="L60" i="43"/>
  <c r="I60" i="43"/>
  <c r="R60" i="43"/>
  <c r="B11" i="55"/>
  <c r="F11" i="55" s="1"/>
  <c r="I13" i="55"/>
  <c r="B11" i="54"/>
  <c r="C13" i="54" s="1"/>
  <c r="I13" i="54"/>
  <c r="M13" i="54"/>
  <c r="F14" i="47"/>
  <c r="I12" i="47"/>
  <c r="B12" i="47"/>
  <c r="F12" i="47" s="1"/>
  <c r="I14" i="47"/>
  <c r="R12" i="47"/>
  <c r="D94" i="46"/>
  <c r="D79" i="46"/>
  <c r="D75" i="46"/>
  <c r="D71" i="46"/>
  <c r="D67" i="46"/>
  <c r="D63" i="46"/>
  <c r="D59" i="46"/>
  <c r="D55" i="46"/>
  <c r="D99" i="46"/>
  <c r="D91" i="46"/>
  <c r="D70" i="46"/>
  <c r="D30" i="46"/>
  <c r="D66" i="46"/>
  <c r="D54" i="46"/>
  <c r="D51" i="46"/>
  <c r="D50" i="46"/>
  <c r="D48" i="46"/>
  <c r="D47" i="46"/>
  <c r="D44" i="46"/>
  <c r="D43" i="46"/>
  <c r="D40" i="46"/>
  <c r="D36" i="46"/>
  <c r="D32" i="46"/>
  <c r="D28" i="46"/>
  <c r="D24" i="46"/>
  <c r="D20" i="46"/>
  <c r="D18" i="46"/>
  <c r="D97" i="46"/>
  <c r="D58" i="46"/>
  <c r="D38" i="46"/>
  <c r="D26" i="46"/>
  <c r="D85" i="46"/>
  <c r="D78" i="46"/>
  <c r="D62" i="46"/>
  <c r="D74" i="46"/>
  <c r="D34" i="46"/>
  <c r="D16" i="46"/>
  <c r="D29" i="46"/>
  <c r="D37" i="46"/>
  <c r="D57" i="46"/>
  <c r="D96" i="46"/>
  <c r="D17" i="46"/>
  <c r="D52" i="46"/>
  <c r="D95" i="46"/>
  <c r="D23" i="46"/>
  <c r="D60" i="46"/>
  <c r="D73" i="46"/>
  <c r="D42" i="46"/>
  <c r="D46" i="46"/>
  <c r="D53" i="46"/>
  <c r="D84" i="46"/>
  <c r="D27" i="46"/>
  <c r="D35" i="46"/>
  <c r="D65" i="46"/>
  <c r="D41" i="46"/>
  <c r="D56" i="46"/>
  <c r="D64" i="46"/>
  <c r="D72" i="46"/>
  <c r="D83" i="46"/>
  <c r="D98" i="46"/>
  <c r="D80" i="46"/>
  <c r="D39" i="46"/>
  <c r="D49" i="46"/>
  <c r="D76" i="46"/>
  <c r="D100" i="46"/>
  <c r="D25" i="46"/>
  <c r="D33" i="46"/>
  <c r="D69" i="46"/>
  <c r="D61" i="46"/>
  <c r="D45" i="46"/>
  <c r="D101" i="46"/>
  <c r="D22" i="46"/>
  <c r="D77" i="46"/>
  <c r="D31" i="46"/>
  <c r="D68" i="46"/>
  <c r="D89" i="46"/>
  <c r="D82" i="46"/>
  <c r="D93" i="46"/>
  <c r="D14" i="46"/>
  <c r="G12" i="46"/>
  <c r="C101" i="45"/>
  <c r="C96" i="45"/>
  <c r="C89" i="45"/>
  <c r="C85" i="45"/>
  <c r="C80" i="45"/>
  <c r="C69" i="45"/>
  <c r="C65" i="45"/>
  <c r="C57" i="45"/>
  <c r="C50" i="45"/>
  <c r="C99" i="45"/>
  <c r="C83" i="45"/>
  <c r="C45" i="45"/>
  <c r="C84" i="45"/>
  <c r="C38" i="45"/>
  <c r="C33" i="45"/>
  <c r="C20" i="45"/>
  <c r="C92" i="45"/>
  <c r="C82" i="45"/>
  <c r="C71" i="45"/>
  <c r="C56" i="45"/>
  <c r="C40" i="45"/>
  <c r="C31" i="45"/>
  <c r="C18" i="45"/>
  <c r="C24" i="45"/>
  <c r="C104" i="45"/>
  <c r="C88" i="45"/>
  <c r="C79" i="45"/>
  <c r="C68" i="45"/>
  <c r="C52" i="45"/>
  <c r="C49" i="45"/>
  <c r="C100" i="45"/>
  <c r="C29" i="45"/>
  <c r="C59" i="45"/>
  <c r="C78" i="45"/>
  <c r="C66" i="45"/>
  <c r="C86" i="45"/>
  <c r="C97" i="45"/>
  <c r="C106" i="45"/>
  <c r="C28" i="45"/>
  <c r="C54" i="45"/>
  <c r="C48" i="45"/>
  <c r="C103" i="45"/>
  <c r="C30" i="45"/>
  <c r="C46" i="45"/>
  <c r="C22" i="45"/>
  <c r="C36" i="45"/>
  <c r="C67" i="45"/>
  <c r="C76" i="45"/>
  <c r="C87" i="45"/>
  <c r="C44" i="45"/>
  <c r="C39" i="45"/>
  <c r="C55" i="45"/>
  <c r="C58" i="45"/>
  <c r="C77" i="45"/>
  <c r="C42" i="45"/>
  <c r="C17" i="45"/>
  <c r="C19" i="45"/>
  <c r="C23" i="45"/>
  <c r="C37" i="45"/>
  <c r="C73" i="45"/>
  <c r="C94" i="45"/>
  <c r="C25" i="45"/>
  <c r="C43" i="45"/>
  <c r="C47" i="45"/>
  <c r="C90" i="45"/>
  <c r="C102" i="45"/>
  <c r="C32" i="45"/>
  <c r="C91" i="45"/>
  <c r="C62" i="45"/>
  <c r="C35" i="45"/>
  <c r="C16" i="45"/>
  <c r="C27" i="45"/>
  <c r="C64" i="45"/>
  <c r="C75" i="45"/>
  <c r="C14" i="45"/>
  <c r="C12" i="45" s="1"/>
  <c r="D99" i="44"/>
  <c r="D96" i="44"/>
  <c r="D94" i="44"/>
  <c r="D98" i="44"/>
  <c r="D79" i="44"/>
  <c r="D100" i="44"/>
  <c r="D97" i="44"/>
  <c r="D82" i="44"/>
  <c r="D76" i="44"/>
  <c r="D68" i="44"/>
  <c r="D60" i="44"/>
  <c r="D52" i="44"/>
  <c r="D35" i="44"/>
  <c r="G11" i="44"/>
  <c r="D62" i="44"/>
  <c r="D29" i="44"/>
  <c r="D27" i="44"/>
  <c r="D25" i="44"/>
  <c r="D23" i="44"/>
  <c r="D88" i="44"/>
  <c r="D74" i="44"/>
  <c r="D66" i="44"/>
  <c r="D58" i="44"/>
  <c r="D50" i="44"/>
  <c r="D32" i="44"/>
  <c r="D54" i="44"/>
  <c r="D19" i="44"/>
  <c r="D17" i="44"/>
  <c r="D92" i="44"/>
  <c r="D72" i="44"/>
  <c r="D64" i="44"/>
  <c r="D56" i="44"/>
  <c r="D48" i="44"/>
  <c r="D33" i="44"/>
  <c r="D90" i="44"/>
  <c r="D84" i="44"/>
  <c r="D78" i="44"/>
  <c r="D70" i="44"/>
  <c r="D31" i="44"/>
  <c r="D15" i="44"/>
  <c r="J11" i="44"/>
  <c r="D93" i="44"/>
  <c r="D81" i="44"/>
  <c r="D55" i="44"/>
  <c r="D63" i="44"/>
  <c r="D71" i="44"/>
  <c r="D37" i="44"/>
  <c r="D45" i="44"/>
  <c r="D57" i="44"/>
  <c r="D43" i="44"/>
  <c r="P11" i="44"/>
  <c r="D36" i="44"/>
  <c r="D42" i="44"/>
  <c r="D18" i="44"/>
  <c r="D24" i="44"/>
  <c r="D28" i="44"/>
  <c r="D47" i="44"/>
  <c r="D95" i="44"/>
  <c r="D38" i="44"/>
  <c r="D44" i="44"/>
  <c r="D53" i="44"/>
  <c r="D61" i="44"/>
  <c r="D69" i="44"/>
  <c r="D77" i="44"/>
  <c r="D83" i="44"/>
  <c r="D39" i="44"/>
  <c r="D16" i="44"/>
  <c r="D30" i="44"/>
  <c r="D65" i="44"/>
  <c r="D73" i="44"/>
  <c r="D21" i="44"/>
  <c r="D40" i="44"/>
  <c r="D46" i="44"/>
  <c r="D34" i="44"/>
  <c r="D51" i="44"/>
  <c r="D59" i="44"/>
  <c r="D67" i="44"/>
  <c r="D75" i="44"/>
  <c r="D41" i="44"/>
  <c r="D22" i="44"/>
  <c r="D26" i="44"/>
  <c r="D49" i="44"/>
  <c r="D86" i="44"/>
  <c r="D13" i="44"/>
  <c r="D11" i="44" s="1"/>
  <c r="M11" i="44"/>
  <c r="I13" i="43"/>
  <c r="H11" i="43"/>
  <c r="O13" i="43"/>
  <c r="N11" i="43"/>
  <c r="B11" i="43"/>
  <c r="L13" i="43"/>
  <c r="R13" i="43"/>
  <c r="E11" i="43"/>
  <c r="F13" i="43"/>
  <c r="I13" i="42"/>
  <c r="L13" i="42"/>
  <c r="O13" i="42"/>
  <c r="R13" i="42"/>
  <c r="B11" i="42"/>
  <c r="F11" i="42" s="1"/>
  <c r="F13" i="42"/>
  <c r="R34" i="40"/>
  <c r="L34" i="40"/>
  <c r="O34" i="40"/>
  <c r="K11" i="40"/>
  <c r="B13" i="40"/>
  <c r="O13" i="40" s="1"/>
  <c r="F15" i="40"/>
  <c r="R15" i="40"/>
  <c r="R26" i="40"/>
  <c r="L26" i="40"/>
  <c r="F26" i="40"/>
  <c r="O26" i="40"/>
  <c r="O15" i="40"/>
  <c r="L60" i="40"/>
  <c r="R60" i="40"/>
  <c r="I60" i="40"/>
  <c r="O60" i="40"/>
  <c r="N11" i="40"/>
  <c r="F34" i="40"/>
  <c r="H11" i="40"/>
  <c r="I34" i="40"/>
  <c r="I15" i="40"/>
  <c r="B13" i="145"/>
  <c r="F13" i="145" s="1"/>
  <c r="E11" i="145"/>
  <c r="I13" i="145"/>
  <c r="H11" i="145"/>
  <c r="I72" i="145"/>
  <c r="L72" i="145"/>
  <c r="D48" i="34"/>
  <c r="C35" i="34"/>
  <c r="G35" i="34" s="1"/>
  <c r="F14" i="34"/>
  <c r="C43" i="34"/>
  <c r="G43" i="34"/>
  <c r="D85" i="34"/>
  <c r="J50" i="34"/>
  <c r="M50" i="34"/>
  <c r="I12" i="34"/>
  <c r="M36" i="34"/>
  <c r="J36" i="34"/>
  <c r="D65" i="34"/>
  <c r="D50" i="34"/>
  <c r="D69" i="34"/>
  <c r="G24" i="34"/>
  <c r="M24" i="34"/>
  <c r="D71" i="34"/>
  <c r="G36" i="34"/>
  <c r="D63" i="34"/>
  <c r="J24" i="34"/>
  <c r="I11" i="43" l="1"/>
  <c r="C13" i="55"/>
  <c r="C89" i="55"/>
  <c r="C88" i="55"/>
  <c r="C87" i="55"/>
  <c r="C86" i="55"/>
  <c r="C85" i="55"/>
  <c r="C84" i="55"/>
  <c r="C83" i="55"/>
  <c r="C58" i="55"/>
  <c r="C55" i="55"/>
  <c r="C48" i="55"/>
  <c r="C45" i="55"/>
  <c r="C31" i="55"/>
  <c r="C18" i="55"/>
  <c r="C79" i="55"/>
  <c r="C78" i="55"/>
  <c r="C77" i="55"/>
  <c r="C76" i="55"/>
  <c r="C68" i="55"/>
  <c r="C67" i="55"/>
  <c r="C66" i="55"/>
  <c r="C65" i="55"/>
  <c r="C64" i="55"/>
  <c r="C70" i="55"/>
  <c r="C63" i="55"/>
  <c r="C56" i="55"/>
  <c r="C49" i="55"/>
  <c r="C46" i="55"/>
  <c r="C43" i="55"/>
  <c r="C32" i="55"/>
  <c r="C29" i="55"/>
  <c r="C17" i="55"/>
  <c r="C75" i="55"/>
  <c r="C57" i="55"/>
  <c r="C54" i="55"/>
  <c r="C47" i="55"/>
  <c r="C44" i="55"/>
  <c r="C42" i="55"/>
  <c r="C30" i="55"/>
  <c r="C28" i="55"/>
  <c r="C19" i="55"/>
  <c r="C60" i="55"/>
  <c r="C93" i="55"/>
  <c r="C21" i="55"/>
  <c r="C94" i="55"/>
  <c r="C36" i="55"/>
  <c r="C51" i="55"/>
  <c r="C99" i="55"/>
  <c r="C16" i="55"/>
  <c r="C38" i="55"/>
  <c r="C101" i="55"/>
  <c r="C91" i="55"/>
  <c r="C39" i="55"/>
  <c r="C82" i="55"/>
  <c r="C22" i="55"/>
  <c r="C27" i="55"/>
  <c r="C41" i="55"/>
  <c r="C90" i="55"/>
  <c r="C35" i="55"/>
  <c r="C37" i="55"/>
  <c r="C72" i="55"/>
  <c r="C100" i="55"/>
  <c r="C24" i="55"/>
  <c r="C96" i="55"/>
  <c r="C97" i="55"/>
  <c r="C23" i="55"/>
  <c r="C61" i="55"/>
  <c r="C53" i="55"/>
  <c r="C98" i="55"/>
  <c r="C81" i="55"/>
  <c r="C74" i="55"/>
  <c r="C34" i="55"/>
  <c r="I11" i="55"/>
  <c r="C15" i="55"/>
  <c r="C26" i="55"/>
  <c r="C100" i="54"/>
  <c r="C101" i="54"/>
  <c r="C61" i="54"/>
  <c r="C54" i="54"/>
  <c r="C51" i="54"/>
  <c r="C65" i="54"/>
  <c r="C66" i="54"/>
  <c r="C30" i="54"/>
  <c r="C26" i="54"/>
  <c r="C41" i="54"/>
  <c r="C23" i="54"/>
  <c r="C78" i="54"/>
  <c r="C22" i="54"/>
  <c r="C85" i="54"/>
  <c r="C97" i="54"/>
  <c r="C18" i="54"/>
  <c r="C70" i="54"/>
  <c r="C82" i="54"/>
  <c r="C98" i="54"/>
  <c r="C37" i="54"/>
  <c r="C46" i="54"/>
  <c r="C79" i="54"/>
  <c r="C87" i="54"/>
  <c r="C36" i="54"/>
  <c r="C86" i="54"/>
  <c r="C45" i="54"/>
  <c r="C64" i="54"/>
  <c r="C89" i="54"/>
  <c r="C84" i="54"/>
  <c r="C68" i="54"/>
  <c r="C17" i="54"/>
  <c r="C29" i="54"/>
  <c r="C39" i="54"/>
  <c r="C48" i="54"/>
  <c r="C91" i="54"/>
  <c r="C35" i="54"/>
  <c r="C57" i="54"/>
  <c r="C63" i="54"/>
  <c r="C83" i="54"/>
  <c r="C43" i="54"/>
  <c r="C38" i="54"/>
  <c r="C96" i="54"/>
  <c r="C19" i="54"/>
  <c r="C28" i="54"/>
  <c r="C49" i="54"/>
  <c r="C58" i="54"/>
  <c r="C72" i="54"/>
  <c r="C77" i="54"/>
  <c r="C93" i="54"/>
  <c r="C16" i="54"/>
  <c r="C67" i="54"/>
  <c r="C88" i="54"/>
  <c r="C55" i="54"/>
  <c r="C90" i="54"/>
  <c r="C24" i="54"/>
  <c r="C31" i="54"/>
  <c r="C42" i="54"/>
  <c r="C56" i="54"/>
  <c r="C94" i="54"/>
  <c r="C99" i="54"/>
  <c r="C47" i="54"/>
  <c r="C21" i="54"/>
  <c r="C32" i="54"/>
  <c r="C76" i="54"/>
  <c r="C44" i="54"/>
  <c r="C27" i="54"/>
  <c r="C53" i="54"/>
  <c r="C81" i="54"/>
  <c r="C74" i="54"/>
  <c r="C75" i="54"/>
  <c r="C15" i="54"/>
  <c r="C34" i="54"/>
  <c r="M11" i="54"/>
  <c r="I11" i="54"/>
  <c r="C60" i="54"/>
  <c r="C11" i="54"/>
  <c r="F11" i="54"/>
  <c r="C94" i="47"/>
  <c r="C91" i="47"/>
  <c r="C87" i="47"/>
  <c r="C78" i="47"/>
  <c r="C73" i="47"/>
  <c r="C67" i="47"/>
  <c r="C59" i="47"/>
  <c r="C69" i="47"/>
  <c r="C65" i="47"/>
  <c r="C64" i="47"/>
  <c r="C55" i="47"/>
  <c r="C54" i="47"/>
  <c r="C50" i="47"/>
  <c r="C48" i="47"/>
  <c r="C46" i="47"/>
  <c r="C44" i="47"/>
  <c r="C89" i="47"/>
  <c r="C80" i="47"/>
  <c r="C31" i="47"/>
  <c r="C18" i="47"/>
  <c r="C17" i="47"/>
  <c r="C101" i="47"/>
  <c r="C38" i="47"/>
  <c r="C33" i="47"/>
  <c r="C29" i="47"/>
  <c r="C24" i="47"/>
  <c r="C20" i="47"/>
  <c r="C85" i="47"/>
  <c r="C40" i="47"/>
  <c r="C57" i="47"/>
  <c r="C96" i="47"/>
  <c r="C25" i="47"/>
  <c r="C39" i="47"/>
  <c r="C84" i="47"/>
  <c r="C43" i="47"/>
  <c r="C45" i="47"/>
  <c r="C104" i="47"/>
  <c r="C52" i="47"/>
  <c r="C71" i="47"/>
  <c r="C37" i="47"/>
  <c r="C58" i="47"/>
  <c r="C86" i="47"/>
  <c r="C36" i="47"/>
  <c r="C100" i="47"/>
  <c r="C42" i="47"/>
  <c r="C79" i="47"/>
  <c r="C88" i="47"/>
  <c r="C19" i="47"/>
  <c r="C103" i="47"/>
  <c r="C97" i="47"/>
  <c r="C99" i="47"/>
  <c r="C106" i="47"/>
  <c r="C66" i="47"/>
  <c r="C22" i="47"/>
  <c r="C28" i="47"/>
  <c r="C92" i="47"/>
  <c r="C47" i="47"/>
  <c r="C49" i="47"/>
  <c r="C68" i="47"/>
  <c r="C32" i="47"/>
  <c r="C62" i="47"/>
  <c r="C77" i="47"/>
  <c r="C90" i="47"/>
  <c r="C102" i="47"/>
  <c r="C30" i="47"/>
  <c r="C56" i="47"/>
  <c r="C23" i="47"/>
  <c r="C61" i="47"/>
  <c r="C16" i="47"/>
  <c r="C83" i="47"/>
  <c r="C76" i="47"/>
  <c r="C35" i="47"/>
  <c r="C27" i="47"/>
  <c r="C82" i="47"/>
  <c r="C75" i="47"/>
  <c r="L12" i="47"/>
  <c r="O12" i="47"/>
  <c r="C14" i="47"/>
  <c r="C12" i="47" s="1"/>
  <c r="D12" i="46"/>
  <c r="C105" i="43"/>
  <c r="C102" i="43"/>
  <c r="C93" i="43"/>
  <c r="C89" i="43"/>
  <c r="C85" i="43"/>
  <c r="C99" i="43"/>
  <c r="C90" i="43"/>
  <c r="C86" i="43"/>
  <c r="C78" i="43"/>
  <c r="C70" i="43"/>
  <c r="C67" i="43"/>
  <c r="C55" i="43"/>
  <c r="C66" i="43"/>
  <c r="C72" i="43"/>
  <c r="C38" i="43"/>
  <c r="C29" i="43"/>
  <c r="C24" i="43"/>
  <c r="C18" i="43"/>
  <c r="C77" i="43"/>
  <c r="C58" i="43"/>
  <c r="C48" i="43"/>
  <c r="C44" i="43"/>
  <c r="C54" i="43"/>
  <c r="C51" i="43"/>
  <c r="C36" i="43"/>
  <c r="C31" i="43"/>
  <c r="C22" i="43"/>
  <c r="L11" i="43"/>
  <c r="C61" i="43"/>
  <c r="C63" i="43"/>
  <c r="C45" i="43"/>
  <c r="C56" i="43"/>
  <c r="C64" i="43"/>
  <c r="C68" i="43"/>
  <c r="C83" i="43"/>
  <c r="C91" i="43"/>
  <c r="C103" i="43"/>
  <c r="C84" i="43"/>
  <c r="C16" i="43"/>
  <c r="C53" i="43"/>
  <c r="C35" i="43"/>
  <c r="C17" i="43"/>
  <c r="C30" i="43"/>
  <c r="C43" i="43"/>
  <c r="C76" i="43"/>
  <c r="C28" i="43"/>
  <c r="C37" i="43"/>
  <c r="C100" i="43"/>
  <c r="C96" i="43"/>
  <c r="C75" i="43"/>
  <c r="C39" i="43"/>
  <c r="C42" i="43"/>
  <c r="C47" i="43"/>
  <c r="C82" i="43"/>
  <c r="C19" i="43"/>
  <c r="C79" i="43"/>
  <c r="C87" i="43"/>
  <c r="C88" i="43"/>
  <c r="C101" i="43"/>
  <c r="R11" i="43"/>
  <c r="C27" i="43"/>
  <c r="C21" i="43"/>
  <c r="C41" i="43"/>
  <c r="C65" i="43"/>
  <c r="C46" i="43"/>
  <c r="C57" i="43"/>
  <c r="C23" i="43"/>
  <c r="C32" i="43"/>
  <c r="C49" i="43"/>
  <c r="C95" i="43"/>
  <c r="C81" i="43"/>
  <c r="C98" i="43"/>
  <c r="C15" i="43"/>
  <c r="C26" i="43"/>
  <c r="C34" i="43"/>
  <c r="C74" i="43"/>
  <c r="C60" i="43"/>
  <c r="O11" i="43"/>
  <c r="F11" i="43"/>
  <c r="C13" i="43"/>
  <c r="C11" i="43" s="1"/>
  <c r="C101" i="42"/>
  <c r="C74" i="42"/>
  <c r="C65" i="42"/>
  <c r="C63" i="42"/>
  <c r="C61" i="42"/>
  <c r="C59" i="42"/>
  <c r="C51" i="42"/>
  <c r="C43" i="42"/>
  <c r="C35" i="42"/>
  <c r="C32" i="42"/>
  <c r="C30" i="42"/>
  <c r="C28" i="42"/>
  <c r="C26" i="42"/>
  <c r="C24" i="42"/>
  <c r="C22" i="42"/>
  <c r="C83" i="42"/>
  <c r="C76" i="42"/>
  <c r="C68" i="42"/>
  <c r="C53" i="42"/>
  <c r="C45" i="42"/>
  <c r="C37" i="42"/>
  <c r="C19" i="42"/>
  <c r="C17" i="42"/>
  <c r="C57" i="42"/>
  <c r="C33" i="42"/>
  <c r="C18" i="42"/>
  <c r="C16" i="42"/>
  <c r="C15" i="42"/>
  <c r="C55" i="42"/>
  <c r="C47" i="42"/>
  <c r="C39" i="42"/>
  <c r="C98" i="42"/>
  <c r="C96" i="42"/>
  <c r="C80" i="42"/>
  <c r="C72" i="42"/>
  <c r="C49" i="42"/>
  <c r="C41" i="42"/>
  <c r="R11" i="42"/>
  <c r="C29" i="42"/>
  <c r="C38" i="42"/>
  <c r="C85" i="42"/>
  <c r="C92" i="42"/>
  <c r="C58" i="42"/>
  <c r="C86" i="42"/>
  <c r="C69" i="42"/>
  <c r="C77" i="42"/>
  <c r="C102" i="42"/>
  <c r="C50" i="42"/>
  <c r="C64" i="42"/>
  <c r="C103" i="42"/>
  <c r="C79" i="42"/>
  <c r="C34" i="42"/>
  <c r="C75" i="42"/>
  <c r="C70" i="42"/>
  <c r="C94" i="42"/>
  <c r="C27" i="42"/>
  <c r="C56" i="42"/>
  <c r="C71" i="42"/>
  <c r="C95" i="42"/>
  <c r="C97" i="42"/>
  <c r="C25" i="42"/>
  <c r="C54" i="42"/>
  <c r="C48" i="42"/>
  <c r="C36" i="42"/>
  <c r="C44" i="42"/>
  <c r="C52" i="42"/>
  <c r="C42" i="42"/>
  <c r="C62" i="42"/>
  <c r="C100" i="42"/>
  <c r="C73" i="42"/>
  <c r="C84" i="42"/>
  <c r="C21" i="42"/>
  <c r="C78" i="42"/>
  <c r="C23" i="42"/>
  <c r="C31" i="42"/>
  <c r="C46" i="42"/>
  <c r="C40" i="42"/>
  <c r="C60" i="42"/>
  <c r="C66" i="42"/>
  <c r="C67" i="42"/>
  <c r="C99" i="42"/>
  <c r="I11" i="42"/>
  <c r="L11" i="42"/>
  <c r="O11" i="42"/>
  <c r="C90" i="42"/>
  <c r="C88" i="42"/>
  <c r="C82" i="42"/>
  <c r="C13" i="42"/>
  <c r="B11" i="40"/>
  <c r="R13" i="40"/>
  <c r="F13" i="40"/>
  <c r="I13" i="40"/>
  <c r="L13" i="40"/>
  <c r="B11" i="145"/>
  <c r="C13" i="145" s="1"/>
  <c r="L13" i="145"/>
  <c r="D24" i="34"/>
  <c r="C14" i="34"/>
  <c r="F12" i="34"/>
  <c r="M35" i="34"/>
  <c r="J35" i="34"/>
  <c r="D36" i="34"/>
  <c r="M43" i="34"/>
  <c r="J43" i="34"/>
  <c r="D35" i="34" l="1"/>
  <c r="D43" i="34"/>
  <c r="I11" i="145"/>
  <c r="C11" i="55"/>
  <c r="C11" i="42"/>
  <c r="C100" i="40"/>
  <c r="C99" i="40"/>
  <c r="C93" i="40"/>
  <c r="C91" i="40"/>
  <c r="C90" i="40"/>
  <c r="C87" i="40"/>
  <c r="C86" i="40"/>
  <c r="C72" i="40"/>
  <c r="C70" i="40"/>
  <c r="C67" i="40"/>
  <c r="C66" i="40"/>
  <c r="C58" i="40"/>
  <c r="C47" i="40"/>
  <c r="C44" i="40"/>
  <c r="C30" i="40"/>
  <c r="C17" i="40"/>
  <c r="C83" i="40"/>
  <c r="C78" i="40"/>
  <c r="C55" i="40"/>
  <c r="C103" i="40"/>
  <c r="C96" i="40"/>
  <c r="C37" i="40"/>
  <c r="C48" i="40"/>
  <c r="R11" i="40"/>
  <c r="C19" i="40"/>
  <c r="C24" i="40"/>
  <c r="C39" i="40"/>
  <c r="C32" i="40"/>
  <c r="C29" i="40"/>
  <c r="C53" i="40"/>
  <c r="C51" i="40"/>
  <c r="C23" i="40"/>
  <c r="C36" i="40"/>
  <c r="C46" i="40"/>
  <c r="C22" i="40"/>
  <c r="C64" i="40"/>
  <c r="C88" i="40"/>
  <c r="C101" i="40"/>
  <c r="C38" i="40"/>
  <c r="C65" i="40"/>
  <c r="C56" i="40"/>
  <c r="C28" i="40"/>
  <c r="C41" i="40"/>
  <c r="C77" i="40"/>
  <c r="C43" i="40"/>
  <c r="C18" i="40"/>
  <c r="C31" i="40"/>
  <c r="C95" i="40"/>
  <c r="C102" i="40"/>
  <c r="C61" i="40"/>
  <c r="C76" i="40"/>
  <c r="C57" i="40"/>
  <c r="C68" i="40"/>
  <c r="C42" i="40"/>
  <c r="C54" i="40"/>
  <c r="C75" i="40"/>
  <c r="C105" i="40"/>
  <c r="C85" i="40"/>
  <c r="C45" i="40"/>
  <c r="C89" i="40"/>
  <c r="C49" i="40"/>
  <c r="C79" i="40"/>
  <c r="C84" i="40"/>
  <c r="C63" i="40"/>
  <c r="C81" i="40"/>
  <c r="C21" i="40"/>
  <c r="C27" i="40"/>
  <c r="C16" i="40"/>
  <c r="C98" i="40"/>
  <c r="C82" i="40"/>
  <c r="C74" i="40"/>
  <c r="C35" i="40"/>
  <c r="F11" i="40"/>
  <c r="C26" i="40"/>
  <c r="C34" i="40"/>
  <c r="C15" i="40"/>
  <c r="C60" i="40"/>
  <c r="L11" i="40"/>
  <c r="O11" i="40"/>
  <c r="C13" i="40"/>
  <c r="C11" i="40" s="1"/>
  <c r="I11" i="40"/>
  <c r="C100" i="145"/>
  <c r="C84" i="145"/>
  <c r="C58" i="145"/>
  <c r="C54" i="145"/>
  <c r="C45" i="145"/>
  <c r="C40" i="145"/>
  <c r="C101" i="145"/>
  <c r="C97" i="145"/>
  <c r="C93" i="145"/>
  <c r="C89" i="145"/>
  <c r="C85" i="145"/>
  <c r="C81" i="145"/>
  <c r="C55" i="145"/>
  <c r="C51" i="145"/>
  <c r="C46" i="145"/>
  <c r="C30" i="145"/>
  <c r="C75" i="145"/>
  <c r="C69" i="145"/>
  <c r="C65" i="145"/>
  <c r="C35" i="145"/>
  <c r="C24" i="145"/>
  <c r="C19" i="145"/>
  <c r="C74" i="145"/>
  <c r="C68" i="145"/>
  <c r="C64" i="145"/>
  <c r="C22" i="145"/>
  <c r="C38" i="145"/>
  <c r="C66" i="145"/>
  <c r="C52" i="145"/>
  <c r="C53" i="145"/>
  <c r="C18" i="145"/>
  <c r="C63" i="145"/>
  <c r="C47" i="145"/>
  <c r="C76" i="145"/>
  <c r="C82" i="145"/>
  <c r="C28" i="145"/>
  <c r="C41" i="145"/>
  <c r="C57" i="145"/>
  <c r="C83" i="145"/>
  <c r="C23" i="145"/>
  <c r="C39" i="145"/>
  <c r="C17" i="145"/>
  <c r="C31" i="145"/>
  <c r="C42" i="145"/>
  <c r="C67" i="145"/>
  <c r="C91" i="145"/>
  <c r="C62" i="145"/>
  <c r="C70" i="145"/>
  <c r="C56" i="145"/>
  <c r="C48" i="145"/>
  <c r="C99" i="145"/>
  <c r="C98" i="145"/>
  <c r="C77" i="145"/>
  <c r="C87" i="145"/>
  <c r="C29" i="145"/>
  <c r="C61" i="145"/>
  <c r="C94" i="145"/>
  <c r="C32" i="145"/>
  <c r="C96" i="145"/>
  <c r="C11" i="145" s="1"/>
  <c r="C27" i="145"/>
  <c r="C80" i="145"/>
  <c r="C16" i="145"/>
  <c r="C50" i="145"/>
  <c r="C44" i="145"/>
  <c r="C73" i="145"/>
  <c r="C60" i="145"/>
  <c r="C26" i="145"/>
  <c r="C37" i="145"/>
  <c r="C21" i="145"/>
  <c r="C79" i="145"/>
  <c r="C34" i="145"/>
  <c r="C15" i="145"/>
  <c r="L11" i="145"/>
  <c r="C72" i="145"/>
  <c r="F11" i="145"/>
  <c r="M14" i="34"/>
  <c r="J14" i="34"/>
  <c r="G14" i="34"/>
  <c r="C12" i="34"/>
  <c r="G12" i="34" s="1"/>
  <c r="D14" i="34" l="1"/>
  <c r="M12" i="34"/>
  <c r="J12" i="34"/>
  <c r="D12" i="34" s="1"/>
  <c r="O12" i="32" l="1"/>
  <c r="P31" i="32" s="1"/>
  <c r="L12" i="32"/>
  <c r="M28" i="32" s="1"/>
  <c r="I12" i="32"/>
  <c r="F12" i="32"/>
  <c r="C12" i="32"/>
  <c r="D31" i="32" s="1"/>
  <c r="J18" i="32" l="1"/>
  <c r="D20" i="32"/>
  <c r="P20" i="32"/>
  <c r="G23" i="32"/>
  <c r="M25" i="32"/>
  <c r="D28" i="32"/>
  <c r="P28" i="32"/>
  <c r="G31" i="32"/>
  <c r="M14" i="32"/>
  <c r="G16" i="32"/>
  <c r="M18" i="32"/>
  <c r="G20" i="32"/>
  <c r="J23" i="32"/>
  <c r="D25" i="32"/>
  <c r="P25" i="32"/>
  <c r="G28" i="32"/>
  <c r="J31" i="32"/>
  <c r="D16" i="32"/>
  <c r="D14" i="32"/>
  <c r="P14" i="32"/>
  <c r="J16" i="32"/>
  <c r="D18" i="32"/>
  <c r="P18" i="32"/>
  <c r="J20" i="32"/>
  <c r="M23" i="32"/>
  <c r="G25" i="32"/>
  <c r="J28" i="32"/>
  <c r="M31" i="32"/>
  <c r="J14" i="32"/>
  <c r="P16" i="32"/>
  <c r="G14" i="32"/>
  <c r="M16" i="32"/>
  <c r="G18" i="32"/>
  <c r="M20" i="32"/>
  <c r="D23" i="32"/>
  <c r="P23" i="32"/>
  <c r="J25" i="32"/>
  <c r="C28" i="30"/>
  <c r="AA27" i="30"/>
  <c r="X27" i="30"/>
  <c r="U27" i="30"/>
  <c r="R27" i="30"/>
  <c r="L27" i="30"/>
  <c r="I27" i="30"/>
  <c r="F27" i="30"/>
  <c r="C27" i="30"/>
  <c r="C26" i="30"/>
  <c r="AA25" i="30"/>
  <c r="X25" i="30"/>
  <c r="U25" i="30"/>
  <c r="R25" i="30"/>
  <c r="O25" i="30"/>
  <c r="N25" i="30"/>
  <c r="L25" i="30"/>
  <c r="I25" i="30"/>
  <c r="F25" i="30"/>
  <c r="C25" i="30"/>
  <c r="E24" i="30"/>
  <c r="C24" i="30" s="1"/>
  <c r="AA23" i="30"/>
  <c r="X23" i="30"/>
  <c r="U23" i="30"/>
  <c r="R23" i="30"/>
  <c r="O23" i="30"/>
  <c r="N23" i="30"/>
  <c r="L23" i="30"/>
  <c r="I23" i="30"/>
  <c r="F23" i="30"/>
  <c r="C23" i="30"/>
  <c r="C22" i="30"/>
  <c r="AA21" i="30"/>
  <c r="X21" i="30"/>
  <c r="U21" i="30"/>
  <c r="R21" i="30"/>
  <c r="O21" i="30"/>
  <c r="N21" i="30"/>
  <c r="L21" i="30"/>
  <c r="I21" i="30"/>
  <c r="F21" i="30"/>
  <c r="C21" i="30"/>
  <c r="E20" i="30"/>
  <c r="C20" i="30" s="1"/>
  <c r="AA19" i="30"/>
  <c r="X19" i="30"/>
  <c r="U19" i="30"/>
  <c r="R19" i="30"/>
  <c r="O19" i="30"/>
  <c r="L19" i="30"/>
  <c r="I19" i="30"/>
  <c r="F19" i="30"/>
  <c r="C19" i="30"/>
  <c r="C18" i="30"/>
  <c r="AA17" i="30"/>
  <c r="X17" i="30"/>
  <c r="U17" i="30"/>
  <c r="R17" i="30"/>
  <c r="O17" i="30"/>
  <c r="L17" i="30"/>
  <c r="I17" i="30"/>
  <c r="F17" i="30"/>
  <c r="C17" i="30"/>
  <c r="C16" i="30"/>
  <c r="AA15" i="30"/>
  <c r="X15" i="30"/>
  <c r="U15" i="30"/>
  <c r="R15" i="30"/>
  <c r="O15" i="30"/>
  <c r="L15" i="30"/>
  <c r="I15" i="30"/>
  <c r="F15" i="30"/>
  <c r="C15" i="30"/>
  <c r="C14" i="30"/>
  <c r="C13" i="30"/>
  <c r="Z12" i="30"/>
  <c r="AA28" i="30" s="1"/>
  <c r="W12" i="30"/>
  <c r="X24" i="30" s="1"/>
  <c r="T12" i="30"/>
  <c r="U20" i="30" s="1"/>
  <c r="Q12" i="30"/>
  <c r="R18" i="30" s="1"/>
  <c r="N12" i="30"/>
  <c r="O26" i="30" s="1"/>
  <c r="K12" i="30"/>
  <c r="L28" i="30" s="1"/>
  <c r="H12" i="30"/>
  <c r="I20" i="30" s="1"/>
  <c r="O24" i="30" l="1"/>
  <c r="R26" i="30"/>
  <c r="O16" i="30"/>
  <c r="U14" i="30"/>
  <c r="AA16" i="30"/>
  <c r="L20" i="30"/>
  <c r="X20" i="30"/>
  <c r="R28" i="30"/>
  <c r="I14" i="30"/>
  <c r="I18" i="30"/>
  <c r="AA24" i="30"/>
  <c r="U18" i="30"/>
  <c r="O22" i="30"/>
  <c r="AA22" i="30"/>
  <c r="J12" i="32"/>
  <c r="G12" i="32"/>
  <c r="P12" i="32"/>
  <c r="M12" i="32"/>
  <c r="D12" i="32"/>
  <c r="E12" i="30"/>
  <c r="F24" i="30" s="1"/>
  <c r="L14" i="30"/>
  <c r="X14" i="30"/>
  <c r="R16" i="30"/>
  <c r="L18" i="30"/>
  <c r="X18" i="30"/>
  <c r="O20" i="30"/>
  <c r="AA20" i="30"/>
  <c r="R22" i="30"/>
  <c r="R24" i="30"/>
  <c r="I26" i="30"/>
  <c r="U26" i="30"/>
  <c r="U28" i="30"/>
  <c r="O14" i="30"/>
  <c r="AA14" i="30"/>
  <c r="AA12" i="30" s="1"/>
  <c r="I16" i="30"/>
  <c r="U16" i="30"/>
  <c r="O18" i="30"/>
  <c r="AA18" i="30"/>
  <c r="R20" i="30"/>
  <c r="I22" i="30"/>
  <c r="U22" i="30"/>
  <c r="I24" i="30"/>
  <c r="U24" i="30"/>
  <c r="L26" i="30"/>
  <c r="X26" i="30"/>
  <c r="I28" i="30"/>
  <c r="X28" i="30"/>
  <c r="R14" i="30"/>
  <c r="L16" i="30"/>
  <c r="X16" i="30"/>
  <c r="L22" i="30"/>
  <c r="X22" i="30"/>
  <c r="L24" i="30"/>
  <c r="AA26" i="30"/>
  <c r="O12" i="30" l="1"/>
  <c r="X12" i="30"/>
  <c r="R12" i="30"/>
  <c r="U12" i="30"/>
  <c r="L12" i="30"/>
  <c r="I12" i="30"/>
  <c r="F18" i="30"/>
  <c r="F14" i="30"/>
  <c r="F12" i="30" s="1"/>
  <c r="F26" i="30"/>
  <c r="F20" i="30"/>
  <c r="C12" i="30"/>
  <c r="F28" i="30"/>
  <c r="F22" i="30"/>
  <c r="F16" i="30"/>
  <c r="P22" i="29" l="1"/>
  <c r="M22" i="29"/>
  <c r="J22" i="29"/>
  <c r="G22" i="29"/>
  <c r="D22" i="29"/>
  <c r="P20" i="29"/>
  <c r="M20" i="29"/>
  <c r="J20" i="29"/>
  <c r="G20" i="29"/>
  <c r="D20" i="29"/>
  <c r="P13" i="29"/>
  <c r="M13" i="29"/>
  <c r="M16" i="29" s="1"/>
  <c r="J13" i="29"/>
  <c r="G13" i="29"/>
  <c r="G16" i="29" s="1"/>
  <c r="D13" i="29"/>
  <c r="P11" i="29"/>
  <c r="Q18" i="29" s="1"/>
  <c r="Q20" i="29" l="1"/>
  <c r="D11" i="29"/>
  <c r="E18" i="29" s="1"/>
  <c r="E20" i="29"/>
  <c r="E22" i="29"/>
  <c r="Q13" i="29"/>
  <c r="J11" i="29"/>
  <c r="K15" i="29" s="1"/>
  <c r="Q22" i="29"/>
  <c r="Q11" i="29"/>
  <c r="Q15" i="29"/>
  <c r="D16" i="29"/>
  <c r="E16" i="29" s="1"/>
  <c r="J16" i="29"/>
  <c r="K16" i="29" s="1"/>
  <c r="P16" i="29"/>
  <c r="Q16" i="29" s="1"/>
  <c r="M11" i="29"/>
  <c r="N20" i="29" s="1"/>
  <c r="G11" i="29"/>
  <c r="H20" i="29" s="1"/>
  <c r="K22" i="29" l="1"/>
  <c r="K20" i="29"/>
  <c r="K13" i="29"/>
  <c r="E15" i="29"/>
  <c r="E13" i="29"/>
  <c r="E11" i="29" s="1"/>
  <c r="K18" i="29"/>
  <c r="N15" i="29"/>
  <c r="N18" i="29"/>
  <c r="N13" i="29"/>
  <c r="H15" i="29"/>
  <c r="H18" i="29"/>
  <c r="H13" i="29"/>
  <c r="N22" i="29"/>
  <c r="H22" i="29"/>
  <c r="H16" i="29"/>
  <c r="N16" i="29"/>
  <c r="K11" i="29" l="1"/>
  <c r="N11" i="29"/>
  <c r="H11" i="29"/>
  <c r="Z288" i="147" l="1"/>
  <c r="Y288" i="147"/>
  <c r="V288" i="147"/>
  <c r="U288" i="147"/>
  <c r="Q288" i="147"/>
  <c r="L288" i="147"/>
  <c r="R288" i="147" s="1"/>
  <c r="J288" i="147"/>
  <c r="Z287" i="147"/>
  <c r="Y287" i="147"/>
  <c r="Z286" i="147"/>
  <c r="Y286" i="147"/>
  <c r="V286" i="147"/>
  <c r="U286" i="147"/>
  <c r="Q286" i="147"/>
  <c r="L286" i="147"/>
  <c r="R286" i="147" s="1"/>
  <c r="J286" i="147"/>
  <c r="Z285" i="147"/>
  <c r="Y285" i="147"/>
  <c r="U285" i="147"/>
  <c r="Q285" i="147"/>
  <c r="Z284" i="147"/>
  <c r="Y284" i="147"/>
  <c r="U284" i="147"/>
  <c r="Q284" i="147"/>
  <c r="Z283" i="147"/>
  <c r="Y283" i="147"/>
  <c r="U283" i="147"/>
  <c r="Q283" i="147"/>
  <c r="Z282" i="147"/>
  <c r="Y282" i="147"/>
  <c r="V282" i="147"/>
  <c r="U282" i="147"/>
  <c r="Q282" i="147"/>
  <c r="L282" i="147"/>
  <c r="N282" i="147" s="1"/>
  <c r="J282" i="147"/>
  <c r="Z281" i="147"/>
  <c r="Y281" i="147"/>
  <c r="V281" i="147"/>
  <c r="U281" i="147"/>
  <c r="Q281" i="147"/>
  <c r="L281" i="147"/>
  <c r="N281" i="147" s="1"/>
  <c r="J281" i="147"/>
  <c r="Z280" i="147"/>
  <c r="Y280" i="147"/>
  <c r="U280" i="147"/>
  <c r="Q280" i="147"/>
  <c r="Z279" i="147"/>
  <c r="Y279" i="147"/>
  <c r="U279" i="147"/>
  <c r="Q279" i="147"/>
  <c r="Z278" i="147"/>
  <c r="Y278" i="147"/>
  <c r="U278" i="147"/>
  <c r="Q278" i="147"/>
  <c r="Z277" i="147"/>
  <c r="Y277" i="147"/>
  <c r="U277" i="147"/>
  <c r="Q277" i="147"/>
  <c r="Z276" i="147"/>
  <c r="Y276" i="147"/>
  <c r="U276" i="147"/>
  <c r="Q276" i="147"/>
  <c r="Z275" i="147"/>
  <c r="Y275" i="147"/>
  <c r="U275" i="147"/>
  <c r="Q275" i="147"/>
  <c r="Z274" i="147"/>
  <c r="Y274" i="147"/>
  <c r="V274" i="147"/>
  <c r="U274" i="147"/>
  <c r="Q274" i="147"/>
  <c r="L274" i="147"/>
  <c r="N274" i="147" s="1"/>
  <c r="J274" i="147"/>
  <c r="Z273" i="147"/>
  <c r="Y273" i="147"/>
  <c r="U273" i="147"/>
  <c r="Q273" i="147"/>
  <c r="Z272" i="147"/>
  <c r="Y272" i="147"/>
  <c r="V272" i="147"/>
  <c r="U272" i="147"/>
  <c r="Q272" i="147"/>
  <c r="L272" i="147"/>
  <c r="R272" i="147" s="1"/>
  <c r="J272" i="147"/>
  <c r="Y271" i="147"/>
  <c r="U271" i="147"/>
  <c r="Q271" i="147"/>
  <c r="L271" i="147"/>
  <c r="R271" i="147" s="1"/>
  <c r="J271" i="147"/>
  <c r="Z270" i="147"/>
  <c r="Y270" i="147"/>
  <c r="V270" i="147"/>
  <c r="U270" i="147"/>
  <c r="R270" i="147"/>
  <c r="Q270" i="147"/>
  <c r="N270" i="147"/>
  <c r="M270" i="147"/>
  <c r="J270" i="147"/>
  <c r="Z269" i="147"/>
  <c r="Y269" i="147"/>
  <c r="V269" i="147"/>
  <c r="U269" i="147"/>
  <c r="Q269" i="147"/>
  <c r="H269" i="147"/>
  <c r="V262" i="147"/>
  <c r="U262" i="147"/>
  <c r="R262" i="147"/>
  <c r="Q262" i="147"/>
  <c r="N262" i="147"/>
  <c r="M262" i="147"/>
  <c r="J262" i="147"/>
  <c r="Z261" i="147"/>
  <c r="Y261" i="147"/>
  <c r="V261" i="147"/>
  <c r="U261" i="147"/>
  <c r="R261" i="147"/>
  <c r="Q261" i="147"/>
  <c r="L261" i="147"/>
  <c r="J261" i="147"/>
  <c r="Z260" i="147"/>
  <c r="Y260" i="147"/>
  <c r="V260" i="147"/>
  <c r="U260" i="147"/>
  <c r="R260" i="147"/>
  <c r="Q260" i="147"/>
  <c r="N260" i="147"/>
  <c r="M260" i="147"/>
  <c r="J260" i="147"/>
  <c r="Z259" i="147"/>
  <c r="Y259" i="147"/>
  <c r="V259" i="147"/>
  <c r="U259" i="147"/>
  <c r="Q259" i="147"/>
  <c r="L259" i="147"/>
  <c r="H259" i="147"/>
  <c r="J259" i="147" s="1"/>
  <c r="Z258" i="147"/>
  <c r="Y258" i="147"/>
  <c r="V258" i="147"/>
  <c r="U258" i="147"/>
  <c r="R258" i="147"/>
  <c r="Q258" i="147"/>
  <c r="N258" i="147"/>
  <c r="M258" i="147"/>
  <c r="J258" i="147"/>
  <c r="Z257" i="147"/>
  <c r="Y257" i="147"/>
  <c r="V257" i="147"/>
  <c r="U257" i="147"/>
  <c r="Q257" i="147"/>
  <c r="Z256" i="147"/>
  <c r="Y256" i="147"/>
  <c r="V256" i="147"/>
  <c r="U256" i="147"/>
  <c r="R256" i="147"/>
  <c r="Q256" i="147"/>
  <c r="N256" i="147"/>
  <c r="M256" i="147"/>
  <c r="J256" i="147"/>
  <c r="Z255" i="147"/>
  <c r="Y255" i="147"/>
  <c r="V255" i="147"/>
  <c r="U255" i="147"/>
  <c r="Q255" i="147"/>
  <c r="Z254" i="147"/>
  <c r="Y254" i="147"/>
  <c r="V254" i="147"/>
  <c r="U254" i="147"/>
  <c r="R254" i="147"/>
  <c r="Q254" i="147"/>
  <c r="N254" i="147"/>
  <c r="M254" i="147"/>
  <c r="J254" i="147"/>
  <c r="Z253" i="147"/>
  <c r="Y253" i="147"/>
  <c r="V253" i="147"/>
  <c r="U253" i="147"/>
  <c r="Q253" i="147"/>
  <c r="L253" i="147"/>
  <c r="R253" i="147" s="1"/>
  <c r="J253" i="147"/>
  <c r="Y252" i="147"/>
  <c r="U252" i="147"/>
  <c r="Q252" i="147"/>
  <c r="L252" i="147"/>
  <c r="J252" i="147"/>
  <c r="Z251" i="147"/>
  <c r="Y251" i="147"/>
  <c r="V251" i="147"/>
  <c r="U251" i="147"/>
  <c r="Q251" i="147"/>
  <c r="N251" i="147"/>
  <c r="L251" i="147"/>
  <c r="R251" i="147" s="1"/>
  <c r="J251" i="147"/>
  <c r="Z250" i="147"/>
  <c r="Y250" i="147"/>
  <c r="V250" i="147"/>
  <c r="U250" i="147"/>
  <c r="Q250" i="147"/>
  <c r="L250" i="147"/>
  <c r="R250" i="147" s="1"/>
  <c r="J250" i="147"/>
  <c r="Z249" i="147"/>
  <c r="Y249" i="147"/>
  <c r="V249" i="147"/>
  <c r="U249" i="147"/>
  <c r="Q249" i="147"/>
  <c r="L249" i="147"/>
  <c r="R249" i="147" s="1"/>
  <c r="J249" i="147"/>
  <c r="Z248" i="147"/>
  <c r="Y248" i="147"/>
  <c r="V248" i="147"/>
  <c r="U248" i="147"/>
  <c r="R248" i="147"/>
  <c r="Q248" i="147"/>
  <c r="N248" i="147"/>
  <c r="M248" i="147"/>
  <c r="J248" i="147"/>
  <c r="Z247" i="147"/>
  <c r="Y247" i="147"/>
  <c r="V247" i="147"/>
  <c r="U247" i="147"/>
  <c r="Q247" i="147"/>
  <c r="H247" i="147"/>
  <c r="Z246" i="147"/>
  <c r="Y246" i="147"/>
  <c r="V246" i="147"/>
  <c r="U246" i="147"/>
  <c r="R246" i="147"/>
  <c r="Q246" i="147"/>
  <c r="N246" i="147"/>
  <c r="M246" i="147"/>
  <c r="J246" i="147"/>
  <c r="Z245" i="147"/>
  <c r="Y245" i="147"/>
  <c r="V245" i="147"/>
  <c r="U245" i="147"/>
  <c r="Q245" i="147"/>
  <c r="Z244" i="147"/>
  <c r="Y244" i="147"/>
  <c r="V244" i="147"/>
  <c r="U244" i="147"/>
  <c r="R244" i="147"/>
  <c r="Q244" i="147"/>
  <c r="N244" i="147"/>
  <c r="M244" i="147"/>
  <c r="J244" i="147"/>
  <c r="Z243" i="147"/>
  <c r="Y243" i="147"/>
  <c r="U243" i="147"/>
  <c r="Q243" i="147"/>
  <c r="Z242" i="147"/>
  <c r="Y242" i="147"/>
  <c r="U242" i="147"/>
  <c r="Q242" i="147"/>
  <c r="Z241" i="147"/>
  <c r="Y241" i="147"/>
  <c r="U241" i="147"/>
  <c r="Q241" i="147"/>
  <c r="Z240" i="147"/>
  <c r="Y240" i="147"/>
  <c r="U240" i="147"/>
  <c r="Q240" i="147"/>
  <c r="Z239" i="147"/>
  <c r="Y239" i="147"/>
  <c r="U239" i="147"/>
  <c r="Q239" i="147"/>
  <c r="Z238" i="147"/>
  <c r="Y238" i="147"/>
  <c r="U238" i="147"/>
  <c r="Q238" i="147"/>
  <c r="Z237" i="147"/>
  <c r="Y237" i="147"/>
  <c r="U237" i="147"/>
  <c r="Q237" i="147"/>
  <c r="N237" i="147"/>
  <c r="Z236" i="147"/>
  <c r="Y236" i="147"/>
  <c r="U236" i="147"/>
  <c r="Q236" i="147"/>
  <c r="Z235" i="147"/>
  <c r="Y235" i="147"/>
  <c r="U235" i="147"/>
  <c r="Q235" i="147"/>
  <c r="Z234" i="147"/>
  <c r="Y234" i="147"/>
  <c r="U234" i="147"/>
  <c r="Q234" i="147"/>
  <c r="Z233" i="147"/>
  <c r="Y233" i="147"/>
  <c r="U233" i="147"/>
  <c r="Q233" i="147"/>
  <c r="Z232" i="147"/>
  <c r="Y232" i="147"/>
  <c r="U232" i="147"/>
  <c r="Q232" i="147"/>
  <c r="Z231" i="147"/>
  <c r="Y231" i="147"/>
  <c r="U231" i="147"/>
  <c r="R231" i="147"/>
  <c r="Q231" i="147"/>
  <c r="N231" i="147"/>
  <c r="M231" i="147"/>
  <c r="J231" i="147"/>
  <c r="Z230" i="147"/>
  <c r="Y230" i="147"/>
  <c r="U230" i="147"/>
  <c r="Q230" i="147"/>
  <c r="Z229" i="147"/>
  <c r="Y229" i="147"/>
  <c r="V229" i="147"/>
  <c r="U229" i="147"/>
  <c r="R229" i="147"/>
  <c r="Q229" i="147"/>
  <c r="N229" i="147"/>
  <c r="M229" i="147"/>
  <c r="J229" i="147"/>
  <c r="Z228" i="147"/>
  <c r="Y228" i="147"/>
  <c r="V228" i="147"/>
  <c r="U228" i="147"/>
  <c r="R228" i="147"/>
  <c r="Q228" i="147"/>
  <c r="N228" i="147"/>
  <c r="M228" i="147"/>
  <c r="J228" i="147"/>
  <c r="Z227" i="147"/>
  <c r="Y227" i="147"/>
  <c r="U227" i="147"/>
  <c r="Q227" i="147"/>
  <c r="L227" i="147"/>
  <c r="R227" i="147" s="1"/>
  <c r="J227" i="147"/>
  <c r="Z226" i="147"/>
  <c r="Y226" i="147"/>
  <c r="U226" i="147"/>
  <c r="R226" i="147"/>
  <c r="Q226" i="147"/>
  <c r="N226" i="147"/>
  <c r="M226" i="147"/>
  <c r="J226" i="147"/>
  <c r="Z225" i="147"/>
  <c r="Y225" i="147"/>
  <c r="U225" i="147"/>
  <c r="Q225" i="147"/>
  <c r="H225" i="147"/>
  <c r="J225" i="147" s="1"/>
  <c r="Z224" i="147"/>
  <c r="Y224" i="147"/>
  <c r="V224" i="147"/>
  <c r="U224" i="147"/>
  <c r="R224" i="147"/>
  <c r="Q224" i="147"/>
  <c r="N224" i="147"/>
  <c r="M224" i="147"/>
  <c r="J224" i="147"/>
  <c r="Z223" i="147"/>
  <c r="Y223" i="147"/>
  <c r="V223" i="147"/>
  <c r="U223" i="147"/>
  <c r="Q223" i="147"/>
  <c r="L223" i="147"/>
  <c r="N223" i="147" s="1"/>
  <c r="J223" i="147"/>
  <c r="Z222" i="147"/>
  <c r="Y222" i="147"/>
  <c r="V222" i="147"/>
  <c r="U222" i="147"/>
  <c r="R222" i="147"/>
  <c r="Q222" i="147"/>
  <c r="N222" i="147"/>
  <c r="M222" i="147"/>
  <c r="J222" i="147"/>
  <c r="Z221" i="147"/>
  <c r="Y221" i="147"/>
  <c r="V221" i="147"/>
  <c r="U221" i="147"/>
  <c r="Q221" i="147"/>
  <c r="L221" i="147"/>
  <c r="H221" i="147"/>
  <c r="Z220" i="147"/>
  <c r="Y220" i="147"/>
  <c r="V220" i="147"/>
  <c r="U220" i="147"/>
  <c r="R220" i="147"/>
  <c r="Q220" i="147"/>
  <c r="N220" i="147"/>
  <c r="M220" i="147"/>
  <c r="J220" i="147"/>
  <c r="Z219" i="147"/>
  <c r="Y219" i="147"/>
  <c r="V219" i="147"/>
  <c r="U219" i="147"/>
  <c r="R219" i="147"/>
  <c r="Q219" i="147"/>
  <c r="N219" i="147"/>
  <c r="M219" i="147"/>
  <c r="J219" i="147"/>
  <c r="Z218" i="147"/>
  <c r="Y218" i="147"/>
  <c r="U218" i="147"/>
  <c r="Q218" i="147"/>
  <c r="Z217" i="147"/>
  <c r="Y217" i="147"/>
  <c r="U217" i="147"/>
  <c r="Q217" i="147"/>
  <c r="Z216" i="147"/>
  <c r="Y216" i="147"/>
  <c r="V216" i="147"/>
  <c r="U216" i="147"/>
  <c r="Q216" i="147"/>
  <c r="N216" i="147"/>
  <c r="L216" i="147"/>
  <c r="J216" i="147"/>
  <c r="Z215" i="147"/>
  <c r="Y215" i="147"/>
  <c r="U215" i="147"/>
  <c r="Q215" i="147"/>
  <c r="J215" i="147"/>
  <c r="Z214" i="147"/>
  <c r="Y214" i="147"/>
  <c r="U214" i="147"/>
  <c r="Q214" i="147"/>
  <c r="J214" i="147"/>
  <c r="Z213" i="147"/>
  <c r="Y213" i="147"/>
  <c r="U213" i="147"/>
  <c r="Q213" i="147"/>
  <c r="J213" i="147"/>
  <c r="Z212" i="147"/>
  <c r="Y212" i="147"/>
  <c r="V212" i="147"/>
  <c r="U212" i="147"/>
  <c r="Q212" i="147"/>
  <c r="L212" i="147"/>
  <c r="J212" i="147"/>
  <c r="Z211" i="147"/>
  <c r="Y211" i="147"/>
  <c r="V211" i="147"/>
  <c r="U211" i="147"/>
  <c r="Q211" i="147"/>
  <c r="L211" i="147"/>
  <c r="R211" i="147" s="1"/>
  <c r="Z210" i="147"/>
  <c r="Y210" i="147"/>
  <c r="V210" i="147"/>
  <c r="U210" i="147"/>
  <c r="R210" i="147"/>
  <c r="Q210" i="147"/>
  <c r="N210" i="147"/>
  <c r="M210" i="147"/>
  <c r="J210" i="147"/>
  <c r="Z209" i="147"/>
  <c r="Y209" i="147"/>
  <c r="V209" i="147"/>
  <c r="U209" i="147"/>
  <c r="Q209" i="147"/>
  <c r="H209" i="147"/>
  <c r="J209" i="147" s="1"/>
  <c r="Z208" i="147"/>
  <c r="Y208" i="147"/>
  <c r="V208" i="147"/>
  <c r="U208" i="147"/>
  <c r="R208" i="147"/>
  <c r="Q208" i="147"/>
  <c r="N208" i="147"/>
  <c r="M208" i="147"/>
  <c r="J208" i="147"/>
  <c r="Y207" i="147"/>
  <c r="U207" i="147"/>
  <c r="Q207" i="147"/>
  <c r="N207" i="147"/>
  <c r="L207" i="147"/>
  <c r="R207" i="147" s="1"/>
  <c r="J207" i="147"/>
  <c r="Y206" i="147"/>
  <c r="U206" i="147"/>
  <c r="Q206" i="147"/>
  <c r="L206" i="147"/>
  <c r="J206" i="147"/>
  <c r="Z205" i="147"/>
  <c r="Y205" i="147"/>
  <c r="U205" i="147"/>
  <c r="R205" i="147"/>
  <c r="Q205" i="147"/>
  <c r="N205" i="147"/>
  <c r="M205" i="147"/>
  <c r="J205" i="147"/>
  <c r="Y204" i="147"/>
  <c r="U204" i="147"/>
  <c r="Q204" i="147"/>
  <c r="H204" i="147"/>
  <c r="Z203" i="147"/>
  <c r="Y203" i="147"/>
  <c r="V203" i="147"/>
  <c r="U203" i="147"/>
  <c r="R203" i="147"/>
  <c r="Q203" i="147"/>
  <c r="N203" i="147"/>
  <c r="M203" i="147"/>
  <c r="J203" i="147"/>
  <c r="Z202" i="147"/>
  <c r="Y202" i="147"/>
  <c r="U202" i="147"/>
  <c r="Q202" i="147"/>
  <c r="J202" i="147"/>
  <c r="Z201" i="147"/>
  <c r="Y201" i="147"/>
  <c r="U201" i="147"/>
  <c r="Q201" i="147"/>
  <c r="N201" i="147"/>
  <c r="M201" i="147"/>
  <c r="J201" i="147"/>
  <c r="Z200" i="147"/>
  <c r="Y200" i="147"/>
  <c r="U200" i="147"/>
  <c r="Q200" i="147"/>
  <c r="L200" i="147"/>
  <c r="H200" i="147"/>
  <c r="Z199" i="147"/>
  <c r="Y199" i="147"/>
  <c r="Z198" i="147"/>
  <c r="Y198" i="147"/>
  <c r="U198" i="147"/>
  <c r="Q198" i="147"/>
  <c r="N198" i="147"/>
  <c r="J198" i="147"/>
  <c r="Z197" i="147"/>
  <c r="Y197" i="147"/>
  <c r="U197" i="147"/>
  <c r="Q197" i="147"/>
  <c r="N197" i="147"/>
  <c r="J197" i="147"/>
  <c r="Y196" i="147"/>
  <c r="U196" i="147"/>
  <c r="Q196" i="147"/>
  <c r="L196" i="147"/>
  <c r="J196" i="147"/>
  <c r="Z195" i="147"/>
  <c r="Y195" i="147"/>
  <c r="Y194" i="147"/>
  <c r="U194" i="147"/>
  <c r="Q194" i="147"/>
  <c r="L194" i="147"/>
  <c r="N194" i="147" s="1"/>
  <c r="J194" i="147"/>
  <c r="Z193" i="147"/>
  <c r="Y193" i="147"/>
  <c r="U193" i="147"/>
  <c r="Q193" i="147"/>
  <c r="Y192" i="147"/>
  <c r="U192" i="147"/>
  <c r="Q192" i="147"/>
  <c r="L192" i="147"/>
  <c r="J192" i="147"/>
  <c r="Z191" i="147"/>
  <c r="Y191" i="147"/>
  <c r="V191" i="147"/>
  <c r="U191" i="147"/>
  <c r="Q191" i="147"/>
  <c r="L191" i="147"/>
  <c r="N191" i="147" s="1"/>
  <c r="J191" i="147"/>
  <c r="Z190" i="147"/>
  <c r="Y190" i="147"/>
  <c r="V190" i="147"/>
  <c r="U190" i="147"/>
  <c r="Q190" i="147"/>
  <c r="N190" i="147"/>
  <c r="L190" i="147"/>
  <c r="R190" i="147" s="1"/>
  <c r="J190" i="147"/>
  <c r="Z189" i="147"/>
  <c r="Y189" i="147"/>
  <c r="V189" i="147"/>
  <c r="U189" i="147"/>
  <c r="Q189" i="147"/>
  <c r="L189" i="147"/>
  <c r="L186" i="147" s="1"/>
  <c r="J189" i="147"/>
  <c r="Z188" i="147"/>
  <c r="Y188" i="147"/>
  <c r="V188" i="147"/>
  <c r="U188" i="147"/>
  <c r="Q188" i="147"/>
  <c r="L188" i="147"/>
  <c r="N188" i="147" s="1"/>
  <c r="J188" i="147"/>
  <c r="Z187" i="147"/>
  <c r="Y187" i="147"/>
  <c r="V187" i="147"/>
  <c r="U187" i="147"/>
  <c r="R187" i="147"/>
  <c r="Q187" i="147"/>
  <c r="N187" i="147"/>
  <c r="M187" i="147"/>
  <c r="J187" i="147"/>
  <c r="Z186" i="147"/>
  <c r="Y186" i="147"/>
  <c r="V186" i="147"/>
  <c r="U186" i="147"/>
  <c r="Q186" i="147"/>
  <c r="J186" i="147"/>
  <c r="H186" i="147"/>
  <c r="Z185" i="147"/>
  <c r="Y185" i="147"/>
  <c r="V185" i="147"/>
  <c r="U185" i="147"/>
  <c r="R185" i="147"/>
  <c r="Q185" i="147"/>
  <c r="N185" i="147"/>
  <c r="M185" i="147"/>
  <c r="J185" i="147"/>
  <c r="Z184" i="147"/>
  <c r="Y184" i="147"/>
  <c r="V184" i="147"/>
  <c r="U184" i="147"/>
  <c r="Q184" i="147"/>
  <c r="H184" i="147"/>
  <c r="J184" i="147" s="1"/>
  <c r="Z183" i="147"/>
  <c r="Y183" i="147"/>
  <c r="V183" i="147"/>
  <c r="U183" i="147"/>
  <c r="R183" i="147"/>
  <c r="Q183" i="147"/>
  <c r="N183" i="147"/>
  <c r="M183" i="147"/>
  <c r="J183" i="147"/>
  <c r="Z182" i="147"/>
  <c r="Y182" i="147"/>
  <c r="V182" i="147"/>
  <c r="U182" i="147"/>
  <c r="Q182" i="147"/>
  <c r="V171" i="147"/>
  <c r="V170" i="147"/>
  <c r="V169" i="147"/>
  <c r="V168" i="147"/>
  <c r="Y167" i="147"/>
  <c r="U167" i="147"/>
  <c r="Q167" i="147"/>
  <c r="L167" i="147"/>
  <c r="R167" i="147" s="1"/>
  <c r="J167" i="147"/>
  <c r="Z166" i="147"/>
  <c r="Y166" i="147"/>
  <c r="U166" i="147"/>
  <c r="R166" i="147"/>
  <c r="Q166" i="147"/>
  <c r="N166" i="147"/>
  <c r="M166" i="147"/>
  <c r="J166" i="147"/>
  <c r="Y165" i="147"/>
  <c r="U165" i="147"/>
  <c r="Q165" i="147"/>
  <c r="L165" i="147"/>
  <c r="R165" i="147" s="1"/>
  <c r="H165" i="147"/>
  <c r="J165" i="147" s="1"/>
  <c r="Z164" i="147"/>
  <c r="Y164" i="147"/>
  <c r="V164" i="147"/>
  <c r="U164" i="147"/>
  <c r="R164" i="147"/>
  <c r="Q164" i="147"/>
  <c r="N164" i="147"/>
  <c r="M164" i="147"/>
  <c r="J164" i="147"/>
  <c r="Z163" i="147"/>
  <c r="Y163" i="147"/>
  <c r="V163" i="147"/>
  <c r="U163" i="147"/>
  <c r="Q163" i="147"/>
  <c r="L163" i="147"/>
  <c r="N163" i="147" s="1"/>
  <c r="Z162" i="147"/>
  <c r="Y162" i="147"/>
  <c r="V162" i="147"/>
  <c r="U162" i="147"/>
  <c r="Q162" i="147"/>
  <c r="L162" i="147"/>
  <c r="R162" i="147" s="1"/>
  <c r="J162" i="147"/>
  <c r="Z161" i="147"/>
  <c r="Y161" i="147"/>
  <c r="V161" i="147"/>
  <c r="U161" i="147"/>
  <c r="Q161" i="147"/>
  <c r="L161" i="147"/>
  <c r="Z160" i="147"/>
  <c r="Y160" i="147"/>
  <c r="V160" i="147"/>
  <c r="U160" i="147"/>
  <c r="Q160" i="147"/>
  <c r="L160" i="147"/>
  <c r="N160" i="147" s="1"/>
  <c r="J160" i="147"/>
  <c r="Z159" i="147"/>
  <c r="Y159" i="147"/>
  <c r="U159" i="147"/>
  <c r="Q159" i="147"/>
  <c r="N159" i="147"/>
  <c r="L159" i="147"/>
  <c r="J159" i="147"/>
  <c r="Z158" i="147"/>
  <c r="Y158" i="147"/>
  <c r="U158" i="147"/>
  <c r="Q158" i="147"/>
  <c r="J158" i="147"/>
  <c r="Y157" i="147"/>
  <c r="U157" i="147"/>
  <c r="Q157" i="147"/>
  <c r="L157" i="147"/>
  <c r="N157" i="147" s="1"/>
  <c r="J157" i="147"/>
  <c r="Z156" i="147"/>
  <c r="Y156" i="147"/>
  <c r="V156" i="147"/>
  <c r="U156" i="147"/>
  <c r="Q156" i="147"/>
  <c r="J156" i="147"/>
  <c r="Z155" i="147"/>
  <c r="Y155" i="147"/>
  <c r="V155" i="147"/>
  <c r="U155" i="147"/>
  <c r="Q155" i="147"/>
  <c r="L155" i="147"/>
  <c r="J155" i="147"/>
  <c r="Z154" i="147"/>
  <c r="Y154" i="147"/>
  <c r="V154" i="147"/>
  <c r="U154" i="147"/>
  <c r="Q154" i="147"/>
  <c r="L154" i="147"/>
  <c r="J154" i="147"/>
  <c r="Z153" i="147"/>
  <c r="Y153" i="147"/>
  <c r="V153" i="147"/>
  <c r="U153" i="147"/>
  <c r="R153" i="147"/>
  <c r="Q153" i="147"/>
  <c r="N153" i="147"/>
  <c r="M153" i="147"/>
  <c r="J153" i="147"/>
  <c r="Z152" i="147"/>
  <c r="Y152" i="147"/>
  <c r="V152" i="147"/>
  <c r="U152" i="147"/>
  <c r="Q152" i="147"/>
  <c r="H152" i="147"/>
  <c r="J152" i="147" s="1"/>
  <c r="Z151" i="147"/>
  <c r="Y151" i="147"/>
  <c r="V151" i="147"/>
  <c r="U151" i="147"/>
  <c r="R151" i="147"/>
  <c r="Q151" i="147"/>
  <c r="N151" i="147"/>
  <c r="M151" i="147"/>
  <c r="J151" i="147"/>
  <c r="Z150" i="147"/>
  <c r="Y150" i="147"/>
  <c r="V150" i="147"/>
  <c r="U150" i="147"/>
  <c r="Q150" i="147"/>
  <c r="Z149" i="147"/>
  <c r="Y149" i="147"/>
  <c r="Y148" i="147"/>
  <c r="Z147" i="147"/>
  <c r="Y147" i="147"/>
  <c r="U147" i="147"/>
  <c r="Q147" i="147"/>
  <c r="Z146" i="147"/>
  <c r="Y146" i="147"/>
  <c r="V146" i="147"/>
  <c r="U146" i="147"/>
  <c r="Q146" i="147"/>
  <c r="L146" i="147"/>
  <c r="N146" i="147" s="1"/>
  <c r="J146" i="147"/>
  <c r="Z145" i="147"/>
  <c r="Y145" i="147"/>
  <c r="V145" i="147"/>
  <c r="U145" i="147"/>
  <c r="Q145" i="147"/>
  <c r="N145" i="147"/>
  <c r="L145" i="147"/>
  <c r="R145" i="147" s="1"/>
  <c r="J145" i="147"/>
  <c r="Z144" i="147"/>
  <c r="Y144" i="147"/>
  <c r="V144" i="147"/>
  <c r="U144" i="147"/>
  <c r="R144" i="147"/>
  <c r="Q144" i="147"/>
  <c r="N144" i="147"/>
  <c r="M144" i="147"/>
  <c r="J144" i="147"/>
  <c r="Z143" i="147"/>
  <c r="Y143" i="147"/>
  <c r="V143" i="147"/>
  <c r="U143" i="147"/>
  <c r="Q143" i="147"/>
  <c r="H143" i="147"/>
  <c r="H141" i="147" s="1"/>
  <c r="Z142" i="147"/>
  <c r="Y142" i="147"/>
  <c r="V142" i="147"/>
  <c r="U142" i="147"/>
  <c r="R142" i="147"/>
  <c r="Q142" i="147"/>
  <c r="N142" i="147"/>
  <c r="M142" i="147"/>
  <c r="J142" i="147"/>
  <c r="Z141" i="147"/>
  <c r="Y141" i="147"/>
  <c r="V141" i="147"/>
  <c r="U141" i="147"/>
  <c r="Q141" i="147"/>
  <c r="Z140" i="147"/>
  <c r="Y140" i="147"/>
  <c r="V140" i="147"/>
  <c r="U140" i="147"/>
  <c r="R140" i="147"/>
  <c r="Q140" i="147"/>
  <c r="N140" i="147"/>
  <c r="M140" i="147"/>
  <c r="J140" i="147"/>
  <c r="Z139" i="147"/>
  <c r="Y139" i="147"/>
  <c r="V139" i="147"/>
  <c r="U139" i="147"/>
  <c r="Q139" i="147"/>
  <c r="H139" i="147"/>
  <c r="Z138" i="147"/>
  <c r="Y138" i="147"/>
  <c r="V138" i="147"/>
  <c r="U138" i="147"/>
  <c r="R138" i="147"/>
  <c r="Q138" i="147"/>
  <c r="N138" i="147"/>
  <c r="M138" i="147"/>
  <c r="J138" i="147"/>
  <c r="Z137" i="147"/>
  <c r="Y137" i="147"/>
  <c r="V137" i="147"/>
  <c r="U137" i="147"/>
  <c r="Q137" i="147"/>
  <c r="L137" i="147"/>
  <c r="R137" i="147" s="1"/>
  <c r="J137" i="147"/>
  <c r="Z136" i="147"/>
  <c r="Y136" i="147"/>
  <c r="V136" i="147"/>
  <c r="U136" i="147"/>
  <c r="Q136" i="147"/>
  <c r="L136" i="147"/>
  <c r="R136" i="147" s="1"/>
  <c r="J136" i="147"/>
  <c r="Z135" i="147"/>
  <c r="Y135" i="147"/>
  <c r="V135" i="147"/>
  <c r="U135" i="147"/>
  <c r="Q135" i="147"/>
  <c r="L135" i="147"/>
  <c r="R135" i="147" s="1"/>
  <c r="J135" i="147"/>
  <c r="Z134" i="147"/>
  <c r="Y134" i="147"/>
  <c r="V134" i="147"/>
  <c r="U134" i="147"/>
  <c r="Q134" i="147"/>
  <c r="H134" i="147"/>
  <c r="J134" i="147" s="1"/>
  <c r="Z133" i="147"/>
  <c r="Y133" i="147"/>
  <c r="V133" i="147"/>
  <c r="U133" i="147"/>
  <c r="Q133" i="147"/>
  <c r="Z132" i="147"/>
  <c r="Y132" i="147"/>
  <c r="V132" i="147"/>
  <c r="U132" i="147"/>
  <c r="R132" i="147"/>
  <c r="Q132" i="147"/>
  <c r="N132" i="147"/>
  <c r="M132" i="147"/>
  <c r="J132" i="147"/>
  <c r="Z131" i="147"/>
  <c r="Y131" i="147"/>
  <c r="V131" i="147"/>
  <c r="U131" i="147"/>
  <c r="Q131" i="147"/>
  <c r="Z130" i="147"/>
  <c r="Y130" i="147"/>
  <c r="V130" i="147"/>
  <c r="U130" i="147"/>
  <c r="R130" i="147"/>
  <c r="Q130" i="147"/>
  <c r="N130" i="147"/>
  <c r="M130" i="147"/>
  <c r="J130" i="147"/>
  <c r="Z129" i="147"/>
  <c r="Y129" i="147"/>
  <c r="V129" i="147"/>
  <c r="U129" i="147"/>
  <c r="Q129" i="147"/>
  <c r="Z128" i="147"/>
  <c r="Y128" i="147"/>
  <c r="V128" i="147"/>
  <c r="U128" i="147"/>
  <c r="R128" i="147"/>
  <c r="Q128" i="147"/>
  <c r="N128" i="147"/>
  <c r="M128" i="147"/>
  <c r="J128" i="147"/>
  <c r="Z127" i="147"/>
  <c r="Y127" i="147"/>
  <c r="V127" i="147"/>
  <c r="U127" i="147"/>
  <c r="Q127" i="147"/>
  <c r="Z126" i="147"/>
  <c r="Y126" i="147"/>
  <c r="V126" i="147"/>
  <c r="U126" i="147"/>
  <c r="R126" i="147"/>
  <c r="Q126" i="147"/>
  <c r="N126" i="147"/>
  <c r="M126" i="147"/>
  <c r="J126" i="147"/>
  <c r="Y125" i="147"/>
  <c r="U125" i="147"/>
  <c r="Q125" i="147"/>
  <c r="L125" i="147"/>
  <c r="R125" i="147" s="1"/>
  <c r="J125" i="147"/>
  <c r="Z124" i="147"/>
  <c r="Y124" i="147"/>
  <c r="V124" i="147"/>
  <c r="U124" i="147"/>
  <c r="Q124" i="147"/>
  <c r="L124" i="147"/>
  <c r="R124" i="147" s="1"/>
  <c r="J124" i="147"/>
  <c r="Z123" i="147"/>
  <c r="Y123" i="147"/>
  <c r="U123" i="147"/>
  <c r="Q123" i="147"/>
  <c r="L123" i="147"/>
  <c r="J123" i="147"/>
  <c r="Z122" i="147"/>
  <c r="Y122" i="147"/>
  <c r="V122" i="147"/>
  <c r="U122" i="147"/>
  <c r="Q122" i="147"/>
  <c r="L122" i="147"/>
  <c r="R122" i="147" s="1"/>
  <c r="J122" i="147"/>
  <c r="Z121" i="147"/>
  <c r="Y121" i="147"/>
  <c r="U121" i="147"/>
  <c r="Q121" i="147"/>
  <c r="Z120" i="147"/>
  <c r="Y120" i="147"/>
  <c r="V120" i="147"/>
  <c r="U120" i="147"/>
  <c r="Q120" i="147"/>
  <c r="H120" i="147"/>
  <c r="J120" i="147" s="1"/>
  <c r="Z119" i="147"/>
  <c r="Y119" i="147"/>
  <c r="U119" i="147"/>
  <c r="Q119" i="147"/>
  <c r="J119" i="147"/>
  <c r="Z118" i="147"/>
  <c r="Y118" i="147"/>
  <c r="U118" i="147"/>
  <c r="Q118" i="147"/>
  <c r="J118" i="147"/>
  <c r="Z117" i="147"/>
  <c r="Y117" i="147"/>
  <c r="V117" i="147"/>
  <c r="U117" i="147"/>
  <c r="Q117" i="147"/>
  <c r="L117" i="147"/>
  <c r="R117" i="147" s="1"/>
  <c r="J117" i="147"/>
  <c r="Z116" i="147"/>
  <c r="Y116" i="147"/>
  <c r="V116" i="147"/>
  <c r="U116" i="147"/>
  <c r="Q116" i="147"/>
  <c r="L116" i="147"/>
  <c r="R116" i="147" s="1"/>
  <c r="J116" i="147"/>
  <c r="Z115" i="147"/>
  <c r="Y115" i="147"/>
  <c r="U115" i="147"/>
  <c r="Q115" i="147"/>
  <c r="J115" i="147"/>
  <c r="Z114" i="147"/>
  <c r="Y114" i="147"/>
  <c r="U114" i="147"/>
  <c r="Q114" i="147"/>
  <c r="J114" i="147"/>
  <c r="Z113" i="147"/>
  <c r="Y113" i="147"/>
  <c r="V113" i="147"/>
  <c r="U113" i="147"/>
  <c r="Q113" i="147"/>
  <c r="L113" i="147"/>
  <c r="R113" i="147" s="1"/>
  <c r="J113" i="147"/>
  <c r="Z112" i="147"/>
  <c r="Y112" i="147"/>
  <c r="V112" i="147"/>
  <c r="U112" i="147"/>
  <c r="Q112" i="147"/>
  <c r="N112" i="147"/>
  <c r="L112" i="147"/>
  <c r="R112" i="147" s="1"/>
  <c r="J112" i="147"/>
  <c r="Z111" i="147"/>
  <c r="Y111" i="147"/>
  <c r="V111" i="147"/>
  <c r="U111" i="147"/>
  <c r="Q111" i="147"/>
  <c r="N111" i="147"/>
  <c r="L111" i="147"/>
  <c r="R111" i="147" s="1"/>
  <c r="J111" i="147"/>
  <c r="Z110" i="147"/>
  <c r="Y110" i="147"/>
  <c r="V110" i="147"/>
  <c r="U110" i="147"/>
  <c r="Q110" i="147"/>
  <c r="L110" i="147"/>
  <c r="R110" i="147" s="1"/>
  <c r="J110" i="147"/>
  <c r="Z109" i="147"/>
  <c r="Y109" i="147"/>
  <c r="V109" i="147"/>
  <c r="U109" i="147"/>
  <c r="Q109" i="147"/>
  <c r="L109" i="147"/>
  <c r="R109" i="147" s="1"/>
  <c r="J109" i="147"/>
  <c r="Z108" i="147"/>
  <c r="Y108" i="147"/>
  <c r="V108" i="147"/>
  <c r="U108" i="147"/>
  <c r="Q108" i="147"/>
  <c r="L108" i="147"/>
  <c r="R108" i="147" s="1"/>
  <c r="J108" i="147"/>
  <c r="Z107" i="147"/>
  <c r="Y107" i="147"/>
  <c r="V107" i="147"/>
  <c r="U107" i="147"/>
  <c r="R107" i="147"/>
  <c r="Q107" i="147"/>
  <c r="N107" i="147"/>
  <c r="J107" i="147"/>
  <c r="Z106" i="147"/>
  <c r="Y106" i="147"/>
  <c r="V106" i="147"/>
  <c r="U106" i="147"/>
  <c r="Q106" i="147"/>
  <c r="L106" i="147"/>
  <c r="R106" i="147" s="1"/>
  <c r="J106" i="147"/>
  <c r="Z105" i="147"/>
  <c r="Y105" i="147"/>
  <c r="V105" i="147"/>
  <c r="U105" i="147"/>
  <c r="Q105" i="147"/>
  <c r="L105" i="147"/>
  <c r="R105" i="147" s="1"/>
  <c r="J105" i="147"/>
  <c r="Z104" i="147"/>
  <c r="Y104" i="147"/>
  <c r="V104" i="147"/>
  <c r="U104" i="147"/>
  <c r="Q104" i="147"/>
  <c r="L104" i="147"/>
  <c r="R104" i="147" s="1"/>
  <c r="J104" i="147"/>
  <c r="Z103" i="147"/>
  <c r="Y103" i="147"/>
  <c r="V103" i="147"/>
  <c r="U103" i="147"/>
  <c r="Q103" i="147"/>
  <c r="L103" i="147"/>
  <c r="R103" i="147" s="1"/>
  <c r="J103" i="147"/>
  <c r="Z102" i="147"/>
  <c r="Y102" i="147"/>
  <c r="U102" i="147"/>
  <c r="R102" i="147"/>
  <c r="Q102" i="147"/>
  <c r="N102" i="147"/>
  <c r="J102" i="147"/>
  <c r="Z101" i="147"/>
  <c r="Y101" i="147"/>
  <c r="V101" i="147"/>
  <c r="U101" i="147"/>
  <c r="R101" i="147"/>
  <c r="Q101" i="147"/>
  <c r="N101" i="147"/>
  <c r="M101" i="147"/>
  <c r="J101" i="147"/>
  <c r="Z100" i="147"/>
  <c r="Y100" i="147"/>
  <c r="V100" i="147"/>
  <c r="U100" i="147"/>
  <c r="Q100" i="147"/>
  <c r="Z99" i="147"/>
  <c r="Y99" i="147"/>
  <c r="V99" i="147"/>
  <c r="U99" i="147"/>
  <c r="R99" i="147"/>
  <c r="Q99" i="147"/>
  <c r="N99" i="147"/>
  <c r="M99" i="147"/>
  <c r="J99" i="147"/>
  <c r="Z98" i="147"/>
  <c r="Y98" i="147"/>
  <c r="V98" i="147"/>
  <c r="U98" i="147"/>
  <c r="Q98" i="147"/>
  <c r="Z97" i="147"/>
  <c r="Y97" i="147"/>
  <c r="V97" i="147"/>
  <c r="U97" i="147"/>
  <c r="R97" i="147"/>
  <c r="Q97" i="147"/>
  <c r="N97" i="147"/>
  <c r="M97" i="147"/>
  <c r="J97" i="147"/>
  <c r="Z96" i="147"/>
  <c r="Y96" i="147"/>
  <c r="V96" i="147"/>
  <c r="U96" i="147"/>
  <c r="Q96" i="147"/>
  <c r="Z86" i="147"/>
  <c r="Y86" i="147"/>
  <c r="V86" i="147"/>
  <c r="U86" i="147"/>
  <c r="Q86" i="147"/>
  <c r="L86" i="147"/>
  <c r="R86" i="147" s="1"/>
  <c r="Z85" i="147"/>
  <c r="Y85" i="147"/>
  <c r="V85" i="147"/>
  <c r="U85" i="147"/>
  <c r="R85" i="147"/>
  <c r="Q85" i="147"/>
  <c r="L85" i="147"/>
  <c r="Z84" i="147"/>
  <c r="Y84" i="147"/>
  <c r="V84" i="147"/>
  <c r="U84" i="147"/>
  <c r="Q84" i="147"/>
  <c r="L84" i="147"/>
  <c r="R84" i="147" s="1"/>
  <c r="Z83" i="147"/>
  <c r="Y83" i="147"/>
  <c r="V83" i="147"/>
  <c r="U83" i="147"/>
  <c r="Q83" i="147"/>
  <c r="L83" i="147"/>
  <c r="R83" i="147" s="1"/>
  <c r="Y82" i="147"/>
  <c r="Z81" i="147"/>
  <c r="Y81" i="147"/>
  <c r="V81" i="147"/>
  <c r="U81" i="147"/>
  <c r="Q81" i="147"/>
  <c r="L81" i="147"/>
  <c r="Z80" i="147"/>
  <c r="Y80" i="147"/>
  <c r="V80" i="147"/>
  <c r="U80" i="147"/>
  <c r="Q80" i="147"/>
  <c r="N80" i="147"/>
  <c r="Z79" i="147"/>
  <c r="Y79" i="147"/>
  <c r="U79" i="147"/>
  <c r="Q79" i="147"/>
  <c r="J79" i="147"/>
  <c r="Z78" i="147"/>
  <c r="Y78" i="147"/>
  <c r="V78" i="147"/>
  <c r="U78" i="147"/>
  <c r="Q78" i="147"/>
  <c r="L78" i="147"/>
  <c r="R78" i="147" s="1"/>
  <c r="J78" i="147"/>
  <c r="Y77" i="147"/>
  <c r="U77" i="147"/>
  <c r="Q77" i="147"/>
  <c r="N77" i="147"/>
  <c r="J77" i="147"/>
  <c r="Z76" i="147"/>
  <c r="Y76" i="147"/>
  <c r="V76" i="147"/>
  <c r="U76" i="147"/>
  <c r="Q76" i="147"/>
  <c r="L76" i="147"/>
  <c r="R76" i="147" s="1"/>
  <c r="J76" i="147"/>
  <c r="Z75" i="147"/>
  <c r="Y75" i="147"/>
  <c r="V75" i="147"/>
  <c r="U75" i="147"/>
  <c r="Q75" i="147"/>
  <c r="L75" i="147"/>
  <c r="N75" i="147" s="1"/>
  <c r="J75" i="147"/>
  <c r="Z74" i="147"/>
  <c r="Y74" i="147"/>
  <c r="U74" i="147"/>
  <c r="Q74" i="147"/>
  <c r="Z73" i="147"/>
  <c r="Y73" i="147"/>
  <c r="V73" i="147"/>
  <c r="U73" i="147"/>
  <c r="Q73" i="147"/>
  <c r="L73" i="147"/>
  <c r="J73" i="147"/>
  <c r="Z72" i="147"/>
  <c r="Y72" i="147"/>
  <c r="V72" i="147"/>
  <c r="U72" i="147"/>
  <c r="R72" i="147"/>
  <c r="Q72" i="147"/>
  <c r="N72" i="147"/>
  <c r="M72" i="147"/>
  <c r="J72" i="147"/>
  <c r="Z71" i="147"/>
  <c r="Y71" i="147"/>
  <c r="V71" i="147"/>
  <c r="U71" i="147"/>
  <c r="Q71" i="147"/>
  <c r="H71" i="147"/>
  <c r="J71" i="147" s="1"/>
  <c r="Z70" i="147"/>
  <c r="Y70" i="147"/>
  <c r="V70" i="147"/>
  <c r="U70" i="147"/>
  <c r="R70" i="147"/>
  <c r="Q70" i="147"/>
  <c r="N70" i="147"/>
  <c r="M70" i="147"/>
  <c r="J70" i="147"/>
  <c r="Z69" i="147"/>
  <c r="Y69" i="147"/>
  <c r="U69" i="147"/>
  <c r="Q69" i="147"/>
  <c r="J69" i="147"/>
  <c r="Z68" i="147"/>
  <c r="Y68" i="147"/>
  <c r="V68" i="147"/>
  <c r="U68" i="147"/>
  <c r="R68" i="147"/>
  <c r="Q68" i="147"/>
  <c r="N68" i="147"/>
  <c r="M68" i="147"/>
  <c r="J68" i="147"/>
  <c r="Z67" i="147"/>
  <c r="Y67" i="147"/>
  <c r="U67" i="147"/>
  <c r="Q67" i="147"/>
  <c r="L67" i="147"/>
  <c r="H67" i="147"/>
  <c r="Z66" i="147"/>
  <c r="Y66" i="147"/>
  <c r="V66" i="147"/>
  <c r="U66" i="147"/>
  <c r="R66" i="147"/>
  <c r="Q66" i="147"/>
  <c r="N66" i="147"/>
  <c r="M66" i="147"/>
  <c r="J66" i="147"/>
  <c r="Z65" i="147"/>
  <c r="Y65" i="147"/>
  <c r="V65" i="147"/>
  <c r="U65" i="147"/>
  <c r="Q65" i="147"/>
  <c r="N65" i="147"/>
  <c r="L65" i="147"/>
  <c r="R65" i="147" s="1"/>
  <c r="J65" i="147"/>
  <c r="Z64" i="147"/>
  <c r="Y64" i="147"/>
  <c r="V64" i="147"/>
  <c r="U64" i="147"/>
  <c r="R64" i="147"/>
  <c r="Q64" i="147"/>
  <c r="N64" i="147"/>
  <c r="M64" i="147"/>
  <c r="J64" i="147"/>
  <c r="Z63" i="147"/>
  <c r="Y63" i="147"/>
  <c r="V63" i="147"/>
  <c r="U63" i="147"/>
  <c r="Q63" i="147"/>
  <c r="L63" i="147"/>
  <c r="R63" i="147" s="1"/>
  <c r="H63" i="147"/>
  <c r="J63" i="147" s="1"/>
  <c r="Z62" i="147"/>
  <c r="Y62" i="147"/>
  <c r="V62" i="147"/>
  <c r="U62" i="147"/>
  <c r="R62" i="147"/>
  <c r="Q62" i="147"/>
  <c r="N62" i="147"/>
  <c r="M62" i="147"/>
  <c r="J62" i="147"/>
  <c r="Z61" i="147"/>
  <c r="Y61" i="147"/>
  <c r="V61" i="147"/>
  <c r="U61" i="147"/>
  <c r="Q61" i="147"/>
  <c r="Z60" i="147"/>
  <c r="Y60" i="147"/>
  <c r="V60" i="147"/>
  <c r="U60" i="147"/>
  <c r="R60" i="147"/>
  <c r="Q60" i="147"/>
  <c r="N60" i="147"/>
  <c r="M60" i="147"/>
  <c r="J60" i="147"/>
  <c r="Z59" i="147"/>
  <c r="Y59" i="147"/>
  <c r="V59" i="147"/>
  <c r="U59" i="147"/>
  <c r="R59" i="147"/>
  <c r="Q59" i="147"/>
  <c r="L59" i="147"/>
  <c r="N59" i="147" s="1"/>
  <c r="J59" i="147"/>
  <c r="Z58" i="147"/>
  <c r="Y58" i="147"/>
  <c r="V58" i="147"/>
  <c r="U58" i="147"/>
  <c r="R58" i="147"/>
  <c r="Q58" i="147"/>
  <c r="N58" i="147"/>
  <c r="M58" i="147"/>
  <c r="J58" i="147"/>
  <c r="Z57" i="147"/>
  <c r="Y57" i="147"/>
  <c r="V57" i="147"/>
  <c r="U57" i="147"/>
  <c r="Q57" i="147"/>
  <c r="L57" i="147"/>
  <c r="H57" i="147"/>
  <c r="J57" i="147" s="1"/>
  <c r="Z56" i="147"/>
  <c r="Y56" i="147"/>
  <c r="V56" i="147"/>
  <c r="U56" i="147"/>
  <c r="R56" i="147"/>
  <c r="Q56" i="147"/>
  <c r="N56" i="147"/>
  <c r="M56" i="147"/>
  <c r="J56" i="147"/>
  <c r="Z55" i="147"/>
  <c r="Y55" i="147"/>
  <c r="V55" i="147"/>
  <c r="U55" i="147"/>
  <c r="Q55" i="147"/>
  <c r="L55" i="147"/>
  <c r="Z54" i="147"/>
  <c r="Y54" i="147"/>
  <c r="V54" i="147"/>
  <c r="U54" i="147"/>
  <c r="R54" i="147"/>
  <c r="Q54" i="147"/>
  <c r="N54" i="147"/>
  <c r="M54" i="147"/>
  <c r="J54" i="147"/>
  <c r="Z53" i="147"/>
  <c r="Y53" i="147"/>
  <c r="V53" i="147"/>
  <c r="U53" i="147"/>
  <c r="Q53" i="147"/>
  <c r="Z52" i="147"/>
  <c r="Y52" i="147"/>
  <c r="V52" i="147"/>
  <c r="U52" i="147"/>
  <c r="R52" i="147"/>
  <c r="Q52" i="147"/>
  <c r="N52" i="147"/>
  <c r="M52" i="147"/>
  <c r="J52" i="147"/>
  <c r="Z51" i="147"/>
  <c r="Y51" i="147"/>
  <c r="V51" i="147"/>
  <c r="U51" i="147"/>
  <c r="Q51" i="147"/>
  <c r="L51" i="147"/>
  <c r="R51" i="147" s="1"/>
  <c r="J51" i="147"/>
  <c r="Z50" i="147"/>
  <c r="Y50" i="147"/>
  <c r="V50" i="147"/>
  <c r="U50" i="147"/>
  <c r="R50" i="147"/>
  <c r="Q50" i="147"/>
  <c r="N50" i="147"/>
  <c r="M50" i="147"/>
  <c r="J50" i="147"/>
  <c r="Z49" i="147"/>
  <c r="Y49" i="147"/>
  <c r="V49" i="147"/>
  <c r="U49" i="147"/>
  <c r="Q49" i="147"/>
  <c r="L49" i="147"/>
  <c r="R49" i="147" s="1"/>
  <c r="H49" i="147"/>
  <c r="J49" i="147" s="1"/>
  <c r="Z48" i="147"/>
  <c r="Y48" i="147"/>
  <c r="V48" i="147"/>
  <c r="U48" i="147"/>
  <c r="R48" i="147"/>
  <c r="Q48" i="147"/>
  <c r="N48" i="147"/>
  <c r="M48" i="147"/>
  <c r="J48" i="147"/>
  <c r="Z47" i="147"/>
  <c r="Y47" i="147"/>
  <c r="V47" i="147"/>
  <c r="U47" i="147"/>
  <c r="Q47" i="147"/>
  <c r="L47" i="147"/>
  <c r="N47" i="147" s="1"/>
  <c r="J47" i="147"/>
  <c r="Z46" i="147"/>
  <c r="Y46" i="147"/>
  <c r="V46" i="147"/>
  <c r="U46" i="147"/>
  <c r="Q46" i="147"/>
  <c r="L46" i="147"/>
  <c r="R46" i="147" s="1"/>
  <c r="J46" i="147"/>
  <c r="Z45" i="147"/>
  <c r="Y45" i="147"/>
  <c r="V45" i="147"/>
  <c r="U45" i="147"/>
  <c r="R45" i="147"/>
  <c r="Q45" i="147"/>
  <c r="N45" i="147"/>
  <c r="M45" i="147"/>
  <c r="J45" i="147"/>
  <c r="Z44" i="147"/>
  <c r="Y44" i="147"/>
  <c r="V44" i="147"/>
  <c r="U44" i="147"/>
  <c r="Q44" i="147"/>
  <c r="H44" i="147"/>
  <c r="H42" i="147" s="1"/>
  <c r="Z43" i="147"/>
  <c r="Y43" i="147"/>
  <c r="V43" i="147"/>
  <c r="U43" i="147"/>
  <c r="R43" i="147"/>
  <c r="Q43" i="147"/>
  <c r="N43" i="147"/>
  <c r="M43" i="147"/>
  <c r="J43" i="147"/>
  <c r="Z42" i="147"/>
  <c r="Y42" i="147"/>
  <c r="V42" i="147"/>
  <c r="U42" i="147"/>
  <c r="Q42" i="147"/>
  <c r="Z41" i="147"/>
  <c r="Y41" i="147"/>
  <c r="V41" i="147"/>
  <c r="U41" i="147"/>
  <c r="R41" i="147"/>
  <c r="Q41" i="147"/>
  <c r="N41" i="147"/>
  <c r="M41" i="147"/>
  <c r="J41" i="147"/>
  <c r="Z40" i="147"/>
  <c r="Y40" i="147"/>
  <c r="V40" i="147"/>
  <c r="U40" i="147"/>
  <c r="Q40" i="147"/>
  <c r="Z39" i="147"/>
  <c r="Y39" i="147"/>
  <c r="V39" i="147"/>
  <c r="U39" i="147"/>
  <c r="R39" i="147"/>
  <c r="Q39" i="147"/>
  <c r="N39" i="147"/>
  <c r="M39" i="147"/>
  <c r="J39" i="147"/>
  <c r="Z38" i="147"/>
  <c r="Y38" i="147"/>
  <c r="V38" i="147"/>
  <c r="U38" i="147"/>
  <c r="Q38" i="147"/>
  <c r="Z37" i="147"/>
  <c r="Y37" i="147"/>
  <c r="V37" i="147"/>
  <c r="U37" i="147"/>
  <c r="R37" i="147"/>
  <c r="Q37" i="147"/>
  <c r="N37" i="147"/>
  <c r="M37" i="147"/>
  <c r="J37" i="147"/>
  <c r="Y36" i="147"/>
  <c r="U36" i="147"/>
  <c r="Q36" i="147"/>
  <c r="L36" i="147"/>
  <c r="R36" i="147" s="1"/>
  <c r="J36" i="147"/>
  <c r="Z35" i="147"/>
  <c r="Y35" i="147"/>
  <c r="V35" i="147"/>
  <c r="U35" i="147"/>
  <c r="Q35" i="147"/>
  <c r="L35" i="147"/>
  <c r="N35" i="147" s="1"/>
  <c r="J35" i="147"/>
  <c r="Z34" i="147"/>
  <c r="Y34" i="147"/>
  <c r="V34" i="147"/>
  <c r="U34" i="147"/>
  <c r="R34" i="147"/>
  <c r="Q34" i="147"/>
  <c r="N34" i="147"/>
  <c r="M34" i="147"/>
  <c r="J34" i="147"/>
  <c r="Z33" i="147"/>
  <c r="Y33" i="147"/>
  <c r="V33" i="147"/>
  <c r="U33" i="147"/>
  <c r="Q33" i="147"/>
  <c r="J33" i="147"/>
  <c r="H33" i="147"/>
  <c r="Z32" i="147"/>
  <c r="Y32" i="147"/>
  <c r="V32" i="147"/>
  <c r="U32" i="147"/>
  <c r="R32" i="147"/>
  <c r="Q32" i="147"/>
  <c r="N32" i="147"/>
  <c r="M32" i="147"/>
  <c r="J32" i="147"/>
  <c r="Z31" i="147"/>
  <c r="Y31" i="147"/>
  <c r="V31" i="147"/>
  <c r="U31" i="147"/>
  <c r="Q31" i="147"/>
  <c r="J31" i="147"/>
  <c r="H31" i="147"/>
  <c r="Z30" i="147"/>
  <c r="Y30" i="147"/>
  <c r="V30" i="147"/>
  <c r="U30" i="147"/>
  <c r="R30" i="147"/>
  <c r="Q30" i="147"/>
  <c r="N30" i="147"/>
  <c r="M30" i="147"/>
  <c r="J30" i="147"/>
  <c r="Z29" i="147"/>
  <c r="Y29" i="147"/>
  <c r="V29" i="147"/>
  <c r="U29" i="147"/>
  <c r="Q29" i="147"/>
  <c r="L29" i="147"/>
  <c r="R29" i="147" s="1"/>
  <c r="J29" i="147"/>
  <c r="Z28" i="147"/>
  <c r="Y28" i="147"/>
  <c r="V28" i="147"/>
  <c r="U28" i="147"/>
  <c r="R28" i="147"/>
  <c r="Q28" i="147"/>
  <c r="N28" i="147"/>
  <c r="M28" i="147"/>
  <c r="J28" i="147"/>
  <c r="Z27" i="147"/>
  <c r="Y27" i="147"/>
  <c r="V27" i="147"/>
  <c r="U27" i="147"/>
  <c r="Q27" i="147"/>
  <c r="L27" i="147"/>
  <c r="R27" i="147" s="1"/>
  <c r="H27" i="147"/>
  <c r="J27" i="147" s="1"/>
  <c r="Z26" i="147"/>
  <c r="Y26" i="147"/>
  <c r="V26" i="147"/>
  <c r="U26" i="147"/>
  <c r="R26" i="147"/>
  <c r="Q26" i="147"/>
  <c r="N26" i="147"/>
  <c r="M26" i="147"/>
  <c r="J26" i="147"/>
  <c r="Y25" i="147"/>
  <c r="U25" i="147"/>
  <c r="Q25" i="147"/>
  <c r="L25" i="147"/>
  <c r="R25" i="147" s="1"/>
  <c r="J25" i="147"/>
  <c r="Z24" i="147"/>
  <c r="Y24" i="147"/>
  <c r="V24" i="147"/>
  <c r="U24" i="147"/>
  <c r="R24" i="147"/>
  <c r="Q24" i="147"/>
  <c r="N24" i="147"/>
  <c r="M24" i="147"/>
  <c r="J24" i="147"/>
  <c r="Y23" i="147"/>
  <c r="U23" i="147"/>
  <c r="Q23" i="147"/>
  <c r="H23" i="147"/>
  <c r="H21" i="147" s="1"/>
  <c r="Z22" i="147"/>
  <c r="Y22" i="147"/>
  <c r="V22" i="147"/>
  <c r="U22" i="147"/>
  <c r="R22" i="147"/>
  <c r="Q22" i="147"/>
  <c r="N22" i="147"/>
  <c r="M22" i="147"/>
  <c r="J22" i="147"/>
  <c r="Z21" i="147"/>
  <c r="Y21" i="147"/>
  <c r="V21" i="147"/>
  <c r="U21" i="147"/>
  <c r="Q21" i="147"/>
  <c r="Z20" i="147"/>
  <c r="Y20" i="147"/>
  <c r="V20" i="147"/>
  <c r="U20" i="147"/>
  <c r="R20" i="147"/>
  <c r="Q20" i="147"/>
  <c r="N20" i="147"/>
  <c r="M20" i="147"/>
  <c r="J20" i="147"/>
  <c r="Z19" i="147"/>
  <c r="Y19" i="147"/>
  <c r="V19" i="147"/>
  <c r="U19" i="147"/>
  <c r="Q19" i="147"/>
  <c r="Z18" i="147"/>
  <c r="Y18" i="147"/>
  <c r="V18" i="147"/>
  <c r="U18" i="147"/>
  <c r="R18" i="147"/>
  <c r="Q18" i="147"/>
  <c r="N18" i="147"/>
  <c r="M18" i="147"/>
  <c r="J18" i="147"/>
  <c r="Z17" i="147"/>
  <c r="Y17" i="147"/>
  <c r="V17" i="147"/>
  <c r="U17" i="147"/>
  <c r="Q17" i="147"/>
  <c r="Z16" i="147"/>
  <c r="Y16" i="147"/>
  <c r="V16" i="147"/>
  <c r="U16" i="147"/>
  <c r="R16" i="147"/>
  <c r="Q16" i="147"/>
  <c r="N16" i="147"/>
  <c r="M16" i="147"/>
  <c r="J16" i="147"/>
  <c r="Z15" i="147"/>
  <c r="Y15" i="147"/>
  <c r="V15" i="147"/>
  <c r="U15" i="147"/>
  <c r="Q15" i="147"/>
  <c r="Z14" i="147"/>
  <c r="Y14" i="147"/>
  <c r="V14" i="147"/>
  <c r="U14" i="147"/>
  <c r="R14" i="147"/>
  <c r="Q14" i="147"/>
  <c r="N14" i="147"/>
  <c r="M14" i="147"/>
  <c r="J14" i="147"/>
  <c r="Z13" i="147"/>
  <c r="Y13" i="147"/>
  <c r="V13" i="147"/>
  <c r="U13" i="147"/>
  <c r="Q13" i="147"/>
  <c r="Z12" i="147"/>
  <c r="V12" i="147"/>
  <c r="R12" i="147"/>
  <c r="N12" i="147"/>
  <c r="J12" i="147"/>
  <c r="Z11" i="147"/>
  <c r="Y11" i="147"/>
  <c r="V11" i="147"/>
  <c r="V20" i="25"/>
  <c r="S20" i="25"/>
  <c r="P20" i="25"/>
  <c r="M20" i="25"/>
  <c r="J20" i="25"/>
  <c r="G20" i="25"/>
  <c r="D20" i="25"/>
  <c r="V18" i="25"/>
  <c r="S18" i="25"/>
  <c r="P18" i="25"/>
  <c r="M18" i="25"/>
  <c r="J18" i="25"/>
  <c r="G18" i="25"/>
  <c r="D18" i="25"/>
  <c r="V16" i="25"/>
  <c r="S16" i="25"/>
  <c r="P16" i="25"/>
  <c r="M16" i="25"/>
  <c r="J16" i="25"/>
  <c r="G16" i="25"/>
  <c r="D16" i="25"/>
  <c r="V14" i="25"/>
  <c r="S14" i="25"/>
  <c r="P14" i="25"/>
  <c r="M14" i="25"/>
  <c r="J14" i="25"/>
  <c r="G14" i="25"/>
  <c r="D14" i="25"/>
  <c r="U13" i="25"/>
  <c r="V21" i="25" s="1"/>
  <c r="R13" i="25"/>
  <c r="S19" i="25" s="1"/>
  <c r="O13" i="25"/>
  <c r="P19" i="25" s="1"/>
  <c r="L13" i="25"/>
  <c r="M17" i="25" s="1"/>
  <c r="I13" i="25"/>
  <c r="J21" i="25" s="1"/>
  <c r="F13" i="25"/>
  <c r="G21" i="25" s="1"/>
  <c r="C13" i="25"/>
  <c r="D19" i="25" s="1"/>
  <c r="C160" i="24"/>
  <c r="P160" i="24" s="1"/>
  <c r="C159" i="24"/>
  <c r="J159" i="24" s="1"/>
  <c r="C158" i="24"/>
  <c r="P158" i="24" s="1"/>
  <c r="C157" i="24"/>
  <c r="J157" i="24" s="1"/>
  <c r="C156" i="24"/>
  <c r="P156" i="24" s="1"/>
  <c r="O155" i="24"/>
  <c r="L155" i="24"/>
  <c r="I155" i="24"/>
  <c r="F155" i="24"/>
  <c r="P154" i="24"/>
  <c r="M154" i="24"/>
  <c r="J154" i="24"/>
  <c r="G154" i="24"/>
  <c r="D154" i="24"/>
  <c r="C153" i="24"/>
  <c r="P153" i="24" s="1"/>
  <c r="P152" i="24"/>
  <c r="M152" i="24"/>
  <c r="J152" i="24"/>
  <c r="G152" i="24"/>
  <c r="D152" i="24"/>
  <c r="C151" i="24"/>
  <c r="P151" i="24" s="1"/>
  <c r="C150" i="24"/>
  <c r="P150" i="24" s="1"/>
  <c r="O149" i="24"/>
  <c r="L149" i="24"/>
  <c r="I149" i="24"/>
  <c r="F149" i="24"/>
  <c r="C149" i="24" s="1"/>
  <c r="P148" i="24"/>
  <c r="M148" i="24"/>
  <c r="J148" i="24"/>
  <c r="G148" i="24"/>
  <c r="D148" i="24"/>
  <c r="C148" i="24"/>
  <c r="C147" i="24"/>
  <c r="P147" i="24" s="1"/>
  <c r="C146" i="24"/>
  <c r="M146" i="24" s="1"/>
  <c r="C145" i="24"/>
  <c r="M145" i="24" s="1"/>
  <c r="C144" i="24"/>
  <c r="C143" i="24"/>
  <c r="P143" i="24" s="1"/>
  <c r="C142" i="24"/>
  <c r="P142" i="24" s="1"/>
  <c r="C141" i="24"/>
  <c r="P141" i="24" s="1"/>
  <c r="C140" i="24"/>
  <c r="P140" i="24" s="1"/>
  <c r="J139" i="24"/>
  <c r="G139" i="24"/>
  <c r="C139" i="24"/>
  <c r="P139" i="24" s="1"/>
  <c r="C138" i="24"/>
  <c r="P138" i="24" s="1"/>
  <c r="C137" i="24"/>
  <c r="P137" i="24" s="1"/>
  <c r="C136" i="24"/>
  <c r="P136" i="24" s="1"/>
  <c r="C135" i="24"/>
  <c r="P135" i="24" s="1"/>
  <c r="C134" i="24"/>
  <c r="P134" i="24" s="1"/>
  <c r="C133" i="24"/>
  <c r="P133" i="24" s="1"/>
  <c r="C132" i="24"/>
  <c r="P132" i="24" s="1"/>
  <c r="J131" i="24"/>
  <c r="C131" i="24"/>
  <c r="P131" i="24" s="1"/>
  <c r="C130" i="24"/>
  <c r="P130" i="24" s="1"/>
  <c r="C129" i="24"/>
  <c r="P129" i="24" s="1"/>
  <c r="C128" i="24"/>
  <c r="P128" i="24" s="1"/>
  <c r="C127" i="24"/>
  <c r="P127" i="24" s="1"/>
  <c r="C126" i="24"/>
  <c r="P126" i="24" s="1"/>
  <c r="C125" i="24"/>
  <c r="P125" i="24" s="1"/>
  <c r="C124" i="24"/>
  <c r="P124" i="24" s="1"/>
  <c r="J123" i="24"/>
  <c r="C123" i="24"/>
  <c r="P123" i="24" s="1"/>
  <c r="C122" i="24"/>
  <c r="P122" i="24" s="1"/>
  <c r="C121" i="24"/>
  <c r="P121" i="24" s="1"/>
  <c r="C120" i="24"/>
  <c r="P120" i="24" s="1"/>
  <c r="C119" i="24"/>
  <c r="P119" i="24" s="1"/>
  <c r="C118" i="24"/>
  <c r="P118" i="24" s="1"/>
  <c r="C117" i="24"/>
  <c r="P117" i="24" s="1"/>
  <c r="C116" i="24"/>
  <c r="P116" i="24" s="1"/>
  <c r="J115" i="24"/>
  <c r="G115" i="24"/>
  <c r="C115" i="24"/>
  <c r="P115" i="24" s="1"/>
  <c r="C114" i="24"/>
  <c r="P114" i="24" s="1"/>
  <c r="C113" i="24"/>
  <c r="P113" i="24" s="1"/>
  <c r="O112" i="24"/>
  <c r="L112" i="24"/>
  <c r="I112" i="24"/>
  <c r="F112" i="24"/>
  <c r="C112" i="24" s="1"/>
  <c r="P111" i="24"/>
  <c r="M111" i="24"/>
  <c r="J111" i="24"/>
  <c r="G111" i="24"/>
  <c r="D111" i="24"/>
  <c r="C111" i="24"/>
  <c r="C110" i="24"/>
  <c r="M110" i="24" s="1"/>
  <c r="C109" i="24"/>
  <c r="P109" i="24" s="1"/>
  <c r="C108" i="24"/>
  <c r="P108" i="24" s="1"/>
  <c r="J107" i="24"/>
  <c r="G107" i="24"/>
  <c r="C107" i="24"/>
  <c r="P107" i="24" s="1"/>
  <c r="C106" i="24"/>
  <c r="M106" i="24" s="1"/>
  <c r="J105" i="24"/>
  <c r="C105" i="24"/>
  <c r="P105" i="24" s="1"/>
  <c r="C104" i="24"/>
  <c r="J104" i="24" s="1"/>
  <c r="C103" i="24"/>
  <c r="M103" i="24" s="1"/>
  <c r="C102" i="24"/>
  <c r="M102" i="24" s="1"/>
  <c r="P101" i="24"/>
  <c r="C101" i="24"/>
  <c r="G101" i="24" s="1"/>
  <c r="C100" i="24"/>
  <c r="C99" i="24"/>
  <c r="J99" i="24" s="1"/>
  <c r="O98" i="24"/>
  <c r="O97" i="24" s="1"/>
  <c r="L98" i="24"/>
  <c r="I98" i="24"/>
  <c r="F98" i="24"/>
  <c r="F97" i="24" s="1"/>
  <c r="I97" i="24"/>
  <c r="P96" i="24"/>
  <c r="M96" i="24"/>
  <c r="J96" i="24"/>
  <c r="G96" i="24"/>
  <c r="D96" i="24"/>
  <c r="C96" i="24"/>
  <c r="C95" i="24"/>
  <c r="M95" i="24" s="1"/>
  <c r="C94" i="24"/>
  <c r="G94" i="24" s="1"/>
  <c r="C93" i="24"/>
  <c r="M93" i="24" s="1"/>
  <c r="P92" i="24"/>
  <c r="M92" i="24"/>
  <c r="J92" i="24"/>
  <c r="G92" i="24"/>
  <c r="D92" i="24"/>
  <c r="C92" i="24"/>
  <c r="C91" i="24"/>
  <c r="M91" i="24" s="1"/>
  <c r="C90" i="24"/>
  <c r="G90" i="24" s="1"/>
  <c r="C89" i="24"/>
  <c r="M89" i="24" s="1"/>
  <c r="P88" i="24"/>
  <c r="C88" i="24"/>
  <c r="M88" i="24" s="1"/>
  <c r="C87" i="24"/>
  <c r="C86" i="24"/>
  <c r="M86" i="24" s="1"/>
  <c r="C85" i="24"/>
  <c r="M85" i="24" s="1"/>
  <c r="C84" i="24"/>
  <c r="C83" i="24"/>
  <c r="M83" i="24" s="1"/>
  <c r="O82" i="24"/>
  <c r="O81" i="24" s="1"/>
  <c r="L82" i="24"/>
  <c r="L81" i="24" s="1"/>
  <c r="I82" i="24"/>
  <c r="I81" i="24" s="1"/>
  <c r="F82" i="24"/>
  <c r="P80" i="24"/>
  <c r="M80" i="24"/>
  <c r="J80" i="24"/>
  <c r="G80" i="24"/>
  <c r="D80" i="24"/>
  <c r="P79" i="24"/>
  <c r="G79" i="24"/>
  <c r="C79" i="24"/>
  <c r="M79" i="24" s="1"/>
  <c r="C78" i="24"/>
  <c r="P78" i="24" s="1"/>
  <c r="C77" i="24"/>
  <c r="M77" i="24" s="1"/>
  <c r="C76" i="24"/>
  <c r="P76" i="24" s="1"/>
  <c r="O75" i="24"/>
  <c r="O74" i="24" s="1"/>
  <c r="L75" i="24"/>
  <c r="I75" i="24"/>
  <c r="F75" i="24"/>
  <c r="I74" i="24"/>
  <c r="P73" i="24"/>
  <c r="M73" i="24"/>
  <c r="J73" i="24"/>
  <c r="G73" i="24"/>
  <c r="D73" i="24"/>
  <c r="C73" i="24"/>
  <c r="C72" i="24"/>
  <c r="P72" i="24" s="1"/>
  <c r="P71" i="24"/>
  <c r="M71" i="24"/>
  <c r="J71" i="24"/>
  <c r="G71" i="24"/>
  <c r="D71" i="24"/>
  <c r="C71" i="24"/>
  <c r="C70" i="24"/>
  <c r="P70" i="24" s="1"/>
  <c r="P69" i="24"/>
  <c r="M69" i="24"/>
  <c r="J69" i="24"/>
  <c r="G69" i="24"/>
  <c r="D69" i="24"/>
  <c r="C69" i="24"/>
  <c r="C68" i="24"/>
  <c r="P68" i="24" s="1"/>
  <c r="P67" i="24"/>
  <c r="J67" i="24"/>
  <c r="G67" i="24"/>
  <c r="C67" i="24"/>
  <c r="M67" i="24" s="1"/>
  <c r="C66" i="24"/>
  <c r="P66" i="24" s="1"/>
  <c r="C65" i="24"/>
  <c r="M65" i="24" s="1"/>
  <c r="C64" i="24"/>
  <c r="P64" i="24" s="1"/>
  <c r="O63" i="24"/>
  <c r="L63" i="24"/>
  <c r="I63" i="24"/>
  <c r="F63" i="24"/>
  <c r="P62" i="24"/>
  <c r="M62" i="24"/>
  <c r="J62" i="24"/>
  <c r="G62" i="24"/>
  <c r="D62" i="24"/>
  <c r="C62" i="24"/>
  <c r="J61" i="24"/>
  <c r="C61" i="24"/>
  <c r="M61" i="24" s="1"/>
  <c r="O60" i="24"/>
  <c r="I60" i="24"/>
  <c r="P59" i="24"/>
  <c r="M59" i="24"/>
  <c r="J59" i="24"/>
  <c r="G59" i="24"/>
  <c r="D59" i="24"/>
  <c r="C59" i="24"/>
  <c r="C58" i="24"/>
  <c r="P58" i="24" s="1"/>
  <c r="C57" i="24"/>
  <c r="M57" i="24" s="1"/>
  <c r="C56" i="24"/>
  <c r="P56" i="24" s="1"/>
  <c r="C55" i="24"/>
  <c r="M55" i="24" s="1"/>
  <c r="C54" i="24"/>
  <c r="P54" i="24" s="1"/>
  <c r="O53" i="24"/>
  <c r="L53" i="24"/>
  <c r="I53" i="24"/>
  <c r="F53" i="24"/>
  <c r="P52" i="24"/>
  <c r="M52" i="24"/>
  <c r="J52" i="24"/>
  <c r="G52" i="24"/>
  <c r="D52" i="24"/>
  <c r="C52" i="24"/>
  <c r="P51" i="24"/>
  <c r="C51" i="24"/>
  <c r="M51" i="24" s="1"/>
  <c r="P50" i="24"/>
  <c r="M50" i="24"/>
  <c r="J50" i="24"/>
  <c r="G50" i="24"/>
  <c r="D50" i="24"/>
  <c r="C50" i="24"/>
  <c r="C49" i="24"/>
  <c r="M49" i="24" s="1"/>
  <c r="C48" i="24"/>
  <c r="M48" i="24" s="1"/>
  <c r="C47" i="24"/>
  <c r="M47" i="24" s="1"/>
  <c r="C46" i="24"/>
  <c r="C45" i="24"/>
  <c r="C44" i="24"/>
  <c r="M44" i="24" s="1"/>
  <c r="P43" i="24"/>
  <c r="J43" i="24"/>
  <c r="G43" i="24"/>
  <c r="C43" i="24"/>
  <c r="M43" i="24" s="1"/>
  <c r="P42" i="24"/>
  <c r="C42" i="24"/>
  <c r="M42" i="24" s="1"/>
  <c r="O41" i="24"/>
  <c r="L41" i="24"/>
  <c r="I41" i="24"/>
  <c r="F41" i="24"/>
  <c r="P40" i="24"/>
  <c r="M40" i="24"/>
  <c r="J40" i="24"/>
  <c r="G40" i="24"/>
  <c r="D40" i="24"/>
  <c r="C40" i="24"/>
  <c r="C39" i="24"/>
  <c r="M39" i="24" s="1"/>
  <c r="C38" i="24"/>
  <c r="M38" i="24" s="1"/>
  <c r="J37" i="24"/>
  <c r="C37" i="24"/>
  <c r="M37" i="24" s="1"/>
  <c r="C36" i="24"/>
  <c r="O35" i="24"/>
  <c r="L35" i="24"/>
  <c r="I35" i="24"/>
  <c r="I34" i="24" s="1"/>
  <c r="F35" i="24"/>
  <c r="O34" i="24"/>
  <c r="P33" i="24"/>
  <c r="M33" i="24"/>
  <c r="J33" i="24"/>
  <c r="G33" i="24"/>
  <c r="D33" i="24"/>
  <c r="C33" i="24"/>
  <c r="C32" i="24"/>
  <c r="P32" i="24" s="1"/>
  <c r="P31" i="24"/>
  <c r="J31" i="24"/>
  <c r="G31" i="24"/>
  <c r="C31" i="24"/>
  <c r="M31" i="24" s="1"/>
  <c r="C30" i="24"/>
  <c r="P30" i="24" s="1"/>
  <c r="C29" i="24"/>
  <c r="M29" i="24" s="1"/>
  <c r="C28" i="24"/>
  <c r="G28" i="24" s="1"/>
  <c r="O27" i="24"/>
  <c r="O26" i="24" s="1"/>
  <c r="L27" i="24"/>
  <c r="L26" i="24" s="1"/>
  <c r="I27" i="24"/>
  <c r="I26" i="24" s="1"/>
  <c r="F27" i="24"/>
  <c r="P25" i="24"/>
  <c r="M25" i="24"/>
  <c r="J25" i="24"/>
  <c r="G25" i="24"/>
  <c r="D25" i="24"/>
  <c r="C25" i="24"/>
  <c r="C24" i="24"/>
  <c r="G24" i="24" s="1"/>
  <c r="C23" i="24"/>
  <c r="C22" i="24"/>
  <c r="G22" i="24" s="1"/>
  <c r="O21" i="24"/>
  <c r="L21" i="24"/>
  <c r="I21" i="24"/>
  <c r="F21" i="24"/>
  <c r="P20" i="24"/>
  <c r="M20" i="24"/>
  <c r="J20" i="24"/>
  <c r="G20" i="24"/>
  <c r="D20" i="24"/>
  <c r="C20" i="24"/>
  <c r="C19" i="24"/>
  <c r="M19" i="24" s="1"/>
  <c r="C18" i="24"/>
  <c r="C17" i="24"/>
  <c r="M17" i="24" s="1"/>
  <c r="O16" i="24"/>
  <c r="L16" i="24"/>
  <c r="L15" i="24" s="1"/>
  <c r="I16" i="24"/>
  <c r="F16" i="24"/>
  <c r="I15" i="24"/>
  <c r="P14" i="24"/>
  <c r="M14" i="24"/>
  <c r="J14" i="24"/>
  <c r="G14" i="24"/>
  <c r="D14" i="24"/>
  <c r="C14" i="24"/>
  <c r="P12" i="24"/>
  <c r="M12" i="24"/>
  <c r="J12" i="24"/>
  <c r="G12" i="24"/>
  <c r="D12" i="24"/>
  <c r="C12" i="24"/>
  <c r="B114" i="22"/>
  <c r="I114" i="22" s="1"/>
  <c r="R113" i="22"/>
  <c r="F113" i="22"/>
  <c r="B113" i="22"/>
  <c r="O113" i="22" s="1"/>
  <c r="O112" i="22"/>
  <c r="B112" i="22"/>
  <c r="L112" i="22" s="1"/>
  <c r="B111" i="22"/>
  <c r="O111" i="22" s="1"/>
  <c r="B110" i="22"/>
  <c r="L110" i="22" s="1"/>
  <c r="Q109" i="22"/>
  <c r="N109" i="22"/>
  <c r="K109" i="22"/>
  <c r="H109" i="22"/>
  <c r="E109" i="22"/>
  <c r="R108" i="22"/>
  <c r="O108" i="22"/>
  <c r="L108" i="22"/>
  <c r="I108" i="22"/>
  <c r="F108" i="22"/>
  <c r="B108" i="22"/>
  <c r="L107" i="22"/>
  <c r="B107" i="22"/>
  <c r="O107" i="22" s="1"/>
  <c r="R106" i="22"/>
  <c r="O106" i="22"/>
  <c r="L106" i="22"/>
  <c r="I106" i="22"/>
  <c r="F106" i="22"/>
  <c r="C106" i="22"/>
  <c r="B106" i="22"/>
  <c r="B105" i="22"/>
  <c r="O105" i="22" s="1"/>
  <c r="B104" i="22"/>
  <c r="L104" i="22" s="1"/>
  <c r="B103" i="22"/>
  <c r="O103" i="22" s="1"/>
  <c r="Q102" i="22"/>
  <c r="N102" i="22"/>
  <c r="K102" i="22"/>
  <c r="H102" i="22"/>
  <c r="E102" i="22"/>
  <c r="R101" i="22"/>
  <c r="O101" i="22"/>
  <c r="L101" i="22"/>
  <c r="I101" i="22"/>
  <c r="F101" i="22"/>
  <c r="C101" i="22"/>
  <c r="B101" i="22"/>
  <c r="B100" i="22"/>
  <c r="O100" i="22" s="1"/>
  <c r="R99" i="22"/>
  <c r="O99" i="22"/>
  <c r="L99" i="22"/>
  <c r="I99" i="22"/>
  <c r="F99" i="22"/>
  <c r="B99" i="22"/>
  <c r="B98" i="22"/>
  <c r="B97" i="22"/>
  <c r="L97" i="22" s="1"/>
  <c r="B96" i="22"/>
  <c r="O96" i="22" s="1"/>
  <c r="B95" i="22"/>
  <c r="L95" i="22" s="1"/>
  <c r="R94" i="22"/>
  <c r="O94" i="22"/>
  <c r="L94" i="22"/>
  <c r="I94" i="22"/>
  <c r="F94" i="22"/>
  <c r="C94" i="22"/>
  <c r="B94" i="22"/>
  <c r="B93" i="22"/>
  <c r="L93" i="22" s="1"/>
  <c r="B92" i="22"/>
  <c r="O92" i="22" s="1"/>
  <c r="I91" i="22"/>
  <c r="B91" i="22"/>
  <c r="L91" i="22" s="1"/>
  <c r="B90" i="22"/>
  <c r="O90" i="22" s="1"/>
  <c r="B89" i="22"/>
  <c r="L89" i="22" s="1"/>
  <c r="B88" i="22"/>
  <c r="O88" i="22" s="1"/>
  <c r="B87" i="22"/>
  <c r="L87" i="22" s="1"/>
  <c r="R86" i="22"/>
  <c r="B86" i="22"/>
  <c r="O86" i="22" s="1"/>
  <c r="R85" i="22"/>
  <c r="O85" i="22"/>
  <c r="F85" i="22"/>
  <c r="B85" i="22"/>
  <c r="L85" i="22" s="1"/>
  <c r="Q84" i="22"/>
  <c r="Q83" i="22" s="1"/>
  <c r="N84" i="22"/>
  <c r="K84" i="22"/>
  <c r="H84" i="22"/>
  <c r="H83" i="22" s="1"/>
  <c r="E84" i="22"/>
  <c r="E83" i="22" s="1"/>
  <c r="N83" i="22"/>
  <c r="K83" i="22"/>
  <c r="R82" i="22"/>
  <c r="O82" i="22"/>
  <c r="L82" i="22"/>
  <c r="I82" i="22"/>
  <c r="F82" i="22"/>
  <c r="C82" i="22"/>
  <c r="B82" i="22"/>
  <c r="B81" i="22"/>
  <c r="I81" i="22" s="1"/>
  <c r="I80" i="22"/>
  <c r="F80" i="22"/>
  <c r="B80" i="22"/>
  <c r="O80" i="22" s="1"/>
  <c r="B79" i="22"/>
  <c r="L79" i="22" s="1"/>
  <c r="B78" i="22"/>
  <c r="O78" i="22" s="1"/>
  <c r="Q77" i="22"/>
  <c r="Q76" i="22" s="1"/>
  <c r="N77" i="22"/>
  <c r="N76" i="22" s="1"/>
  <c r="K77" i="22"/>
  <c r="K76" i="22" s="1"/>
  <c r="H77" i="22"/>
  <c r="E77" i="22"/>
  <c r="E76" i="22"/>
  <c r="R75" i="22"/>
  <c r="O75" i="22"/>
  <c r="L75" i="22"/>
  <c r="I75" i="22"/>
  <c r="F75" i="22"/>
  <c r="C75" i="22"/>
  <c r="B75" i="22"/>
  <c r="R74" i="22"/>
  <c r="B74" i="22"/>
  <c r="O74" i="22" s="1"/>
  <c r="R73" i="22"/>
  <c r="O73" i="22"/>
  <c r="L73" i="22"/>
  <c r="I73" i="22"/>
  <c r="F73" i="22"/>
  <c r="C73" i="22"/>
  <c r="B73" i="22"/>
  <c r="L72" i="22"/>
  <c r="B72" i="22"/>
  <c r="O72" i="22" s="1"/>
  <c r="R71" i="22"/>
  <c r="O71" i="22"/>
  <c r="L71" i="22"/>
  <c r="I71" i="22"/>
  <c r="F71" i="22"/>
  <c r="C71" i="22"/>
  <c r="B71" i="22"/>
  <c r="B70" i="22"/>
  <c r="O70" i="22" s="1"/>
  <c r="B69" i="22"/>
  <c r="B68" i="22"/>
  <c r="O68" i="22" s="1"/>
  <c r="B67" i="22"/>
  <c r="I67" i="22" s="1"/>
  <c r="B66" i="22"/>
  <c r="Q65" i="22"/>
  <c r="Q62" i="22" s="1"/>
  <c r="N65" i="22"/>
  <c r="K65" i="22"/>
  <c r="K62" i="22" s="1"/>
  <c r="H65" i="22"/>
  <c r="H62" i="22" s="1"/>
  <c r="E65" i="22"/>
  <c r="R64" i="22"/>
  <c r="O64" i="22"/>
  <c r="L64" i="22"/>
  <c r="I64" i="22"/>
  <c r="F64" i="22"/>
  <c r="C64" i="22"/>
  <c r="B64" i="22"/>
  <c r="B63" i="22"/>
  <c r="O63" i="22" s="1"/>
  <c r="N62" i="22"/>
  <c r="R61" i="22"/>
  <c r="O61" i="22"/>
  <c r="L61" i="22"/>
  <c r="I61" i="22"/>
  <c r="F61" i="22"/>
  <c r="C61" i="22"/>
  <c r="B61" i="22"/>
  <c r="B60" i="22"/>
  <c r="O60" i="22" s="1"/>
  <c r="B59" i="22"/>
  <c r="L59" i="22" s="1"/>
  <c r="B58" i="22"/>
  <c r="O58" i="22" s="1"/>
  <c r="B57" i="22"/>
  <c r="I57" i="22" s="1"/>
  <c r="R56" i="22"/>
  <c r="F56" i="22"/>
  <c r="B56" i="22"/>
  <c r="O56" i="22" s="1"/>
  <c r="Q55" i="22"/>
  <c r="N55" i="22"/>
  <c r="K55" i="22"/>
  <c r="H55" i="22"/>
  <c r="E55" i="22"/>
  <c r="R54" i="22"/>
  <c r="O54" i="22"/>
  <c r="L54" i="22"/>
  <c r="I54" i="22"/>
  <c r="F54" i="22"/>
  <c r="C54" i="22"/>
  <c r="B54" i="22"/>
  <c r="O53" i="22"/>
  <c r="B53" i="22"/>
  <c r="R52" i="22"/>
  <c r="O52" i="22"/>
  <c r="L52" i="22"/>
  <c r="I52" i="22"/>
  <c r="F52" i="22"/>
  <c r="C52" i="22"/>
  <c r="B52" i="22"/>
  <c r="B51" i="22"/>
  <c r="L51" i="22" s="1"/>
  <c r="O50" i="22"/>
  <c r="B50" i="22"/>
  <c r="L50" i="22" s="1"/>
  <c r="B49" i="22"/>
  <c r="B48" i="22"/>
  <c r="B47" i="22"/>
  <c r="L47" i="22" s="1"/>
  <c r="B46" i="22"/>
  <c r="O46" i="22" s="1"/>
  <c r="B45" i="22"/>
  <c r="L45" i="22" s="1"/>
  <c r="F44" i="22"/>
  <c r="B44" i="22"/>
  <c r="O44" i="22" s="1"/>
  <c r="Q43" i="22"/>
  <c r="N43" i="22"/>
  <c r="K43" i="22"/>
  <c r="H43" i="22"/>
  <c r="E43" i="22"/>
  <c r="R42" i="22"/>
  <c r="O42" i="22"/>
  <c r="L42" i="22"/>
  <c r="I42" i="22"/>
  <c r="F42" i="22"/>
  <c r="C42" i="22"/>
  <c r="B42" i="22"/>
  <c r="B41" i="22"/>
  <c r="B40" i="22"/>
  <c r="B39" i="22"/>
  <c r="O39" i="22" s="1"/>
  <c r="R38" i="22"/>
  <c r="B38" i="22"/>
  <c r="L38" i="22" s="1"/>
  <c r="Q37" i="22"/>
  <c r="N37" i="22"/>
  <c r="K37" i="22"/>
  <c r="H37" i="22"/>
  <c r="E37" i="22"/>
  <c r="R35" i="22"/>
  <c r="O35" i="22"/>
  <c r="L35" i="22"/>
  <c r="I35" i="22"/>
  <c r="F35" i="22"/>
  <c r="C35" i="22"/>
  <c r="B35" i="22"/>
  <c r="B34" i="22"/>
  <c r="L34" i="22" s="1"/>
  <c r="B33" i="22"/>
  <c r="I32" i="22"/>
  <c r="B32" i="22"/>
  <c r="L32" i="22" s="1"/>
  <c r="B31" i="22"/>
  <c r="O31" i="22" s="1"/>
  <c r="B30" i="22"/>
  <c r="I30" i="22" s="1"/>
  <c r="Q29" i="22"/>
  <c r="N29" i="22"/>
  <c r="K29" i="22"/>
  <c r="H29" i="22"/>
  <c r="E29" i="22"/>
  <c r="Q28" i="22"/>
  <c r="N28" i="22"/>
  <c r="K28" i="22"/>
  <c r="H28" i="22"/>
  <c r="E28" i="22"/>
  <c r="B28" i="22" s="1"/>
  <c r="R27" i="22"/>
  <c r="O27" i="22"/>
  <c r="L27" i="22"/>
  <c r="I27" i="22"/>
  <c r="F27" i="22"/>
  <c r="C27" i="22"/>
  <c r="B27" i="22"/>
  <c r="B26" i="22"/>
  <c r="L26" i="22" s="1"/>
  <c r="B25" i="22"/>
  <c r="O25" i="22" s="1"/>
  <c r="B24" i="22"/>
  <c r="I24" i="22" s="1"/>
  <c r="Q23" i="22"/>
  <c r="N23" i="22"/>
  <c r="K23" i="22"/>
  <c r="H23" i="22"/>
  <c r="E23" i="22"/>
  <c r="R22" i="22"/>
  <c r="O22" i="22"/>
  <c r="L22" i="22"/>
  <c r="I22" i="22"/>
  <c r="F22" i="22"/>
  <c r="C22" i="22"/>
  <c r="B22" i="22"/>
  <c r="B21" i="22"/>
  <c r="L21" i="22" s="1"/>
  <c r="B20" i="22"/>
  <c r="B19" i="22"/>
  <c r="L19" i="22" s="1"/>
  <c r="Q18" i="22"/>
  <c r="Q17" i="22" s="1"/>
  <c r="N18" i="22"/>
  <c r="K18" i="22"/>
  <c r="K17" i="22" s="1"/>
  <c r="H18" i="22"/>
  <c r="E18" i="22"/>
  <c r="E17" i="22" s="1"/>
  <c r="R16" i="22"/>
  <c r="O16" i="22"/>
  <c r="L16" i="22"/>
  <c r="I16" i="22"/>
  <c r="F16" i="22"/>
  <c r="C16" i="22"/>
  <c r="B16" i="22"/>
  <c r="R14" i="22"/>
  <c r="O14" i="22"/>
  <c r="L14" i="22"/>
  <c r="I14" i="22"/>
  <c r="F14" i="22"/>
  <c r="C14" i="22"/>
  <c r="B14" i="22"/>
  <c r="R12" i="22"/>
  <c r="O12" i="22"/>
  <c r="L12" i="22"/>
  <c r="I12" i="22"/>
  <c r="F12" i="22"/>
  <c r="C12" i="22"/>
  <c r="B12" i="22"/>
  <c r="B112" i="21"/>
  <c r="R112" i="21" s="1"/>
  <c r="R111" i="21"/>
  <c r="B111" i="21"/>
  <c r="O111" i="21" s="1"/>
  <c r="B110" i="21"/>
  <c r="L110" i="21" s="1"/>
  <c r="B109" i="21"/>
  <c r="B108" i="21"/>
  <c r="R108" i="21" s="1"/>
  <c r="Q107" i="21"/>
  <c r="N107" i="21"/>
  <c r="K107" i="21"/>
  <c r="H107" i="21"/>
  <c r="E107" i="21"/>
  <c r="R106" i="21"/>
  <c r="O106" i="21"/>
  <c r="L106" i="21"/>
  <c r="I106" i="21"/>
  <c r="F106" i="21"/>
  <c r="B106" i="21"/>
  <c r="L105" i="21"/>
  <c r="B105" i="21"/>
  <c r="R104" i="21"/>
  <c r="O104" i="21"/>
  <c r="L104" i="21"/>
  <c r="I104" i="21"/>
  <c r="F104" i="21"/>
  <c r="C104" i="21"/>
  <c r="B104" i="21"/>
  <c r="B103" i="21"/>
  <c r="B102" i="21"/>
  <c r="L102" i="21" s="1"/>
  <c r="B101" i="21"/>
  <c r="L101" i="21" s="1"/>
  <c r="R100" i="21"/>
  <c r="O100" i="21"/>
  <c r="L100" i="21"/>
  <c r="I100" i="21"/>
  <c r="F100" i="21"/>
  <c r="C100" i="21"/>
  <c r="B100" i="21"/>
  <c r="Q99" i="21"/>
  <c r="N99" i="21"/>
  <c r="K99" i="21"/>
  <c r="H99" i="21"/>
  <c r="E99" i="21"/>
  <c r="R98" i="21"/>
  <c r="O98" i="21"/>
  <c r="L98" i="21"/>
  <c r="I98" i="21"/>
  <c r="F98" i="21"/>
  <c r="C98" i="21"/>
  <c r="B98" i="21"/>
  <c r="B97" i="21"/>
  <c r="L97" i="21" s="1"/>
  <c r="B96" i="21"/>
  <c r="L96" i="21" s="1"/>
  <c r="B95" i="21"/>
  <c r="R95" i="21" s="1"/>
  <c r="R94" i="21"/>
  <c r="O94" i="21"/>
  <c r="L94" i="21"/>
  <c r="I94" i="21"/>
  <c r="F94" i="21"/>
  <c r="C94" i="21"/>
  <c r="B94" i="21"/>
  <c r="O93" i="21"/>
  <c r="F93" i="21"/>
  <c r="B93" i="21"/>
  <c r="L93" i="21" s="1"/>
  <c r="B92" i="21"/>
  <c r="L92" i="21" s="1"/>
  <c r="B91" i="21"/>
  <c r="R91" i="21" s="1"/>
  <c r="B90" i="21"/>
  <c r="O90" i="21" s="1"/>
  <c r="B89" i="21"/>
  <c r="L89" i="21" s="1"/>
  <c r="B88" i="21"/>
  <c r="L88" i="21" s="1"/>
  <c r="I87" i="21"/>
  <c r="B87" i="21"/>
  <c r="R87" i="21" s="1"/>
  <c r="B86" i="21"/>
  <c r="O86" i="21" s="1"/>
  <c r="B85" i="21"/>
  <c r="L85" i="21" s="1"/>
  <c r="Q84" i="21"/>
  <c r="N84" i="21"/>
  <c r="N83" i="21" s="1"/>
  <c r="K84" i="21"/>
  <c r="H84" i="21"/>
  <c r="H83" i="21" s="1"/>
  <c r="E84" i="21"/>
  <c r="Q83" i="21"/>
  <c r="K83" i="21"/>
  <c r="E83" i="21"/>
  <c r="R82" i="21"/>
  <c r="O82" i="21"/>
  <c r="L82" i="21"/>
  <c r="I82" i="21"/>
  <c r="F82" i="21"/>
  <c r="C82" i="21"/>
  <c r="B82" i="21"/>
  <c r="B81" i="21"/>
  <c r="R81" i="21" s="1"/>
  <c r="B80" i="21"/>
  <c r="O80" i="21" s="1"/>
  <c r="R79" i="21"/>
  <c r="B79" i="21"/>
  <c r="L79" i="21" s="1"/>
  <c r="B78" i="21"/>
  <c r="L78" i="21" s="1"/>
  <c r="Q77" i="21"/>
  <c r="Q76" i="21" s="1"/>
  <c r="N77" i="21"/>
  <c r="N76" i="21" s="1"/>
  <c r="K77" i="21"/>
  <c r="H77" i="21"/>
  <c r="E77" i="21"/>
  <c r="E76" i="21" s="1"/>
  <c r="K76" i="21"/>
  <c r="R75" i="21"/>
  <c r="O75" i="21"/>
  <c r="L75" i="21"/>
  <c r="I75" i="21"/>
  <c r="F75" i="21"/>
  <c r="C75" i="21"/>
  <c r="B75" i="21"/>
  <c r="F74" i="21"/>
  <c r="B74" i="21"/>
  <c r="O74" i="21" s="1"/>
  <c r="R73" i="21"/>
  <c r="O73" i="21"/>
  <c r="L73" i="21"/>
  <c r="I73" i="21"/>
  <c r="F73" i="21"/>
  <c r="C73" i="21"/>
  <c r="B73" i="21"/>
  <c r="B72" i="21"/>
  <c r="L72" i="21" s="1"/>
  <c r="R71" i="21"/>
  <c r="O71" i="21"/>
  <c r="L71" i="21"/>
  <c r="I71" i="21"/>
  <c r="F71" i="21"/>
  <c r="C71" i="21"/>
  <c r="B71" i="21"/>
  <c r="B70" i="21"/>
  <c r="R70" i="21" s="1"/>
  <c r="B69" i="21"/>
  <c r="B68" i="21"/>
  <c r="L68" i="21" s="1"/>
  <c r="B67" i="21"/>
  <c r="R67" i="21" s="1"/>
  <c r="R66" i="21"/>
  <c r="B66" i="21"/>
  <c r="Q65" i="21"/>
  <c r="N65" i="21"/>
  <c r="N62" i="21" s="1"/>
  <c r="K65" i="21"/>
  <c r="H65" i="21"/>
  <c r="H62" i="21" s="1"/>
  <c r="E65" i="21"/>
  <c r="R64" i="21"/>
  <c r="O64" i="21"/>
  <c r="L64" i="21"/>
  <c r="I64" i="21"/>
  <c r="F64" i="21"/>
  <c r="C64" i="21"/>
  <c r="B64" i="21"/>
  <c r="B63" i="21"/>
  <c r="L63" i="21" s="1"/>
  <c r="R61" i="21"/>
  <c r="O61" i="21"/>
  <c r="L61" i="21"/>
  <c r="I61" i="21"/>
  <c r="F61" i="21"/>
  <c r="C61" i="21"/>
  <c r="B61" i="21"/>
  <c r="B60" i="21"/>
  <c r="R60" i="21" s="1"/>
  <c r="B59" i="21"/>
  <c r="B58" i="21"/>
  <c r="L58" i="21" s="1"/>
  <c r="B57" i="21"/>
  <c r="B56" i="21"/>
  <c r="L56" i="21" s="1"/>
  <c r="Q55" i="21"/>
  <c r="N55" i="21"/>
  <c r="K55" i="21"/>
  <c r="H55" i="21"/>
  <c r="E55" i="21"/>
  <c r="R54" i="21"/>
  <c r="O54" i="21"/>
  <c r="L54" i="21"/>
  <c r="I54" i="21"/>
  <c r="F54" i="21"/>
  <c r="C54" i="21"/>
  <c r="B54" i="21"/>
  <c r="B53" i="21"/>
  <c r="R52" i="21"/>
  <c r="O52" i="21"/>
  <c r="L52" i="21"/>
  <c r="I52" i="21"/>
  <c r="F52" i="21"/>
  <c r="C52" i="21"/>
  <c r="B52" i="21"/>
  <c r="I51" i="21"/>
  <c r="B51" i="21"/>
  <c r="L51" i="21" s="1"/>
  <c r="B50" i="21"/>
  <c r="L50" i="21" s="1"/>
  <c r="B49" i="21"/>
  <c r="B48" i="21"/>
  <c r="I48" i="21" s="1"/>
  <c r="B47" i="21"/>
  <c r="L47" i="21" s="1"/>
  <c r="B46" i="21"/>
  <c r="I46" i="21" s="1"/>
  <c r="B45" i="21"/>
  <c r="B44" i="21"/>
  <c r="Q43" i="21"/>
  <c r="N43" i="21"/>
  <c r="K43" i="21"/>
  <c r="H43" i="21"/>
  <c r="E43" i="21"/>
  <c r="R42" i="21"/>
  <c r="O42" i="21"/>
  <c r="L42" i="21"/>
  <c r="I42" i="21"/>
  <c r="F42" i="21"/>
  <c r="C42" i="21"/>
  <c r="B42" i="21"/>
  <c r="B41" i="21"/>
  <c r="I41" i="21" s="1"/>
  <c r="B40" i="21"/>
  <c r="O40" i="21" s="1"/>
  <c r="B39" i="21"/>
  <c r="L39" i="21" s="1"/>
  <c r="O38" i="21"/>
  <c r="B38" i="21"/>
  <c r="L38" i="21" s="1"/>
  <c r="Q37" i="21"/>
  <c r="N37" i="21"/>
  <c r="K37" i="21"/>
  <c r="H37" i="21"/>
  <c r="E37" i="21"/>
  <c r="N36" i="21"/>
  <c r="R35" i="21"/>
  <c r="O35" i="21"/>
  <c r="L35" i="21"/>
  <c r="I35" i="21"/>
  <c r="F35" i="21"/>
  <c r="C35" i="21"/>
  <c r="B35" i="21"/>
  <c r="B34" i="21"/>
  <c r="B33" i="21"/>
  <c r="B32" i="21"/>
  <c r="L32" i="21" s="1"/>
  <c r="B31" i="21"/>
  <c r="I31" i="21" s="1"/>
  <c r="I30" i="21"/>
  <c r="F30" i="21"/>
  <c r="B30" i="21"/>
  <c r="O30" i="21" s="1"/>
  <c r="Q29" i="21"/>
  <c r="Q28" i="21" s="1"/>
  <c r="N29" i="21"/>
  <c r="K29" i="21"/>
  <c r="H29" i="21"/>
  <c r="E29" i="21"/>
  <c r="N28" i="21"/>
  <c r="K28" i="21"/>
  <c r="H28" i="21"/>
  <c r="E28" i="21"/>
  <c r="R27" i="21"/>
  <c r="O27" i="21"/>
  <c r="L27" i="21"/>
  <c r="I27" i="21"/>
  <c r="F27" i="21"/>
  <c r="C27" i="21"/>
  <c r="B27" i="21"/>
  <c r="B26" i="21"/>
  <c r="L26" i="21" s="1"/>
  <c r="B25" i="21"/>
  <c r="I25" i="21" s="1"/>
  <c r="B24" i="21"/>
  <c r="O24" i="21" s="1"/>
  <c r="Q23" i="21"/>
  <c r="N23" i="21"/>
  <c r="K23" i="21"/>
  <c r="H23" i="21"/>
  <c r="E23" i="21"/>
  <c r="R22" i="21"/>
  <c r="O22" i="21"/>
  <c r="L22" i="21"/>
  <c r="I22" i="21"/>
  <c r="F22" i="21"/>
  <c r="C22" i="21"/>
  <c r="B22" i="21"/>
  <c r="B21" i="21"/>
  <c r="L21" i="21" s="1"/>
  <c r="B20" i="21"/>
  <c r="I20" i="21" s="1"/>
  <c r="I19" i="21"/>
  <c r="B19" i="21"/>
  <c r="O19" i="21" s="1"/>
  <c r="Q18" i="21"/>
  <c r="Q17" i="21" s="1"/>
  <c r="N18" i="21"/>
  <c r="N17" i="21" s="1"/>
  <c r="K18" i="21"/>
  <c r="K17" i="21" s="1"/>
  <c r="H18" i="21"/>
  <c r="E18" i="21"/>
  <c r="R16" i="21"/>
  <c r="O16" i="21"/>
  <c r="L16" i="21"/>
  <c r="I16" i="21"/>
  <c r="F16" i="21"/>
  <c r="C16" i="21"/>
  <c r="B16" i="21"/>
  <c r="R14" i="21"/>
  <c r="O14" i="21"/>
  <c r="L14" i="21"/>
  <c r="I14" i="21"/>
  <c r="F14" i="21"/>
  <c r="C14" i="21"/>
  <c r="B14" i="21"/>
  <c r="R12" i="21"/>
  <c r="O12" i="21"/>
  <c r="L12" i="21"/>
  <c r="I12" i="21"/>
  <c r="F12" i="21"/>
  <c r="C12" i="21"/>
  <c r="B12" i="21"/>
  <c r="R47" i="21" l="1"/>
  <c r="F56" i="21"/>
  <c r="I74" i="21"/>
  <c r="F80" i="21"/>
  <c r="F85" i="21"/>
  <c r="I86" i="21"/>
  <c r="I90" i="21"/>
  <c r="O97" i="21"/>
  <c r="F111" i="21"/>
  <c r="R26" i="22"/>
  <c r="R39" i="22"/>
  <c r="K36" i="22"/>
  <c r="O104" i="22"/>
  <c r="L114" i="22"/>
  <c r="J29" i="24"/>
  <c r="J39" i="24"/>
  <c r="J49" i="24"/>
  <c r="J57" i="24"/>
  <c r="J77" i="24"/>
  <c r="J15" i="25"/>
  <c r="D17" i="25"/>
  <c r="V19" i="25"/>
  <c r="D21" i="25"/>
  <c r="H100" i="147"/>
  <c r="H98" i="147" s="1"/>
  <c r="J98" i="147" s="1"/>
  <c r="J143" i="147"/>
  <c r="F24" i="21"/>
  <c r="R30" i="21"/>
  <c r="F40" i="21"/>
  <c r="F47" i="21"/>
  <c r="F50" i="21"/>
  <c r="O56" i="21"/>
  <c r="R74" i="21"/>
  <c r="F79" i="21"/>
  <c r="I80" i="21"/>
  <c r="O85" i="21"/>
  <c r="O89" i="21"/>
  <c r="R90" i="21"/>
  <c r="F21" i="22"/>
  <c r="I44" i="22"/>
  <c r="L46" i="22"/>
  <c r="R50" i="22"/>
  <c r="F59" i="22"/>
  <c r="I60" i="22"/>
  <c r="F79" i="22"/>
  <c r="F90" i="22"/>
  <c r="R93" i="22"/>
  <c r="F100" i="22"/>
  <c r="L103" i="22"/>
  <c r="F112" i="22"/>
  <c r="P29" i="24"/>
  <c r="G37" i="24"/>
  <c r="P38" i="24"/>
  <c r="P39" i="24"/>
  <c r="P57" i="24"/>
  <c r="P65" i="24"/>
  <c r="P77" i="24"/>
  <c r="J91" i="24"/>
  <c r="G93" i="24"/>
  <c r="J95" i="24"/>
  <c r="G119" i="24"/>
  <c r="G127" i="24"/>
  <c r="G135" i="24"/>
  <c r="G143" i="24"/>
  <c r="N250" i="147"/>
  <c r="I24" i="21"/>
  <c r="B37" i="21"/>
  <c r="I37" i="21" s="1"/>
  <c r="F39" i="21"/>
  <c r="R40" i="21"/>
  <c r="I47" i="21"/>
  <c r="L48" i="21"/>
  <c r="O50" i="21"/>
  <c r="R51" i="21"/>
  <c r="R56" i="21"/>
  <c r="R85" i="21"/>
  <c r="F110" i="21"/>
  <c r="I21" i="22"/>
  <c r="F26" i="22"/>
  <c r="F39" i="22"/>
  <c r="O59" i="22"/>
  <c r="F74" i="22"/>
  <c r="R79" i="22"/>
  <c r="I87" i="22"/>
  <c r="F89" i="22"/>
  <c r="I90" i="22"/>
  <c r="L92" i="22"/>
  <c r="I100" i="22"/>
  <c r="F105" i="22"/>
  <c r="O15" i="24"/>
  <c r="O13" i="24" s="1"/>
  <c r="O11" i="24" s="1"/>
  <c r="J93" i="24"/>
  <c r="P106" i="24"/>
  <c r="J119" i="24"/>
  <c r="J127" i="24"/>
  <c r="J135" i="24"/>
  <c r="J143" i="24"/>
  <c r="P146" i="24"/>
  <c r="G157" i="24"/>
  <c r="N46" i="147"/>
  <c r="N76" i="147"/>
  <c r="H257" i="147"/>
  <c r="O21" i="21"/>
  <c r="R24" i="21"/>
  <c r="O39" i="21"/>
  <c r="R46" i="21"/>
  <c r="O47" i="21"/>
  <c r="R50" i="21"/>
  <c r="I81" i="21"/>
  <c r="F90" i="21"/>
  <c r="R93" i="21"/>
  <c r="F97" i="21"/>
  <c r="H17" i="22"/>
  <c r="O26" i="22"/>
  <c r="L30" i="22"/>
  <c r="F32" i="22"/>
  <c r="I39" i="22"/>
  <c r="I45" i="22"/>
  <c r="F50" i="22"/>
  <c r="I51" i="22"/>
  <c r="I56" i="22"/>
  <c r="L58" i="22"/>
  <c r="R59" i="22"/>
  <c r="I74" i="22"/>
  <c r="R89" i="22"/>
  <c r="R100" i="22"/>
  <c r="F104" i="22"/>
  <c r="R105" i="22"/>
  <c r="G29" i="24"/>
  <c r="P37" i="24"/>
  <c r="G39" i="24"/>
  <c r="P47" i="24"/>
  <c r="G49" i="24"/>
  <c r="G57" i="24"/>
  <c r="G77" i="24"/>
  <c r="J85" i="24"/>
  <c r="G88" i="24"/>
  <c r="P90" i="24"/>
  <c r="P103" i="24"/>
  <c r="G105" i="24"/>
  <c r="G123" i="24"/>
  <c r="G131" i="24"/>
  <c r="P18" i="24"/>
  <c r="G18" i="24"/>
  <c r="B23" i="21"/>
  <c r="I23" i="21" s="1"/>
  <c r="R37" i="21"/>
  <c r="L69" i="21"/>
  <c r="R69" i="21"/>
  <c r="O69" i="21"/>
  <c r="F69" i="21"/>
  <c r="L69" i="22"/>
  <c r="R69" i="22"/>
  <c r="O69" i="22"/>
  <c r="F69" i="22"/>
  <c r="P100" i="24"/>
  <c r="J100" i="24"/>
  <c r="G100" i="24"/>
  <c r="R154" i="147"/>
  <c r="N154" i="147"/>
  <c r="N221" i="147"/>
  <c r="H182" i="147"/>
  <c r="J182" i="147" s="1"/>
  <c r="J221" i="147"/>
  <c r="N212" i="147"/>
  <c r="L209" i="147"/>
  <c r="R209" i="147" s="1"/>
  <c r="O34" i="21"/>
  <c r="R34" i="21"/>
  <c r="F34" i="21"/>
  <c r="I34" i="21"/>
  <c r="R57" i="21"/>
  <c r="I57" i="21"/>
  <c r="I13" i="24"/>
  <c r="I11" i="24" s="1"/>
  <c r="M84" i="24"/>
  <c r="P84" i="24"/>
  <c r="G84" i="24"/>
  <c r="L59" i="21"/>
  <c r="R59" i="21"/>
  <c r="O59" i="21"/>
  <c r="F59" i="21"/>
  <c r="N15" i="21"/>
  <c r="N13" i="21" s="1"/>
  <c r="N11" i="21" s="1"/>
  <c r="E17" i="21"/>
  <c r="H36" i="21"/>
  <c r="L60" i="21"/>
  <c r="O60" i="21"/>
  <c r="F60" i="21"/>
  <c r="I60" i="21"/>
  <c r="L66" i="21"/>
  <c r="O66" i="21"/>
  <c r="I66" i="21"/>
  <c r="F66" i="21"/>
  <c r="L33" i="21"/>
  <c r="R33" i="21"/>
  <c r="O33" i="21"/>
  <c r="F33" i="21"/>
  <c r="L70" i="21"/>
  <c r="O70" i="21"/>
  <c r="I70" i="21"/>
  <c r="F70" i="21"/>
  <c r="B83" i="21"/>
  <c r="L83" i="21" s="1"/>
  <c r="H17" i="21"/>
  <c r="O20" i="22"/>
  <c r="L20" i="22"/>
  <c r="O66" i="22"/>
  <c r="R66" i="22"/>
  <c r="I66" i="22"/>
  <c r="F66" i="22"/>
  <c r="R123" i="147"/>
  <c r="N123" i="147"/>
  <c r="P36" i="24"/>
  <c r="M36" i="24"/>
  <c r="B29" i="21"/>
  <c r="L44" i="21"/>
  <c r="R44" i="21"/>
  <c r="O44" i="21"/>
  <c r="F44" i="21"/>
  <c r="M23" i="24"/>
  <c r="P23" i="24"/>
  <c r="J23" i="24"/>
  <c r="G23" i="24"/>
  <c r="M45" i="24"/>
  <c r="P45" i="24"/>
  <c r="J45" i="24"/>
  <c r="G45" i="24"/>
  <c r="O103" i="21"/>
  <c r="R103" i="21"/>
  <c r="I103" i="21"/>
  <c r="F103" i="21"/>
  <c r="O33" i="22"/>
  <c r="R33" i="22"/>
  <c r="I33" i="22"/>
  <c r="F33" i="22"/>
  <c r="O37" i="21"/>
  <c r="R45" i="21"/>
  <c r="I45" i="21"/>
  <c r="F45" i="21"/>
  <c r="R98" i="22"/>
  <c r="L98" i="22"/>
  <c r="I98" i="22"/>
  <c r="M87" i="24"/>
  <c r="J87" i="24"/>
  <c r="R155" i="147"/>
  <c r="N155" i="147"/>
  <c r="B18" i="21"/>
  <c r="R19" i="21"/>
  <c r="I40" i="21"/>
  <c r="O51" i="21"/>
  <c r="I56" i="21"/>
  <c r="B77" i="21"/>
  <c r="O79" i="21"/>
  <c r="R86" i="21"/>
  <c r="R89" i="21"/>
  <c r="O110" i="21"/>
  <c r="I26" i="22"/>
  <c r="O51" i="22"/>
  <c r="R60" i="22"/>
  <c r="O79" i="22"/>
  <c r="O89" i="22"/>
  <c r="I105" i="22"/>
  <c r="I113" i="22"/>
  <c r="C21" i="24"/>
  <c r="P61" i="24"/>
  <c r="J79" i="24"/>
  <c r="G112" i="24"/>
  <c r="P21" i="25"/>
  <c r="N253" i="147"/>
  <c r="N286" i="147"/>
  <c r="F37" i="21"/>
  <c r="R51" i="22"/>
  <c r="C82" i="24"/>
  <c r="J112" i="24"/>
  <c r="J149" i="24"/>
  <c r="B43" i="21"/>
  <c r="B99" i="21"/>
  <c r="O99" i="21" s="1"/>
  <c r="B107" i="21"/>
  <c r="F107" i="21" s="1"/>
  <c r="B55" i="22"/>
  <c r="F55" i="22" s="1"/>
  <c r="C16" i="24"/>
  <c r="C41" i="24"/>
  <c r="M112" i="24"/>
  <c r="M149" i="24"/>
  <c r="H55" i="147"/>
  <c r="J55" i="147" s="1"/>
  <c r="P112" i="24"/>
  <c r="P149" i="24"/>
  <c r="F102" i="21"/>
  <c r="I108" i="21"/>
  <c r="I34" i="22"/>
  <c r="F38" i="22"/>
  <c r="F70" i="22"/>
  <c r="L78" i="22"/>
  <c r="L88" i="22"/>
  <c r="F97" i="22"/>
  <c r="G55" i="24"/>
  <c r="P94" i="24"/>
  <c r="N49" i="147"/>
  <c r="N104" i="147"/>
  <c r="N105" i="147"/>
  <c r="N108" i="147"/>
  <c r="R39" i="21"/>
  <c r="R80" i="21"/>
  <c r="I95" i="21"/>
  <c r="O102" i="21"/>
  <c r="I112" i="21"/>
  <c r="I19" i="22"/>
  <c r="O21" i="22"/>
  <c r="L25" i="22"/>
  <c r="O32" i="22"/>
  <c r="I38" i="22"/>
  <c r="R44" i="22"/>
  <c r="F47" i="22"/>
  <c r="L68" i="22"/>
  <c r="I70" i="22"/>
  <c r="R80" i="22"/>
  <c r="F86" i="22"/>
  <c r="R90" i="22"/>
  <c r="F93" i="22"/>
  <c r="O97" i="22"/>
  <c r="R104" i="22"/>
  <c r="R112" i="22"/>
  <c r="J22" i="24"/>
  <c r="L34" i="24"/>
  <c r="G47" i="24"/>
  <c r="P49" i="24"/>
  <c r="G51" i="24"/>
  <c r="J55" i="24"/>
  <c r="G65" i="24"/>
  <c r="G86" i="24"/>
  <c r="J89" i="24"/>
  <c r="G109" i="24"/>
  <c r="G113" i="24"/>
  <c r="G117" i="24"/>
  <c r="G121" i="24"/>
  <c r="G125" i="24"/>
  <c r="G129" i="24"/>
  <c r="G133" i="24"/>
  <c r="G137" i="24"/>
  <c r="G141" i="24"/>
  <c r="G150" i="24"/>
  <c r="V15" i="25"/>
  <c r="N51" i="147"/>
  <c r="N57" i="147"/>
  <c r="N116" i="147"/>
  <c r="N137" i="147"/>
  <c r="N162" i="147"/>
  <c r="I29" i="21"/>
  <c r="L37" i="21"/>
  <c r="B84" i="21"/>
  <c r="I67" i="21"/>
  <c r="I99" i="21"/>
  <c r="F19" i="21"/>
  <c r="O23" i="21"/>
  <c r="O26" i="21"/>
  <c r="B28" i="21"/>
  <c r="O29" i="21"/>
  <c r="O32" i="21"/>
  <c r="F51" i="21"/>
  <c r="F86" i="21"/>
  <c r="F89" i="21"/>
  <c r="I91" i="21"/>
  <c r="R102" i="21"/>
  <c r="R21" i="22"/>
  <c r="R32" i="22"/>
  <c r="O38" i="22"/>
  <c r="I47" i="22"/>
  <c r="F51" i="22"/>
  <c r="F60" i="22"/>
  <c r="R70" i="22"/>
  <c r="I86" i="22"/>
  <c r="O93" i="22"/>
  <c r="R97" i="22"/>
  <c r="F15" i="24"/>
  <c r="M22" i="24"/>
  <c r="J47" i="24"/>
  <c r="J51" i="24"/>
  <c r="P55" i="24"/>
  <c r="G61" i="24"/>
  <c r="J65" i="24"/>
  <c r="J83" i="24"/>
  <c r="P86" i="24"/>
  <c r="G95" i="24"/>
  <c r="G103" i="24"/>
  <c r="J109" i="24"/>
  <c r="J113" i="24"/>
  <c r="J117" i="24"/>
  <c r="J121" i="24"/>
  <c r="J125" i="24"/>
  <c r="J129" i="24"/>
  <c r="J133" i="24"/>
  <c r="J137" i="24"/>
  <c r="J141" i="24"/>
  <c r="G146" i="24"/>
  <c r="J150" i="24"/>
  <c r="G153" i="24"/>
  <c r="P17" i="25"/>
  <c r="J19" i="25"/>
  <c r="N63" i="147"/>
  <c r="H133" i="147"/>
  <c r="H150" i="147"/>
  <c r="J150" i="147" s="1"/>
  <c r="J21" i="147"/>
  <c r="H19" i="147"/>
  <c r="J42" i="147"/>
  <c r="R55" i="147"/>
  <c r="N73" i="147"/>
  <c r="J139" i="147"/>
  <c r="L204" i="147"/>
  <c r="N206" i="147"/>
  <c r="R206" i="147"/>
  <c r="J23" i="147"/>
  <c r="N27" i="147"/>
  <c r="N29" i="147"/>
  <c r="L33" i="147"/>
  <c r="R35" i="147"/>
  <c r="J44" i="147"/>
  <c r="R47" i="147"/>
  <c r="J67" i="147"/>
  <c r="H61" i="147"/>
  <c r="N78" i="147"/>
  <c r="R81" i="147"/>
  <c r="N192" i="147"/>
  <c r="R192" i="147"/>
  <c r="J141" i="147"/>
  <c r="L23" i="147"/>
  <c r="N25" i="147"/>
  <c r="N36" i="147"/>
  <c r="L44" i="147"/>
  <c r="N55" i="147"/>
  <c r="R73" i="147"/>
  <c r="N106" i="147"/>
  <c r="N109" i="147"/>
  <c r="N117" i="147"/>
  <c r="N124" i="147"/>
  <c r="R189" i="147"/>
  <c r="N196" i="147"/>
  <c r="R196" i="147"/>
  <c r="L247" i="147"/>
  <c r="N252" i="147"/>
  <c r="R252" i="147"/>
  <c r="L257" i="147"/>
  <c r="N259" i="147"/>
  <c r="R259" i="147"/>
  <c r="R57" i="147"/>
  <c r="L71" i="147"/>
  <c r="R75" i="147"/>
  <c r="H96" i="147"/>
  <c r="N113" i="147"/>
  <c r="N135" i="147"/>
  <c r="L134" i="147"/>
  <c r="N186" i="147"/>
  <c r="R186" i="147"/>
  <c r="J100" i="147"/>
  <c r="N103" i="147"/>
  <c r="N110" i="147"/>
  <c r="N122" i="147"/>
  <c r="N125" i="147"/>
  <c r="N136" i="147"/>
  <c r="L143" i="147"/>
  <c r="L152" i="147"/>
  <c r="R160" i="147"/>
  <c r="R188" i="147"/>
  <c r="R191" i="147"/>
  <c r="J200" i="147"/>
  <c r="N261" i="147"/>
  <c r="L120" i="147"/>
  <c r="L100" i="147" s="1"/>
  <c r="R146" i="147"/>
  <c r="R163" i="147"/>
  <c r="J204" i="147"/>
  <c r="N209" i="147"/>
  <c r="H245" i="147"/>
  <c r="J247" i="147"/>
  <c r="H255" i="147"/>
  <c r="J257" i="147"/>
  <c r="L269" i="147"/>
  <c r="N272" i="147"/>
  <c r="N227" i="147"/>
  <c r="L225" i="147"/>
  <c r="J269" i="147"/>
  <c r="R274" i="147"/>
  <c r="R282" i="147"/>
  <c r="R194" i="147"/>
  <c r="R212" i="147"/>
  <c r="R216" i="147"/>
  <c r="R221" i="147"/>
  <c r="R223" i="147"/>
  <c r="N249" i="147"/>
  <c r="N271" i="147"/>
  <c r="R281" i="147"/>
  <c r="N288" i="147"/>
  <c r="G15" i="25"/>
  <c r="G19" i="25"/>
  <c r="M21" i="25"/>
  <c r="M15" i="25"/>
  <c r="G17" i="25"/>
  <c r="S17" i="25"/>
  <c r="M19" i="25"/>
  <c r="S21" i="25"/>
  <c r="S15" i="25"/>
  <c r="D15" i="25"/>
  <c r="D13" i="25" s="1"/>
  <c r="P15" i="25"/>
  <c r="J17" i="25"/>
  <c r="V17" i="25"/>
  <c r="P17" i="24"/>
  <c r="J18" i="24"/>
  <c r="P19" i="24"/>
  <c r="P22" i="24"/>
  <c r="J24" i="24"/>
  <c r="J28" i="24"/>
  <c r="G41" i="24"/>
  <c r="P46" i="24"/>
  <c r="J46" i="24"/>
  <c r="G46" i="24"/>
  <c r="G17" i="24"/>
  <c r="M18" i="24"/>
  <c r="G19" i="24"/>
  <c r="M24" i="24"/>
  <c r="M28" i="24"/>
  <c r="M30" i="24"/>
  <c r="M32" i="24"/>
  <c r="J36" i="24"/>
  <c r="G36" i="24"/>
  <c r="J38" i="24"/>
  <c r="G38" i="24"/>
  <c r="J42" i="24"/>
  <c r="G42" i="24"/>
  <c r="P44" i="24"/>
  <c r="J44" i="24"/>
  <c r="G44" i="24"/>
  <c r="M46" i="24"/>
  <c r="J17" i="24"/>
  <c r="J19" i="24"/>
  <c r="P24" i="24"/>
  <c r="C27" i="24"/>
  <c r="F26" i="24"/>
  <c r="P28" i="24"/>
  <c r="P48" i="24"/>
  <c r="J48" i="24"/>
  <c r="G48" i="24"/>
  <c r="J30" i="24"/>
  <c r="G30" i="24"/>
  <c r="J32" i="24"/>
  <c r="G32" i="24"/>
  <c r="C35" i="24"/>
  <c r="F34" i="24"/>
  <c r="P41" i="24"/>
  <c r="J41" i="24"/>
  <c r="M41" i="24"/>
  <c r="P82" i="24"/>
  <c r="J82" i="24"/>
  <c r="C53" i="24"/>
  <c r="G54" i="24"/>
  <c r="G56" i="24"/>
  <c r="G58" i="24"/>
  <c r="F60" i="24"/>
  <c r="L60" i="24"/>
  <c r="C63" i="24"/>
  <c r="G63" i="24" s="1"/>
  <c r="G64" i="24"/>
  <c r="G66" i="24"/>
  <c r="G68" i="24"/>
  <c r="G70" i="24"/>
  <c r="G72" i="24"/>
  <c r="F74" i="24"/>
  <c r="L74" i="24"/>
  <c r="C75" i="24"/>
  <c r="G76" i="24"/>
  <c r="G78" i="24"/>
  <c r="G82" i="24"/>
  <c r="M82" i="24"/>
  <c r="P83" i="24"/>
  <c r="J84" i="24"/>
  <c r="P85" i="24"/>
  <c r="J86" i="24"/>
  <c r="P87" i="24"/>
  <c r="J88" i="24"/>
  <c r="P89" i="24"/>
  <c r="J90" i="24"/>
  <c r="P91" i="24"/>
  <c r="P93" i="24"/>
  <c r="J94" i="24"/>
  <c r="P95" i="24"/>
  <c r="M108" i="24"/>
  <c r="J54" i="24"/>
  <c r="J56" i="24"/>
  <c r="J58" i="24"/>
  <c r="J64" i="24"/>
  <c r="J66" i="24"/>
  <c r="J68" i="24"/>
  <c r="J70" i="24"/>
  <c r="J72" i="24"/>
  <c r="J76" i="24"/>
  <c r="J78" i="24"/>
  <c r="F81" i="24"/>
  <c r="G83" i="24"/>
  <c r="G85" i="24"/>
  <c r="G87" i="24"/>
  <c r="G89" i="24"/>
  <c r="M90" i="24"/>
  <c r="G91" i="24"/>
  <c r="M94" i="24"/>
  <c r="G99" i="24"/>
  <c r="P99" i="24"/>
  <c r="G104" i="24"/>
  <c r="P104" i="24"/>
  <c r="P110" i="24"/>
  <c r="J110" i="24"/>
  <c r="G110" i="24"/>
  <c r="M54" i="24"/>
  <c r="M56" i="24"/>
  <c r="M58" i="24"/>
  <c r="M64" i="24"/>
  <c r="M66" i="24"/>
  <c r="M68" i="24"/>
  <c r="M70" i="24"/>
  <c r="M72" i="24"/>
  <c r="M76" i="24"/>
  <c r="M78" i="24"/>
  <c r="L97" i="24"/>
  <c r="G102" i="24"/>
  <c r="P102" i="24"/>
  <c r="J108" i="24"/>
  <c r="G108" i="24"/>
  <c r="C98" i="24"/>
  <c r="G98" i="24" s="1"/>
  <c r="M99" i="24"/>
  <c r="M101" i="24"/>
  <c r="J101" i="24"/>
  <c r="J102" i="24"/>
  <c r="M104" i="24"/>
  <c r="J106" i="24"/>
  <c r="G106" i="24"/>
  <c r="M100" i="24"/>
  <c r="J103" i="24"/>
  <c r="M105" i="24"/>
  <c r="M107" i="24"/>
  <c r="M109" i="24"/>
  <c r="M113" i="24"/>
  <c r="G114" i="24"/>
  <c r="M115" i="24"/>
  <c r="G116" i="24"/>
  <c r="M117" i="24"/>
  <c r="G118" i="24"/>
  <c r="M119" i="24"/>
  <c r="G120" i="24"/>
  <c r="M121" i="24"/>
  <c r="G122" i="24"/>
  <c r="M123" i="24"/>
  <c r="G124" i="24"/>
  <c r="M125" i="24"/>
  <c r="G126" i="24"/>
  <c r="M127" i="24"/>
  <c r="G128" i="24"/>
  <c r="M129" i="24"/>
  <c r="G130" i="24"/>
  <c r="M131" i="24"/>
  <c r="G132" i="24"/>
  <c r="M133" i="24"/>
  <c r="G134" i="24"/>
  <c r="M135" i="24"/>
  <c r="G136" i="24"/>
  <c r="M137" i="24"/>
  <c r="G138" i="24"/>
  <c r="M139" i="24"/>
  <c r="G140" i="24"/>
  <c r="M141" i="24"/>
  <c r="G142" i="24"/>
  <c r="M143" i="24"/>
  <c r="G144" i="24"/>
  <c r="P145" i="24"/>
  <c r="J146" i="24"/>
  <c r="G147" i="24"/>
  <c r="M150" i="24"/>
  <c r="G151" i="24"/>
  <c r="J153" i="24"/>
  <c r="C155" i="24"/>
  <c r="G155" i="24" s="1"/>
  <c r="G156" i="24"/>
  <c r="M157" i="24"/>
  <c r="G158" i="24"/>
  <c r="M159" i="24"/>
  <c r="G160" i="24"/>
  <c r="J114" i="24"/>
  <c r="J116" i="24"/>
  <c r="J118" i="24"/>
  <c r="J120" i="24"/>
  <c r="J122" i="24"/>
  <c r="J124" i="24"/>
  <c r="J126" i="24"/>
  <c r="J128" i="24"/>
  <c r="J130" i="24"/>
  <c r="J132" i="24"/>
  <c r="J134" i="24"/>
  <c r="J136" i="24"/>
  <c r="J138" i="24"/>
  <c r="J140" i="24"/>
  <c r="J142" i="24"/>
  <c r="J144" i="24"/>
  <c r="G145" i="24"/>
  <c r="J147" i="24"/>
  <c r="G149" i="24"/>
  <c r="J151" i="24"/>
  <c r="M153" i="24"/>
  <c r="J156" i="24"/>
  <c r="P157" i="24"/>
  <c r="J158" i="24"/>
  <c r="P159" i="24"/>
  <c r="J160" i="24"/>
  <c r="M114" i="24"/>
  <c r="M116" i="24"/>
  <c r="M118" i="24"/>
  <c r="M120" i="24"/>
  <c r="M122" i="24"/>
  <c r="M124" i="24"/>
  <c r="M126" i="24"/>
  <c r="M128" i="24"/>
  <c r="M130" i="24"/>
  <c r="M132" i="24"/>
  <c r="M134" i="24"/>
  <c r="M136" i="24"/>
  <c r="M138" i="24"/>
  <c r="M140" i="24"/>
  <c r="M142" i="24"/>
  <c r="M144" i="24"/>
  <c r="J145" i="24"/>
  <c r="M147" i="24"/>
  <c r="M151" i="24"/>
  <c r="M156" i="24"/>
  <c r="M158" i="24"/>
  <c r="G159" i="24"/>
  <c r="M160" i="24"/>
  <c r="B29" i="22"/>
  <c r="O29" i="22" s="1"/>
  <c r="R40" i="22"/>
  <c r="F40" i="22"/>
  <c r="O40" i="22"/>
  <c r="R48" i="22"/>
  <c r="O48" i="22"/>
  <c r="L48" i="22"/>
  <c r="I48" i="22"/>
  <c r="B65" i="22"/>
  <c r="R65" i="22" s="1"/>
  <c r="E62" i="22"/>
  <c r="B102" i="22"/>
  <c r="R24" i="22"/>
  <c r="F24" i="22"/>
  <c r="O24" i="22"/>
  <c r="R28" i="22"/>
  <c r="B37" i="22"/>
  <c r="F37" i="22" s="1"/>
  <c r="I41" i="22"/>
  <c r="R41" i="22"/>
  <c r="F41" i="22"/>
  <c r="I63" i="22"/>
  <c r="R63" i="22"/>
  <c r="F63" i="22"/>
  <c r="L63" i="22"/>
  <c r="R67" i="22"/>
  <c r="F67" i="22"/>
  <c r="O67" i="22"/>
  <c r="L67" i="22"/>
  <c r="B77" i="22"/>
  <c r="R84" i="22"/>
  <c r="L28" i="22"/>
  <c r="I31" i="22"/>
  <c r="R31" i="22"/>
  <c r="F31" i="22"/>
  <c r="K15" i="22"/>
  <c r="B18" i="22"/>
  <c r="I20" i="22"/>
  <c r="R20" i="22"/>
  <c r="F20" i="22"/>
  <c r="L24" i="22"/>
  <c r="F28" i="22"/>
  <c r="O28" i="22"/>
  <c r="R30" i="22"/>
  <c r="F30" i="22"/>
  <c r="O30" i="22"/>
  <c r="E36" i="22"/>
  <c r="Q36" i="22"/>
  <c r="R37" i="22"/>
  <c r="I40" i="22"/>
  <c r="L41" i="22"/>
  <c r="I46" i="22"/>
  <c r="F46" i="22"/>
  <c r="F48" i="22"/>
  <c r="I53" i="22"/>
  <c r="R53" i="22"/>
  <c r="F53" i="22"/>
  <c r="L53" i="22"/>
  <c r="R57" i="22"/>
  <c r="F57" i="22"/>
  <c r="O57" i="22"/>
  <c r="L57" i="22"/>
  <c r="H76" i="22"/>
  <c r="R81" i="22"/>
  <c r="F81" i="22"/>
  <c r="O81" i="22"/>
  <c r="L81" i="22"/>
  <c r="I96" i="22"/>
  <c r="R96" i="22"/>
  <c r="F96" i="22"/>
  <c r="L96" i="22"/>
  <c r="B109" i="22"/>
  <c r="N17" i="22"/>
  <c r="B17" i="22" s="1"/>
  <c r="R19" i="22"/>
  <c r="F19" i="22"/>
  <c r="O19" i="22"/>
  <c r="B23" i="22"/>
  <c r="O23" i="22" s="1"/>
  <c r="I25" i="22"/>
  <c r="R25" i="22"/>
  <c r="F25" i="22"/>
  <c r="I28" i="22"/>
  <c r="L31" i="22"/>
  <c r="R34" i="22"/>
  <c r="F34" i="22"/>
  <c r="O34" i="22"/>
  <c r="L37" i="22"/>
  <c r="L40" i="22"/>
  <c r="O41" i="22"/>
  <c r="B43" i="22"/>
  <c r="R45" i="22"/>
  <c r="F45" i="22"/>
  <c r="O45" i="22"/>
  <c r="I49" i="22"/>
  <c r="R49" i="22"/>
  <c r="F49" i="22"/>
  <c r="O49" i="22"/>
  <c r="L49" i="22"/>
  <c r="O55" i="22"/>
  <c r="I55" i="22"/>
  <c r="I111" i="22"/>
  <c r="R111" i="22"/>
  <c r="F111" i="22"/>
  <c r="L111" i="22"/>
  <c r="L33" i="22"/>
  <c r="L39" i="22"/>
  <c r="L44" i="22"/>
  <c r="O47" i="22"/>
  <c r="I88" i="22"/>
  <c r="R88" i="22"/>
  <c r="F88" i="22"/>
  <c r="I92" i="22"/>
  <c r="R92" i="22"/>
  <c r="F92" i="22"/>
  <c r="R95" i="22"/>
  <c r="F95" i="22"/>
  <c r="O95" i="22"/>
  <c r="R110" i="22"/>
  <c r="F110" i="22"/>
  <c r="O110" i="22"/>
  <c r="R114" i="22"/>
  <c r="F114" i="22"/>
  <c r="O114" i="22"/>
  <c r="H36" i="22"/>
  <c r="N36" i="22"/>
  <c r="R47" i="22"/>
  <c r="I58" i="22"/>
  <c r="R58" i="22"/>
  <c r="F58" i="22"/>
  <c r="I68" i="22"/>
  <c r="R68" i="22"/>
  <c r="F68" i="22"/>
  <c r="I72" i="22"/>
  <c r="R72" i="22"/>
  <c r="F72" i="22"/>
  <c r="I78" i="22"/>
  <c r="R78" i="22"/>
  <c r="F78" i="22"/>
  <c r="B83" i="22"/>
  <c r="R83" i="22" s="1"/>
  <c r="B84" i="22"/>
  <c r="L84" i="22" s="1"/>
  <c r="R87" i="22"/>
  <c r="F87" i="22"/>
  <c r="O87" i="22"/>
  <c r="R91" i="22"/>
  <c r="F91" i="22"/>
  <c r="O91" i="22"/>
  <c r="I95" i="22"/>
  <c r="I103" i="22"/>
  <c r="R103" i="22"/>
  <c r="F103" i="22"/>
  <c r="I107" i="22"/>
  <c r="R107" i="22"/>
  <c r="F107" i="22"/>
  <c r="I110" i="22"/>
  <c r="I50" i="22"/>
  <c r="L56" i="22"/>
  <c r="I59" i="22"/>
  <c r="L60" i="22"/>
  <c r="L66" i="22"/>
  <c r="I69" i="22"/>
  <c r="L70" i="22"/>
  <c r="L74" i="22"/>
  <c r="I79" i="22"/>
  <c r="L80" i="22"/>
  <c r="I85" i="22"/>
  <c r="L86" i="22"/>
  <c r="I89" i="22"/>
  <c r="L90" i="22"/>
  <c r="I93" i="22"/>
  <c r="I97" i="22"/>
  <c r="O98" i="22"/>
  <c r="L100" i="22"/>
  <c r="I104" i="22"/>
  <c r="L105" i="22"/>
  <c r="I112" i="22"/>
  <c r="L113" i="22"/>
  <c r="F98" i="22"/>
  <c r="O18" i="21"/>
  <c r="F23" i="21"/>
  <c r="R23" i="21"/>
  <c r="L23" i="21"/>
  <c r="I28" i="21"/>
  <c r="L29" i="21"/>
  <c r="R29" i="21"/>
  <c r="F29" i="21"/>
  <c r="O43" i="21"/>
  <c r="I43" i="21"/>
  <c r="R18" i="21"/>
  <c r="L18" i="21"/>
  <c r="F18" i="21"/>
  <c r="L43" i="21"/>
  <c r="R28" i="21"/>
  <c r="F28" i="21"/>
  <c r="L28" i="21"/>
  <c r="R43" i="21"/>
  <c r="I18" i="21"/>
  <c r="O28" i="21"/>
  <c r="L20" i="21"/>
  <c r="I53" i="21"/>
  <c r="R53" i="21"/>
  <c r="F53" i="21"/>
  <c r="O53" i="21"/>
  <c r="Q62" i="21"/>
  <c r="L19" i="21"/>
  <c r="O20" i="21"/>
  <c r="F21" i="21"/>
  <c r="R21" i="21"/>
  <c r="L24" i="21"/>
  <c r="O25" i="21"/>
  <c r="F26" i="21"/>
  <c r="R26" i="21"/>
  <c r="L30" i="21"/>
  <c r="O31" i="21"/>
  <c r="F32" i="21"/>
  <c r="R32" i="21"/>
  <c r="I33" i="21"/>
  <c r="L34" i="21"/>
  <c r="E36" i="21"/>
  <c r="K36" i="21"/>
  <c r="Q36" i="21"/>
  <c r="F38" i="21"/>
  <c r="R38" i="21"/>
  <c r="I39" i="21"/>
  <c r="L40" i="21"/>
  <c r="O41" i="21"/>
  <c r="F43" i="21"/>
  <c r="I44" i="21"/>
  <c r="L45" i="21"/>
  <c r="F46" i="21"/>
  <c r="I49" i="21"/>
  <c r="R49" i="21"/>
  <c r="F49" i="21"/>
  <c r="O49" i="21"/>
  <c r="L53" i="21"/>
  <c r="B55" i="21"/>
  <c r="F55" i="21" s="1"/>
  <c r="I58" i="21"/>
  <c r="R58" i="21"/>
  <c r="F58" i="21"/>
  <c r="O58" i="21"/>
  <c r="H76" i="21"/>
  <c r="O77" i="21"/>
  <c r="O83" i="21"/>
  <c r="I109" i="21"/>
  <c r="R109" i="21"/>
  <c r="F109" i="21"/>
  <c r="O109" i="21"/>
  <c r="L25" i="21"/>
  <c r="L31" i="21"/>
  <c r="L41" i="21"/>
  <c r="B65" i="21"/>
  <c r="L65" i="21" s="1"/>
  <c r="E62" i="21"/>
  <c r="I68" i="21"/>
  <c r="R68" i="21"/>
  <c r="F68" i="21"/>
  <c r="O68" i="21"/>
  <c r="L77" i="21"/>
  <c r="I101" i="21"/>
  <c r="R101" i="21"/>
  <c r="F101" i="21"/>
  <c r="O101" i="21"/>
  <c r="F20" i="21"/>
  <c r="R20" i="21"/>
  <c r="I21" i="21"/>
  <c r="F25" i="21"/>
  <c r="R25" i="21"/>
  <c r="I26" i="21"/>
  <c r="F31" i="21"/>
  <c r="R31" i="21"/>
  <c r="I32" i="21"/>
  <c r="I38" i="21"/>
  <c r="F41" i="21"/>
  <c r="R41" i="21"/>
  <c r="O45" i="21"/>
  <c r="L46" i="21"/>
  <c r="R48" i="21"/>
  <c r="F48" i="21"/>
  <c r="O48" i="21"/>
  <c r="L49" i="21"/>
  <c r="K62" i="21"/>
  <c r="F77" i="21"/>
  <c r="R77" i="21"/>
  <c r="I88" i="21"/>
  <c r="R88" i="21"/>
  <c r="F88" i="21"/>
  <c r="O88" i="21"/>
  <c r="I105" i="21"/>
  <c r="R105" i="21"/>
  <c r="F105" i="21"/>
  <c r="O105" i="21"/>
  <c r="L109" i="21"/>
  <c r="O46" i="21"/>
  <c r="L55" i="21"/>
  <c r="I63" i="21"/>
  <c r="R63" i="21"/>
  <c r="F63" i="21"/>
  <c r="O63" i="21"/>
  <c r="I72" i="21"/>
  <c r="R72" i="21"/>
  <c r="F72" i="21"/>
  <c r="O72" i="21"/>
  <c r="I77" i="21"/>
  <c r="I78" i="21"/>
  <c r="R78" i="21"/>
  <c r="F78" i="21"/>
  <c r="O78" i="21"/>
  <c r="I92" i="21"/>
  <c r="R92" i="21"/>
  <c r="F92" i="21"/>
  <c r="O92" i="21"/>
  <c r="I96" i="21"/>
  <c r="R96" i="21"/>
  <c r="F96" i="21"/>
  <c r="O96" i="21"/>
  <c r="L57" i="21"/>
  <c r="L67" i="21"/>
  <c r="L81" i="21"/>
  <c r="L87" i="21"/>
  <c r="L91" i="21"/>
  <c r="L95" i="21"/>
  <c r="R97" i="21"/>
  <c r="L108" i="21"/>
  <c r="R110" i="21"/>
  <c r="I111" i="21"/>
  <c r="L112" i="21"/>
  <c r="I50" i="21"/>
  <c r="O57" i="21"/>
  <c r="I59" i="21"/>
  <c r="O67" i="21"/>
  <c r="I69" i="21"/>
  <c r="L74" i="21"/>
  <c r="I79" i="21"/>
  <c r="L80" i="21"/>
  <c r="O81" i="21"/>
  <c r="F83" i="21"/>
  <c r="I85" i="21"/>
  <c r="L86" i="21"/>
  <c r="O87" i="21"/>
  <c r="I89" i="21"/>
  <c r="L90" i="21"/>
  <c r="O91" i="21"/>
  <c r="I93" i="21"/>
  <c r="O95" i="21"/>
  <c r="I97" i="21"/>
  <c r="I102" i="21"/>
  <c r="L103" i="21"/>
  <c r="O108" i="21"/>
  <c r="I110" i="21"/>
  <c r="L111" i="21"/>
  <c r="O112" i="21"/>
  <c r="F57" i="21"/>
  <c r="F67" i="21"/>
  <c r="F81" i="21"/>
  <c r="F87" i="21"/>
  <c r="F91" i="21"/>
  <c r="F95" i="21"/>
  <c r="F108" i="21"/>
  <c r="F112" i="21"/>
  <c r="I114" i="19"/>
  <c r="B114" i="19"/>
  <c r="R114" i="19" s="1"/>
  <c r="R113" i="19"/>
  <c r="B113" i="19"/>
  <c r="O113" i="19" s="1"/>
  <c r="B112" i="19"/>
  <c r="L112" i="19" s="1"/>
  <c r="B111" i="19"/>
  <c r="B110" i="19"/>
  <c r="R110" i="19" s="1"/>
  <c r="Q109" i="19"/>
  <c r="N109" i="19"/>
  <c r="K109" i="19"/>
  <c r="H109" i="19"/>
  <c r="E109" i="19"/>
  <c r="R108" i="19"/>
  <c r="O108" i="19"/>
  <c r="L108" i="19"/>
  <c r="I108" i="19"/>
  <c r="F108" i="19"/>
  <c r="I107" i="19"/>
  <c r="B107" i="19"/>
  <c r="R107" i="19" s="1"/>
  <c r="R106" i="19"/>
  <c r="O106" i="19"/>
  <c r="L106" i="19"/>
  <c r="I106" i="19"/>
  <c r="F106" i="19"/>
  <c r="C106" i="19"/>
  <c r="B106" i="19"/>
  <c r="O105" i="19"/>
  <c r="B105" i="19"/>
  <c r="L105" i="19" s="1"/>
  <c r="B104" i="19"/>
  <c r="B103" i="19"/>
  <c r="R102" i="19"/>
  <c r="O102" i="19"/>
  <c r="L102" i="19"/>
  <c r="I102" i="19"/>
  <c r="F102" i="19"/>
  <c r="C102" i="19"/>
  <c r="B102" i="19"/>
  <c r="Q101" i="19"/>
  <c r="N101" i="19"/>
  <c r="K101" i="19"/>
  <c r="H101" i="19"/>
  <c r="E101" i="19"/>
  <c r="R100" i="19"/>
  <c r="O100" i="19"/>
  <c r="L100" i="19"/>
  <c r="I100" i="19"/>
  <c r="F100" i="19"/>
  <c r="C100" i="19"/>
  <c r="B100" i="19"/>
  <c r="B99" i="19"/>
  <c r="R98" i="19"/>
  <c r="O98" i="19"/>
  <c r="L98" i="19"/>
  <c r="I98" i="19"/>
  <c r="F98" i="19"/>
  <c r="C98" i="19"/>
  <c r="B98" i="19"/>
  <c r="B97" i="19"/>
  <c r="L97" i="19" s="1"/>
  <c r="B96" i="19"/>
  <c r="L96" i="19" s="1"/>
  <c r="B95" i="19"/>
  <c r="R94" i="19"/>
  <c r="O94" i="19"/>
  <c r="L94" i="19"/>
  <c r="I94" i="19"/>
  <c r="F94" i="19"/>
  <c r="C94" i="19"/>
  <c r="B94" i="19"/>
  <c r="R93" i="19"/>
  <c r="O93" i="19"/>
  <c r="B93" i="19"/>
  <c r="L93" i="19" s="1"/>
  <c r="B92" i="19"/>
  <c r="L92" i="19" s="1"/>
  <c r="B91" i="19"/>
  <c r="I90" i="19"/>
  <c r="B90" i="19"/>
  <c r="O90" i="19" s="1"/>
  <c r="B89" i="19"/>
  <c r="B88" i="19"/>
  <c r="B87" i="19"/>
  <c r="B86" i="19"/>
  <c r="O86" i="19" s="1"/>
  <c r="B85" i="19"/>
  <c r="Q84" i="19"/>
  <c r="N84" i="19"/>
  <c r="K84" i="19"/>
  <c r="K83" i="19" s="1"/>
  <c r="H84" i="19"/>
  <c r="H83" i="19" s="1"/>
  <c r="E84" i="19"/>
  <c r="N83" i="19"/>
  <c r="R82" i="19"/>
  <c r="O82" i="19"/>
  <c r="L82" i="19"/>
  <c r="I82" i="19"/>
  <c r="F82" i="19"/>
  <c r="C82" i="19"/>
  <c r="B82" i="19"/>
  <c r="B81" i="19"/>
  <c r="B80" i="19"/>
  <c r="O80" i="19" s="1"/>
  <c r="B79" i="19"/>
  <c r="O79" i="19" s="1"/>
  <c r="B78" i="19"/>
  <c r="L78" i="19" s="1"/>
  <c r="Q77" i="19"/>
  <c r="N77" i="19"/>
  <c r="K77" i="19"/>
  <c r="H77" i="19"/>
  <c r="E77" i="19"/>
  <c r="Q76" i="19"/>
  <c r="N76" i="19"/>
  <c r="E76" i="19"/>
  <c r="R75" i="19"/>
  <c r="O75" i="19"/>
  <c r="L75" i="19"/>
  <c r="I75" i="19"/>
  <c r="F75" i="19"/>
  <c r="C75" i="19"/>
  <c r="B75" i="19"/>
  <c r="B74" i="19"/>
  <c r="R73" i="19"/>
  <c r="O73" i="19"/>
  <c r="L73" i="19"/>
  <c r="I73" i="19"/>
  <c r="F73" i="19"/>
  <c r="C73" i="19"/>
  <c r="B73" i="19"/>
  <c r="O72" i="19"/>
  <c r="B72" i="19"/>
  <c r="L72" i="19" s="1"/>
  <c r="R71" i="19"/>
  <c r="O71" i="19"/>
  <c r="L71" i="19"/>
  <c r="I71" i="19"/>
  <c r="F71" i="19"/>
  <c r="C71" i="19"/>
  <c r="B71" i="19"/>
  <c r="B70" i="19"/>
  <c r="O70" i="19" s="1"/>
  <c r="B69" i="19"/>
  <c r="B68" i="19"/>
  <c r="B67" i="19"/>
  <c r="L67" i="19" s="1"/>
  <c r="B66" i="19"/>
  <c r="Q65" i="19"/>
  <c r="N65" i="19"/>
  <c r="N62" i="19" s="1"/>
  <c r="K65" i="19"/>
  <c r="K62" i="19" s="1"/>
  <c r="H65" i="19"/>
  <c r="H62" i="19" s="1"/>
  <c r="E65" i="19"/>
  <c r="R64" i="19"/>
  <c r="O64" i="19"/>
  <c r="L64" i="19"/>
  <c r="I64" i="19"/>
  <c r="F64" i="19"/>
  <c r="C64" i="19"/>
  <c r="B64" i="19"/>
  <c r="B63" i="19"/>
  <c r="E62" i="19"/>
  <c r="R61" i="19"/>
  <c r="O61" i="19"/>
  <c r="L61" i="19"/>
  <c r="I61" i="19"/>
  <c r="F61" i="19"/>
  <c r="C61" i="19"/>
  <c r="B61" i="19"/>
  <c r="R60" i="19"/>
  <c r="B60" i="19"/>
  <c r="B59" i="19"/>
  <c r="B58" i="19"/>
  <c r="L58" i="19" s="1"/>
  <c r="B57" i="19"/>
  <c r="B56" i="19"/>
  <c r="O56" i="19" s="1"/>
  <c r="Q55" i="19"/>
  <c r="N55" i="19"/>
  <c r="K55" i="19"/>
  <c r="H55" i="19"/>
  <c r="E55" i="19"/>
  <c r="R54" i="19"/>
  <c r="O54" i="19"/>
  <c r="L54" i="19"/>
  <c r="I54" i="19"/>
  <c r="F54" i="19"/>
  <c r="C54" i="19"/>
  <c r="B54" i="19"/>
  <c r="O53" i="19"/>
  <c r="B53" i="19"/>
  <c r="L53" i="19" s="1"/>
  <c r="R52" i="19"/>
  <c r="O52" i="19"/>
  <c r="L52" i="19"/>
  <c r="I52" i="19"/>
  <c r="F52" i="19"/>
  <c r="C52" i="19"/>
  <c r="B52" i="19"/>
  <c r="B51" i="19"/>
  <c r="R51" i="19" s="1"/>
  <c r="B50" i="19"/>
  <c r="O50" i="19" s="1"/>
  <c r="B49" i="19"/>
  <c r="O49" i="19" s="1"/>
  <c r="B48" i="19"/>
  <c r="O48" i="19" s="1"/>
  <c r="B47" i="19"/>
  <c r="R47" i="19" s="1"/>
  <c r="R46" i="19"/>
  <c r="B46" i="19"/>
  <c r="I46" i="19" s="1"/>
  <c r="B45" i="19"/>
  <c r="L45" i="19" s="1"/>
  <c r="B44" i="19"/>
  <c r="I44" i="19" s="1"/>
  <c r="Q43" i="19"/>
  <c r="N43" i="19"/>
  <c r="K43" i="19"/>
  <c r="H43" i="19"/>
  <c r="E43" i="19"/>
  <c r="R42" i="19"/>
  <c r="O42" i="19"/>
  <c r="L42" i="19"/>
  <c r="I42" i="19"/>
  <c r="F42" i="19"/>
  <c r="C42" i="19"/>
  <c r="B42" i="19"/>
  <c r="F41" i="19"/>
  <c r="B41" i="19"/>
  <c r="O40" i="19"/>
  <c r="B40" i="19"/>
  <c r="L40" i="19" s="1"/>
  <c r="B39" i="19"/>
  <c r="I39" i="19" s="1"/>
  <c r="B38" i="19"/>
  <c r="Q37" i="19"/>
  <c r="N37" i="19"/>
  <c r="K37" i="19"/>
  <c r="H37" i="19"/>
  <c r="E37" i="19"/>
  <c r="E36" i="19" s="1"/>
  <c r="K36" i="19"/>
  <c r="R35" i="19"/>
  <c r="O35" i="19"/>
  <c r="L35" i="19"/>
  <c r="I35" i="19"/>
  <c r="F35" i="19"/>
  <c r="C35" i="19"/>
  <c r="B35" i="19"/>
  <c r="B34" i="19"/>
  <c r="L34" i="19" s="1"/>
  <c r="B33" i="19"/>
  <c r="I33" i="19" s="1"/>
  <c r="I32" i="19"/>
  <c r="B32" i="19"/>
  <c r="R32" i="19" s="1"/>
  <c r="B31" i="19"/>
  <c r="L31" i="19" s="1"/>
  <c r="B30" i="19"/>
  <c r="R30" i="19" s="1"/>
  <c r="Q29" i="19"/>
  <c r="Q28" i="19" s="1"/>
  <c r="N29" i="19"/>
  <c r="K29" i="19"/>
  <c r="H29" i="19"/>
  <c r="E29" i="19"/>
  <c r="N28" i="19"/>
  <c r="K28" i="19"/>
  <c r="H28" i="19"/>
  <c r="E28" i="19"/>
  <c r="R27" i="19"/>
  <c r="O27" i="19"/>
  <c r="L27" i="19"/>
  <c r="I27" i="19"/>
  <c r="F27" i="19"/>
  <c r="C27" i="19"/>
  <c r="B27" i="19"/>
  <c r="B26" i="19"/>
  <c r="R26" i="19" s="1"/>
  <c r="B25" i="19"/>
  <c r="O25" i="19" s="1"/>
  <c r="B24" i="19"/>
  <c r="L24" i="19" s="1"/>
  <c r="Q23" i="19"/>
  <c r="Q17" i="19" s="1"/>
  <c r="N23" i="19"/>
  <c r="K23" i="19"/>
  <c r="H23" i="19"/>
  <c r="E23" i="19"/>
  <c r="R22" i="19"/>
  <c r="O22" i="19"/>
  <c r="L22" i="19"/>
  <c r="I22" i="19"/>
  <c r="F22" i="19"/>
  <c r="C22" i="19"/>
  <c r="B22" i="19"/>
  <c r="B21" i="19"/>
  <c r="R21" i="19" s="1"/>
  <c r="O20" i="19"/>
  <c r="I20" i="19"/>
  <c r="F20" i="19"/>
  <c r="B20" i="19"/>
  <c r="L20" i="19" s="1"/>
  <c r="B19" i="19"/>
  <c r="L19" i="19" s="1"/>
  <c r="Q18" i="19"/>
  <c r="N18" i="19"/>
  <c r="K18" i="19"/>
  <c r="K17" i="19" s="1"/>
  <c r="H18" i="19"/>
  <c r="E18" i="19"/>
  <c r="E17" i="19"/>
  <c r="R16" i="19"/>
  <c r="O16" i="19"/>
  <c r="L16" i="19"/>
  <c r="I16" i="19"/>
  <c r="F16" i="19"/>
  <c r="C16" i="19"/>
  <c r="B16" i="19"/>
  <c r="R14" i="19"/>
  <c r="O14" i="19"/>
  <c r="L14" i="19"/>
  <c r="I14" i="19"/>
  <c r="F14" i="19"/>
  <c r="C14" i="19"/>
  <c r="B14" i="19"/>
  <c r="R12" i="19"/>
  <c r="O12" i="19"/>
  <c r="L12" i="19"/>
  <c r="I12" i="19"/>
  <c r="F12" i="19"/>
  <c r="C12" i="19"/>
  <c r="B12" i="19"/>
  <c r="O113" i="18"/>
  <c r="B112" i="18"/>
  <c r="B111" i="18"/>
  <c r="R111" i="18" s="1"/>
  <c r="B110" i="18"/>
  <c r="F110" i="18" s="1"/>
  <c r="B109" i="18"/>
  <c r="B108" i="18"/>
  <c r="L108" i="18" s="1"/>
  <c r="Q107" i="18"/>
  <c r="N107" i="18"/>
  <c r="K107" i="18"/>
  <c r="H107" i="18"/>
  <c r="E107" i="18"/>
  <c r="R106" i="18"/>
  <c r="O106" i="18"/>
  <c r="L106" i="18"/>
  <c r="I106" i="18"/>
  <c r="F106" i="18"/>
  <c r="B106" i="18"/>
  <c r="I105" i="18"/>
  <c r="B105" i="18"/>
  <c r="L105" i="18" s="1"/>
  <c r="R104" i="18"/>
  <c r="O104" i="18"/>
  <c r="L104" i="18"/>
  <c r="I104" i="18"/>
  <c r="F104" i="18"/>
  <c r="C104" i="18"/>
  <c r="B104" i="18"/>
  <c r="B103" i="18"/>
  <c r="B102" i="18"/>
  <c r="O102" i="18" s="1"/>
  <c r="I101" i="18"/>
  <c r="B101" i="18"/>
  <c r="O101" i="18" s="1"/>
  <c r="R100" i="18"/>
  <c r="O100" i="18"/>
  <c r="L100" i="18"/>
  <c r="I100" i="18"/>
  <c r="F100" i="18"/>
  <c r="C100" i="18"/>
  <c r="B100" i="18"/>
  <c r="Q99" i="18"/>
  <c r="N99" i="18"/>
  <c r="K99" i="18"/>
  <c r="H99" i="18"/>
  <c r="E99" i="18"/>
  <c r="R98" i="18"/>
  <c r="O98" i="18"/>
  <c r="L98" i="18"/>
  <c r="I98" i="18"/>
  <c r="F98" i="18"/>
  <c r="C98" i="18"/>
  <c r="B98" i="18"/>
  <c r="B97" i="18"/>
  <c r="O96" i="18"/>
  <c r="B96" i="18"/>
  <c r="L96" i="18" s="1"/>
  <c r="B95" i="18"/>
  <c r="R94" i="18"/>
  <c r="O94" i="18"/>
  <c r="L94" i="18"/>
  <c r="I94" i="18"/>
  <c r="F94" i="18"/>
  <c r="C94" i="18"/>
  <c r="B94" i="18"/>
  <c r="B93" i="18"/>
  <c r="O92" i="18"/>
  <c r="B92" i="18"/>
  <c r="L92" i="18" s="1"/>
  <c r="B91" i="18"/>
  <c r="L91" i="18" s="1"/>
  <c r="I90" i="18"/>
  <c r="B90" i="18"/>
  <c r="R90" i="18" s="1"/>
  <c r="B89" i="18"/>
  <c r="O89" i="18" s="1"/>
  <c r="O88" i="18"/>
  <c r="F88" i="18"/>
  <c r="B88" i="18"/>
  <c r="L88" i="18" s="1"/>
  <c r="B87" i="18"/>
  <c r="L87" i="18" s="1"/>
  <c r="B86" i="18"/>
  <c r="R86" i="18" s="1"/>
  <c r="B85" i="18"/>
  <c r="Q84" i="18"/>
  <c r="N84" i="18"/>
  <c r="N83" i="18" s="1"/>
  <c r="K84" i="18"/>
  <c r="H84" i="18"/>
  <c r="H83" i="18" s="1"/>
  <c r="E84" i="18"/>
  <c r="K83" i="18"/>
  <c r="R82" i="18"/>
  <c r="O82" i="18"/>
  <c r="L82" i="18"/>
  <c r="I82" i="18"/>
  <c r="F82" i="18"/>
  <c r="C82" i="18"/>
  <c r="B82" i="18"/>
  <c r="B81" i="18"/>
  <c r="L81" i="18" s="1"/>
  <c r="B80" i="18"/>
  <c r="R80" i="18" s="1"/>
  <c r="B79" i="18"/>
  <c r="R78" i="18"/>
  <c r="F78" i="18"/>
  <c r="B78" i="18"/>
  <c r="L78" i="18" s="1"/>
  <c r="Q77" i="18"/>
  <c r="N77" i="18"/>
  <c r="K77" i="18"/>
  <c r="K76" i="18" s="1"/>
  <c r="H77" i="18"/>
  <c r="E77" i="18"/>
  <c r="E76" i="18" s="1"/>
  <c r="R75" i="18"/>
  <c r="O75" i="18"/>
  <c r="L75" i="18"/>
  <c r="I75" i="18"/>
  <c r="F75" i="18"/>
  <c r="C75" i="18"/>
  <c r="B75" i="18"/>
  <c r="B74" i="18"/>
  <c r="R74" i="18" s="1"/>
  <c r="R73" i="18"/>
  <c r="O73" i="18"/>
  <c r="L73" i="18"/>
  <c r="I73" i="18"/>
  <c r="F73" i="18"/>
  <c r="C73" i="18"/>
  <c r="B73" i="18"/>
  <c r="B72" i="18"/>
  <c r="R71" i="18"/>
  <c r="O71" i="18"/>
  <c r="L71" i="18"/>
  <c r="I71" i="18"/>
  <c r="F71" i="18"/>
  <c r="C71" i="18"/>
  <c r="B71" i="18"/>
  <c r="B70" i="18"/>
  <c r="R70" i="18" s="1"/>
  <c r="B69" i="18"/>
  <c r="F68" i="18"/>
  <c r="B68" i="18"/>
  <c r="B67" i="18"/>
  <c r="B66" i="18"/>
  <c r="R66" i="18" s="1"/>
  <c r="Q65" i="18"/>
  <c r="Q62" i="18" s="1"/>
  <c r="N65" i="18"/>
  <c r="N62" i="18" s="1"/>
  <c r="K65" i="18"/>
  <c r="K62" i="18" s="1"/>
  <c r="H65" i="18"/>
  <c r="H62" i="18" s="1"/>
  <c r="E65" i="18"/>
  <c r="B65" i="18" s="1"/>
  <c r="R64" i="18"/>
  <c r="O64" i="18"/>
  <c r="L64" i="18"/>
  <c r="I64" i="18"/>
  <c r="F64" i="18"/>
  <c r="C64" i="18"/>
  <c r="B64" i="18"/>
  <c r="B63" i="18"/>
  <c r="R61" i="18"/>
  <c r="O61" i="18"/>
  <c r="L61" i="18"/>
  <c r="I61" i="18"/>
  <c r="F61" i="18"/>
  <c r="C61" i="18"/>
  <c r="B61" i="18"/>
  <c r="B60" i="18"/>
  <c r="O60" i="18" s="1"/>
  <c r="B59" i="18"/>
  <c r="B58" i="18"/>
  <c r="L58" i="18" s="1"/>
  <c r="B57" i="18"/>
  <c r="L56" i="18"/>
  <c r="B56" i="18"/>
  <c r="I56" i="18" s="1"/>
  <c r="Q55" i="18"/>
  <c r="N55" i="18"/>
  <c r="K55" i="18"/>
  <c r="H55" i="18"/>
  <c r="E55" i="18"/>
  <c r="R54" i="18"/>
  <c r="O54" i="18"/>
  <c r="L54" i="18"/>
  <c r="I54" i="18"/>
  <c r="F54" i="18"/>
  <c r="C54" i="18"/>
  <c r="B54" i="18"/>
  <c r="I53" i="18"/>
  <c r="B53" i="18"/>
  <c r="L53" i="18" s="1"/>
  <c r="R52" i="18"/>
  <c r="O52" i="18"/>
  <c r="L52" i="18"/>
  <c r="I52" i="18"/>
  <c r="F52" i="18"/>
  <c r="C52" i="18"/>
  <c r="B52" i="18"/>
  <c r="B51" i="18"/>
  <c r="L51" i="18" s="1"/>
  <c r="B50" i="18"/>
  <c r="R50" i="18" s="1"/>
  <c r="F49" i="18"/>
  <c r="B49" i="18"/>
  <c r="L49" i="18" s="1"/>
  <c r="O48" i="18"/>
  <c r="B48" i="18"/>
  <c r="B47" i="18"/>
  <c r="L47" i="18" s="1"/>
  <c r="I46" i="18"/>
  <c r="F46" i="18"/>
  <c r="B46" i="18"/>
  <c r="L46" i="18" s="1"/>
  <c r="B45" i="18"/>
  <c r="L45" i="18" s="1"/>
  <c r="B44" i="18"/>
  <c r="Q43" i="18"/>
  <c r="N43" i="18"/>
  <c r="K43" i="18"/>
  <c r="H43" i="18"/>
  <c r="E43" i="18"/>
  <c r="R42" i="18"/>
  <c r="O42" i="18"/>
  <c r="L42" i="18"/>
  <c r="I42" i="18"/>
  <c r="F42" i="18"/>
  <c r="C42" i="18"/>
  <c r="B42" i="18"/>
  <c r="B41" i="18"/>
  <c r="B40" i="18"/>
  <c r="B39" i="18"/>
  <c r="B38" i="18"/>
  <c r="R38" i="18" s="1"/>
  <c r="Q37" i="18"/>
  <c r="N37" i="18"/>
  <c r="K37" i="18"/>
  <c r="K36" i="18" s="1"/>
  <c r="H37" i="18"/>
  <c r="E37" i="18"/>
  <c r="B37" i="18" s="1"/>
  <c r="L37" i="18" s="1"/>
  <c r="E36" i="18"/>
  <c r="R35" i="18"/>
  <c r="O35" i="18"/>
  <c r="L35" i="18"/>
  <c r="I35" i="18"/>
  <c r="F35" i="18"/>
  <c r="C35" i="18"/>
  <c r="B35" i="18"/>
  <c r="R34" i="18"/>
  <c r="B34" i="18"/>
  <c r="L34" i="18" s="1"/>
  <c r="B33" i="18"/>
  <c r="B32" i="18"/>
  <c r="R32" i="18" s="1"/>
  <c r="I31" i="18"/>
  <c r="B31" i="18"/>
  <c r="L31" i="18" s="1"/>
  <c r="O30" i="18"/>
  <c r="B30" i="18"/>
  <c r="L30" i="18" s="1"/>
  <c r="Q29" i="18"/>
  <c r="N29" i="18"/>
  <c r="K29" i="18"/>
  <c r="H29" i="18"/>
  <c r="E29" i="18"/>
  <c r="N28" i="18"/>
  <c r="K28" i="18"/>
  <c r="H28" i="18"/>
  <c r="E28" i="18"/>
  <c r="R27" i="18"/>
  <c r="O27" i="18"/>
  <c r="L27" i="18"/>
  <c r="I27" i="18"/>
  <c r="F27" i="18"/>
  <c r="C27" i="18"/>
  <c r="B27" i="18"/>
  <c r="B26" i="18"/>
  <c r="R26" i="18" s="1"/>
  <c r="O25" i="18"/>
  <c r="I25" i="18"/>
  <c r="B25" i="18"/>
  <c r="L25" i="18" s="1"/>
  <c r="O24" i="18"/>
  <c r="B24" i="18"/>
  <c r="L24" i="18" s="1"/>
  <c r="Q23" i="18"/>
  <c r="N23" i="18"/>
  <c r="N17" i="18" s="1"/>
  <c r="K23" i="18"/>
  <c r="H23" i="18"/>
  <c r="H17" i="18" s="1"/>
  <c r="E23" i="18"/>
  <c r="R22" i="18"/>
  <c r="O22" i="18"/>
  <c r="L22" i="18"/>
  <c r="I22" i="18"/>
  <c r="F22" i="18"/>
  <c r="C22" i="18"/>
  <c r="B22" i="18"/>
  <c r="B21" i="18"/>
  <c r="R21" i="18" s="1"/>
  <c r="B20" i="18"/>
  <c r="L20" i="18" s="1"/>
  <c r="O19" i="18"/>
  <c r="B19" i="18"/>
  <c r="R19" i="18" s="1"/>
  <c r="Q18" i="18"/>
  <c r="Q17" i="18" s="1"/>
  <c r="N18" i="18"/>
  <c r="K18" i="18"/>
  <c r="H18" i="18"/>
  <c r="E18" i="18"/>
  <c r="K17" i="18"/>
  <c r="R16" i="18"/>
  <c r="O16" i="18"/>
  <c r="L16" i="18"/>
  <c r="I16" i="18"/>
  <c r="F16" i="18"/>
  <c r="C16" i="18"/>
  <c r="B16" i="18"/>
  <c r="R14" i="18"/>
  <c r="O14" i="18"/>
  <c r="L14" i="18"/>
  <c r="I14" i="18"/>
  <c r="F14" i="18"/>
  <c r="C14" i="18"/>
  <c r="B14" i="18"/>
  <c r="R12" i="18"/>
  <c r="O12" i="18"/>
  <c r="L12" i="18"/>
  <c r="I12" i="18"/>
  <c r="F12" i="18"/>
  <c r="C12" i="18"/>
  <c r="B12" i="18"/>
  <c r="B113" i="16"/>
  <c r="R112" i="16"/>
  <c r="B112" i="16"/>
  <c r="O112" i="16" s="1"/>
  <c r="R111" i="16"/>
  <c r="B111" i="16"/>
  <c r="B110" i="16"/>
  <c r="O110" i="16" s="1"/>
  <c r="B109" i="16"/>
  <c r="L109" i="16" s="1"/>
  <c r="Q108" i="16"/>
  <c r="N108" i="16"/>
  <c r="K108" i="16"/>
  <c r="H108" i="16"/>
  <c r="E108" i="16"/>
  <c r="O107" i="16"/>
  <c r="L107" i="16"/>
  <c r="I107" i="16"/>
  <c r="F107" i="16"/>
  <c r="B107" i="16"/>
  <c r="I106" i="16"/>
  <c r="B106" i="16"/>
  <c r="L106" i="16" s="1"/>
  <c r="R105" i="16"/>
  <c r="O105" i="16"/>
  <c r="L105" i="16"/>
  <c r="I105" i="16"/>
  <c r="F105" i="16"/>
  <c r="C105" i="16"/>
  <c r="B105" i="16"/>
  <c r="B104" i="16"/>
  <c r="L104" i="16" s="1"/>
  <c r="B103" i="16"/>
  <c r="O103" i="16" s="1"/>
  <c r="B102" i="16"/>
  <c r="L102" i="16" s="1"/>
  <c r="R101" i="16"/>
  <c r="O101" i="16"/>
  <c r="L101" i="16"/>
  <c r="I101" i="16"/>
  <c r="F101" i="16"/>
  <c r="C101" i="16"/>
  <c r="B101" i="16"/>
  <c r="Q100" i="16"/>
  <c r="N100" i="16"/>
  <c r="K100" i="16"/>
  <c r="H100" i="16"/>
  <c r="E100" i="16"/>
  <c r="R99" i="16"/>
  <c r="O99" i="16"/>
  <c r="L99" i="16"/>
  <c r="I99" i="16"/>
  <c r="F99" i="16"/>
  <c r="C99" i="16"/>
  <c r="B99" i="16"/>
  <c r="B98" i="16"/>
  <c r="R97" i="16"/>
  <c r="O97" i="16"/>
  <c r="L97" i="16"/>
  <c r="I97" i="16"/>
  <c r="F97" i="16"/>
  <c r="C97" i="16"/>
  <c r="B97" i="16"/>
  <c r="B96" i="16"/>
  <c r="R95" i="16"/>
  <c r="B95" i="16"/>
  <c r="L95" i="16" s="1"/>
  <c r="R94" i="16"/>
  <c r="O94" i="16"/>
  <c r="L94" i="16"/>
  <c r="I94" i="16"/>
  <c r="F94" i="16"/>
  <c r="C94" i="16"/>
  <c r="B94" i="16"/>
  <c r="B93" i="16"/>
  <c r="L93" i="16" s="1"/>
  <c r="B92" i="16"/>
  <c r="R92" i="16" s="1"/>
  <c r="B91" i="16"/>
  <c r="L91" i="16" s="1"/>
  <c r="B90" i="16"/>
  <c r="O90" i="16" s="1"/>
  <c r="B89" i="16"/>
  <c r="L89" i="16" s="1"/>
  <c r="R88" i="16"/>
  <c r="B88" i="16"/>
  <c r="O88" i="16" s="1"/>
  <c r="O87" i="16"/>
  <c r="B87" i="16"/>
  <c r="L87" i="16" s="1"/>
  <c r="B86" i="16"/>
  <c r="O86" i="16" s="1"/>
  <c r="B85" i="16"/>
  <c r="L85" i="16" s="1"/>
  <c r="Q84" i="16"/>
  <c r="Q83" i="16" s="1"/>
  <c r="N84" i="16"/>
  <c r="K84" i="16"/>
  <c r="K83" i="16" s="1"/>
  <c r="H84" i="16"/>
  <c r="H83" i="16" s="1"/>
  <c r="E84" i="16"/>
  <c r="E83" i="16" s="1"/>
  <c r="N83" i="16"/>
  <c r="R82" i="16"/>
  <c r="O82" i="16"/>
  <c r="L82" i="16"/>
  <c r="I82" i="16"/>
  <c r="F82" i="16"/>
  <c r="C82" i="16"/>
  <c r="B82" i="16"/>
  <c r="F81" i="16"/>
  <c r="B81" i="16"/>
  <c r="L81" i="16" s="1"/>
  <c r="O80" i="16"/>
  <c r="B80" i="16"/>
  <c r="L80" i="16" s="1"/>
  <c r="B79" i="16"/>
  <c r="B78" i="16"/>
  <c r="R78" i="16" s="1"/>
  <c r="Q77" i="16"/>
  <c r="N77" i="16"/>
  <c r="N76" i="16" s="1"/>
  <c r="K77" i="16"/>
  <c r="H77" i="16"/>
  <c r="H76" i="16" s="1"/>
  <c r="E77" i="16"/>
  <c r="E76" i="16" s="1"/>
  <c r="Q76" i="16"/>
  <c r="K76" i="16"/>
  <c r="R75" i="16"/>
  <c r="O75" i="16"/>
  <c r="L75" i="16"/>
  <c r="I75" i="16"/>
  <c r="F75" i="16"/>
  <c r="C75" i="16"/>
  <c r="B75" i="16"/>
  <c r="B74" i="16"/>
  <c r="L74" i="16" s="1"/>
  <c r="R73" i="16"/>
  <c r="O73" i="16"/>
  <c r="L73" i="16"/>
  <c r="I73" i="16"/>
  <c r="F73" i="16"/>
  <c r="C73" i="16"/>
  <c r="B73" i="16"/>
  <c r="F72" i="16"/>
  <c r="B72" i="16"/>
  <c r="R71" i="16"/>
  <c r="O71" i="16"/>
  <c r="L71" i="16"/>
  <c r="I71" i="16"/>
  <c r="F71" i="16"/>
  <c r="C71" i="16"/>
  <c r="B71" i="16"/>
  <c r="B70" i="16"/>
  <c r="L70" i="16" s="1"/>
  <c r="B69" i="16"/>
  <c r="I69" i="16" s="1"/>
  <c r="B68" i="16"/>
  <c r="O68" i="16" s="1"/>
  <c r="O67" i="16"/>
  <c r="B67" i="16"/>
  <c r="L67" i="16" s="1"/>
  <c r="L66" i="16"/>
  <c r="B66" i="16"/>
  <c r="O66" i="16" s="1"/>
  <c r="Q65" i="16"/>
  <c r="Q62" i="16" s="1"/>
  <c r="N65" i="16"/>
  <c r="N62" i="16" s="1"/>
  <c r="K65" i="16"/>
  <c r="K62" i="16" s="1"/>
  <c r="H65" i="16"/>
  <c r="H62" i="16" s="1"/>
  <c r="E65" i="16"/>
  <c r="R64" i="16"/>
  <c r="O64" i="16"/>
  <c r="L64" i="16"/>
  <c r="I64" i="16"/>
  <c r="F64" i="16"/>
  <c r="C64" i="16"/>
  <c r="B64" i="16"/>
  <c r="B63" i="16"/>
  <c r="E62" i="16"/>
  <c r="R61" i="16"/>
  <c r="O61" i="16"/>
  <c r="L61" i="16"/>
  <c r="I61" i="16"/>
  <c r="F61" i="16"/>
  <c r="C61" i="16"/>
  <c r="B61" i="16"/>
  <c r="O60" i="16"/>
  <c r="B60" i="16"/>
  <c r="B59" i="16"/>
  <c r="B58" i="16"/>
  <c r="B57" i="16"/>
  <c r="B56" i="16"/>
  <c r="O56" i="16" s="1"/>
  <c r="Q55" i="16"/>
  <c r="N55" i="16"/>
  <c r="B55" i="16" s="1"/>
  <c r="K55" i="16"/>
  <c r="H55" i="16"/>
  <c r="E55" i="16"/>
  <c r="R54" i="16"/>
  <c r="O54" i="16"/>
  <c r="L54" i="16"/>
  <c r="I54" i="16"/>
  <c r="F54" i="16"/>
  <c r="C54" i="16"/>
  <c r="B54" i="16"/>
  <c r="I53" i="16"/>
  <c r="B53" i="16"/>
  <c r="R53" i="16" s="1"/>
  <c r="R52" i="16"/>
  <c r="O52" i="16"/>
  <c r="L52" i="16"/>
  <c r="I52" i="16"/>
  <c r="F52" i="16"/>
  <c r="C52" i="16"/>
  <c r="B52" i="16"/>
  <c r="L51" i="16"/>
  <c r="B51" i="16"/>
  <c r="O51" i="16" s="1"/>
  <c r="B50" i="16"/>
  <c r="B49" i="16"/>
  <c r="F49" i="16" s="1"/>
  <c r="B48" i="16"/>
  <c r="B47" i="16"/>
  <c r="L47" i="16" s="1"/>
  <c r="B46" i="16"/>
  <c r="I46" i="16" s="1"/>
  <c r="B45" i="16"/>
  <c r="B44" i="16"/>
  <c r="I44" i="16" s="1"/>
  <c r="Q43" i="16"/>
  <c r="N43" i="16"/>
  <c r="K43" i="16"/>
  <c r="H43" i="16"/>
  <c r="E43" i="16"/>
  <c r="R42" i="16"/>
  <c r="O42" i="16"/>
  <c r="L42" i="16"/>
  <c r="I42" i="16"/>
  <c r="F42" i="16"/>
  <c r="C42" i="16"/>
  <c r="B42" i="16"/>
  <c r="F41" i="16"/>
  <c r="B41" i="16"/>
  <c r="O41" i="16" s="1"/>
  <c r="R40" i="16"/>
  <c r="I40" i="16"/>
  <c r="B40" i="16"/>
  <c r="L40" i="16" s="1"/>
  <c r="B39" i="16"/>
  <c r="I39" i="16" s="1"/>
  <c r="B38" i="16"/>
  <c r="R38" i="16" s="1"/>
  <c r="Q37" i="16"/>
  <c r="N37" i="16"/>
  <c r="K37" i="16"/>
  <c r="H37" i="16"/>
  <c r="E37" i="16"/>
  <c r="E36" i="16" s="1"/>
  <c r="O35" i="16"/>
  <c r="L35" i="16"/>
  <c r="I35" i="16"/>
  <c r="F35" i="16"/>
  <c r="C35" i="16"/>
  <c r="B35" i="16"/>
  <c r="B34" i="16"/>
  <c r="I34" i="16" s="1"/>
  <c r="B33" i="16"/>
  <c r="R33" i="16" s="1"/>
  <c r="R32" i="16"/>
  <c r="B32" i="16"/>
  <c r="B31" i="16"/>
  <c r="B30" i="16"/>
  <c r="I30" i="16" s="1"/>
  <c r="Q29" i="16"/>
  <c r="Q28" i="16" s="1"/>
  <c r="N29" i="16"/>
  <c r="K29" i="16"/>
  <c r="H29" i="16"/>
  <c r="E29" i="16"/>
  <c r="N28" i="16"/>
  <c r="H28" i="16"/>
  <c r="E28" i="16"/>
  <c r="R27" i="16"/>
  <c r="O27" i="16"/>
  <c r="L27" i="16"/>
  <c r="I27" i="16"/>
  <c r="F27" i="16"/>
  <c r="C27" i="16"/>
  <c r="B27" i="16"/>
  <c r="B26" i="16"/>
  <c r="B25" i="16"/>
  <c r="L25" i="16" s="1"/>
  <c r="B24" i="16"/>
  <c r="I24" i="16" s="1"/>
  <c r="Q23" i="16"/>
  <c r="N23" i="16"/>
  <c r="K23" i="16"/>
  <c r="H23" i="16"/>
  <c r="E23" i="16"/>
  <c r="O22" i="16"/>
  <c r="L22" i="16"/>
  <c r="I22" i="16"/>
  <c r="F22" i="16"/>
  <c r="C22" i="16"/>
  <c r="B22" i="16"/>
  <c r="O21" i="16"/>
  <c r="B21" i="16"/>
  <c r="L21" i="16" s="1"/>
  <c r="B20" i="16"/>
  <c r="I20" i="16" s="1"/>
  <c r="B19" i="16"/>
  <c r="R19" i="16" s="1"/>
  <c r="Q18" i="16"/>
  <c r="N18" i="16"/>
  <c r="K18" i="16"/>
  <c r="H18" i="16"/>
  <c r="E18" i="16"/>
  <c r="B18" i="16"/>
  <c r="L18" i="16" s="1"/>
  <c r="B16" i="16"/>
  <c r="P15" i="16"/>
  <c r="M15" i="16"/>
  <c r="J15" i="16"/>
  <c r="G15" i="16"/>
  <c r="R14" i="16"/>
  <c r="O14" i="16"/>
  <c r="L14" i="16"/>
  <c r="I14" i="16"/>
  <c r="F14" i="16"/>
  <c r="C14" i="16"/>
  <c r="B14" i="16"/>
  <c r="R12" i="16"/>
  <c r="O12" i="16"/>
  <c r="L12" i="16"/>
  <c r="I12" i="16"/>
  <c r="F12" i="16"/>
  <c r="C12" i="16"/>
  <c r="B12" i="16"/>
  <c r="B112" i="15"/>
  <c r="R112" i="15" s="1"/>
  <c r="B111" i="15"/>
  <c r="R111" i="15" s="1"/>
  <c r="B110" i="15"/>
  <c r="R110" i="15" s="1"/>
  <c r="B109" i="15"/>
  <c r="B108" i="15"/>
  <c r="R108" i="15" s="1"/>
  <c r="Q107" i="15"/>
  <c r="N107" i="15"/>
  <c r="K107" i="15"/>
  <c r="H107" i="15"/>
  <c r="E107" i="15"/>
  <c r="R106" i="15"/>
  <c r="O106" i="15"/>
  <c r="L106" i="15"/>
  <c r="I106" i="15"/>
  <c r="F106" i="15"/>
  <c r="B106" i="15"/>
  <c r="B105" i="15"/>
  <c r="R104" i="15"/>
  <c r="C104" i="15"/>
  <c r="B104" i="15"/>
  <c r="B103" i="15"/>
  <c r="R103" i="15" s="1"/>
  <c r="B102" i="15"/>
  <c r="R102" i="15" s="1"/>
  <c r="B101" i="15"/>
  <c r="R100" i="15"/>
  <c r="O100" i="15"/>
  <c r="L100" i="15"/>
  <c r="I100" i="15"/>
  <c r="F100" i="15"/>
  <c r="C100" i="15"/>
  <c r="B100" i="15"/>
  <c r="Q99" i="15"/>
  <c r="N99" i="15"/>
  <c r="K99" i="15"/>
  <c r="H99" i="15"/>
  <c r="E99" i="15"/>
  <c r="R98" i="15"/>
  <c r="O98" i="15"/>
  <c r="L98" i="15"/>
  <c r="I98" i="15"/>
  <c r="F98" i="15"/>
  <c r="C98" i="15"/>
  <c r="B98" i="15"/>
  <c r="R97" i="15"/>
  <c r="B97" i="15"/>
  <c r="B96" i="15"/>
  <c r="B95" i="15"/>
  <c r="R95" i="15" s="1"/>
  <c r="R94" i="15"/>
  <c r="C94" i="15"/>
  <c r="B94" i="15"/>
  <c r="B93" i="15"/>
  <c r="R93" i="15" s="1"/>
  <c r="B92" i="15"/>
  <c r="B91" i="15"/>
  <c r="R91" i="15" s="1"/>
  <c r="R90" i="15"/>
  <c r="B90" i="15"/>
  <c r="R89" i="15"/>
  <c r="B89" i="15"/>
  <c r="B88" i="15"/>
  <c r="B87" i="15"/>
  <c r="R87" i="15" s="1"/>
  <c r="R86" i="15"/>
  <c r="B86" i="15"/>
  <c r="R85" i="15"/>
  <c r="B85" i="15"/>
  <c r="Q84" i="15"/>
  <c r="N84" i="15"/>
  <c r="K84" i="15"/>
  <c r="H84" i="15"/>
  <c r="E84" i="15"/>
  <c r="E83" i="15" s="1"/>
  <c r="N83" i="15"/>
  <c r="K83" i="15"/>
  <c r="H83" i="15"/>
  <c r="R82" i="15"/>
  <c r="O82" i="15"/>
  <c r="L82" i="15"/>
  <c r="I82" i="15"/>
  <c r="F82" i="15"/>
  <c r="C82" i="15"/>
  <c r="B82" i="15"/>
  <c r="B81" i="15"/>
  <c r="R81" i="15" s="1"/>
  <c r="B80" i="15"/>
  <c r="R80" i="15" s="1"/>
  <c r="B79" i="15"/>
  <c r="R79" i="15" s="1"/>
  <c r="B78" i="15"/>
  <c r="Q77" i="15"/>
  <c r="Q76" i="15" s="1"/>
  <c r="N77" i="15"/>
  <c r="K77" i="15"/>
  <c r="K76" i="15" s="1"/>
  <c r="H77" i="15"/>
  <c r="E77" i="15"/>
  <c r="N76" i="15"/>
  <c r="E76" i="15"/>
  <c r="R75" i="15"/>
  <c r="O75" i="15"/>
  <c r="L75" i="15"/>
  <c r="I75" i="15"/>
  <c r="F75" i="15"/>
  <c r="C75" i="15"/>
  <c r="B75" i="15"/>
  <c r="R74" i="15"/>
  <c r="B74" i="15"/>
  <c r="R73" i="15"/>
  <c r="C73" i="15"/>
  <c r="B73" i="15"/>
  <c r="B72" i="15"/>
  <c r="R72" i="15" s="1"/>
  <c r="R71" i="15"/>
  <c r="C71" i="15"/>
  <c r="B71" i="15"/>
  <c r="B70" i="15"/>
  <c r="R70" i="15" s="1"/>
  <c r="B69" i="15"/>
  <c r="R69" i="15" s="1"/>
  <c r="B68" i="15"/>
  <c r="R68" i="15" s="1"/>
  <c r="B67" i="15"/>
  <c r="B66" i="15"/>
  <c r="R66" i="15" s="1"/>
  <c r="Q65" i="15"/>
  <c r="Q62" i="15" s="1"/>
  <c r="N65" i="15"/>
  <c r="K65" i="15"/>
  <c r="K62" i="15" s="1"/>
  <c r="H65" i="15"/>
  <c r="H62" i="15" s="1"/>
  <c r="E65" i="15"/>
  <c r="R64" i="15"/>
  <c r="O64" i="15"/>
  <c r="L64" i="15"/>
  <c r="I64" i="15"/>
  <c r="F64" i="15"/>
  <c r="C64" i="15"/>
  <c r="B64" i="15"/>
  <c r="B63" i="15"/>
  <c r="R63" i="15" s="1"/>
  <c r="N62" i="15"/>
  <c r="R61" i="15"/>
  <c r="O61" i="15"/>
  <c r="L61" i="15"/>
  <c r="I61" i="15"/>
  <c r="F61" i="15"/>
  <c r="C61" i="15"/>
  <c r="B61" i="15"/>
  <c r="B60" i="15"/>
  <c r="R60" i="15" s="1"/>
  <c r="R59" i="15"/>
  <c r="B59" i="15"/>
  <c r="B58" i="15"/>
  <c r="R58" i="15" s="1"/>
  <c r="B57" i="15"/>
  <c r="R56" i="15"/>
  <c r="B56" i="15"/>
  <c r="Q55" i="15"/>
  <c r="N55" i="15"/>
  <c r="K55" i="15"/>
  <c r="H55" i="15"/>
  <c r="E55" i="15"/>
  <c r="R54" i="15"/>
  <c r="O54" i="15"/>
  <c r="L54" i="15"/>
  <c r="I54" i="15"/>
  <c r="F54" i="15"/>
  <c r="C54" i="15"/>
  <c r="B54" i="15"/>
  <c r="B53" i="15"/>
  <c r="R53" i="15" s="1"/>
  <c r="R52" i="15"/>
  <c r="C52" i="15"/>
  <c r="B52" i="15"/>
  <c r="B51" i="15"/>
  <c r="R51" i="15" s="1"/>
  <c r="B50" i="15"/>
  <c r="R50" i="15" s="1"/>
  <c r="B49" i="15"/>
  <c r="R49" i="15" s="1"/>
  <c r="B48" i="15"/>
  <c r="B47" i="15"/>
  <c r="R47" i="15" s="1"/>
  <c r="B46" i="15"/>
  <c r="B45" i="15"/>
  <c r="R44" i="15"/>
  <c r="B44" i="15"/>
  <c r="Q43" i="15"/>
  <c r="N43" i="15"/>
  <c r="K43" i="15"/>
  <c r="H43" i="15"/>
  <c r="E43" i="15"/>
  <c r="R42" i="15"/>
  <c r="O42" i="15"/>
  <c r="L42" i="15"/>
  <c r="I42" i="15"/>
  <c r="F42" i="15"/>
  <c r="C42" i="15"/>
  <c r="B42" i="15"/>
  <c r="B41" i="15"/>
  <c r="R41" i="15" s="1"/>
  <c r="B40" i="15"/>
  <c r="R39" i="15"/>
  <c r="B39" i="15"/>
  <c r="R38" i="15"/>
  <c r="B38" i="15"/>
  <c r="Q37" i="15"/>
  <c r="N37" i="15"/>
  <c r="K37" i="15"/>
  <c r="H37" i="15"/>
  <c r="H36" i="15" s="1"/>
  <c r="E37" i="15"/>
  <c r="E36" i="15" s="1"/>
  <c r="R35" i="15"/>
  <c r="O35" i="15"/>
  <c r="L35" i="15"/>
  <c r="I35" i="15"/>
  <c r="F35" i="15"/>
  <c r="C35" i="15"/>
  <c r="B35" i="15"/>
  <c r="B34" i="15"/>
  <c r="B33" i="15"/>
  <c r="R33" i="15" s="1"/>
  <c r="R32" i="15"/>
  <c r="B32" i="15"/>
  <c r="B31" i="15"/>
  <c r="R31" i="15" s="1"/>
  <c r="B30" i="15"/>
  <c r="Q29" i="15"/>
  <c r="Q28" i="15" s="1"/>
  <c r="N29" i="15"/>
  <c r="K29" i="15"/>
  <c r="H29" i="15"/>
  <c r="E29" i="15"/>
  <c r="E28" i="15" s="1"/>
  <c r="K28" i="15"/>
  <c r="H28" i="15"/>
  <c r="R27" i="15"/>
  <c r="O27" i="15"/>
  <c r="L27" i="15"/>
  <c r="I27" i="15"/>
  <c r="F27" i="15"/>
  <c r="C27" i="15"/>
  <c r="B27" i="15"/>
  <c r="B26" i="15"/>
  <c r="R26" i="15" s="1"/>
  <c r="B25" i="15"/>
  <c r="R25" i="15" s="1"/>
  <c r="B24" i="15"/>
  <c r="Q23" i="15"/>
  <c r="N23" i="15"/>
  <c r="K23" i="15"/>
  <c r="K17" i="15" s="1"/>
  <c r="H23" i="15"/>
  <c r="E23" i="15"/>
  <c r="R22" i="15"/>
  <c r="O22" i="15"/>
  <c r="L22" i="15"/>
  <c r="I22" i="15"/>
  <c r="F22" i="15"/>
  <c r="C22" i="15"/>
  <c r="B22" i="15"/>
  <c r="B21" i="15"/>
  <c r="R21" i="15" s="1"/>
  <c r="B20" i="15"/>
  <c r="R20" i="15" s="1"/>
  <c r="B19" i="15"/>
  <c r="Q18" i="15"/>
  <c r="N18" i="15"/>
  <c r="N17" i="15" s="1"/>
  <c r="K18" i="15"/>
  <c r="H18" i="15"/>
  <c r="E18" i="15"/>
  <c r="C16" i="15"/>
  <c r="B16" i="15"/>
  <c r="R14" i="15"/>
  <c r="O14" i="15"/>
  <c r="L14" i="15"/>
  <c r="I14" i="15"/>
  <c r="F14" i="15"/>
  <c r="C14" i="15"/>
  <c r="B14" i="15"/>
  <c r="R12" i="15"/>
  <c r="O12" i="15"/>
  <c r="L12" i="15"/>
  <c r="I12" i="15"/>
  <c r="F12" i="15"/>
  <c r="C12" i="15"/>
  <c r="B12" i="15"/>
  <c r="B111" i="13"/>
  <c r="R111" i="13" s="1"/>
  <c r="B110" i="13"/>
  <c r="R109" i="13"/>
  <c r="F109" i="13"/>
  <c r="B109" i="13"/>
  <c r="L109" i="13" s="1"/>
  <c r="B108" i="13"/>
  <c r="I108" i="13" s="1"/>
  <c r="B107" i="13"/>
  <c r="Q106" i="13"/>
  <c r="N106" i="13"/>
  <c r="K106" i="13"/>
  <c r="H106" i="13"/>
  <c r="B106" i="13" s="1"/>
  <c r="E106" i="13"/>
  <c r="R105" i="13"/>
  <c r="O105" i="13"/>
  <c r="L105" i="13"/>
  <c r="I105" i="13"/>
  <c r="F105" i="13"/>
  <c r="C105" i="13"/>
  <c r="B105" i="13"/>
  <c r="B104" i="13"/>
  <c r="R104" i="13" s="1"/>
  <c r="R103" i="13"/>
  <c r="O103" i="13"/>
  <c r="L103" i="13"/>
  <c r="I103" i="13"/>
  <c r="F103" i="13"/>
  <c r="C103" i="13"/>
  <c r="B103" i="13"/>
  <c r="I102" i="13"/>
  <c r="B102" i="13"/>
  <c r="R102" i="13" s="1"/>
  <c r="F101" i="13"/>
  <c r="B101" i="13"/>
  <c r="O100" i="13"/>
  <c r="B100" i="13"/>
  <c r="L100" i="13" s="1"/>
  <c r="R99" i="13"/>
  <c r="O99" i="13"/>
  <c r="L99" i="13"/>
  <c r="I99" i="13"/>
  <c r="F99" i="13"/>
  <c r="C99" i="13"/>
  <c r="B99" i="13"/>
  <c r="Q98" i="13"/>
  <c r="N98" i="13"/>
  <c r="K98" i="13"/>
  <c r="H98" i="13"/>
  <c r="E98" i="13"/>
  <c r="B98" i="13" s="1"/>
  <c r="R97" i="13"/>
  <c r="O97" i="13"/>
  <c r="L97" i="13"/>
  <c r="I97" i="13"/>
  <c r="F97" i="13"/>
  <c r="C97" i="13"/>
  <c r="B97" i="13"/>
  <c r="I96" i="13"/>
  <c r="B96" i="13"/>
  <c r="O96" i="13" s="1"/>
  <c r="B95" i="13"/>
  <c r="O95" i="13" s="1"/>
  <c r="R94" i="13"/>
  <c r="O94" i="13"/>
  <c r="L94" i="13"/>
  <c r="I94" i="13"/>
  <c r="F94" i="13"/>
  <c r="C94" i="13"/>
  <c r="B94" i="13"/>
  <c r="I93" i="13"/>
  <c r="B93" i="13"/>
  <c r="R93" i="13" s="1"/>
  <c r="F92" i="13"/>
  <c r="B92" i="13"/>
  <c r="O92" i="13" s="1"/>
  <c r="B91" i="13"/>
  <c r="B90" i="13"/>
  <c r="I90" i="13" s="1"/>
  <c r="B89" i="13"/>
  <c r="B88" i="13"/>
  <c r="R87" i="13"/>
  <c r="B87" i="13"/>
  <c r="B86" i="13"/>
  <c r="I86" i="13" s="1"/>
  <c r="B85" i="13"/>
  <c r="I85" i="13" s="1"/>
  <c r="Q84" i="13"/>
  <c r="N84" i="13"/>
  <c r="N83" i="13" s="1"/>
  <c r="K84" i="13"/>
  <c r="H84" i="13"/>
  <c r="H83" i="13" s="1"/>
  <c r="E84" i="13"/>
  <c r="Q83" i="13"/>
  <c r="K83" i="13"/>
  <c r="E83" i="13"/>
  <c r="R82" i="13"/>
  <c r="O82" i="13"/>
  <c r="L82" i="13"/>
  <c r="I82" i="13"/>
  <c r="F82" i="13"/>
  <c r="C82" i="13"/>
  <c r="B82" i="13"/>
  <c r="O81" i="13"/>
  <c r="I81" i="13"/>
  <c r="B81" i="13"/>
  <c r="L81" i="13" s="1"/>
  <c r="B80" i="13"/>
  <c r="I80" i="13" s="1"/>
  <c r="I79" i="13"/>
  <c r="B79" i="13"/>
  <c r="R79" i="13" s="1"/>
  <c r="B78" i="13"/>
  <c r="O78" i="13" s="1"/>
  <c r="Q77" i="13"/>
  <c r="N77" i="13"/>
  <c r="N76" i="13" s="1"/>
  <c r="K77" i="13"/>
  <c r="H77" i="13"/>
  <c r="H76" i="13" s="1"/>
  <c r="E77" i="13"/>
  <c r="Q76" i="13"/>
  <c r="K76" i="13"/>
  <c r="R75" i="13"/>
  <c r="O75" i="13"/>
  <c r="L75" i="13"/>
  <c r="I75" i="13"/>
  <c r="F75" i="13"/>
  <c r="C75" i="13"/>
  <c r="B75" i="13"/>
  <c r="B74" i="13"/>
  <c r="I74" i="13" s="1"/>
  <c r="R73" i="13"/>
  <c r="O73" i="13"/>
  <c r="L73" i="13"/>
  <c r="I73" i="13"/>
  <c r="F73" i="13"/>
  <c r="C73" i="13"/>
  <c r="B73" i="13"/>
  <c r="B72" i="13"/>
  <c r="O72" i="13" s="1"/>
  <c r="R71" i="13"/>
  <c r="O71" i="13"/>
  <c r="L71" i="13"/>
  <c r="I71" i="13"/>
  <c r="F71" i="13"/>
  <c r="C71" i="13"/>
  <c r="B71" i="13"/>
  <c r="B70" i="13"/>
  <c r="L70" i="13" s="1"/>
  <c r="B69" i="13"/>
  <c r="R69" i="13" s="1"/>
  <c r="F68" i="13"/>
  <c r="B68" i="13"/>
  <c r="O68" i="13" s="1"/>
  <c r="B67" i="13"/>
  <c r="L67" i="13" s="1"/>
  <c r="B66" i="13"/>
  <c r="L66" i="13" s="1"/>
  <c r="Q65" i="13"/>
  <c r="Q62" i="13" s="1"/>
  <c r="N65" i="13"/>
  <c r="K65" i="13"/>
  <c r="K62" i="13" s="1"/>
  <c r="H65" i="13"/>
  <c r="E65" i="13"/>
  <c r="R64" i="13"/>
  <c r="O64" i="13"/>
  <c r="L64" i="13"/>
  <c r="I64" i="13"/>
  <c r="F64" i="13"/>
  <c r="C64" i="13"/>
  <c r="B64" i="13"/>
  <c r="B63" i="13"/>
  <c r="O63" i="13" s="1"/>
  <c r="E62" i="13"/>
  <c r="R61" i="13"/>
  <c r="O61" i="13"/>
  <c r="L61" i="13"/>
  <c r="I61" i="13"/>
  <c r="F61" i="13"/>
  <c r="C61" i="13"/>
  <c r="B61" i="13"/>
  <c r="B60" i="13"/>
  <c r="B59" i="13"/>
  <c r="R59" i="13" s="1"/>
  <c r="F58" i="13"/>
  <c r="B58" i="13"/>
  <c r="O58" i="13" s="1"/>
  <c r="O57" i="13"/>
  <c r="B57" i="13"/>
  <c r="L57" i="13" s="1"/>
  <c r="B56" i="13"/>
  <c r="L56" i="13" s="1"/>
  <c r="Q55" i="13"/>
  <c r="N55" i="13"/>
  <c r="K55" i="13"/>
  <c r="H55" i="13"/>
  <c r="E55" i="13"/>
  <c r="R54" i="13"/>
  <c r="O54" i="13"/>
  <c r="L54" i="13"/>
  <c r="I54" i="13"/>
  <c r="F54" i="13"/>
  <c r="C54" i="13"/>
  <c r="B54" i="13"/>
  <c r="R53" i="13"/>
  <c r="B53" i="13"/>
  <c r="L53" i="13" s="1"/>
  <c r="R52" i="13"/>
  <c r="O52" i="13"/>
  <c r="L52" i="13"/>
  <c r="I52" i="13"/>
  <c r="F52" i="13"/>
  <c r="C52" i="13"/>
  <c r="B52" i="13"/>
  <c r="B51" i="13"/>
  <c r="F51" i="13" s="1"/>
  <c r="B50" i="13"/>
  <c r="R50" i="13" s="1"/>
  <c r="B49" i="13"/>
  <c r="B48" i="13"/>
  <c r="L48" i="13" s="1"/>
  <c r="B47" i="13"/>
  <c r="F47" i="13" s="1"/>
  <c r="B46" i="13"/>
  <c r="B45" i="13"/>
  <c r="R45" i="13" s="1"/>
  <c r="B44" i="13"/>
  <c r="O44" i="13" s="1"/>
  <c r="Q43" i="13"/>
  <c r="N43" i="13"/>
  <c r="K43" i="13"/>
  <c r="H43" i="13"/>
  <c r="E43" i="13"/>
  <c r="R42" i="13"/>
  <c r="O42" i="13"/>
  <c r="L42" i="13"/>
  <c r="I42" i="13"/>
  <c r="F42" i="13"/>
  <c r="C42" i="13"/>
  <c r="B42" i="13"/>
  <c r="B41" i="13"/>
  <c r="I41" i="13" s="1"/>
  <c r="B40" i="13"/>
  <c r="R40" i="13" s="1"/>
  <c r="B39" i="13"/>
  <c r="O39" i="13" s="1"/>
  <c r="I38" i="13"/>
  <c r="B38" i="13"/>
  <c r="L38" i="13" s="1"/>
  <c r="Q37" i="13"/>
  <c r="N37" i="13"/>
  <c r="K37" i="13"/>
  <c r="H37" i="13"/>
  <c r="E37" i="13"/>
  <c r="B37" i="13" s="1"/>
  <c r="R35" i="13"/>
  <c r="O35" i="13"/>
  <c r="L35" i="13"/>
  <c r="I35" i="13"/>
  <c r="F35" i="13"/>
  <c r="C35" i="13"/>
  <c r="B35" i="13"/>
  <c r="B34" i="13"/>
  <c r="R34" i="13" s="1"/>
  <c r="B33" i="13"/>
  <c r="O33" i="13" s="1"/>
  <c r="B32" i="13"/>
  <c r="L32" i="13" s="1"/>
  <c r="B31" i="13"/>
  <c r="I31" i="13" s="1"/>
  <c r="O30" i="13"/>
  <c r="B30" i="13"/>
  <c r="R30" i="13" s="1"/>
  <c r="Q29" i="13"/>
  <c r="N29" i="13"/>
  <c r="K29" i="13"/>
  <c r="H29" i="13"/>
  <c r="E29" i="13"/>
  <c r="Q28" i="13"/>
  <c r="N28" i="13"/>
  <c r="K28" i="13"/>
  <c r="H28" i="13"/>
  <c r="E28" i="13"/>
  <c r="R27" i="13"/>
  <c r="O27" i="13"/>
  <c r="L27" i="13"/>
  <c r="I27" i="13"/>
  <c r="F27" i="13"/>
  <c r="C27" i="13"/>
  <c r="B27" i="13"/>
  <c r="B26" i="13"/>
  <c r="B25" i="13"/>
  <c r="I25" i="13" s="1"/>
  <c r="B24" i="13"/>
  <c r="R24" i="13" s="1"/>
  <c r="Q23" i="13"/>
  <c r="N23" i="13"/>
  <c r="K23" i="13"/>
  <c r="H23" i="13"/>
  <c r="E23" i="13"/>
  <c r="R22" i="13"/>
  <c r="O22" i="13"/>
  <c r="L22" i="13"/>
  <c r="I22" i="13"/>
  <c r="F22" i="13"/>
  <c r="C22" i="13"/>
  <c r="B22" i="13"/>
  <c r="B21" i="13"/>
  <c r="L21" i="13" s="1"/>
  <c r="B20" i="13"/>
  <c r="I20" i="13" s="1"/>
  <c r="B19" i="13"/>
  <c r="R19" i="13" s="1"/>
  <c r="Q18" i="13"/>
  <c r="Q17" i="13" s="1"/>
  <c r="N18" i="13"/>
  <c r="N17" i="13" s="1"/>
  <c r="K18" i="13"/>
  <c r="H18" i="13"/>
  <c r="H17" i="13" s="1"/>
  <c r="E18" i="13"/>
  <c r="E17" i="13" s="1"/>
  <c r="K17" i="13"/>
  <c r="R16" i="13"/>
  <c r="O16" i="13"/>
  <c r="L16" i="13"/>
  <c r="I16" i="13"/>
  <c r="F16" i="13"/>
  <c r="C16" i="13"/>
  <c r="B16" i="13"/>
  <c r="R14" i="13"/>
  <c r="O14" i="13"/>
  <c r="L14" i="13"/>
  <c r="I14" i="13"/>
  <c r="F14" i="13"/>
  <c r="C14" i="13"/>
  <c r="B14" i="13"/>
  <c r="C12" i="13"/>
  <c r="B112" i="12"/>
  <c r="B111" i="12"/>
  <c r="B110" i="12"/>
  <c r="L110" i="12" s="1"/>
  <c r="B109" i="12"/>
  <c r="B108" i="12"/>
  <c r="Q107" i="12"/>
  <c r="N107" i="12"/>
  <c r="K107" i="12"/>
  <c r="H107" i="12"/>
  <c r="E107" i="12"/>
  <c r="R106" i="12"/>
  <c r="O106" i="12"/>
  <c r="L106" i="12"/>
  <c r="I106" i="12"/>
  <c r="F106" i="12"/>
  <c r="C106" i="12"/>
  <c r="B106" i="12"/>
  <c r="O105" i="12"/>
  <c r="B105" i="12"/>
  <c r="L105" i="12" s="1"/>
  <c r="R104" i="12"/>
  <c r="O104" i="12"/>
  <c r="L104" i="12"/>
  <c r="I104" i="12"/>
  <c r="F104" i="12"/>
  <c r="B104" i="12"/>
  <c r="R103" i="12"/>
  <c r="I103" i="12"/>
  <c r="F103" i="12"/>
  <c r="B103" i="12"/>
  <c r="O103" i="12" s="1"/>
  <c r="B102" i="12"/>
  <c r="L102" i="12" s="1"/>
  <c r="B101" i="12"/>
  <c r="R100" i="12"/>
  <c r="O100" i="12"/>
  <c r="L100" i="12"/>
  <c r="I100" i="12"/>
  <c r="F100" i="12"/>
  <c r="C100" i="12"/>
  <c r="B100" i="12"/>
  <c r="Q99" i="12"/>
  <c r="N99" i="12"/>
  <c r="K99" i="12"/>
  <c r="H99" i="12"/>
  <c r="E99" i="12"/>
  <c r="R98" i="12"/>
  <c r="O98" i="12"/>
  <c r="L98" i="12"/>
  <c r="I98" i="12"/>
  <c r="F98" i="12"/>
  <c r="C98" i="12"/>
  <c r="B98" i="12"/>
  <c r="B97" i="12"/>
  <c r="R97" i="12" s="1"/>
  <c r="B96" i="12"/>
  <c r="R96" i="12" s="1"/>
  <c r="B95" i="12"/>
  <c r="R94" i="12"/>
  <c r="O94" i="12"/>
  <c r="L94" i="12"/>
  <c r="I94" i="12"/>
  <c r="F94" i="12"/>
  <c r="C94" i="12"/>
  <c r="B94" i="12"/>
  <c r="B93" i="12"/>
  <c r="L93" i="12" s="1"/>
  <c r="B92" i="12"/>
  <c r="B91" i="12"/>
  <c r="L91" i="12" s="1"/>
  <c r="B90" i="12"/>
  <c r="O90" i="12" s="1"/>
  <c r="B89" i="12"/>
  <c r="L89" i="12" s="1"/>
  <c r="B88" i="12"/>
  <c r="B87" i="12"/>
  <c r="B86" i="12"/>
  <c r="O86" i="12" s="1"/>
  <c r="L85" i="12"/>
  <c r="I85" i="12"/>
  <c r="B85" i="12"/>
  <c r="Q84" i="12"/>
  <c r="N84" i="12"/>
  <c r="K84" i="12"/>
  <c r="H84" i="12"/>
  <c r="H83" i="12" s="1"/>
  <c r="E84" i="12"/>
  <c r="E83" i="12" s="1"/>
  <c r="Q83" i="12"/>
  <c r="K83" i="12"/>
  <c r="R82" i="12"/>
  <c r="O82" i="12"/>
  <c r="L82" i="12"/>
  <c r="I82" i="12"/>
  <c r="F82" i="12"/>
  <c r="C82" i="12"/>
  <c r="B82" i="12"/>
  <c r="B81" i="12"/>
  <c r="L81" i="12" s="1"/>
  <c r="B80" i="12"/>
  <c r="O80" i="12" s="1"/>
  <c r="L79" i="12"/>
  <c r="B79" i="12"/>
  <c r="B78" i="12"/>
  <c r="O78" i="12" s="1"/>
  <c r="Q77" i="12"/>
  <c r="Q76" i="12" s="1"/>
  <c r="N77" i="12"/>
  <c r="N76" i="12" s="1"/>
  <c r="K77" i="12"/>
  <c r="K76" i="12" s="1"/>
  <c r="H77" i="12"/>
  <c r="E77" i="12"/>
  <c r="E76" i="12" s="1"/>
  <c r="H76" i="12"/>
  <c r="R75" i="12"/>
  <c r="O75" i="12"/>
  <c r="L75" i="12"/>
  <c r="I75" i="12"/>
  <c r="F75" i="12"/>
  <c r="C75" i="12"/>
  <c r="B75" i="12"/>
  <c r="B74" i="12"/>
  <c r="L74" i="12" s="1"/>
  <c r="R73" i="12"/>
  <c r="O73" i="12"/>
  <c r="L73" i="12"/>
  <c r="I73" i="12"/>
  <c r="F73" i="12"/>
  <c r="C73" i="12"/>
  <c r="B73" i="12"/>
  <c r="B72" i="12"/>
  <c r="O72" i="12" s="1"/>
  <c r="R71" i="12"/>
  <c r="O71" i="12"/>
  <c r="L71" i="12"/>
  <c r="I71" i="12"/>
  <c r="F71" i="12"/>
  <c r="C71" i="12"/>
  <c r="B71" i="12"/>
  <c r="B70" i="12"/>
  <c r="O70" i="12" s="1"/>
  <c r="L69" i="12"/>
  <c r="B69" i="12"/>
  <c r="B68" i="12"/>
  <c r="O68" i="12" s="1"/>
  <c r="B67" i="12"/>
  <c r="L67" i="12" s="1"/>
  <c r="O66" i="12"/>
  <c r="B66" i="12"/>
  <c r="Q65" i="12"/>
  <c r="N65" i="12"/>
  <c r="N62" i="12" s="1"/>
  <c r="K65" i="12"/>
  <c r="H65" i="12"/>
  <c r="H62" i="12" s="1"/>
  <c r="E65" i="12"/>
  <c r="R64" i="12"/>
  <c r="O64" i="12"/>
  <c r="L64" i="12"/>
  <c r="I64" i="12"/>
  <c r="F64" i="12"/>
  <c r="C64" i="12"/>
  <c r="B64" i="12"/>
  <c r="I63" i="12"/>
  <c r="F63" i="12"/>
  <c r="B63" i="12"/>
  <c r="O63" i="12" s="1"/>
  <c r="Q62" i="12"/>
  <c r="K62" i="12"/>
  <c r="E62" i="12"/>
  <c r="R61" i="12"/>
  <c r="O61" i="12"/>
  <c r="L61" i="12"/>
  <c r="I61" i="12"/>
  <c r="F61" i="12"/>
  <c r="C61" i="12"/>
  <c r="B61" i="12"/>
  <c r="B60" i="12"/>
  <c r="B59" i="12"/>
  <c r="B58" i="12"/>
  <c r="O58" i="12" s="1"/>
  <c r="B57" i="12"/>
  <c r="L57" i="12" s="1"/>
  <c r="B56" i="12"/>
  <c r="Q55" i="12"/>
  <c r="N55" i="12"/>
  <c r="K55" i="12"/>
  <c r="H55" i="12"/>
  <c r="E55" i="12"/>
  <c r="R54" i="12"/>
  <c r="O54" i="12"/>
  <c r="L54" i="12"/>
  <c r="I54" i="12"/>
  <c r="F54" i="12"/>
  <c r="C54" i="12"/>
  <c r="B54" i="12"/>
  <c r="B53" i="12"/>
  <c r="O53" i="12" s="1"/>
  <c r="R52" i="12"/>
  <c r="O52" i="12"/>
  <c r="L52" i="12"/>
  <c r="I52" i="12"/>
  <c r="F52" i="12"/>
  <c r="C52" i="12"/>
  <c r="B52" i="12"/>
  <c r="B51" i="12"/>
  <c r="O51" i="12" s="1"/>
  <c r="B50" i="12"/>
  <c r="L50" i="12" s="1"/>
  <c r="B49" i="12"/>
  <c r="O49" i="12" s="1"/>
  <c r="B48" i="12"/>
  <c r="L48" i="12" s="1"/>
  <c r="O47" i="12"/>
  <c r="B47" i="12"/>
  <c r="B46" i="12"/>
  <c r="L46" i="12" s="1"/>
  <c r="R45" i="12"/>
  <c r="I45" i="12"/>
  <c r="B45" i="12"/>
  <c r="O45" i="12" s="1"/>
  <c r="B44" i="12"/>
  <c r="O44" i="12" s="1"/>
  <c r="Q43" i="12"/>
  <c r="N43" i="12"/>
  <c r="K43" i="12"/>
  <c r="K36" i="12" s="1"/>
  <c r="H43" i="12"/>
  <c r="E43" i="12"/>
  <c r="R42" i="12"/>
  <c r="O42" i="12"/>
  <c r="L42" i="12"/>
  <c r="I42" i="12"/>
  <c r="F42" i="12"/>
  <c r="C42" i="12"/>
  <c r="B42" i="12"/>
  <c r="O41" i="12"/>
  <c r="B41" i="12"/>
  <c r="L41" i="12" s="1"/>
  <c r="B40" i="12"/>
  <c r="I40" i="12" s="1"/>
  <c r="I39" i="12"/>
  <c r="B39" i="12"/>
  <c r="R39" i="12" s="1"/>
  <c r="B38" i="12"/>
  <c r="O38" i="12" s="1"/>
  <c r="Q37" i="12"/>
  <c r="N37" i="12"/>
  <c r="K37" i="12"/>
  <c r="H37" i="12"/>
  <c r="H36" i="12" s="1"/>
  <c r="E37" i="12"/>
  <c r="N36" i="12"/>
  <c r="R35" i="12"/>
  <c r="O35" i="12"/>
  <c r="L35" i="12"/>
  <c r="I35" i="12"/>
  <c r="F35" i="12"/>
  <c r="C35" i="12"/>
  <c r="B35" i="12"/>
  <c r="B34" i="12"/>
  <c r="I34" i="12" s="1"/>
  <c r="B33" i="12"/>
  <c r="R33" i="12" s="1"/>
  <c r="B32" i="12"/>
  <c r="O32" i="12" s="1"/>
  <c r="B31" i="12"/>
  <c r="L31" i="12" s="1"/>
  <c r="B30" i="12"/>
  <c r="I30" i="12" s="1"/>
  <c r="Q29" i="12"/>
  <c r="N29" i="12"/>
  <c r="K29" i="12"/>
  <c r="H29" i="12"/>
  <c r="E29" i="12"/>
  <c r="B29" i="12" s="1"/>
  <c r="Q28" i="12"/>
  <c r="N28" i="12"/>
  <c r="K28" i="12"/>
  <c r="H28" i="12"/>
  <c r="E28" i="12"/>
  <c r="R27" i="12"/>
  <c r="O27" i="12"/>
  <c r="L27" i="12"/>
  <c r="I27" i="12"/>
  <c r="F27" i="12"/>
  <c r="C27" i="12"/>
  <c r="B27" i="12"/>
  <c r="B26" i="12"/>
  <c r="O26" i="12" s="1"/>
  <c r="O25" i="12"/>
  <c r="I25" i="12"/>
  <c r="B25" i="12"/>
  <c r="L25" i="12" s="1"/>
  <c r="B24" i="12"/>
  <c r="I24" i="12" s="1"/>
  <c r="Q23" i="12"/>
  <c r="N23" i="12"/>
  <c r="K23" i="12"/>
  <c r="H23" i="12"/>
  <c r="E23" i="12"/>
  <c r="R22" i="12"/>
  <c r="O22" i="12"/>
  <c r="L22" i="12"/>
  <c r="I22" i="12"/>
  <c r="F22" i="12"/>
  <c r="C22" i="12"/>
  <c r="B22" i="12"/>
  <c r="I21" i="12"/>
  <c r="F21" i="12"/>
  <c r="B21" i="12"/>
  <c r="O21" i="12" s="1"/>
  <c r="O20" i="12"/>
  <c r="I20" i="12"/>
  <c r="F20" i="12"/>
  <c r="B20" i="12"/>
  <c r="L20" i="12" s="1"/>
  <c r="B19" i="12"/>
  <c r="I19" i="12" s="1"/>
  <c r="Q18" i="12"/>
  <c r="N18" i="12"/>
  <c r="K18" i="12"/>
  <c r="H18" i="12"/>
  <c r="E18" i="12"/>
  <c r="B18" i="12" s="1"/>
  <c r="R16" i="12"/>
  <c r="O16" i="12"/>
  <c r="L16" i="12"/>
  <c r="I16" i="12"/>
  <c r="F16" i="12"/>
  <c r="C16" i="12"/>
  <c r="B16" i="12"/>
  <c r="R14" i="12"/>
  <c r="O14" i="12"/>
  <c r="L14" i="12"/>
  <c r="I14" i="12"/>
  <c r="F14" i="12"/>
  <c r="C14" i="12"/>
  <c r="B14" i="12"/>
  <c r="R12" i="12"/>
  <c r="O12" i="12"/>
  <c r="L12" i="12"/>
  <c r="I12" i="12"/>
  <c r="F12" i="12"/>
  <c r="C12" i="12"/>
  <c r="B12" i="12"/>
  <c r="I41" i="12" l="1"/>
  <c r="I53" i="12"/>
  <c r="Q36" i="12"/>
  <c r="R57" i="12"/>
  <c r="O67" i="12"/>
  <c r="O74" i="12"/>
  <c r="L87" i="12"/>
  <c r="R87" i="12"/>
  <c r="L95" i="12"/>
  <c r="R95" i="12"/>
  <c r="O88" i="12"/>
  <c r="F88" i="12"/>
  <c r="O109" i="12"/>
  <c r="L109" i="12"/>
  <c r="I33" i="12"/>
  <c r="R41" i="12"/>
  <c r="B43" i="12"/>
  <c r="F43" i="12" s="1"/>
  <c r="O48" i="12"/>
  <c r="I58" i="12"/>
  <c r="R68" i="12"/>
  <c r="F72" i="12"/>
  <c r="I88" i="12"/>
  <c r="O92" i="12"/>
  <c r="R92" i="12"/>
  <c r="F92" i="12"/>
  <c r="L29" i="13"/>
  <c r="L106" i="13"/>
  <c r="R106" i="13"/>
  <c r="R20" i="12"/>
  <c r="R25" i="12"/>
  <c r="F41" i="12"/>
  <c r="R48" i="12"/>
  <c r="F53" i="12"/>
  <c r="F57" i="12"/>
  <c r="R58" i="12"/>
  <c r="R63" i="12"/>
  <c r="B65" i="12"/>
  <c r="I65" i="12" s="1"/>
  <c r="F67" i="12"/>
  <c r="L86" i="12"/>
  <c r="I92" i="12"/>
  <c r="O111" i="12"/>
  <c r="R111" i="12"/>
  <c r="F111" i="12"/>
  <c r="L26" i="13"/>
  <c r="O26" i="13"/>
  <c r="R58" i="18"/>
  <c r="B43" i="13"/>
  <c r="I50" i="13"/>
  <c r="O69" i="13"/>
  <c r="I95" i="13"/>
  <c r="R96" i="13"/>
  <c r="F104" i="13"/>
  <c r="I109" i="13"/>
  <c r="E17" i="15"/>
  <c r="Q17" i="15"/>
  <c r="F25" i="16"/>
  <c r="B37" i="16"/>
  <c r="K36" i="16"/>
  <c r="F68" i="16"/>
  <c r="L69" i="16"/>
  <c r="L86" i="16"/>
  <c r="R87" i="16"/>
  <c r="R91" i="16"/>
  <c r="R104" i="16"/>
  <c r="F20" i="18"/>
  <c r="I21" i="18"/>
  <c r="I26" i="18"/>
  <c r="O45" i="18"/>
  <c r="F58" i="18"/>
  <c r="I88" i="18"/>
  <c r="F89" i="18"/>
  <c r="R102" i="18"/>
  <c r="O105" i="18"/>
  <c r="O19" i="19"/>
  <c r="I21" i="19"/>
  <c r="B23" i="19"/>
  <c r="B29" i="19"/>
  <c r="O31" i="19"/>
  <c r="B37" i="19"/>
  <c r="L37" i="19" s="1"/>
  <c r="R45" i="19"/>
  <c r="F50" i="19"/>
  <c r="O58" i="19"/>
  <c r="O78" i="19"/>
  <c r="R80" i="19"/>
  <c r="R55" i="21"/>
  <c r="F84" i="22"/>
  <c r="O107" i="21"/>
  <c r="B29" i="13"/>
  <c r="O29" i="13" s="1"/>
  <c r="K36" i="15"/>
  <c r="B99" i="15"/>
  <c r="R99" i="15" s="1"/>
  <c r="B23" i="16"/>
  <c r="I25" i="16"/>
  <c r="I68" i="16"/>
  <c r="O20" i="18"/>
  <c r="F37" i="18"/>
  <c r="R37" i="18"/>
  <c r="R45" i="18"/>
  <c r="I58" i="18"/>
  <c r="R89" i="18"/>
  <c r="R105" i="18"/>
  <c r="R19" i="19"/>
  <c r="H17" i="19"/>
  <c r="R31" i="19"/>
  <c r="R50" i="19"/>
  <c r="R56" i="19"/>
  <c r="F70" i="19"/>
  <c r="I23" i="22"/>
  <c r="L96" i="12"/>
  <c r="B99" i="12"/>
  <c r="F99" i="12" s="1"/>
  <c r="O110" i="12"/>
  <c r="I19" i="13"/>
  <c r="B28" i="13"/>
  <c r="F53" i="13"/>
  <c r="N36" i="13"/>
  <c r="I57" i="13"/>
  <c r="R68" i="13"/>
  <c r="F72" i="13"/>
  <c r="B77" i="13"/>
  <c r="O79" i="13"/>
  <c r="B83" i="13"/>
  <c r="R83" i="13" s="1"/>
  <c r="I100" i="13"/>
  <c r="I19" i="16"/>
  <c r="R21" i="16"/>
  <c r="R25" i="16"/>
  <c r="I38" i="16"/>
  <c r="O40" i="16"/>
  <c r="I41" i="16"/>
  <c r="B43" i="16"/>
  <c r="R43" i="16" s="1"/>
  <c r="R67" i="16"/>
  <c r="R68" i="16"/>
  <c r="O70" i="16"/>
  <c r="O81" i="16"/>
  <c r="F87" i="16"/>
  <c r="I88" i="16"/>
  <c r="L90" i="16"/>
  <c r="L103" i="16"/>
  <c r="R20" i="18"/>
  <c r="F24" i="18"/>
  <c r="F30" i="18"/>
  <c r="O31" i="18"/>
  <c r="O34" i="18"/>
  <c r="I49" i="18"/>
  <c r="F53" i="18"/>
  <c r="O58" i="18"/>
  <c r="I70" i="18"/>
  <c r="I78" i="18"/>
  <c r="I80" i="18"/>
  <c r="R88" i="18"/>
  <c r="I92" i="18"/>
  <c r="I96" i="18"/>
  <c r="F105" i="18"/>
  <c r="B18" i="19"/>
  <c r="R20" i="19"/>
  <c r="R24" i="19"/>
  <c r="R34" i="19"/>
  <c r="F40" i="19"/>
  <c r="I70" i="19"/>
  <c r="F90" i="19"/>
  <c r="O96" i="19"/>
  <c r="I113" i="19"/>
  <c r="F65" i="22"/>
  <c r="V13" i="25"/>
  <c r="F29" i="13"/>
  <c r="R29" i="13"/>
  <c r="L37" i="16"/>
  <c r="F37" i="16"/>
  <c r="I29" i="13"/>
  <c r="O37" i="13"/>
  <c r="L37" i="13"/>
  <c r="I37" i="13"/>
  <c r="B17" i="13"/>
  <c r="R17" i="13" s="1"/>
  <c r="I28" i="13"/>
  <c r="R28" i="13"/>
  <c r="F28" i="13"/>
  <c r="O28" i="13"/>
  <c r="R37" i="13"/>
  <c r="L91" i="13"/>
  <c r="I91" i="13"/>
  <c r="L63" i="18"/>
  <c r="R63" i="18"/>
  <c r="O63" i="18"/>
  <c r="I63" i="18"/>
  <c r="L72" i="18"/>
  <c r="O72" i="18"/>
  <c r="I72" i="18"/>
  <c r="F72" i="18"/>
  <c r="N76" i="18"/>
  <c r="B43" i="19"/>
  <c r="I43" i="19" s="1"/>
  <c r="C15" i="24"/>
  <c r="L84" i="21"/>
  <c r="O84" i="21"/>
  <c r="I84" i="21"/>
  <c r="F18" i="12"/>
  <c r="R29" i="12"/>
  <c r="F32" i="12"/>
  <c r="F38" i="12"/>
  <c r="O43" i="12"/>
  <c r="L90" i="12"/>
  <c r="R110" i="12"/>
  <c r="B18" i="13"/>
  <c r="O18" i="13" s="1"/>
  <c r="I21" i="13"/>
  <c r="L28" i="13"/>
  <c r="F33" i="13"/>
  <c r="F37" i="13"/>
  <c r="I40" i="13"/>
  <c r="F44" i="13"/>
  <c r="I48" i="13"/>
  <c r="F78" i="13"/>
  <c r="I83" i="13"/>
  <c r="F91" i="13"/>
  <c r="R107" i="13"/>
  <c r="I107" i="13"/>
  <c r="I111" i="13"/>
  <c r="L99" i="15"/>
  <c r="L31" i="16"/>
  <c r="O31" i="16"/>
  <c r="I31" i="16"/>
  <c r="F31" i="16"/>
  <c r="F78" i="16"/>
  <c r="I92" i="16"/>
  <c r="Q28" i="18"/>
  <c r="I32" i="18"/>
  <c r="L40" i="18"/>
  <c r="O40" i="18"/>
  <c r="F63" i="18"/>
  <c r="I66" i="18"/>
  <c r="R72" i="18"/>
  <c r="O85" i="18"/>
  <c r="R85" i="18"/>
  <c r="O97" i="18"/>
  <c r="R97" i="18"/>
  <c r="I111" i="18"/>
  <c r="I25" i="19"/>
  <c r="R38" i="19"/>
  <c r="I38" i="19"/>
  <c r="L43" i="19"/>
  <c r="Q62" i="19"/>
  <c r="O85" i="19"/>
  <c r="F85" i="19"/>
  <c r="R84" i="21"/>
  <c r="I32" i="12"/>
  <c r="I38" i="12"/>
  <c r="I96" i="12"/>
  <c r="F105" i="12"/>
  <c r="O21" i="13"/>
  <c r="B23" i="13"/>
  <c r="L23" i="13" s="1"/>
  <c r="I26" i="13"/>
  <c r="I30" i="13"/>
  <c r="R33" i="13"/>
  <c r="O40" i="13"/>
  <c r="R44" i="13"/>
  <c r="O48" i="13"/>
  <c r="I69" i="13"/>
  <c r="R78" i="13"/>
  <c r="F83" i="13"/>
  <c r="L87" i="13"/>
  <c r="O87" i="13"/>
  <c r="I87" i="13"/>
  <c r="F87" i="13"/>
  <c r="O91" i="13"/>
  <c r="F106" i="13"/>
  <c r="F18" i="16"/>
  <c r="R31" i="16"/>
  <c r="I37" i="16"/>
  <c r="O47" i="16"/>
  <c r="O53" i="16"/>
  <c r="F53" i="16"/>
  <c r="B62" i="16"/>
  <c r="L19" i="18"/>
  <c r="F19" i="18"/>
  <c r="B23" i="18"/>
  <c r="O23" i="18" s="1"/>
  <c r="F40" i="18"/>
  <c r="F65" i="18"/>
  <c r="I74" i="18"/>
  <c r="F85" i="18"/>
  <c r="F97" i="18"/>
  <c r="F37" i="19"/>
  <c r="B55" i="19"/>
  <c r="O66" i="19"/>
  <c r="R66" i="19"/>
  <c r="I66" i="19"/>
  <c r="F66" i="19"/>
  <c r="L74" i="19"/>
  <c r="R74" i="19"/>
  <c r="O74" i="19"/>
  <c r="I74" i="19"/>
  <c r="F74" i="19"/>
  <c r="R85" i="19"/>
  <c r="F102" i="22"/>
  <c r="I102" i="22"/>
  <c r="O92" i="16"/>
  <c r="F92" i="16"/>
  <c r="L25" i="19"/>
  <c r="F25" i="19"/>
  <c r="R25" i="19"/>
  <c r="I18" i="12"/>
  <c r="L18" i="12"/>
  <c r="R32" i="12"/>
  <c r="B37" i="12"/>
  <c r="R38" i="12"/>
  <c r="F49" i="12"/>
  <c r="R91" i="13"/>
  <c r="N36" i="15"/>
  <c r="I18" i="16"/>
  <c r="O32" i="16"/>
  <c r="F32" i="16"/>
  <c r="O43" i="16"/>
  <c r="L48" i="16"/>
  <c r="R48" i="16"/>
  <c r="O48" i="16"/>
  <c r="F48" i="16"/>
  <c r="L79" i="16"/>
  <c r="I79" i="16"/>
  <c r="I23" i="18"/>
  <c r="R40" i="18"/>
  <c r="B55" i="18"/>
  <c r="L59" i="18"/>
  <c r="I59" i="18"/>
  <c r="F59" i="18"/>
  <c r="L68" i="18"/>
  <c r="R68" i="18"/>
  <c r="O68" i="18"/>
  <c r="I68" i="18"/>
  <c r="R103" i="18"/>
  <c r="I103" i="18"/>
  <c r="R43" i="19"/>
  <c r="Q36" i="19"/>
  <c r="H76" i="19"/>
  <c r="F84" i="21"/>
  <c r="O78" i="16"/>
  <c r="I78" i="16"/>
  <c r="E17" i="12"/>
  <c r="H17" i="12"/>
  <c r="O18" i="12"/>
  <c r="F26" i="12"/>
  <c r="F31" i="12"/>
  <c r="I49" i="12"/>
  <c r="R53" i="12"/>
  <c r="O57" i="12"/>
  <c r="R67" i="12"/>
  <c r="F78" i="12"/>
  <c r="F81" i="12"/>
  <c r="R88" i="12"/>
  <c r="F91" i="12"/>
  <c r="I93" i="12"/>
  <c r="F102" i="12"/>
  <c r="R105" i="12"/>
  <c r="I111" i="12"/>
  <c r="F34" i="13"/>
  <c r="O38" i="13"/>
  <c r="I45" i="13"/>
  <c r="R58" i="13"/>
  <c r="F63" i="13"/>
  <c r="I67" i="13"/>
  <c r="L83" i="13"/>
  <c r="O88" i="13"/>
  <c r="F88" i="13"/>
  <c r="O101" i="13"/>
  <c r="R101" i="13"/>
  <c r="I101" i="13"/>
  <c r="B29" i="16"/>
  <c r="I32" i="16"/>
  <c r="O49" i="16"/>
  <c r="I49" i="16"/>
  <c r="L57" i="16"/>
  <c r="R57" i="16"/>
  <c r="O57" i="16"/>
  <c r="F57" i="16"/>
  <c r="B29" i="18"/>
  <c r="O29" i="18" s="1"/>
  <c r="L41" i="18"/>
  <c r="O41" i="18"/>
  <c r="I41" i="18"/>
  <c r="F41" i="18"/>
  <c r="O93" i="18"/>
  <c r="R93" i="18"/>
  <c r="L109" i="18"/>
  <c r="R109" i="18"/>
  <c r="O109" i="18"/>
  <c r="I109" i="18"/>
  <c r="L59" i="19"/>
  <c r="R59" i="19"/>
  <c r="O59" i="19"/>
  <c r="F59" i="19"/>
  <c r="K76" i="19"/>
  <c r="B76" i="19" s="1"/>
  <c r="O29" i="12"/>
  <c r="O23" i="16"/>
  <c r="R49" i="12"/>
  <c r="I78" i="12"/>
  <c r="O81" i="12"/>
  <c r="O91" i="12"/>
  <c r="O102" i="12"/>
  <c r="I34" i="13"/>
  <c r="O45" i="13"/>
  <c r="R63" i="13"/>
  <c r="O67" i="13"/>
  <c r="O83" i="13"/>
  <c r="R88" i="13"/>
  <c r="B23" i="15"/>
  <c r="F23" i="15" s="1"/>
  <c r="F23" i="16"/>
  <c r="L29" i="16"/>
  <c r="K28" i="16"/>
  <c r="O58" i="16"/>
  <c r="I58" i="16"/>
  <c r="O63" i="16"/>
  <c r="R63" i="16"/>
  <c r="I63" i="16"/>
  <c r="O96" i="16"/>
  <c r="F96" i="16"/>
  <c r="L111" i="16"/>
  <c r="I111" i="16"/>
  <c r="B18" i="18"/>
  <c r="E17" i="18"/>
  <c r="B17" i="18" s="1"/>
  <c r="I29" i="18"/>
  <c r="R41" i="18"/>
  <c r="I55" i="18"/>
  <c r="I57" i="18"/>
  <c r="R57" i="18"/>
  <c r="F57" i="18"/>
  <c r="E62" i="18"/>
  <c r="L65" i="18"/>
  <c r="O69" i="18"/>
  <c r="R69" i="18"/>
  <c r="B77" i="18"/>
  <c r="O77" i="18" s="1"/>
  <c r="F93" i="18"/>
  <c r="F109" i="18"/>
  <c r="L30" i="19"/>
  <c r="F30" i="19"/>
  <c r="O60" i="19"/>
  <c r="I60" i="19"/>
  <c r="L63" i="19"/>
  <c r="O63" i="19"/>
  <c r="L68" i="19"/>
  <c r="O68" i="19"/>
  <c r="L88" i="19"/>
  <c r="O88" i="19"/>
  <c r="O103" i="19"/>
  <c r="R103" i="19"/>
  <c r="I103" i="19"/>
  <c r="F103" i="19"/>
  <c r="P16" i="24"/>
  <c r="J16" i="24"/>
  <c r="M16" i="24"/>
  <c r="P21" i="24"/>
  <c r="G21" i="24"/>
  <c r="M21" i="24"/>
  <c r="J21" i="24"/>
  <c r="L59" i="16"/>
  <c r="I59" i="16"/>
  <c r="R18" i="12"/>
  <c r="I26" i="12"/>
  <c r="I31" i="12"/>
  <c r="N17" i="12"/>
  <c r="R26" i="12"/>
  <c r="B28" i="12"/>
  <c r="I28" i="12" s="1"/>
  <c r="I29" i="12"/>
  <c r="O31" i="12"/>
  <c r="E36" i="12"/>
  <c r="B36" i="12" s="1"/>
  <c r="I36" i="12" s="1"/>
  <c r="I43" i="12"/>
  <c r="F68" i="12"/>
  <c r="I72" i="12"/>
  <c r="R78" i="12"/>
  <c r="R81" i="12"/>
  <c r="F87" i="12"/>
  <c r="I89" i="12"/>
  <c r="R91" i="12"/>
  <c r="F95" i="12"/>
  <c r="R102" i="12"/>
  <c r="F110" i="12"/>
  <c r="O19" i="13"/>
  <c r="I24" i="13"/>
  <c r="I32" i="13"/>
  <c r="O34" i="13"/>
  <c r="F39" i="13"/>
  <c r="O50" i="13"/>
  <c r="I59" i="13"/>
  <c r="R72" i="13"/>
  <c r="E76" i="13"/>
  <c r="B76" i="13" s="1"/>
  <c r="I76" i="13" s="1"/>
  <c r="R89" i="13"/>
  <c r="O89" i="13"/>
  <c r="I89" i="13"/>
  <c r="I98" i="13"/>
  <c r="O106" i="13"/>
  <c r="F99" i="15"/>
  <c r="O29" i="16"/>
  <c r="Q36" i="16"/>
  <c r="R37" i="16"/>
  <c r="L45" i="16"/>
  <c r="O45" i="16"/>
  <c r="F45" i="16"/>
  <c r="R49" i="16"/>
  <c r="F58" i="16"/>
  <c r="F63" i="16"/>
  <c r="I96" i="16"/>
  <c r="F111" i="16"/>
  <c r="Q36" i="18"/>
  <c r="F69" i="18"/>
  <c r="I77" i="18"/>
  <c r="H76" i="18"/>
  <c r="O79" i="18"/>
  <c r="R79" i="18"/>
  <c r="I79" i="18"/>
  <c r="F79" i="18"/>
  <c r="L101" i="18"/>
  <c r="F101" i="18"/>
  <c r="R101" i="18"/>
  <c r="O110" i="18"/>
  <c r="R110" i="18"/>
  <c r="N17" i="19"/>
  <c r="B17" i="19" s="1"/>
  <c r="O30" i="19"/>
  <c r="O37" i="19"/>
  <c r="O41" i="19"/>
  <c r="R41" i="19"/>
  <c r="I41" i="19"/>
  <c r="F60" i="19"/>
  <c r="L69" i="19"/>
  <c r="R69" i="19"/>
  <c r="O69" i="19"/>
  <c r="F69" i="19"/>
  <c r="L79" i="19"/>
  <c r="F79" i="19"/>
  <c r="R79" i="19"/>
  <c r="L89" i="19"/>
  <c r="R89" i="19"/>
  <c r="O89" i="19"/>
  <c r="F89" i="19"/>
  <c r="G16" i="24"/>
  <c r="K17" i="12"/>
  <c r="F29" i="12"/>
  <c r="Q17" i="12"/>
  <c r="R21" i="12"/>
  <c r="B23" i="12"/>
  <c r="I23" i="12" s="1"/>
  <c r="F25" i="12"/>
  <c r="L29" i="12"/>
  <c r="R31" i="12"/>
  <c r="F45" i="12"/>
  <c r="F48" i="12"/>
  <c r="F58" i="12"/>
  <c r="I68" i="12"/>
  <c r="R72" i="12"/>
  <c r="O87" i="12"/>
  <c r="O95" i="12"/>
  <c r="I110" i="12"/>
  <c r="O24" i="13"/>
  <c r="O32" i="13"/>
  <c r="R39" i="13"/>
  <c r="O59" i="13"/>
  <c r="R85" i="13"/>
  <c r="O85" i="13"/>
  <c r="L95" i="13"/>
  <c r="F95" i="13"/>
  <c r="R95" i="13"/>
  <c r="L98" i="13"/>
  <c r="L104" i="13"/>
  <c r="O104" i="13"/>
  <c r="O110" i="13"/>
  <c r="R110" i="13"/>
  <c r="I110" i="13"/>
  <c r="F110" i="13"/>
  <c r="R18" i="16"/>
  <c r="L23" i="16"/>
  <c r="O26" i="16"/>
  <c r="R26" i="16"/>
  <c r="I26" i="16"/>
  <c r="F26" i="16"/>
  <c r="B28" i="16"/>
  <c r="O28" i="16" s="1"/>
  <c r="L50" i="16"/>
  <c r="I50" i="16"/>
  <c r="R58" i="16"/>
  <c r="O72" i="16"/>
  <c r="R72" i="16"/>
  <c r="I72" i="16"/>
  <c r="R96" i="16"/>
  <c r="O98" i="16"/>
  <c r="L98" i="16"/>
  <c r="O111" i="16"/>
  <c r="R23" i="18"/>
  <c r="B28" i="18"/>
  <c r="R65" i="18"/>
  <c r="O46" i="19"/>
  <c r="F46" i="19"/>
  <c r="B62" i="19"/>
  <c r="F62" i="19" s="1"/>
  <c r="B77" i="19"/>
  <c r="I77" i="19" s="1"/>
  <c r="B65" i="19"/>
  <c r="F65" i="19" s="1"/>
  <c r="B84" i="13"/>
  <c r="L84" i="13" s="1"/>
  <c r="O98" i="13"/>
  <c r="R23" i="16"/>
  <c r="R41" i="16"/>
  <c r="R81" i="16"/>
  <c r="R24" i="18"/>
  <c r="R30" i="18"/>
  <c r="O49" i="18"/>
  <c r="O53" i="18"/>
  <c r="F86" i="19"/>
  <c r="O92" i="19"/>
  <c r="F97" i="19"/>
  <c r="O112" i="19"/>
  <c r="R83" i="21"/>
  <c r="R107" i="21"/>
  <c r="L107" i="21"/>
  <c r="R98" i="13"/>
  <c r="I106" i="13"/>
  <c r="B18" i="15"/>
  <c r="Q36" i="15"/>
  <c r="F21" i="16"/>
  <c r="F29" i="16"/>
  <c r="I33" i="16"/>
  <c r="F40" i="16"/>
  <c r="F91" i="16"/>
  <c r="F95" i="16"/>
  <c r="F104" i="16"/>
  <c r="F112" i="16"/>
  <c r="L29" i="18"/>
  <c r="I38" i="18"/>
  <c r="R49" i="18"/>
  <c r="R53" i="18"/>
  <c r="R77" i="18"/>
  <c r="F24" i="19"/>
  <c r="F31" i="19"/>
  <c r="F34" i="19"/>
  <c r="I37" i="19"/>
  <c r="F45" i="19"/>
  <c r="I47" i="19"/>
  <c r="F51" i="19"/>
  <c r="F56" i="19"/>
  <c r="R77" i="19"/>
  <c r="F80" i="19"/>
  <c r="I86" i="19"/>
  <c r="O97" i="19"/>
  <c r="I83" i="21"/>
  <c r="F65" i="21"/>
  <c r="L83" i="22"/>
  <c r="J13" i="25"/>
  <c r="M13" i="25"/>
  <c r="R99" i="21"/>
  <c r="L99" i="21"/>
  <c r="R55" i="22"/>
  <c r="F81" i="13"/>
  <c r="R92" i="13"/>
  <c r="F96" i="13"/>
  <c r="F100" i="13"/>
  <c r="I99" i="15"/>
  <c r="O18" i="16"/>
  <c r="I21" i="16"/>
  <c r="I29" i="16"/>
  <c r="O37" i="16"/>
  <c r="I43" i="16"/>
  <c r="F67" i="16"/>
  <c r="F88" i="16"/>
  <c r="O91" i="16"/>
  <c r="O95" i="16"/>
  <c r="O104" i="16"/>
  <c r="L110" i="16"/>
  <c r="I112" i="16"/>
  <c r="I20" i="18"/>
  <c r="F25" i="18"/>
  <c r="L28" i="18"/>
  <c r="F31" i="18"/>
  <c r="F34" i="18"/>
  <c r="I37" i="18"/>
  <c r="F45" i="18"/>
  <c r="I47" i="18"/>
  <c r="Q76" i="18"/>
  <c r="I86" i="18"/>
  <c r="F92" i="18"/>
  <c r="F96" i="18"/>
  <c r="F102" i="18"/>
  <c r="F19" i="19"/>
  <c r="O24" i="19"/>
  <c r="I26" i="19"/>
  <c r="B28" i="19"/>
  <c r="L28" i="19" s="1"/>
  <c r="I31" i="19"/>
  <c r="O34" i="19"/>
  <c r="F43" i="19"/>
  <c r="O45" i="19"/>
  <c r="I51" i="19"/>
  <c r="I56" i="19"/>
  <c r="L62" i="19"/>
  <c r="I80" i="19"/>
  <c r="R86" i="19"/>
  <c r="F93" i="19"/>
  <c r="R97" i="19"/>
  <c r="F113" i="19"/>
  <c r="L55" i="22"/>
  <c r="P13" i="25"/>
  <c r="F99" i="21"/>
  <c r="F77" i="19"/>
  <c r="B109" i="19"/>
  <c r="I109" i="19" s="1"/>
  <c r="F110" i="19"/>
  <c r="H131" i="147"/>
  <c r="J133" i="147"/>
  <c r="I107" i="21"/>
  <c r="B17" i="21"/>
  <c r="R81" i="13"/>
  <c r="F98" i="13"/>
  <c r="R100" i="13"/>
  <c r="O109" i="13"/>
  <c r="O99" i="15"/>
  <c r="I23" i="16"/>
  <c r="O25" i="16"/>
  <c r="R29" i="16"/>
  <c r="R62" i="16"/>
  <c r="R25" i="18"/>
  <c r="R31" i="18"/>
  <c r="O37" i="18"/>
  <c r="O78" i="18"/>
  <c r="R92" i="18"/>
  <c r="R96" i="18"/>
  <c r="R40" i="19"/>
  <c r="O43" i="19"/>
  <c r="R70" i="19"/>
  <c r="R90" i="19"/>
  <c r="F107" i="19"/>
  <c r="F109" i="19"/>
  <c r="I110" i="19"/>
  <c r="I17" i="21"/>
  <c r="J96" i="147"/>
  <c r="R247" i="147"/>
  <c r="L245" i="147"/>
  <c r="N247" i="147"/>
  <c r="J61" i="147"/>
  <c r="H53" i="147"/>
  <c r="N33" i="147"/>
  <c r="L31" i="147"/>
  <c r="R33" i="147"/>
  <c r="R269" i="147"/>
  <c r="N269" i="147"/>
  <c r="R204" i="147"/>
  <c r="N204" i="147"/>
  <c r="L184" i="147"/>
  <c r="R100" i="147"/>
  <c r="L98" i="147"/>
  <c r="N100" i="147"/>
  <c r="N143" i="147"/>
  <c r="R143" i="147"/>
  <c r="L141" i="147"/>
  <c r="R257" i="147"/>
  <c r="L255" i="147"/>
  <c r="N257" i="147"/>
  <c r="R225" i="147"/>
  <c r="N225" i="147"/>
  <c r="R152" i="147"/>
  <c r="N152" i="147"/>
  <c r="L150" i="147"/>
  <c r="R23" i="147"/>
  <c r="N23" i="147"/>
  <c r="L21" i="147"/>
  <c r="J255" i="147"/>
  <c r="H230" i="147"/>
  <c r="J245" i="147"/>
  <c r="R120" i="147"/>
  <c r="N120" i="147"/>
  <c r="N134" i="147"/>
  <c r="R134" i="147"/>
  <c r="L133" i="147"/>
  <c r="N71" i="147"/>
  <c r="R71" i="147"/>
  <c r="L61" i="147"/>
  <c r="N44" i="147"/>
  <c r="R44" i="147"/>
  <c r="L42" i="147"/>
  <c r="J19" i="147"/>
  <c r="H17" i="147"/>
  <c r="S13" i="25"/>
  <c r="G13" i="25"/>
  <c r="J155" i="24"/>
  <c r="M98" i="24"/>
  <c r="P155" i="24"/>
  <c r="C74" i="24"/>
  <c r="G74" i="24"/>
  <c r="C60" i="24"/>
  <c r="G60" i="24" s="1"/>
  <c r="P53" i="24"/>
  <c r="J53" i="24"/>
  <c r="C26" i="24"/>
  <c r="F13" i="24"/>
  <c r="M155" i="24"/>
  <c r="M63" i="24"/>
  <c r="M53" i="24"/>
  <c r="M27" i="24"/>
  <c r="G27" i="24"/>
  <c r="P27" i="24"/>
  <c r="J27" i="24"/>
  <c r="G53" i="24"/>
  <c r="J98" i="24"/>
  <c r="P98" i="24"/>
  <c r="C81" i="24"/>
  <c r="G81" i="24"/>
  <c r="P75" i="24"/>
  <c r="J75" i="24"/>
  <c r="P63" i="24"/>
  <c r="J63" i="24"/>
  <c r="C34" i="24"/>
  <c r="C97" i="24"/>
  <c r="M97" i="24" s="1"/>
  <c r="M74" i="24"/>
  <c r="M60" i="24"/>
  <c r="L13" i="24"/>
  <c r="P35" i="24"/>
  <c r="J35" i="24"/>
  <c r="M35" i="24"/>
  <c r="G75" i="24"/>
  <c r="M75" i="24"/>
  <c r="G35" i="24"/>
  <c r="F17" i="22"/>
  <c r="L17" i="22"/>
  <c r="R17" i="22"/>
  <c r="I17" i="22"/>
  <c r="F109" i="22"/>
  <c r="L109" i="22"/>
  <c r="R109" i="22"/>
  <c r="L18" i="22"/>
  <c r="R18" i="22"/>
  <c r="F18" i="22"/>
  <c r="L43" i="22"/>
  <c r="F43" i="22"/>
  <c r="B76" i="22"/>
  <c r="H15" i="22"/>
  <c r="O84" i="22"/>
  <c r="I84" i="22"/>
  <c r="K13" i="22"/>
  <c r="I18" i="22"/>
  <c r="O77" i="22"/>
  <c r="O43" i="22"/>
  <c r="B62" i="22"/>
  <c r="O109" i="22"/>
  <c r="F83" i="22"/>
  <c r="R77" i="22"/>
  <c r="F77" i="22"/>
  <c r="R23" i="22"/>
  <c r="F23" i="22"/>
  <c r="L23" i="22"/>
  <c r="Q15" i="22"/>
  <c r="I43" i="22"/>
  <c r="I77" i="22"/>
  <c r="I37" i="22"/>
  <c r="O37" i="22"/>
  <c r="O18" i="22"/>
  <c r="O65" i="22"/>
  <c r="I65" i="22"/>
  <c r="L65" i="22"/>
  <c r="I109" i="22"/>
  <c r="F29" i="22"/>
  <c r="L29" i="22"/>
  <c r="R29" i="22"/>
  <c r="O83" i="22"/>
  <c r="I83" i="22"/>
  <c r="L77" i="22"/>
  <c r="O17" i="22"/>
  <c r="N15" i="22"/>
  <c r="B36" i="22"/>
  <c r="E15" i="22"/>
  <c r="R102" i="22"/>
  <c r="L102" i="22"/>
  <c r="O102" i="22"/>
  <c r="I29" i="22"/>
  <c r="R43" i="22"/>
  <c r="O65" i="21"/>
  <c r="I65" i="21"/>
  <c r="B76" i="21"/>
  <c r="I76" i="21" s="1"/>
  <c r="H15" i="21"/>
  <c r="B36" i="21"/>
  <c r="L36" i="21" s="1"/>
  <c r="F36" i="21"/>
  <c r="E15" i="21"/>
  <c r="K15" i="21"/>
  <c r="O55" i="21"/>
  <c r="I55" i="21"/>
  <c r="B62" i="21"/>
  <c r="R62" i="21" s="1"/>
  <c r="Q15" i="21"/>
  <c r="R36" i="21"/>
  <c r="R65" i="21"/>
  <c r="O23" i="19"/>
  <c r="I23" i="19"/>
  <c r="R29" i="19"/>
  <c r="R23" i="19"/>
  <c r="O29" i="19"/>
  <c r="I29" i="19"/>
  <c r="O18" i="19"/>
  <c r="I18" i="19"/>
  <c r="R18" i="19"/>
  <c r="L23" i="19"/>
  <c r="L29" i="19"/>
  <c r="L18" i="19"/>
  <c r="I28" i="19"/>
  <c r="O28" i="19"/>
  <c r="R28" i="19"/>
  <c r="L33" i="19"/>
  <c r="L39" i="19"/>
  <c r="L44" i="19"/>
  <c r="L48" i="19"/>
  <c r="O55" i="19"/>
  <c r="I57" i="19"/>
  <c r="R57" i="19"/>
  <c r="F57" i="19"/>
  <c r="O57" i="19"/>
  <c r="I87" i="19"/>
  <c r="R87" i="19"/>
  <c r="F87" i="19"/>
  <c r="O87" i="19"/>
  <c r="L32" i="19"/>
  <c r="O33" i="19"/>
  <c r="H36" i="19"/>
  <c r="N36" i="19"/>
  <c r="L38" i="19"/>
  <c r="O39" i="19"/>
  <c r="O44" i="19"/>
  <c r="L47" i="19"/>
  <c r="R48" i="19"/>
  <c r="F55" i="19"/>
  <c r="L57" i="19"/>
  <c r="L87" i="19"/>
  <c r="I91" i="19"/>
  <c r="R91" i="19"/>
  <c r="F91" i="19"/>
  <c r="O91" i="19"/>
  <c r="I95" i="19"/>
  <c r="R95" i="19"/>
  <c r="F95" i="19"/>
  <c r="O95" i="19"/>
  <c r="I99" i="19"/>
  <c r="R99" i="19"/>
  <c r="F99" i="19"/>
  <c r="O99" i="19"/>
  <c r="I111" i="19"/>
  <c r="R111" i="19"/>
  <c r="F111" i="19"/>
  <c r="O111" i="19"/>
  <c r="L26" i="19"/>
  <c r="K15" i="19"/>
  <c r="F18" i="19"/>
  <c r="I19" i="19"/>
  <c r="O21" i="19"/>
  <c r="F23" i="19"/>
  <c r="I24" i="19"/>
  <c r="O26" i="19"/>
  <c r="F28" i="19"/>
  <c r="F29" i="19"/>
  <c r="I30" i="19"/>
  <c r="O32" i="19"/>
  <c r="F33" i="19"/>
  <c r="R33" i="19"/>
  <c r="I34" i="19"/>
  <c r="O38" i="19"/>
  <c r="F39" i="19"/>
  <c r="R39" i="19"/>
  <c r="I40" i="19"/>
  <c r="L41" i="19"/>
  <c r="F44" i="19"/>
  <c r="R44" i="19"/>
  <c r="I45" i="19"/>
  <c r="L46" i="19"/>
  <c r="O47" i="19"/>
  <c r="F48" i="19"/>
  <c r="L49" i="19"/>
  <c r="I49" i="19"/>
  <c r="R49" i="19"/>
  <c r="F49" i="19"/>
  <c r="I55" i="19"/>
  <c r="I81" i="19"/>
  <c r="R81" i="19"/>
  <c r="F81" i="19"/>
  <c r="O81" i="19"/>
  <c r="L91" i="19"/>
  <c r="L95" i="19"/>
  <c r="L99" i="19"/>
  <c r="B101" i="19"/>
  <c r="F101" i="19" s="1"/>
  <c r="R101" i="19"/>
  <c r="I104" i="19"/>
  <c r="R104" i="19"/>
  <c r="F104" i="19"/>
  <c r="O104" i="19"/>
  <c r="L109" i="19"/>
  <c r="L111" i="19"/>
  <c r="L55" i="19"/>
  <c r="B84" i="19"/>
  <c r="R84" i="19" s="1"/>
  <c r="L101" i="19"/>
  <c r="L21" i="19"/>
  <c r="F21" i="19"/>
  <c r="F26" i="19"/>
  <c r="F32" i="19"/>
  <c r="F38" i="19"/>
  <c r="F47" i="19"/>
  <c r="I48" i="19"/>
  <c r="R55" i="19"/>
  <c r="O65" i="19"/>
  <c r="I65" i="19"/>
  <c r="L65" i="19"/>
  <c r="I67" i="19"/>
  <c r="R67" i="19"/>
  <c r="F67" i="19"/>
  <c r="O67" i="19"/>
  <c r="L81" i="19"/>
  <c r="E83" i="19"/>
  <c r="E15" i="19" s="1"/>
  <c r="Q83" i="19"/>
  <c r="Q15" i="19" s="1"/>
  <c r="L104" i="19"/>
  <c r="O109" i="19"/>
  <c r="I50" i="19"/>
  <c r="L51" i="19"/>
  <c r="F53" i="19"/>
  <c r="R53" i="19"/>
  <c r="L56" i="19"/>
  <c r="F58" i="19"/>
  <c r="R58" i="19"/>
  <c r="I59" i="19"/>
  <c r="L60" i="19"/>
  <c r="F63" i="19"/>
  <c r="R63" i="19"/>
  <c r="L66" i="19"/>
  <c r="F68" i="19"/>
  <c r="R68" i="19"/>
  <c r="I69" i="19"/>
  <c r="L70" i="19"/>
  <c r="F72" i="19"/>
  <c r="R72" i="19"/>
  <c r="F78" i="19"/>
  <c r="R78" i="19"/>
  <c r="I79" i="19"/>
  <c r="L80" i="19"/>
  <c r="I85" i="19"/>
  <c r="L86" i="19"/>
  <c r="F88" i="19"/>
  <c r="R88" i="19"/>
  <c r="I89" i="19"/>
  <c r="L90" i="19"/>
  <c r="F92" i="19"/>
  <c r="R92" i="19"/>
  <c r="I93" i="19"/>
  <c r="F96" i="19"/>
  <c r="R96" i="19"/>
  <c r="I97" i="19"/>
  <c r="L103" i="19"/>
  <c r="F105" i="19"/>
  <c r="R105" i="19"/>
  <c r="L107" i="19"/>
  <c r="L110" i="19"/>
  <c r="F112" i="19"/>
  <c r="R112" i="19"/>
  <c r="L114" i="19"/>
  <c r="L50" i="19"/>
  <c r="O51" i="19"/>
  <c r="I53" i="19"/>
  <c r="I58" i="19"/>
  <c r="I63" i="19"/>
  <c r="I68" i="19"/>
  <c r="I72" i="19"/>
  <c r="I78" i="19"/>
  <c r="L85" i="19"/>
  <c r="I88" i="19"/>
  <c r="I92" i="19"/>
  <c r="I96" i="19"/>
  <c r="I105" i="19"/>
  <c r="O107" i="19"/>
  <c r="O110" i="19"/>
  <c r="I112" i="19"/>
  <c r="L113" i="19"/>
  <c r="O114" i="19"/>
  <c r="F114" i="19"/>
  <c r="I39" i="18"/>
  <c r="R39" i="18"/>
  <c r="F39" i="18"/>
  <c r="O39" i="18"/>
  <c r="O17" i="18"/>
  <c r="O18" i="18"/>
  <c r="I33" i="18"/>
  <c r="R33" i="18"/>
  <c r="F33" i="18"/>
  <c r="O33" i="18"/>
  <c r="L39" i="18"/>
  <c r="H36" i="18"/>
  <c r="I44" i="18"/>
  <c r="R44" i="18"/>
  <c r="F44" i="18"/>
  <c r="O44" i="18"/>
  <c r="I17" i="18"/>
  <c r="R17" i="18"/>
  <c r="I18" i="18"/>
  <c r="R18" i="18"/>
  <c r="L23" i="18"/>
  <c r="L33" i="18"/>
  <c r="L44" i="18"/>
  <c r="O50" i="18"/>
  <c r="L50" i="18"/>
  <c r="I50" i="18"/>
  <c r="F50" i="18"/>
  <c r="L17" i="18"/>
  <c r="L18" i="18"/>
  <c r="B43" i="18"/>
  <c r="O43" i="18" s="1"/>
  <c r="N36" i="18"/>
  <c r="I48" i="18"/>
  <c r="L48" i="18"/>
  <c r="F48" i="18"/>
  <c r="R48" i="18"/>
  <c r="R60" i="18"/>
  <c r="F60" i="18"/>
  <c r="L60" i="18"/>
  <c r="I60" i="18"/>
  <c r="I67" i="18"/>
  <c r="R67" i="18"/>
  <c r="F67" i="18"/>
  <c r="O67" i="18"/>
  <c r="L67" i="18"/>
  <c r="L21" i="18"/>
  <c r="L26" i="18"/>
  <c r="L32" i="18"/>
  <c r="L38" i="18"/>
  <c r="R51" i="18"/>
  <c r="F51" i="18"/>
  <c r="O51" i="18"/>
  <c r="B62" i="18"/>
  <c r="O62" i="18" s="1"/>
  <c r="I95" i="18"/>
  <c r="R95" i="18"/>
  <c r="F95" i="18"/>
  <c r="O95" i="18"/>
  <c r="I112" i="18"/>
  <c r="R112" i="18"/>
  <c r="F112" i="18"/>
  <c r="O112" i="18"/>
  <c r="B84" i="18"/>
  <c r="R84" i="18" s="1"/>
  <c r="I108" i="18"/>
  <c r="R108" i="18"/>
  <c r="F108" i="18"/>
  <c r="O108" i="18"/>
  <c r="K15" i="18"/>
  <c r="F17" i="18"/>
  <c r="F18" i="18"/>
  <c r="I19" i="18"/>
  <c r="O21" i="18"/>
  <c r="F23" i="18"/>
  <c r="I24" i="18"/>
  <c r="O26" i="18"/>
  <c r="F28" i="18"/>
  <c r="F29" i="18"/>
  <c r="I30" i="18"/>
  <c r="O32" i="18"/>
  <c r="I34" i="18"/>
  <c r="O38" i="18"/>
  <c r="I40" i="18"/>
  <c r="I45" i="18"/>
  <c r="O46" i="18"/>
  <c r="R46" i="18"/>
  <c r="R56" i="18"/>
  <c r="F56" i="18"/>
  <c r="O56" i="18"/>
  <c r="L57" i="18"/>
  <c r="F62" i="18"/>
  <c r="L77" i="18"/>
  <c r="I81" i="18"/>
  <c r="R81" i="18"/>
  <c r="F81" i="18"/>
  <c r="O81" i="18"/>
  <c r="I87" i="18"/>
  <c r="R87" i="18"/>
  <c r="F87" i="18"/>
  <c r="O87" i="18"/>
  <c r="L95" i="18"/>
  <c r="B107" i="18"/>
  <c r="L107" i="18" s="1"/>
  <c r="L112" i="18"/>
  <c r="F21" i="18"/>
  <c r="F26" i="18"/>
  <c r="F32" i="18"/>
  <c r="F38" i="18"/>
  <c r="R47" i="18"/>
  <c r="F47" i="18"/>
  <c r="O47" i="18"/>
  <c r="I51" i="18"/>
  <c r="O57" i="18"/>
  <c r="O59" i="18"/>
  <c r="R59" i="18"/>
  <c r="E83" i="18"/>
  <c r="E15" i="18" s="1"/>
  <c r="Q83" i="18"/>
  <c r="Q15" i="18" s="1"/>
  <c r="I91" i="18"/>
  <c r="R91" i="18"/>
  <c r="F91" i="18"/>
  <c r="O91" i="18"/>
  <c r="B99" i="18"/>
  <c r="O99" i="18" s="1"/>
  <c r="F107" i="18"/>
  <c r="L66" i="18"/>
  <c r="I69" i="18"/>
  <c r="L70" i="18"/>
  <c r="L74" i="18"/>
  <c r="L80" i="18"/>
  <c r="I85" i="18"/>
  <c r="L86" i="18"/>
  <c r="I89" i="18"/>
  <c r="L90" i="18"/>
  <c r="I93" i="18"/>
  <c r="I97" i="18"/>
  <c r="I102" i="18"/>
  <c r="L103" i="18"/>
  <c r="I110" i="18"/>
  <c r="L111" i="18"/>
  <c r="I65" i="18"/>
  <c r="O65" i="18"/>
  <c r="O66" i="18"/>
  <c r="L69" i="18"/>
  <c r="O70" i="18"/>
  <c r="O74" i="18"/>
  <c r="F77" i="18"/>
  <c r="L79" i="18"/>
  <c r="O80" i="18"/>
  <c r="L85" i="18"/>
  <c r="O86" i="18"/>
  <c r="L89" i="18"/>
  <c r="O90" i="18"/>
  <c r="L93" i="18"/>
  <c r="L97" i="18"/>
  <c r="L102" i="18"/>
  <c r="O103" i="18"/>
  <c r="L110" i="18"/>
  <c r="O111" i="18"/>
  <c r="F66" i="18"/>
  <c r="F70" i="18"/>
  <c r="F74" i="18"/>
  <c r="F80" i="18"/>
  <c r="F86" i="18"/>
  <c r="F90" i="18"/>
  <c r="F103" i="18"/>
  <c r="F111" i="18"/>
  <c r="H17" i="16"/>
  <c r="N17" i="16"/>
  <c r="L19" i="16"/>
  <c r="O20" i="16"/>
  <c r="O24" i="16"/>
  <c r="O30" i="16"/>
  <c r="L33" i="16"/>
  <c r="O34" i="16"/>
  <c r="H36" i="16"/>
  <c r="N36" i="16"/>
  <c r="L38" i="16"/>
  <c r="O39" i="16"/>
  <c r="O44" i="16"/>
  <c r="R46" i="16"/>
  <c r="O46" i="16"/>
  <c r="L46" i="16"/>
  <c r="L55" i="16"/>
  <c r="I56" i="16"/>
  <c r="R56" i="16"/>
  <c r="F56" i="16"/>
  <c r="I60" i="16"/>
  <c r="R60" i="16"/>
  <c r="F60" i="16"/>
  <c r="F62" i="16"/>
  <c r="B65" i="16"/>
  <c r="I65" i="16" s="1"/>
  <c r="I85" i="16"/>
  <c r="I89" i="16"/>
  <c r="I93" i="16"/>
  <c r="B100" i="16"/>
  <c r="I102" i="16"/>
  <c r="I109" i="16"/>
  <c r="R113" i="16"/>
  <c r="F113" i="16"/>
  <c r="O113" i="16"/>
  <c r="L20" i="16"/>
  <c r="R55" i="16"/>
  <c r="F55" i="16"/>
  <c r="I62" i="16"/>
  <c r="O19" i="16"/>
  <c r="F20" i="16"/>
  <c r="R20" i="16"/>
  <c r="F24" i="16"/>
  <c r="R24" i="16"/>
  <c r="L26" i="16"/>
  <c r="F30" i="16"/>
  <c r="R30" i="16"/>
  <c r="L32" i="16"/>
  <c r="O33" i="16"/>
  <c r="F34" i="16"/>
  <c r="R34" i="16"/>
  <c r="O38" i="16"/>
  <c r="F39" i="16"/>
  <c r="R39" i="16"/>
  <c r="L41" i="16"/>
  <c r="F44" i="16"/>
  <c r="R44" i="16"/>
  <c r="I45" i="16"/>
  <c r="I47" i="16"/>
  <c r="R47" i="16"/>
  <c r="F47" i="16"/>
  <c r="I51" i="16"/>
  <c r="R51" i="16"/>
  <c r="F51" i="16"/>
  <c r="R59" i="16"/>
  <c r="F59" i="16"/>
  <c r="O59" i="16"/>
  <c r="L65" i="16"/>
  <c r="I66" i="16"/>
  <c r="R66" i="16"/>
  <c r="F66" i="16"/>
  <c r="I70" i="16"/>
  <c r="R70" i="16"/>
  <c r="F70" i="16"/>
  <c r="I80" i="16"/>
  <c r="R80" i="16"/>
  <c r="F80" i="16"/>
  <c r="B83" i="16"/>
  <c r="I83" i="16" s="1"/>
  <c r="I98" i="16"/>
  <c r="R98" i="16"/>
  <c r="F98" i="16"/>
  <c r="O100" i="16"/>
  <c r="I113" i="16"/>
  <c r="L24" i="16"/>
  <c r="L30" i="16"/>
  <c r="L34" i="16"/>
  <c r="L39" i="16"/>
  <c r="L44" i="16"/>
  <c r="I55" i="16"/>
  <c r="I74" i="16"/>
  <c r="R74" i="16"/>
  <c r="F74" i="16"/>
  <c r="R85" i="16"/>
  <c r="F85" i="16"/>
  <c r="O85" i="16"/>
  <c r="R89" i="16"/>
  <c r="F89" i="16"/>
  <c r="O89" i="16"/>
  <c r="R93" i="16"/>
  <c r="F93" i="16"/>
  <c r="O93" i="16"/>
  <c r="R102" i="16"/>
  <c r="F102" i="16"/>
  <c r="O102" i="16"/>
  <c r="R109" i="16"/>
  <c r="F109" i="16"/>
  <c r="O109" i="16"/>
  <c r="E17" i="16"/>
  <c r="K17" i="16"/>
  <c r="Q17" i="16"/>
  <c r="F19" i="16"/>
  <c r="F33" i="16"/>
  <c r="F38" i="16"/>
  <c r="F43" i="16"/>
  <c r="L43" i="16"/>
  <c r="F46" i="16"/>
  <c r="R50" i="16"/>
  <c r="F50" i="16"/>
  <c r="O50" i="16"/>
  <c r="O55" i="16"/>
  <c r="L56" i="16"/>
  <c r="L60" i="16"/>
  <c r="L62" i="16"/>
  <c r="F65" i="16"/>
  <c r="O62" i="16"/>
  <c r="R69" i="16"/>
  <c r="F69" i="16"/>
  <c r="O69" i="16"/>
  <c r="O74" i="16"/>
  <c r="B76" i="16"/>
  <c r="O76" i="16" s="1"/>
  <c r="B77" i="16"/>
  <c r="R77" i="16" s="1"/>
  <c r="R79" i="16"/>
  <c r="F79" i="16"/>
  <c r="O79" i="16"/>
  <c r="B84" i="16"/>
  <c r="I86" i="16"/>
  <c r="R86" i="16"/>
  <c r="F86" i="16"/>
  <c r="I90" i="16"/>
  <c r="R90" i="16"/>
  <c r="F90" i="16"/>
  <c r="I103" i="16"/>
  <c r="R103" i="16"/>
  <c r="F103" i="16"/>
  <c r="R106" i="16"/>
  <c r="F106" i="16"/>
  <c r="O106" i="16"/>
  <c r="B108" i="16"/>
  <c r="I108" i="16" s="1"/>
  <c r="I110" i="16"/>
  <c r="R110" i="16"/>
  <c r="F110" i="16"/>
  <c r="L113" i="16"/>
  <c r="I48" i="16"/>
  <c r="L49" i="16"/>
  <c r="L53" i="16"/>
  <c r="I57" i="16"/>
  <c r="L58" i="16"/>
  <c r="L63" i="16"/>
  <c r="I67" i="16"/>
  <c r="L68" i="16"/>
  <c r="L72" i="16"/>
  <c r="L78" i="16"/>
  <c r="I81" i="16"/>
  <c r="I87" i="16"/>
  <c r="L88" i="16"/>
  <c r="I91" i="16"/>
  <c r="L92" i="16"/>
  <c r="I95" i="16"/>
  <c r="L96" i="16"/>
  <c r="I104" i="16"/>
  <c r="L112" i="16"/>
  <c r="F18" i="15"/>
  <c r="L18" i="15"/>
  <c r="R18" i="15"/>
  <c r="B28" i="15"/>
  <c r="B36" i="15"/>
  <c r="L36" i="15" s="1"/>
  <c r="K15" i="15"/>
  <c r="O23" i="15"/>
  <c r="R48" i="15"/>
  <c r="B55" i="15"/>
  <c r="L55" i="15" s="1"/>
  <c r="B65" i="15"/>
  <c r="L65" i="15" s="1"/>
  <c r="E62" i="15"/>
  <c r="R101" i="15"/>
  <c r="I18" i="15"/>
  <c r="R40" i="15"/>
  <c r="R19" i="15"/>
  <c r="I23" i="15"/>
  <c r="B29" i="15"/>
  <c r="O29" i="15" s="1"/>
  <c r="B43" i="15"/>
  <c r="L43" i="15" s="1"/>
  <c r="H76" i="15"/>
  <c r="B77" i="15"/>
  <c r="O77" i="15" s="1"/>
  <c r="B84" i="15"/>
  <c r="R84" i="15" s="1"/>
  <c r="R92" i="15"/>
  <c r="R96" i="15"/>
  <c r="R105" i="15"/>
  <c r="R109" i="15"/>
  <c r="R24" i="15"/>
  <c r="B37" i="15"/>
  <c r="R45" i="15"/>
  <c r="R78" i="15"/>
  <c r="Q83" i="15"/>
  <c r="Q15" i="15" s="1"/>
  <c r="H17" i="15"/>
  <c r="O18" i="15"/>
  <c r="R23" i="15"/>
  <c r="N28" i="15"/>
  <c r="R30" i="15"/>
  <c r="R34" i="15"/>
  <c r="R57" i="15"/>
  <c r="R67" i="15"/>
  <c r="B83" i="15"/>
  <c r="F83" i="15" s="1"/>
  <c r="R88" i="15"/>
  <c r="B107" i="15"/>
  <c r="R43" i="13"/>
  <c r="I43" i="13"/>
  <c r="L43" i="13"/>
  <c r="O43" i="13"/>
  <c r="L31" i="13"/>
  <c r="R46" i="13"/>
  <c r="F46" i="13"/>
  <c r="L46" i="13"/>
  <c r="L20" i="13"/>
  <c r="O49" i="13"/>
  <c r="I49" i="13"/>
  <c r="I60" i="13"/>
  <c r="R60" i="13"/>
  <c r="F60" i="13"/>
  <c r="O60" i="13"/>
  <c r="H62" i="13"/>
  <c r="R77" i="13"/>
  <c r="L19" i="13"/>
  <c r="O20" i="13"/>
  <c r="F21" i="13"/>
  <c r="R21" i="13"/>
  <c r="L24" i="13"/>
  <c r="O25" i="13"/>
  <c r="F26" i="13"/>
  <c r="R26" i="13"/>
  <c r="L30" i="13"/>
  <c r="O31" i="13"/>
  <c r="F32" i="13"/>
  <c r="R32" i="13"/>
  <c r="I33" i="13"/>
  <c r="L34" i="13"/>
  <c r="E36" i="13"/>
  <c r="K36" i="13"/>
  <c r="Q36" i="13"/>
  <c r="F38" i="13"/>
  <c r="R38" i="13"/>
  <c r="I39" i="13"/>
  <c r="L40" i="13"/>
  <c r="O41" i="13"/>
  <c r="F43" i="13"/>
  <c r="I44" i="13"/>
  <c r="L45" i="13"/>
  <c r="F49" i="13"/>
  <c r="L60" i="13"/>
  <c r="L76" i="13"/>
  <c r="I77" i="13"/>
  <c r="L25" i="13"/>
  <c r="L41" i="13"/>
  <c r="I47" i="13"/>
  <c r="O47" i="13"/>
  <c r="I51" i="13"/>
  <c r="O51" i="13"/>
  <c r="I56" i="13"/>
  <c r="R56" i="13"/>
  <c r="F56" i="13"/>
  <c r="O56" i="13"/>
  <c r="I66" i="13"/>
  <c r="R66" i="13"/>
  <c r="F66" i="13"/>
  <c r="O66" i="13"/>
  <c r="I70" i="13"/>
  <c r="R70" i="13"/>
  <c r="F70" i="13"/>
  <c r="O70" i="13"/>
  <c r="F20" i="13"/>
  <c r="R20" i="13"/>
  <c r="F25" i="13"/>
  <c r="R25" i="13"/>
  <c r="F31" i="13"/>
  <c r="R31" i="13"/>
  <c r="L33" i="13"/>
  <c r="L39" i="13"/>
  <c r="F41" i="13"/>
  <c r="R41" i="13"/>
  <c r="L44" i="13"/>
  <c r="I46" i="13"/>
  <c r="L47" i="13"/>
  <c r="L49" i="13"/>
  <c r="L51" i="13"/>
  <c r="B55" i="13"/>
  <c r="I55" i="13" s="1"/>
  <c r="O55" i="13"/>
  <c r="B65" i="13"/>
  <c r="I65" i="13" s="1"/>
  <c r="N62" i="13"/>
  <c r="L77" i="13"/>
  <c r="F19" i="13"/>
  <c r="F24" i="13"/>
  <c r="F30" i="13"/>
  <c r="H36" i="13"/>
  <c r="F40" i="13"/>
  <c r="F45" i="13"/>
  <c r="O46" i="13"/>
  <c r="R47" i="13"/>
  <c r="R49" i="13"/>
  <c r="R51" i="13"/>
  <c r="O53" i="13"/>
  <c r="I53" i="13"/>
  <c r="F55" i="13"/>
  <c r="R55" i="13"/>
  <c r="R76" i="13"/>
  <c r="O77" i="13"/>
  <c r="L74" i="13"/>
  <c r="L80" i="13"/>
  <c r="L86" i="13"/>
  <c r="L90" i="13"/>
  <c r="L108" i="13"/>
  <c r="F48" i="13"/>
  <c r="R48" i="13"/>
  <c r="L50" i="13"/>
  <c r="F57" i="13"/>
  <c r="R57" i="13"/>
  <c r="I58" i="13"/>
  <c r="L59" i="13"/>
  <c r="I63" i="13"/>
  <c r="F67" i="13"/>
  <c r="R67" i="13"/>
  <c r="I68" i="13"/>
  <c r="L69" i="13"/>
  <c r="I72" i="13"/>
  <c r="O74" i="13"/>
  <c r="F76" i="13"/>
  <c r="F77" i="13"/>
  <c r="I78" i="13"/>
  <c r="L79" i="13"/>
  <c r="O80" i="13"/>
  <c r="L85" i="13"/>
  <c r="O86" i="13"/>
  <c r="I88" i="13"/>
  <c r="L89" i="13"/>
  <c r="O90" i="13"/>
  <c r="I92" i="13"/>
  <c r="L93" i="13"/>
  <c r="L102" i="13"/>
  <c r="L107" i="13"/>
  <c r="O108" i="13"/>
  <c r="L111" i="13"/>
  <c r="L58" i="13"/>
  <c r="L63" i="13"/>
  <c r="L68" i="13"/>
  <c r="L72" i="13"/>
  <c r="F74" i="13"/>
  <c r="R74" i="13"/>
  <c r="L78" i="13"/>
  <c r="F80" i="13"/>
  <c r="R80" i="13"/>
  <c r="F86" i="13"/>
  <c r="R86" i="13"/>
  <c r="L88" i="13"/>
  <c r="F90" i="13"/>
  <c r="R90" i="13"/>
  <c r="L92" i="13"/>
  <c r="O93" i="13"/>
  <c r="L96" i="13"/>
  <c r="L101" i="13"/>
  <c r="O102" i="13"/>
  <c r="I104" i="13"/>
  <c r="O107" i="13"/>
  <c r="F108" i="13"/>
  <c r="R108" i="13"/>
  <c r="L110" i="13"/>
  <c r="O111" i="13"/>
  <c r="F50" i="13"/>
  <c r="F59" i="13"/>
  <c r="F69" i="13"/>
  <c r="F79" i="13"/>
  <c r="F85" i="13"/>
  <c r="F89" i="13"/>
  <c r="F93" i="13"/>
  <c r="F102" i="13"/>
  <c r="F107" i="13"/>
  <c r="F111" i="13"/>
  <c r="R37" i="12"/>
  <c r="I37" i="12"/>
  <c r="O36" i="12"/>
  <c r="L37" i="12"/>
  <c r="R36" i="12"/>
  <c r="O37" i="12"/>
  <c r="I56" i="12"/>
  <c r="R56" i="12"/>
  <c r="F56" i="12"/>
  <c r="I60" i="12"/>
  <c r="R60" i="12"/>
  <c r="F60" i="12"/>
  <c r="R99" i="12"/>
  <c r="I101" i="12"/>
  <c r="R101" i="12"/>
  <c r="F101" i="12"/>
  <c r="R108" i="12"/>
  <c r="F108" i="12"/>
  <c r="O108" i="12"/>
  <c r="H15" i="12"/>
  <c r="O19" i="12"/>
  <c r="O24" i="12"/>
  <c r="O30" i="12"/>
  <c r="L33" i="12"/>
  <c r="O34" i="12"/>
  <c r="F36" i="12"/>
  <c r="F37" i="12"/>
  <c r="L39" i="12"/>
  <c r="O40" i="12"/>
  <c r="L44" i="12"/>
  <c r="I44" i="12"/>
  <c r="R44" i="12"/>
  <c r="I47" i="12"/>
  <c r="R47" i="12"/>
  <c r="F47" i="12"/>
  <c r="I51" i="12"/>
  <c r="R51" i="12"/>
  <c r="F51" i="12"/>
  <c r="R59" i="12"/>
  <c r="F59" i="12"/>
  <c r="O59" i="12"/>
  <c r="L65" i="12"/>
  <c r="I66" i="12"/>
  <c r="R66" i="12"/>
  <c r="F66" i="12"/>
  <c r="I70" i="12"/>
  <c r="R70" i="12"/>
  <c r="F70" i="12"/>
  <c r="I80" i="12"/>
  <c r="R80" i="12"/>
  <c r="F80" i="12"/>
  <c r="L97" i="12"/>
  <c r="I97" i="12"/>
  <c r="L99" i="12"/>
  <c r="I108" i="12"/>
  <c r="R112" i="12"/>
  <c r="F112" i="12"/>
  <c r="O112" i="12"/>
  <c r="L24" i="12"/>
  <c r="L30" i="12"/>
  <c r="L34" i="12"/>
  <c r="L40" i="12"/>
  <c r="R65" i="12"/>
  <c r="F19" i="12"/>
  <c r="R19" i="12"/>
  <c r="L21" i="12"/>
  <c r="F24" i="12"/>
  <c r="R24" i="12"/>
  <c r="L26" i="12"/>
  <c r="F30" i="12"/>
  <c r="R30" i="12"/>
  <c r="L32" i="12"/>
  <c r="O33" i="12"/>
  <c r="F34" i="12"/>
  <c r="R34" i="12"/>
  <c r="L38" i="12"/>
  <c r="O39" i="12"/>
  <c r="F40" i="12"/>
  <c r="R40" i="12"/>
  <c r="R46" i="12"/>
  <c r="F46" i="12"/>
  <c r="O46" i="12"/>
  <c r="R50" i="12"/>
  <c r="F50" i="12"/>
  <c r="O50" i="12"/>
  <c r="L56" i="12"/>
  <c r="I59" i="12"/>
  <c r="L60" i="12"/>
  <c r="F65" i="12"/>
  <c r="R69" i="12"/>
  <c r="F69" i="12"/>
  <c r="O69" i="12"/>
  <c r="B76" i="12"/>
  <c r="F76" i="12" s="1"/>
  <c r="B77" i="12"/>
  <c r="R79" i="12"/>
  <c r="F79" i="12"/>
  <c r="O79" i="12"/>
  <c r="B84" i="12"/>
  <c r="I86" i="12"/>
  <c r="R86" i="12"/>
  <c r="F86" i="12"/>
  <c r="I90" i="12"/>
  <c r="R90" i="12"/>
  <c r="F90" i="12"/>
  <c r="F97" i="12"/>
  <c r="O99" i="12"/>
  <c r="L101" i="12"/>
  <c r="L108" i="12"/>
  <c r="I112" i="12"/>
  <c r="L19" i="12"/>
  <c r="E15" i="12"/>
  <c r="K15" i="12"/>
  <c r="Q15" i="12"/>
  <c r="F33" i="12"/>
  <c r="F39" i="12"/>
  <c r="F44" i="12"/>
  <c r="I46" i="12"/>
  <c r="L47" i="12"/>
  <c r="I50" i="12"/>
  <c r="L51" i="12"/>
  <c r="B55" i="12"/>
  <c r="I55" i="12" s="1"/>
  <c r="O56" i="12"/>
  <c r="L59" i="12"/>
  <c r="O60" i="12"/>
  <c r="B62" i="12"/>
  <c r="I62" i="12" s="1"/>
  <c r="O65" i="12"/>
  <c r="L66" i="12"/>
  <c r="I69" i="12"/>
  <c r="L70" i="12"/>
  <c r="I74" i="12"/>
  <c r="R74" i="12"/>
  <c r="F74" i="12"/>
  <c r="O76" i="12"/>
  <c r="F77" i="12"/>
  <c r="I79" i="12"/>
  <c r="L80" i="12"/>
  <c r="N83" i="12"/>
  <c r="R85" i="12"/>
  <c r="F85" i="12"/>
  <c r="O85" i="12"/>
  <c r="R89" i="12"/>
  <c r="F89" i="12"/>
  <c r="O89" i="12"/>
  <c r="R93" i="12"/>
  <c r="F93" i="12"/>
  <c r="O93" i="12"/>
  <c r="O97" i="12"/>
  <c r="I99" i="12"/>
  <c r="O101" i="12"/>
  <c r="B107" i="12"/>
  <c r="O107" i="12" s="1"/>
  <c r="I109" i="12"/>
  <c r="R109" i="12"/>
  <c r="F109" i="12"/>
  <c r="L112" i="12"/>
  <c r="L45" i="12"/>
  <c r="I48" i="12"/>
  <c r="L49" i="12"/>
  <c r="L53" i="12"/>
  <c r="I57" i="12"/>
  <c r="L58" i="12"/>
  <c r="L63" i="12"/>
  <c r="I67" i="12"/>
  <c r="L68" i="12"/>
  <c r="L72" i="12"/>
  <c r="L78" i="12"/>
  <c r="I81" i="12"/>
  <c r="I87" i="12"/>
  <c r="L88" i="12"/>
  <c r="I91" i="12"/>
  <c r="L92" i="12"/>
  <c r="I95" i="12"/>
  <c r="O96" i="12"/>
  <c r="I102" i="12"/>
  <c r="L103" i="12"/>
  <c r="I105" i="12"/>
  <c r="L111" i="12"/>
  <c r="F96" i="12"/>
  <c r="P18" i="10"/>
  <c r="M18" i="10"/>
  <c r="J18" i="10"/>
  <c r="G18" i="10"/>
  <c r="D18" i="10"/>
  <c r="M17" i="10"/>
  <c r="P16" i="10"/>
  <c r="M16" i="10"/>
  <c r="J16" i="10"/>
  <c r="G16" i="10"/>
  <c r="D16" i="10"/>
  <c r="P14" i="10"/>
  <c r="M14" i="10"/>
  <c r="J14" i="10"/>
  <c r="G14" i="10"/>
  <c r="D14" i="10"/>
  <c r="M13" i="10"/>
  <c r="O11" i="10"/>
  <c r="P19" i="10" s="1"/>
  <c r="L11" i="10"/>
  <c r="M19" i="10" s="1"/>
  <c r="I11" i="10"/>
  <c r="J17" i="10" s="1"/>
  <c r="F11" i="10"/>
  <c r="G17" i="10" s="1"/>
  <c r="C11" i="10"/>
  <c r="D19" i="10" s="1"/>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B100" i="9"/>
  <c r="L100" i="9" s="1"/>
  <c r="B99" i="9"/>
  <c r="B98" i="9"/>
  <c r="L98" i="9" s="1"/>
  <c r="B97" i="9"/>
  <c r="I96" i="9"/>
  <c r="B96" i="9"/>
  <c r="L96" i="9" s="1"/>
  <c r="N95" i="9"/>
  <c r="K95" i="9"/>
  <c r="H95" i="9"/>
  <c r="E95" i="9"/>
  <c r="O94" i="9"/>
  <c r="L94" i="9"/>
  <c r="I94" i="9"/>
  <c r="F94" i="9"/>
  <c r="C94" i="9"/>
  <c r="B94" i="9"/>
  <c r="B93" i="9"/>
  <c r="I93" i="9" s="1"/>
  <c r="O92" i="9"/>
  <c r="L92" i="9"/>
  <c r="I92" i="9"/>
  <c r="F92" i="9"/>
  <c r="C92" i="9"/>
  <c r="B92" i="9"/>
  <c r="L91" i="9"/>
  <c r="B91" i="9"/>
  <c r="I91" i="9" s="1"/>
  <c r="B90" i="9"/>
  <c r="L90" i="9" s="1"/>
  <c r="B89" i="9"/>
  <c r="L89" i="9" s="1"/>
  <c r="F88" i="9"/>
  <c r="B88" i="9"/>
  <c r="L88" i="9" s="1"/>
  <c r="B87" i="9"/>
  <c r="L87" i="9" s="1"/>
  <c r="B86" i="9"/>
  <c r="L86" i="9" s="1"/>
  <c r="B85" i="9"/>
  <c r="L85" i="9" s="1"/>
  <c r="O84" i="9"/>
  <c r="B84" i="9"/>
  <c r="L84" i="9" s="1"/>
  <c r="B83" i="9"/>
  <c r="I83" i="9" s="1"/>
  <c r="N82" i="9"/>
  <c r="N81" i="9" s="1"/>
  <c r="K82" i="9"/>
  <c r="H82" i="9"/>
  <c r="H81" i="9" s="1"/>
  <c r="E82" i="9"/>
  <c r="O80" i="9"/>
  <c r="L80" i="9"/>
  <c r="I80" i="9"/>
  <c r="F80" i="9"/>
  <c r="C80" i="9"/>
  <c r="B79" i="9"/>
  <c r="O79" i="9" s="1"/>
  <c r="B78" i="9"/>
  <c r="O78" i="9" s="1"/>
  <c r="B77" i="9"/>
  <c r="O77" i="9" s="1"/>
  <c r="B76" i="9"/>
  <c r="L76" i="9" s="1"/>
  <c r="N75" i="9"/>
  <c r="K75" i="9"/>
  <c r="K74" i="9" s="1"/>
  <c r="H75" i="9"/>
  <c r="H74" i="9" s="1"/>
  <c r="E75" i="9"/>
  <c r="N74" i="9"/>
  <c r="O73" i="9"/>
  <c r="L73" i="9"/>
  <c r="I73" i="9"/>
  <c r="F73" i="9"/>
  <c r="C73" i="9"/>
  <c r="B73" i="9"/>
  <c r="B72" i="9"/>
  <c r="O72" i="9" s="1"/>
  <c r="O71" i="9"/>
  <c r="L71" i="9"/>
  <c r="I71" i="9"/>
  <c r="F71" i="9"/>
  <c r="C71" i="9"/>
  <c r="B71" i="9"/>
  <c r="B70" i="9"/>
  <c r="L70" i="9" s="1"/>
  <c r="O69" i="9"/>
  <c r="L69" i="9"/>
  <c r="I69" i="9"/>
  <c r="F69" i="9"/>
  <c r="C69" i="9"/>
  <c r="B69" i="9"/>
  <c r="B68" i="9"/>
  <c r="O68" i="9" s="1"/>
  <c r="B67" i="9"/>
  <c r="O67" i="9" s="1"/>
  <c r="B66" i="9"/>
  <c r="O66" i="9" s="1"/>
  <c r="B65" i="9"/>
  <c r="O65" i="9" s="1"/>
  <c r="B64" i="9"/>
  <c r="L64" i="9" s="1"/>
  <c r="N63" i="9"/>
  <c r="K63" i="9"/>
  <c r="K60" i="9" s="1"/>
  <c r="H63" i="9"/>
  <c r="E63" i="9"/>
  <c r="O62" i="9"/>
  <c r="L62" i="9"/>
  <c r="I62" i="9"/>
  <c r="F62" i="9"/>
  <c r="C62" i="9"/>
  <c r="B62" i="9"/>
  <c r="B61" i="9"/>
  <c r="O61" i="9" s="1"/>
  <c r="N60" i="9"/>
  <c r="H60" i="9"/>
  <c r="O59" i="9"/>
  <c r="L59" i="9"/>
  <c r="I59" i="9"/>
  <c r="F59" i="9"/>
  <c r="C59" i="9"/>
  <c r="B59" i="9"/>
  <c r="B58" i="9"/>
  <c r="O58" i="9" s="1"/>
  <c r="B57" i="9"/>
  <c r="O57" i="9" s="1"/>
  <c r="B56" i="9"/>
  <c r="O56" i="9" s="1"/>
  <c r="F55" i="9"/>
  <c r="B55" i="9"/>
  <c r="O55" i="9" s="1"/>
  <c r="L54" i="9"/>
  <c r="B54" i="9"/>
  <c r="O54" i="9" s="1"/>
  <c r="N53" i="9"/>
  <c r="K53" i="9"/>
  <c r="H53" i="9"/>
  <c r="E53" i="9"/>
  <c r="O52" i="9"/>
  <c r="L52" i="9"/>
  <c r="I52" i="9"/>
  <c r="F52" i="9"/>
  <c r="C52" i="9"/>
  <c r="B52" i="9"/>
  <c r="B51" i="9"/>
  <c r="O51" i="9" s="1"/>
  <c r="O50" i="9"/>
  <c r="L50" i="9"/>
  <c r="I50" i="9"/>
  <c r="F50" i="9"/>
  <c r="C50" i="9"/>
  <c r="B50" i="9"/>
  <c r="B49" i="9"/>
  <c r="O49" i="9" s="1"/>
  <c r="L48" i="9"/>
  <c r="B48" i="9"/>
  <c r="O48" i="9" s="1"/>
  <c r="B47" i="9"/>
  <c r="O47" i="9" s="1"/>
  <c r="B46" i="9"/>
  <c r="F45" i="9"/>
  <c r="B45" i="9"/>
  <c r="O45" i="9" s="1"/>
  <c r="B44" i="9"/>
  <c r="O44" i="9" s="1"/>
  <c r="F43" i="9"/>
  <c r="B43" i="9"/>
  <c r="O43" i="9" s="1"/>
  <c r="L42" i="9"/>
  <c r="B42" i="9"/>
  <c r="O42" i="9" s="1"/>
  <c r="N41" i="9"/>
  <c r="K41" i="9"/>
  <c r="H41" i="9"/>
  <c r="E41" i="9"/>
  <c r="O40" i="9"/>
  <c r="L40" i="9"/>
  <c r="I40" i="9"/>
  <c r="F40" i="9"/>
  <c r="C40" i="9"/>
  <c r="B40" i="9"/>
  <c r="I39" i="9"/>
  <c r="B39" i="9"/>
  <c r="O39" i="9" s="1"/>
  <c r="B38" i="9"/>
  <c r="O38" i="9" s="1"/>
  <c r="B37" i="9"/>
  <c r="O37" i="9" s="1"/>
  <c r="B36" i="9"/>
  <c r="N35" i="9"/>
  <c r="K35" i="9"/>
  <c r="H35" i="9"/>
  <c r="E35" i="9"/>
  <c r="O33" i="9"/>
  <c r="L33" i="9"/>
  <c r="I33" i="9"/>
  <c r="F33" i="9"/>
  <c r="C33" i="9"/>
  <c r="B33" i="9"/>
  <c r="B32" i="9"/>
  <c r="I32" i="9" s="1"/>
  <c r="I31" i="9"/>
  <c r="B31" i="9"/>
  <c r="O31" i="9" s="1"/>
  <c r="O30" i="9"/>
  <c r="F30" i="9"/>
  <c r="B30" i="9"/>
  <c r="L30" i="9" s="1"/>
  <c r="B29" i="9"/>
  <c r="F29" i="9" s="1"/>
  <c r="B28" i="9"/>
  <c r="L28" i="9" s="1"/>
  <c r="N27" i="9"/>
  <c r="K27" i="9"/>
  <c r="H27" i="9"/>
  <c r="E27" i="9"/>
  <c r="N26" i="9"/>
  <c r="K26" i="9"/>
  <c r="H26" i="9"/>
  <c r="E26" i="9"/>
  <c r="O25" i="9"/>
  <c r="L25" i="9"/>
  <c r="I25" i="9"/>
  <c r="F25" i="9"/>
  <c r="C25" i="9"/>
  <c r="B25" i="9"/>
  <c r="B24" i="9"/>
  <c r="L24" i="9" s="1"/>
  <c r="I23" i="9"/>
  <c r="B23" i="9"/>
  <c r="F23" i="9" s="1"/>
  <c r="O22" i="9"/>
  <c r="B22" i="9"/>
  <c r="L22" i="9" s="1"/>
  <c r="N21" i="9"/>
  <c r="N15" i="9" s="1"/>
  <c r="K21" i="9"/>
  <c r="H21" i="9"/>
  <c r="E21" i="9"/>
  <c r="O20" i="9"/>
  <c r="L20" i="9"/>
  <c r="I20" i="9"/>
  <c r="F20" i="9"/>
  <c r="C20" i="9"/>
  <c r="B20" i="9"/>
  <c r="I19" i="9"/>
  <c r="B19" i="9"/>
  <c r="F19" i="9" s="1"/>
  <c r="O18" i="9"/>
  <c r="F18" i="9"/>
  <c r="B18" i="9"/>
  <c r="L18" i="9" s="1"/>
  <c r="B17" i="9"/>
  <c r="F17" i="9" s="1"/>
  <c r="N16" i="9"/>
  <c r="K16" i="9"/>
  <c r="K15" i="9" s="1"/>
  <c r="H16" i="9"/>
  <c r="E16" i="9"/>
  <c r="O14" i="9"/>
  <c r="O12" i="9"/>
  <c r="L12" i="9"/>
  <c r="I12" i="9"/>
  <c r="F12" i="9"/>
  <c r="C12" i="9"/>
  <c r="B12" i="9"/>
  <c r="C42" i="7"/>
  <c r="J42" i="7" s="1"/>
  <c r="J41" i="7"/>
  <c r="G41" i="7"/>
  <c r="G40" i="7"/>
  <c r="D40" i="7" s="1"/>
  <c r="C40" i="7"/>
  <c r="J40" i="7" s="1"/>
  <c r="C38" i="7"/>
  <c r="J38" i="7" s="1"/>
  <c r="J37" i="7"/>
  <c r="G37" i="7"/>
  <c r="C36" i="7"/>
  <c r="J36" i="7" s="1"/>
  <c r="C34" i="7"/>
  <c r="J34" i="7" s="1"/>
  <c r="J33" i="7"/>
  <c r="G33" i="7"/>
  <c r="C32" i="7"/>
  <c r="J32" i="7" s="1"/>
  <c r="G30" i="7"/>
  <c r="D30" i="7" s="1"/>
  <c r="C30" i="7"/>
  <c r="J30" i="7" s="1"/>
  <c r="J29" i="7"/>
  <c r="G29" i="7"/>
  <c r="C28" i="7"/>
  <c r="J28" i="7" s="1"/>
  <c r="C26" i="7"/>
  <c r="J26" i="7" s="1"/>
  <c r="J25" i="7"/>
  <c r="G25" i="7"/>
  <c r="G24" i="7"/>
  <c r="D24" i="7" s="1"/>
  <c r="C24" i="7"/>
  <c r="J24" i="7" s="1"/>
  <c r="C22" i="7"/>
  <c r="J22" i="7" s="1"/>
  <c r="J21" i="7"/>
  <c r="G21" i="7"/>
  <c r="C20" i="7"/>
  <c r="J20" i="7" s="1"/>
  <c r="C18" i="7"/>
  <c r="J18" i="7" s="1"/>
  <c r="J17" i="7"/>
  <c r="G17" i="7"/>
  <c r="C16" i="7"/>
  <c r="J16" i="7" s="1"/>
  <c r="G14" i="7"/>
  <c r="D14" i="7" s="1"/>
  <c r="C14" i="7"/>
  <c r="J14" i="7" s="1"/>
  <c r="J13" i="7"/>
  <c r="G13" i="7"/>
  <c r="C12" i="7"/>
  <c r="J12" i="7" s="1"/>
  <c r="K114" i="6"/>
  <c r="R114" i="6" s="1"/>
  <c r="B114" i="6"/>
  <c r="I114" i="6" s="1"/>
  <c r="K113" i="6"/>
  <c r="R113" i="6" s="1"/>
  <c r="B113" i="6"/>
  <c r="K112" i="6"/>
  <c r="R112" i="6" s="1"/>
  <c r="F112" i="6"/>
  <c r="B112" i="6"/>
  <c r="I112" i="6" s="1"/>
  <c r="K111" i="6"/>
  <c r="R111" i="6" s="1"/>
  <c r="B111" i="6"/>
  <c r="K110" i="6"/>
  <c r="R110" i="6" s="1"/>
  <c r="B110" i="6"/>
  <c r="I110" i="6" s="1"/>
  <c r="Q109" i="6"/>
  <c r="N109" i="6"/>
  <c r="H109" i="6"/>
  <c r="E109" i="6"/>
  <c r="O108" i="6"/>
  <c r="K108" i="6"/>
  <c r="F108" i="6"/>
  <c r="K107" i="6"/>
  <c r="O107" i="6" s="1"/>
  <c r="B107" i="6"/>
  <c r="R106" i="6"/>
  <c r="O106" i="6"/>
  <c r="K106" i="6"/>
  <c r="I106" i="6"/>
  <c r="F106" i="6"/>
  <c r="K105" i="6"/>
  <c r="B105" i="6"/>
  <c r="I105" i="6" s="1"/>
  <c r="K104" i="6"/>
  <c r="R104" i="6" s="1"/>
  <c r="B104" i="6"/>
  <c r="I104" i="6" s="1"/>
  <c r="K103" i="6"/>
  <c r="B103" i="6"/>
  <c r="I103" i="6" s="1"/>
  <c r="R102" i="6"/>
  <c r="O102" i="6"/>
  <c r="K102" i="6"/>
  <c r="I102" i="6"/>
  <c r="F102" i="6"/>
  <c r="C102" i="6"/>
  <c r="B102" i="6"/>
  <c r="Q101" i="6"/>
  <c r="N101" i="6"/>
  <c r="H101" i="6"/>
  <c r="E101" i="6"/>
  <c r="R100" i="6"/>
  <c r="O100" i="6"/>
  <c r="L100" i="6"/>
  <c r="K100" i="6"/>
  <c r="I100" i="6"/>
  <c r="F100" i="6"/>
  <c r="C100" i="6"/>
  <c r="B100" i="6"/>
  <c r="K99" i="6"/>
  <c r="B99" i="6"/>
  <c r="F99" i="6" s="1"/>
  <c r="R98" i="6"/>
  <c r="K98" i="6"/>
  <c r="O98" i="6" s="1"/>
  <c r="B98" i="6"/>
  <c r="F98" i="6" s="1"/>
  <c r="K97" i="6"/>
  <c r="B97" i="6"/>
  <c r="F97" i="6" s="1"/>
  <c r="R96" i="6"/>
  <c r="O96" i="6"/>
  <c r="L96" i="6"/>
  <c r="K96" i="6"/>
  <c r="I96" i="6"/>
  <c r="F96" i="6"/>
  <c r="C96" i="6"/>
  <c r="B96" i="6"/>
  <c r="K95" i="6"/>
  <c r="O95" i="6" s="1"/>
  <c r="I95" i="6"/>
  <c r="B95" i="6"/>
  <c r="F95" i="6" s="1"/>
  <c r="K94" i="6"/>
  <c r="B94" i="6"/>
  <c r="F94" i="6" s="1"/>
  <c r="R93" i="6"/>
  <c r="K93" i="6"/>
  <c r="O93" i="6" s="1"/>
  <c r="B93" i="6"/>
  <c r="F93" i="6" s="1"/>
  <c r="K92" i="6"/>
  <c r="B92" i="6"/>
  <c r="F92" i="6" s="1"/>
  <c r="K91" i="6"/>
  <c r="O91" i="6" s="1"/>
  <c r="I91" i="6"/>
  <c r="B91" i="6"/>
  <c r="F91" i="6" s="1"/>
  <c r="K90" i="6"/>
  <c r="B90" i="6"/>
  <c r="F90" i="6" s="1"/>
  <c r="R89" i="6"/>
  <c r="K89" i="6"/>
  <c r="O89" i="6" s="1"/>
  <c r="B89" i="6"/>
  <c r="F89" i="6" s="1"/>
  <c r="K88" i="6"/>
  <c r="B88" i="6"/>
  <c r="F88" i="6" s="1"/>
  <c r="K87" i="6"/>
  <c r="O87" i="6" s="1"/>
  <c r="I87" i="6"/>
  <c r="B87" i="6"/>
  <c r="F87" i="6" s="1"/>
  <c r="Q86" i="6"/>
  <c r="Q85" i="6" s="1"/>
  <c r="N86" i="6"/>
  <c r="H86" i="6"/>
  <c r="H85" i="6" s="1"/>
  <c r="E86" i="6"/>
  <c r="E85" i="6" s="1"/>
  <c r="N85" i="6"/>
  <c r="R84" i="6"/>
  <c r="O84" i="6"/>
  <c r="L84" i="6"/>
  <c r="K84" i="6"/>
  <c r="I84" i="6"/>
  <c r="F84" i="6"/>
  <c r="C84" i="6"/>
  <c r="R83" i="6"/>
  <c r="K83" i="6"/>
  <c r="O83" i="6" s="1"/>
  <c r="B83" i="6"/>
  <c r="F83" i="6" s="1"/>
  <c r="K82" i="6"/>
  <c r="B82" i="6"/>
  <c r="I82" i="6" s="1"/>
  <c r="O81" i="6"/>
  <c r="K81" i="6"/>
  <c r="R81" i="6" s="1"/>
  <c r="B81" i="6"/>
  <c r="F81" i="6" s="1"/>
  <c r="K80" i="6"/>
  <c r="B80" i="6"/>
  <c r="I80" i="6" s="1"/>
  <c r="Q79" i="6"/>
  <c r="Q78" i="6" s="1"/>
  <c r="N79" i="6"/>
  <c r="K79" i="6" s="1"/>
  <c r="R79" i="6" s="1"/>
  <c r="H79" i="6"/>
  <c r="E79" i="6"/>
  <c r="E78" i="6" s="1"/>
  <c r="R77" i="6"/>
  <c r="O77" i="6"/>
  <c r="L77" i="6"/>
  <c r="K77" i="6"/>
  <c r="I77" i="6"/>
  <c r="F77" i="6"/>
  <c r="C77" i="6"/>
  <c r="R76" i="6"/>
  <c r="O76" i="6"/>
  <c r="K76" i="6"/>
  <c r="F76" i="6"/>
  <c r="B76" i="6"/>
  <c r="I76" i="6" s="1"/>
  <c r="R75" i="6"/>
  <c r="O75" i="6"/>
  <c r="L75" i="6"/>
  <c r="K75" i="6"/>
  <c r="I75" i="6"/>
  <c r="F75" i="6"/>
  <c r="C75" i="6"/>
  <c r="K74" i="6"/>
  <c r="R74" i="6" s="1"/>
  <c r="B74" i="6"/>
  <c r="R73" i="6"/>
  <c r="O73" i="6"/>
  <c r="L73" i="6"/>
  <c r="K73" i="6"/>
  <c r="I73" i="6"/>
  <c r="F73" i="6"/>
  <c r="C73" i="6"/>
  <c r="K72" i="6"/>
  <c r="O72" i="6" s="1"/>
  <c r="B72" i="6"/>
  <c r="F72" i="6" s="1"/>
  <c r="K71" i="6"/>
  <c r="B71" i="6"/>
  <c r="K70" i="6"/>
  <c r="O70" i="6" s="1"/>
  <c r="B70" i="6"/>
  <c r="F70" i="6" s="1"/>
  <c r="K69" i="6"/>
  <c r="B69" i="6"/>
  <c r="K68" i="6"/>
  <c r="O68" i="6" s="1"/>
  <c r="B68" i="6"/>
  <c r="F68" i="6" s="1"/>
  <c r="Q67" i="6"/>
  <c r="O67" i="6"/>
  <c r="N67" i="6"/>
  <c r="K67" i="6" s="1"/>
  <c r="R67" i="6" s="1"/>
  <c r="H67" i="6"/>
  <c r="E67" i="6"/>
  <c r="R66" i="6"/>
  <c r="O66" i="6"/>
  <c r="L66" i="6"/>
  <c r="K66" i="6"/>
  <c r="I66" i="6"/>
  <c r="F66" i="6"/>
  <c r="C66" i="6"/>
  <c r="K65" i="6"/>
  <c r="R65" i="6" s="1"/>
  <c r="B65" i="6"/>
  <c r="I65" i="6" s="1"/>
  <c r="Q64" i="6"/>
  <c r="N64" i="6"/>
  <c r="E64" i="6"/>
  <c r="R63" i="6"/>
  <c r="O63" i="6"/>
  <c r="L63" i="6"/>
  <c r="K63" i="6"/>
  <c r="I63" i="6"/>
  <c r="F63" i="6"/>
  <c r="C63" i="6"/>
  <c r="K62" i="6"/>
  <c r="R62" i="6" s="1"/>
  <c r="B62" i="6"/>
  <c r="I62" i="6" s="1"/>
  <c r="K61" i="6"/>
  <c r="R61" i="6" s="1"/>
  <c r="B61" i="6"/>
  <c r="I61" i="6" s="1"/>
  <c r="K60" i="6"/>
  <c r="R60" i="6" s="1"/>
  <c r="B60" i="6"/>
  <c r="I60" i="6" s="1"/>
  <c r="R59" i="6"/>
  <c r="K59" i="6"/>
  <c r="O59" i="6" s="1"/>
  <c r="I59" i="6"/>
  <c r="B59" i="6"/>
  <c r="F59" i="6" s="1"/>
  <c r="K58" i="6"/>
  <c r="R58" i="6" s="1"/>
  <c r="B58" i="6"/>
  <c r="I58" i="6" s="1"/>
  <c r="Q57" i="6"/>
  <c r="N57" i="6"/>
  <c r="K57" i="6"/>
  <c r="H57" i="6"/>
  <c r="E57" i="6"/>
  <c r="R56" i="6"/>
  <c r="O56" i="6"/>
  <c r="L56" i="6"/>
  <c r="K56" i="6"/>
  <c r="I56" i="6"/>
  <c r="F56" i="6"/>
  <c r="C56" i="6"/>
  <c r="O55" i="6"/>
  <c r="K55" i="6"/>
  <c r="R55" i="6" s="1"/>
  <c r="B55" i="6"/>
  <c r="I55" i="6" s="1"/>
  <c r="R54" i="6"/>
  <c r="O54" i="6"/>
  <c r="L54" i="6"/>
  <c r="K54" i="6"/>
  <c r="I54" i="6"/>
  <c r="F54" i="6"/>
  <c r="C54" i="6"/>
  <c r="K53" i="6"/>
  <c r="B53" i="6"/>
  <c r="F53" i="6" s="1"/>
  <c r="K52" i="6"/>
  <c r="R52" i="6" s="1"/>
  <c r="B52" i="6"/>
  <c r="I52" i="6" s="1"/>
  <c r="K51" i="6"/>
  <c r="R51" i="6" s="1"/>
  <c r="I51" i="6"/>
  <c r="F51" i="6"/>
  <c r="B51" i="6"/>
  <c r="R50" i="6"/>
  <c r="K50" i="6"/>
  <c r="O50" i="6" s="1"/>
  <c r="B50" i="6"/>
  <c r="I50" i="6" s="1"/>
  <c r="R49" i="6"/>
  <c r="K49" i="6"/>
  <c r="O49" i="6" s="1"/>
  <c r="B49" i="6"/>
  <c r="F49" i="6" s="1"/>
  <c r="K48" i="6"/>
  <c r="R48" i="6" s="1"/>
  <c r="B48" i="6"/>
  <c r="I48" i="6" s="1"/>
  <c r="K47" i="6"/>
  <c r="R47" i="6" s="1"/>
  <c r="I47" i="6"/>
  <c r="F47" i="6"/>
  <c r="B47" i="6"/>
  <c r="K46" i="6"/>
  <c r="R46" i="6" s="1"/>
  <c r="B46" i="6"/>
  <c r="I46" i="6" s="1"/>
  <c r="Q45" i="6"/>
  <c r="N45" i="6"/>
  <c r="H45" i="6"/>
  <c r="E45" i="6"/>
  <c r="R44" i="6"/>
  <c r="O44" i="6"/>
  <c r="L44" i="6"/>
  <c r="K44" i="6"/>
  <c r="I44" i="6"/>
  <c r="F44" i="6"/>
  <c r="C44" i="6"/>
  <c r="K43" i="6"/>
  <c r="R43" i="6" s="1"/>
  <c r="B43" i="6"/>
  <c r="I43" i="6" s="1"/>
  <c r="O42" i="6"/>
  <c r="K42" i="6"/>
  <c r="R42" i="6" s="1"/>
  <c r="B42" i="6"/>
  <c r="I42" i="6" s="1"/>
  <c r="K41" i="6"/>
  <c r="R41" i="6" s="1"/>
  <c r="F41" i="6"/>
  <c r="B41" i="6"/>
  <c r="I41" i="6" s="1"/>
  <c r="K40" i="6"/>
  <c r="R40" i="6" s="1"/>
  <c r="B40" i="6"/>
  <c r="I40" i="6" s="1"/>
  <c r="Q39" i="6"/>
  <c r="N39" i="6"/>
  <c r="H39" i="6"/>
  <c r="E39" i="6"/>
  <c r="N38" i="6"/>
  <c r="R37" i="6"/>
  <c r="O37" i="6"/>
  <c r="L37" i="6"/>
  <c r="K37" i="6"/>
  <c r="I37" i="6"/>
  <c r="F37" i="6"/>
  <c r="C37" i="6"/>
  <c r="K36" i="6"/>
  <c r="B36" i="6"/>
  <c r="K35" i="6"/>
  <c r="B35" i="6"/>
  <c r="K34" i="6"/>
  <c r="B34" i="6"/>
  <c r="K33" i="6"/>
  <c r="B33" i="6"/>
  <c r="K32" i="6"/>
  <c r="B32" i="6"/>
  <c r="Q31" i="6"/>
  <c r="Q30" i="6" s="1"/>
  <c r="N31" i="6"/>
  <c r="H31" i="6"/>
  <c r="H30" i="6" s="1"/>
  <c r="E31" i="6"/>
  <c r="B31" i="6" s="1"/>
  <c r="F31" i="6" s="1"/>
  <c r="N30" i="6"/>
  <c r="E30" i="6"/>
  <c r="R29" i="6"/>
  <c r="O29" i="6"/>
  <c r="L29" i="6"/>
  <c r="K29" i="6"/>
  <c r="I29" i="6"/>
  <c r="F29" i="6"/>
  <c r="C29" i="6"/>
  <c r="K28" i="6"/>
  <c r="R28" i="6" s="1"/>
  <c r="B28" i="6"/>
  <c r="I28" i="6" s="1"/>
  <c r="R27" i="6"/>
  <c r="K27" i="6"/>
  <c r="B27" i="6"/>
  <c r="I27" i="6" s="1"/>
  <c r="K26" i="6"/>
  <c r="R26" i="6" s="1"/>
  <c r="B26" i="6"/>
  <c r="I26" i="6" s="1"/>
  <c r="Q25" i="6"/>
  <c r="N25" i="6"/>
  <c r="H25" i="6"/>
  <c r="E25" i="6"/>
  <c r="B25" i="6" s="1"/>
  <c r="R24" i="6"/>
  <c r="O24" i="6"/>
  <c r="L24" i="6"/>
  <c r="K24" i="6"/>
  <c r="I24" i="6"/>
  <c r="F24" i="6"/>
  <c r="C24" i="6"/>
  <c r="K23" i="6"/>
  <c r="R23" i="6" s="1"/>
  <c r="B23" i="6"/>
  <c r="I23" i="6" s="1"/>
  <c r="K22" i="6"/>
  <c r="R22" i="6" s="1"/>
  <c r="B22" i="6"/>
  <c r="I22" i="6" s="1"/>
  <c r="K21" i="6"/>
  <c r="R21" i="6" s="1"/>
  <c r="B21" i="6"/>
  <c r="I21" i="6" s="1"/>
  <c r="Q20" i="6"/>
  <c r="Q18" i="6" s="1"/>
  <c r="N20" i="6"/>
  <c r="H20" i="6"/>
  <c r="E20" i="6"/>
  <c r="R19" i="6"/>
  <c r="O19" i="6"/>
  <c r="K19" i="6"/>
  <c r="I19" i="6"/>
  <c r="F19" i="6"/>
  <c r="R17" i="6"/>
  <c r="O17" i="6"/>
  <c r="L17" i="6"/>
  <c r="K17" i="6"/>
  <c r="I17" i="6"/>
  <c r="F17" i="6"/>
  <c r="C17" i="6"/>
  <c r="R15" i="6"/>
  <c r="O15" i="6"/>
  <c r="K15" i="6"/>
  <c r="I15" i="6"/>
  <c r="F15" i="6"/>
  <c r="R13" i="6"/>
  <c r="O13" i="6"/>
  <c r="K13" i="6"/>
  <c r="I13" i="6"/>
  <c r="F13" i="6"/>
  <c r="C13" i="6"/>
  <c r="G303" i="4"/>
  <c r="C303" i="4"/>
  <c r="M303" i="4" s="1"/>
  <c r="C302" i="4"/>
  <c r="M302" i="4" s="1"/>
  <c r="C301" i="4"/>
  <c r="G301" i="4" s="1"/>
  <c r="C300" i="4"/>
  <c r="C299" i="4"/>
  <c r="M299" i="4" s="1"/>
  <c r="C298" i="4"/>
  <c r="M298" i="4" s="1"/>
  <c r="M297" i="4"/>
  <c r="J297" i="4"/>
  <c r="G297" i="4"/>
  <c r="D297" i="4"/>
  <c r="C297" i="4"/>
  <c r="L296" i="4"/>
  <c r="I296" i="4"/>
  <c r="C296" i="4" s="1"/>
  <c r="M296" i="4" s="1"/>
  <c r="F296" i="4"/>
  <c r="M295" i="4"/>
  <c r="J295" i="4"/>
  <c r="G295" i="4"/>
  <c r="D295" i="4"/>
  <c r="C295" i="4"/>
  <c r="C294" i="4"/>
  <c r="M294" i="4" s="1"/>
  <c r="G293" i="4"/>
  <c r="C293" i="4"/>
  <c r="M293" i="4" s="1"/>
  <c r="C292" i="4"/>
  <c r="G292" i="4" s="1"/>
  <c r="C291" i="4"/>
  <c r="C290" i="4"/>
  <c r="M290" i="4" s="1"/>
  <c r="M289" i="4"/>
  <c r="J289" i="4"/>
  <c r="G289" i="4"/>
  <c r="D289" i="4"/>
  <c r="C289" i="4"/>
  <c r="L288" i="4"/>
  <c r="I288" i="4"/>
  <c r="F288" i="4"/>
  <c r="M287" i="4"/>
  <c r="J287" i="4"/>
  <c r="G287" i="4"/>
  <c r="D287" i="4"/>
  <c r="C287" i="4"/>
  <c r="L286" i="4"/>
  <c r="C286" i="4" s="1"/>
  <c r="M286" i="4" s="1"/>
  <c r="L285" i="4"/>
  <c r="C285" i="4" s="1"/>
  <c r="G285" i="4" s="1"/>
  <c r="C284" i="4"/>
  <c r="M284" i="4" s="1"/>
  <c r="I283" i="4"/>
  <c r="I280" i="4" s="1"/>
  <c r="F282" i="4"/>
  <c r="C282" i="4" s="1"/>
  <c r="J282" i="4" s="1"/>
  <c r="M281" i="4"/>
  <c r="J281" i="4"/>
  <c r="G281" i="4"/>
  <c r="D281" i="4"/>
  <c r="C281" i="4"/>
  <c r="M279" i="4"/>
  <c r="J279" i="4"/>
  <c r="G279" i="4"/>
  <c r="D279" i="4"/>
  <c r="C279" i="4"/>
  <c r="J278" i="4"/>
  <c r="C278" i="4"/>
  <c r="G278" i="4" s="1"/>
  <c r="C277" i="4"/>
  <c r="C276" i="4"/>
  <c r="M276" i="4" s="1"/>
  <c r="C275" i="4"/>
  <c r="M275" i="4" s="1"/>
  <c r="C274" i="4"/>
  <c r="G274" i="4" s="1"/>
  <c r="M273" i="4"/>
  <c r="J273" i="4"/>
  <c r="G273" i="4"/>
  <c r="D273" i="4"/>
  <c r="C273" i="4"/>
  <c r="L272" i="4"/>
  <c r="I272" i="4"/>
  <c r="F272" i="4"/>
  <c r="M271" i="4"/>
  <c r="J271" i="4"/>
  <c r="G271" i="4"/>
  <c r="D271" i="4"/>
  <c r="C271" i="4"/>
  <c r="C270" i="4"/>
  <c r="M270" i="4" s="1"/>
  <c r="C269" i="4"/>
  <c r="G269" i="4" s="1"/>
  <c r="C268" i="4"/>
  <c r="M268" i="4" s="1"/>
  <c r="C267" i="4"/>
  <c r="M267" i="4" s="1"/>
  <c r="F266" i="4"/>
  <c r="F264" i="4" s="1"/>
  <c r="M265" i="4"/>
  <c r="J265" i="4"/>
  <c r="G265" i="4"/>
  <c r="D265" i="4"/>
  <c r="C265" i="4"/>
  <c r="L264" i="4"/>
  <c r="I264" i="4"/>
  <c r="M263" i="4"/>
  <c r="J263" i="4"/>
  <c r="G263" i="4"/>
  <c r="D263" i="4"/>
  <c r="C263" i="4"/>
  <c r="M261" i="4"/>
  <c r="J261" i="4"/>
  <c r="G261" i="4"/>
  <c r="D261" i="4"/>
  <c r="C261" i="4"/>
  <c r="C260" i="4"/>
  <c r="G260" i="4" s="1"/>
  <c r="C259" i="4"/>
  <c r="C258" i="4"/>
  <c r="M258" i="4" s="1"/>
  <c r="C257" i="4"/>
  <c r="M257" i="4" s="1"/>
  <c r="C256" i="4"/>
  <c r="G256" i="4" s="1"/>
  <c r="C255" i="4"/>
  <c r="M255" i="4" s="1"/>
  <c r="G254" i="4"/>
  <c r="C254" i="4"/>
  <c r="M254" i="4" s="1"/>
  <c r="C253" i="4"/>
  <c r="M253" i="4" s="1"/>
  <c r="C252" i="4"/>
  <c r="G252" i="4" s="1"/>
  <c r="C251" i="4"/>
  <c r="C250" i="4"/>
  <c r="M250" i="4" s="1"/>
  <c r="M249" i="4"/>
  <c r="J249" i="4"/>
  <c r="G249" i="4"/>
  <c r="D249" i="4"/>
  <c r="C249" i="4"/>
  <c r="L248" i="4"/>
  <c r="I248" i="4"/>
  <c r="F248" i="4"/>
  <c r="F222" i="4" s="1"/>
  <c r="M247" i="4"/>
  <c r="J247" i="4"/>
  <c r="G247" i="4"/>
  <c r="D247" i="4"/>
  <c r="C247" i="4"/>
  <c r="C246" i="4"/>
  <c r="M246" i="4" s="1"/>
  <c r="C245" i="4"/>
  <c r="M245" i="4" s="1"/>
  <c r="J244" i="4"/>
  <c r="C244" i="4"/>
  <c r="M244" i="4" s="1"/>
  <c r="C243" i="4"/>
  <c r="G243" i="4" s="1"/>
  <c r="C242" i="4"/>
  <c r="C241" i="4"/>
  <c r="M241" i="4" s="1"/>
  <c r="J240" i="4"/>
  <c r="C240" i="4"/>
  <c r="M240" i="4" s="1"/>
  <c r="C239" i="4"/>
  <c r="G239" i="4" s="1"/>
  <c r="M238" i="4"/>
  <c r="C238" i="4"/>
  <c r="M237" i="4"/>
  <c r="J237" i="4"/>
  <c r="G237" i="4"/>
  <c r="D237" i="4"/>
  <c r="C237" i="4"/>
  <c r="L236" i="4"/>
  <c r="I236" i="4"/>
  <c r="F236" i="4"/>
  <c r="M235" i="4"/>
  <c r="J235" i="4"/>
  <c r="G235" i="4"/>
  <c r="D235" i="4"/>
  <c r="C235" i="4"/>
  <c r="C234" i="4"/>
  <c r="G234" i="4" s="1"/>
  <c r="C233" i="4"/>
  <c r="G232" i="4"/>
  <c r="C232" i="4"/>
  <c r="M232" i="4" s="1"/>
  <c r="C231" i="4"/>
  <c r="M231" i="4" s="1"/>
  <c r="C230" i="4"/>
  <c r="G230" i="4" s="1"/>
  <c r="M229" i="4"/>
  <c r="J229" i="4"/>
  <c r="G229" i="4"/>
  <c r="D229" i="4"/>
  <c r="C229" i="4"/>
  <c r="L228" i="4"/>
  <c r="I228" i="4"/>
  <c r="F228" i="4"/>
  <c r="M227" i="4"/>
  <c r="J227" i="4"/>
  <c r="G227" i="4"/>
  <c r="D227" i="4"/>
  <c r="C227" i="4"/>
  <c r="J226" i="4"/>
  <c r="C226" i="4"/>
  <c r="M226" i="4" s="1"/>
  <c r="M225" i="4"/>
  <c r="J225" i="4"/>
  <c r="G225" i="4"/>
  <c r="D225" i="4"/>
  <c r="C225" i="4"/>
  <c r="C224" i="4"/>
  <c r="M223" i="4"/>
  <c r="J223" i="4"/>
  <c r="G223" i="4"/>
  <c r="D223" i="4"/>
  <c r="C223" i="4"/>
  <c r="M221" i="4"/>
  <c r="J221" i="4"/>
  <c r="G221" i="4"/>
  <c r="D221" i="4"/>
  <c r="C221" i="4"/>
  <c r="C220" i="4"/>
  <c r="C219" i="4"/>
  <c r="C218" i="4"/>
  <c r="M218" i="4" s="1"/>
  <c r="J217" i="4"/>
  <c r="G217" i="4"/>
  <c r="D217" i="4" s="1"/>
  <c r="C217" i="4"/>
  <c r="M217" i="4" s="1"/>
  <c r="C216" i="4"/>
  <c r="C215" i="4"/>
  <c r="C214" i="4"/>
  <c r="C213" i="4"/>
  <c r="M213" i="4" s="1"/>
  <c r="C212" i="4"/>
  <c r="G212" i="4" s="1"/>
  <c r="M211" i="4"/>
  <c r="J211" i="4"/>
  <c r="G211" i="4"/>
  <c r="D211" i="4"/>
  <c r="C211" i="4"/>
  <c r="L210" i="4"/>
  <c r="C210" i="4" s="1"/>
  <c r="I210" i="4"/>
  <c r="F210" i="4"/>
  <c r="M209" i="4"/>
  <c r="J209" i="4"/>
  <c r="G209" i="4"/>
  <c r="D209" i="4"/>
  <c r="C209" i="4"/>
  <c r="C208" i="4"/>
  <c r="M208" i="4" s="1"/>
  <c r="C207" i="4"/>
  <c r="M207" i="4" s="1"/>
  <c r="M206" i="4"/>
  <c r="J206" i="4"/>
  <c r="G206" i="4"/>
  <c r="D206" i="4"/>
  <c r="C206" i="4"/>
  <c r="L205" i="4"/>
  <c r="I205" i="4"/>
  <c r="F205" i="4"/>
  <c r="F203" i="4" s="1"/>
  <c r="M204" i="4"/>
  <c r="J204" i="4"/>
  <c r="G204" i="4"/>
  <c r="D204" i="4"/>
  <c r="C204" i="4"/>
  <c r="M202" i="4"/>
  <c r="D202" i="4"/>
  <c r="C202" i="4"/>
  <c r="C201" i="4"/>
  <c r="J201" i="4" s="1"/>
  <c r="C200" i="4"/>
  <c r="C199" i="4"/>
  <c r="M199" i="4" s="1"/>
  <c r="C198" i="4"/>
  <c r="G198" i="4" s="1"/>
  <c r="C197" i="4"/>
  <c r="J197" i="4" s="1"/>
  <c r="M196" i="4"/>
  <c r="J196" i="4"/>
  <c r="G196" i="4"/>
  <c r="D196" i="4"/>
  <c r="C196" i="4"/>
  <c r="L195" i="4"/>
  <c r="I195" i="4"/>
  <c r="F195" i="4"/>
  <c r="M194" i="4"/>
  <c r="J194" i="4"/>
  <c r="G194" i="4"/>
  <c r="D194" i="4"/>
  <c r="C194" i="4"/>
  <c r="C193" i="4"/>
  <c r="C192" i="4"/>
  <c r="M192" i="4" s="1"/>
  <c r="C191" i="4"/>
  <c r="M191" i="4" s="1"/>
  <c r="C190" i="4"/>
  <c r="G190" i="4" s="1"/>
  <c r="C189" i="4"/>
  <c r="C188" i="4"/>
  <c r="M188" i="4" s="1"/>
  <c r="M187" i="4"/>
  <c r="J187" i="4"/>
  <c r="G187" i="4"/>
  <c r="D187" i="4"/>
  <c r="C187" i="4"/>
  <c r="L186" i="4"/>
  <c r="I186" i="4"/>
  <c r="F186" i="4"/>
  <c r="M185" i="4"/>
  <c r="J185" i="4"/>
  <c r="G185" i="4"/>
  <c r="D185" i="4"/>
  <c r="C185" i="4"/>
  <c r="C184" i="4"/>
  <c r="M184" i="4" s="1"/>
  <c r="C183" i="4"/>
  <c r="C182" i="4"/>
  <c r="M182" i="4" s="1"/>
  <c r="C181" i="4"/>
  <c r="G181" i="4" s="1"/>
  <c r="M180" i="4"/>
  <c r="J180" i="4"/>
  <c r="G180" i="4"/>
  <c r="D180" i="4"/>
  <c r="C180" i="4"/>
  <c r="L179" i="4"/>
  <c r="L177" i="4" s="1"/>
  <c r="I179" i="4"/>
  <c r="I177" i="4" s="1"/>
  <c r="F179" i="4"/>
  <c r="M178" i="4"/>
  <c r="J178" i="4"/>
  <c r="G178" i="4"/>
  <c r="D178" i="4"/>
  <c r="C178" i="4"/>
  <c r="M176" i="4"/>
  <c r="J176" i="4"/>
  <c r="G176" i="4"/>
  <c r="D176" i="4"/>
  <c r="C176" i="4"/>
  <c r="C175" i="4"/>
  <c r="G175" i="4" s="1"/>
  <c r="M174" i="4"/>
  <c r="J174" i="4"/>
  <c r="G174" i="4"/>
  <c r="D174" i="4"/>
  <c r="C174" i="4"/>
  <c r="G173" i="4"/>
  <c r="C173" i="4"/>
  <c r="M173" i="4" s="1"/>
  <c r="C172" i="4"/>
  <c r="G172" i="4" s="1"/>
  <c r="C171" i="4"/>
  <c r="C170" i="4"/>
  <c r="M170" i="4" s="1"/>
  <c r="C169" i="4"/>
  <c r="M169" i="4" s="1"/>
  <c r="C168" i="4"/>
  <c r="G168" i="4" s="1"/>
  <c r="C167" i="4"/>
  <c r="C166" i="4"/>
  <c r="M166" i="4" s="1"/>
  <c r="C165" i="4"/>
  <c r="M165" i="4" s="1"/>
  <c r="C164" i="4"/>
  <c r="G164" i="4" s="1"/>
  <c r="C163" i="4"/>
  <c r="C162" i="4"/>
  <c r="M162" i="4" s="1"/>
  <c r="C161" i="4"/>
  <c r="M161" i="4" s="1"/>
  <c r="C160" i="4"/>
  <c r="C159" i="4"/>
  <c r="C158" i="4"/>
  <c r="M158" i="4" s="1"/>
  <c r="G157" i="4"/>
  <c r="C157" i="4"/>
  <c r="M157" i="4" s="1"/>
  <c r="C156" i="4"/>
  <c r="G156" i="4" s="1"/>
  <c r="C155" i="4"/>
  <c r="C154" i="4"/>
  <c r="C153" i="4"/>
  <c r="C152" i="4"/>
  <c r="C151" i="4"/>
  <c r="C150" i="4"/>
  <c r="C149" i="4"/>
  <c r="M149" i="4" s="1"/>
  <c r="J148" i="4"/>
  <c r="G148" i="4"/>
  <c r="C148" i="4"/>
  <c r="M148" i="4" s="1"/>
  <c r="C147" i="4"/>
  <c r="C146" i="4"/>
  <c r="G145" i="4"/>
  <c r="C145" i="4"/>
  <c r="M145" i="4" s="1"/>
  <c r="C144" i="4"/>
  <c r="M144" i="4" s="1"/>
  <c r="C143" i="4"/>
  <c r="C142" i="4"/>
  <c r="C141" i="4"/>
  <c r="M141" i="4" s="1"/>
  <c r="C140" i="4"/>
  <c r="C139" i="4"/>
  <c r="C138" i="4"/>
  <c r="C137" i="4"/>
  <c r="M137" i="4" s="1"/>
  <c r="J136" i="4"/>
  <c r="C136" i="4"/>
  <c r="M136" i="4" s="1"/>
  <c r="C135" i="4"/>
  <c r="M135" i="4" s="1"/>
  <c r="C134" i="4"/>
  <c r="G134" i="4" s="1"/>
  <c r="C133" i="4"/>
  <c r="J133" i="4" s="1"/>
  <c r="C132" i="4"/>
  <c r="M132" i="4" s="1"/>
  <c r="C131" i="4"/>
  <c r="C130" i="4"/>
  <c r="C129" i="4"/>
  <c r="M129" i="4" s="1"/>
  <c r="G128" i="4"/>
  <c r="C128" i="4"/>
  <c r="M128" i="4" s="1"/>
  <c r="C127" i="4"/>
  <c r="G127" i="4" s="1"/>
  <c r="M126" i="4"/>
  <c r="J126" i="4"/>
  <c r="G126" i="4"/>
  <c r="D126" i="4"/>
  <c r="L125" i="4"/>
  <c r="I125" i="4"/>
  <c r="I106" i="4" s="1"/>
  <c r="F125" i="4"/>
  <c r="M124" i="4"/>
  <c r="J124" i="4"/>
  <c r="G124" i="4"/>
  <c r="D124" i="4"/>
  <c r="C124" i="4"/>
  <c r="C123" i="4"/>
  <c r="M123" i="4" s="1"/>
  <c r="J122" i="4"/>
  <c r="C122" i="4"/>
  <c r="M122" i="4" s="1"/>
  <c r="C121" i="4"/>
  <c r="M121" i="4" s="1"/>
  <c r="M120" i="4"/>
  <c r="C120" i="4"/>
  <c r="C119" i="4"/>
  <c r="M119" i="4" s="1"/>
  <c r="C118" i="4"/>
  <c r="C117" i="4"/>
  <c r="G117" i="4" s="1"/>
  <c r="C116" i="4"/>
  <c r="C115" i="4"/>
  <c r="M115" i="4" s="1"/>
  <c r="C114" i="4"/>
  <c r="M114" i="4" s="1"/>
  <c r="C113" i="4"/>
  <c r="G113" i="4" s="1"/>
  <c r="C112" i="4"/>
  <c r="C111" i="4"/>
  <c r="M111" i="4" s="1"/>
  <c r="C110" i="4"/>
  <c r="M110" i="4" s="1"/>
  <c r="M109" i="4"/>
  <c r="J109" i="4"/>
  <c r="G109" i="4"/>
  <c r="D109" i="4"/>
  <c r="C109" i="4"/>
  <c r="L108" i="4"/>
  <c r="L106" i="4" s="1"/>
  <c r="I108" i="4"/>
  <c r="F108" i="4"/>
  <c r="M107" i="4"/>
  <c r="J107" i="4"/>
  <c r="G107" i="4"/>
  <c r="D107" i="4"/>
  <c r="C107" i="4"/>
  <c r="M105" i="4"/>
  <c r="J105" i="4"/>
  <c r="G105" i="4"/>
  <c r="D105" i="4"/>
  <c r="C105" i="4"/>
  <c r="F104" i="4"/>
  <c r="C104" i="4" s="1"/>
  <c r="M103" i="4"/>
  <c r="D103" i="4"/>
  <c r="C103" i="4"/>
  <c r="F102" i="4"/>
  <c r="C102" i="4" s="1"/>
  <c r="J102" i="4" s="1"/>
  <c r="C101" i="4"/>
  <c r="M101" i="4" s="1"/>
  <c r="C100" i="4"/>
  <c r="M100" i="4" s="1"/>
  <c r="F99" i="4"/>
  <c r="C99" i="4"/>
  <c r="M99" i="4" s="1"/>
  <c r="C98" i="4"/>
  <c r="M98" i="4" s="1"/>
  <c r="C97" i="4"/>
  <c r="F96" i="4"/>
  <c r="F93" i="4" s="1"/>
  <c r="C96" i="4"/>
  <c r="J96" i="4" s="1"/>
  <c r="C95" i="4"/>
  <c r="M95" i="4" s="1"/>
  <c r="C94" i="4"/>
  <c r="L93" i="4"/>
  <c r="L92" i="4" s="1"/>
  <c r="I93" i="4"/>
  <c r="I92" i="4"/>
  <c r="M91" i="4"/>
  <c r="D91" i="4"/>
  <c r="C91" i="4"/>
  <c r="J90" i="4"/>
  <c r="G90" i="4"/>
  <c r="C90" i="4"/>
  <c r="M90" i="4" s="1"/>
  <c r="F89" i="4"/>
  <c r="F86" i="4" s="1"/>
  <c r="F85" i="4" s="1"/>
  <c r="C89" i="4"/>
  <c r="J89" i="4" s="1"/>
  <c r="C88" i="4"/>
  <c r="M88" i="4" s="1"/>
  <c r="F87" i="4"/>
  <c r="C87" i="4" s="1"/>
  <c r="M87" i="4" s="1"/>
  <c r="L86" i="4"/>
  <c r="L85" i="4" s="1"/>
  <c r="I86" i="4"/>
  <c r="C86" i="4" s="1"/>
  <c r="M84" i="4"/>
  <c r="J84" i="4"/>
  <c r="G84" i="4"/>
  <c r="D84" i="4"/>
  <c r="C84" i="4"/>
  <c r="F83" i="4"/>
  <c r="M82" i="4"/>
  <c r="J82" i="4"/>
  <c r="G82" i="4"/>
  <c r="D82" i="4"/>
  <c r="C82" i="4"/>
  <c r="C81" i="4"/>
  <c r="M81" i="4" s="1"/>
  <c r="M80" i="4"/>
  <c r="J80" i="4"/>
  <c r="G80" i="4"/>
  <c r="D80" i="4"/>
  <c r="C80" i="4"/>
  <c r="C79" i="4"/>
  <c r="J78" i="4"/>
  <c r="C78" i="4"/>
  <c r="G78" i="4" s="1"/>
  <c r="C77" i="4"/>
  <c r="M77" i="4" s="1"/>
  <c r="C76" i="4"/>
  <c r="M76" i="4" s="1"/>
  <c r="C75" i="4"/>
  <c r="L74" i="4"/>
  <c r="I74" i="4"/>
  <c r="F74" i="4"/>
  <c r="M73" i="4"/>
  <c r="J73" i="4"/>
  <c r="G73" i="4"/>
  <c r="D73" i="4"/>
  <c r="C73" i="4"/>
  <c r="F72" i="4"/>
  <c r="C72" i="4" s="1"/>
  <c r="J72" i="4" s="1"/>
  <c r="L71" i="4"/>
  <c r="I71" i="4"/>
  <c r="I69" i="4" s="1"/>
  <c r="M70" i="4"/>
  <c r="J70" i="4"/>
  <c r="G70" i="4"/>
  <c r="D70" i="4"/>
  <c r="C70" i="4"/>
  <c r="M68" i="4"/>
  <c r="J68" i="4"/>
  <c r="G68" i="4"/>
  <c r="D68" i="4"/>
  <c r="C68" i="4"/>
  <c r="F67" i="4"/>
  <c r="C67" i="4" s="1"/>
  <c r="J67" i="4" s="1"/>
  <c r="F66" i="4"/>
  <c r="C66" i="4"/>
  <c r="F65" i="4"/>
  <c r="C65" i="4" s="1"/>
  <c r="J65" i="4" s="1"/>
  <c r="F64" i="4"/>
  <c r="C64" i="4" s="1"/>
  <c r="J64" i="4" s="1"/>
  <c r="F63" i="4"/>
  <c r="C63" i="4" s="1"/>
  <c r="J63" i="4" s="1"/>
  <c r="L62" i="4"/>
  <c r="I62" i="4"/>
  <c r="M61" i="4"/>
  <c r="J61" i="4"/>
  <c r="G61" i="4"/>
  <c r="D61" i="4"/>
  <c r="C61" i="4"/>
  <c r="F60" i="4"/>
  <c r="C60" i="4"/>
  <c r="F58" i="4"/>
  <c r="F57" i="4"/>
  <c r="C57" i="4" s="1"/>
  <c r="C56" i="4"/>
  <c r="M56" i="4" s="1"/>
  <c r="F55" i="4"/>
  <c r="C55" i="4" s="1"/>
  <c r="J55" i="4" s="1"/>
  <c r="F54" i="4"/>
  <c r="C54" i="4" s="1"/>
  <c r="J54" i="4" s="1"/>
  <c r="G53" i="4"/>
  <c r="C53" i="4"/>
  <c r="M53" i="4" s="1"/>
  <c r="F52" i="4"/>
  <c r="C52" i="4" s="1"/>
  <c r="J52" i="4" s="1"/>
  <c r="F51" i="4"/>
  <c r="L50" i="4"/>
  <c r="I50" i="4"/>
  <c r="M49" i="4"/>
  <c r="J49" i="4"/>
  <c r="G49" i="4"/>
  <c r="D49" i="4"/>
  <c r="C49" i="4"/>
  <c r="F48" i="4"/>
  <c r="C48" i="4" s="1"/>
  <c r="F47" i="4"/>
  <c r="C47" i="4" s="1"/>
  <c r="M47" i="4" s="1"/>
  <c r="F46" i="4"/>
  <c r="C45" i="4"/>
  <c r="L44" i="4"/>
  <c r="I44" i="4"/>
  <c r="M42" i="4"/>
  <c r="J42" i="4"/>
  <c r="G42" i="4"/>
  <c r="D42" i="4"/>
  <c r="C42" i="4"/>
  <c r="F41" i="4"/>
  <c r="C40" i="4"/>
  <c r="F39" i="4"/>
  <c r="C39" i="4" s="1"/>
  <c r="C38" i="4"/>
  <c r="M38" i="4" s="1"/>
  <c r="F37" i="4"/>
  <c r="C37" i="4"/>
  <c r="M37" i="4" s="1"/>
  <c r="L36" i="4"/>
  <c r="L35" i="4" s="1"/>
  <c r="I36" i="4"/>
  <c r="I35" i="4"/>
  <c r="M34" i="4"/>
  <c r="J34" i="4"/>
  <c r="G34" i="4"/>
  <c r="D34" i="4"/>
  <c r="C34" i="4"/>
  <c r="G33" i="4"/>
  <c r="C33" i="4"/>
  <c r="M33" i="4" s="1"/>
  <c r="C32" i="4"/>
  <c r="M32" i="4" s="1"/>
  <c r="C31" i="4"/>
  <c r="G31" i="4" s="1"/>
  <c r="L30" i="4"/>
  <c r="I30" i="4"/>
  <c r="F30" i="4"/>
  <c r="M29" i="4"/>
  <c r="J29" i="4"/>
  <c r="G29" i="4"/>
  <c r="D29" i="4"/>
  <c r="C29" i="4"/>
  <c r="C28" i="4"/>
  <c r="M28" i="4" s="1"/>
  <c r="C27" i="4"/>
  <c r="M27" i="4" s="1"/>
  <c r="C26" i="4"/>
  <c r="G26" i="4" s="1"/>
  <c r="L25" i="4"/>
  <c r="I25" i="4"/>
  <c r="F25" i="4"/>
  <c r="F24" i="4" s="1"/>
  <c r="M23" i="4"/>
  <c r="J23" i="4"/>
  <c r="G23" i="4"/>
  <c r="D23" i="4"/>
  <c r="C23" i="4"/>
  <c r="C22" i="4"/>
  <c r="M22" i="4" s="1"/>
  <c r="J21" i="4"/>
  <c r="C21" i="4"/>
  <c r="M21" i="4" s="1"/>
  <c r="F20" i="4"/>
  <c r="C20" i="4" s="1"/>
  <c r="C19" i="4"/>
  <c r="M19" i="4" s="1"/>
  <c r="C18" i="4"/>
  <c r="M18" i="4" s="1"/>
  <c r="M17" i="4"/>
  <c r="J17" i="4"/>
  <c r="G17" i="4"/>
  <c r="D17" i="4"/>
  <c r="C17" i="4"/>
  <c r="L16" i="4"/>
  <c r="I16" i="4"/>
  <c r="M15" i="4"/>
  <c r="J15" i="4"/>
  <c r="G15" i="4"/>
  <c r="D15" i="4"/>
  <c r="C15" i="4"/>
  <c r="M13" i="4"/>
  <c r="J13" i="4"/>
  <c r="G13" i="4"/>
  <c r="D13" i="4"/>
  <c r="C13" i="4"/>
  <c r="G22" i="4" l="1"/>
  <c r="J32" i="4"/>
  <c r="J53" i="4"/>
  <c r="G55" i="4"/>
  <c r="G76" i="4"/>
  <c r="J114" i="4"/>
  <c r="G132" i="4"/>
  <c r="G161" i="4"/>
  <c r="G169" i="4"/>
  <c r="C179" i="4"/>
  <c r="G182" i="4"/>
  <c r="J198" i="4"/>
  <c r="J234" i="4"/>
  <c r="G250" i="4"/>
  <c r="G253" i="4"/>
  <c r="G299" i="4"/>
  <c r="E18" i="6"/>
  <c r="K45" i="6"/>
  <c r="O45" i="6" s="1"/>
  <c r="O46" i="6"/>
  <c r="I49" i="6"/>
  <c r="F61" i="6"/>
  <c r="R70" i="6"/>
  <c r="B101" i="6"/>
  <c r="F101" i="6" s="1"/>
  <c r="O104" i="6"/>
  <c r="I18" i="9"/>
  <c r="N34" i="9"/>
  <c r="L38" i="9"/>
  <c r="I49" i="9"/>
  <c r="F51" i="9"/>
  <c r="I55" i="9"/>
  <c r="L83" i="9"/>
  <c r="I90" i="9"/>
  <c r="I29" i="15"/>
  <c r="J22" i="4"/>
  <c r="G28" i="4"/>
  <c r="L24" i="4"/>
  <c r="F71" i="4"/>
  <c r="M72" i="4"/>
  <c r="G110" i="4"/>
  <c r="J121" i="4"/>
  <c r="J132" i="4"/>
  <c r="G135" i="4"/>
  <c r="G141" i="4"/>
  <c r="G144" i="4"/>
  <c r="M175" i="4"/>
  <c r="J182" i="4"/>
  <c r="G191" i="4"/>
  <c r="L280" i="4"/>
  <c r="B30" i="6"/>
  <c r="F30" i="6" s="1"/>
  <c r="H38" i="6"/>
  <c r="B16" i="9"/>
  <c r="B27" i="9"/>
  <c r="F27" i="9" s="1"/>
  <c r="I51" i="9"/>
  <c r="F99" i="18"/>
  <c r="R37" i="19"/>
  <c r="L43" i="12"/>
  <c r="J18" i="4"/>
  <c r="G95" i="4"/>
  <c r="G100" i="4"/>
  <c r="J110" i="4"/>
  <c r="J113" i="4"/>
  <c r="G165" i="4"/>
  <c r="M181" i="4"/>
  <c r="J191" i="4"/>
  <c r="J199" i="4"/>
  <c r="G226" i="4"/>
  <c r="I222" i="4"/>
  <c r="J230" i="4"/>
  <c r="C264" i="4"/>
  <c r="M264" i="4" s="1"/>
  <c r="J274" i="4"/>
  <c r="B20" i="6"/>
  <c r="F20" i="6" s="1"/>
  <c r="K39" i="6"/>
  <c r="O39" i="6" s="1"/>
  <c r="O43" i="6"/>
  <c r="O60" i="6"/>
  <c r="I68" i="6"/>
  <c r="O74" i="6"/>
  <c r="N78" i="6"/>
  <c r="K78" i="6" s="1"/>
  <c r="R78" i="6" s="1"/>
  <c r="F104" i="6"/>
  <c r="R107" i="6"/>
  <c r="H15" i="9"/>
  <c r="B21" i="9"/>
  <c r="O28" i="9"/>
  <c r="I30" i="9"/>
  <c r="B35" i="9"/>
  <c r="F39" i="9"/>
  <c r="B41" i="9"/>
  <c r="I43" i="9"/>
  <c r="I84" i="9"/>
  <c r="O86" i="9"/>
  <c r="B95" i="9"/>
  <c r="F96" i="9"/>
  <c r="O62" i="12"/>
  <c r="F84" i="15"/>
  <c r="R65" i="16"/>
  <c r="L84" i="18"/>
  <c r="F28" i="16"/>
  <c r="L23" i="12"/>
  <c r="R43" i="12"/>
  <c r="I20" i="6"/>
  <c r="L27" i="9"/>
  <c r="R107" i="18"/>
  <c r="I107" i="18"/>
  <c r="F28" i="12"/>
  <c r="L23" i="15"/>
  <c r="M20" i="4"/>
  <c r="J20" i="4"/>
  <c r="C46" i="4"/>
  <c r="F44" i="4"/>
  <c r="G27" i="4"/>
  <c r="G39" i="4"/>
  <c r="I43" i="4"/>
  <c r="G64" i="4"/>
  <c r="I85" i="4"/>
  <c r="M118" i="4"/>
  <c r="J118" i="4"/>
  <c r="G118" i="4"/>
  <c r="J128" i="4"/>
  <c r="M168" i="4"/>
  <c r="J168" i="4"/>
  <c r="C186" i="4"/>
  <c r="J186" i="4" s="1"/>
  <c r="F177" i="4"/>
  <c r="C108" i="4"/>
  <c r="G108" i="4" s="1"/>
  <c r="F106" i="4"/>
  <c r="C106" i="4" s="1"/>
  <c r="G19" i="4"/>
  <c r="J27" i="4"/>
  <c r="M40" i="4"/>
  <c r="J40" i="4"/>
  <c r="G40" i="4"/>
  <c r="G86" i="4"/>
  <c r="M140" i="4"/>
  <c r="J140" i="4"/>
  <c r="G140" i="4"/>
  <c r="M183" i="4"/>
  <c r="G183" i="4"/>
  <c r="G296" i="4"/>
  <c r="R76" i="19"/>
  <c r="L76" i="19"/>
  <c r="O76" i="19"/>
  <c r="F76" i="19"/>
  <c r="M45" i="4"/>
  <c r="J45" i="4"/>
  <c r="G45" i="4"/>
  <c r="F50" i="4"/>
  <c r="F62" i="4"/>
  <c r="C62" i="4" s="1"/>
  <c r="J62" i="4" s="1"/>
  <c r="M66" i="4"/>
  <c r="G66" i="4"/>
  <c r="J86" i="4"/>
  <c r="M97" i="4"/>
  <c r="J97" i="4"/>
  <c r="G97" i="4"/>
  <c r="M152" i="4"/>
  <c r="J152" i="4"/>
  <c r="G152" i="4"/>
  <c r="M164" i="4"/>
  <c r="J164" i="4"/>
  <c r="D164" i="4" s="1"/>
  <c r="M200" i="4"/>
  <c r="J200" i="4"/>
  <c r="G200" i="4"/>
  <c r="F25" i="6"/>
  <c r="I25" i="6"/>
  <c r="G98" i="4"/>
  <c r="I101" i="6"/>
  <c r="R17" i="19"/>
  <c r="F17" i="19"/>
  <c r="I17" i="19"/>
  <c r="O17" i="19"/>
  <c r="L17" i="19"/>
  <c r="M79" i="4"/>
  <c r="J79" i="4"/>
  <c r="G79" i="4"/>
  <c r="M86" i="4"/>
  <c r="M160" i="4"/>
  <c r="J160" i="4"/>
  <c r="G47" i="4"/>
  <c r="M67" i="4"/>
  <c r="M75" i="4"/>
  <c r="J75" i="4"/>
  <c r="M94" i="4"/>
  <c r="J94" i="4"/>
  <c r="G94" i="4"/>
  <c r="G160" i="4"/>
  <c r="M210" i="4"/>
  <c r="J210" i="4"/>
  <c r="F21" i="9"/>
  <c r="L21" i="9"/>
  <c r="G20" i="4"/>
  <c r="G131" i="4"/>
  <c r="J131" i="4"/>
  <c r="F16" i="4"/>
  <c r="G18" i="4"/>
  <c r="G21" i="4"/>
  <c r="G32" i="4"/>
  <c r="D32" i="4" s="1"/>
  <c r="G38" i="4"/>
  <c r="J48" i="4"/>
  <c r="M48" i="4"/>
  <c r="G75" i="4"/>
  <c r="C85" i="4"/>
  <c r="G85" i="4" s="1"/>
  <c r="G87" i="4"/>
  <c r="M108" i="4"/>
  <c r="G137" i="4"/>
  <c r="M156" i="4"/>
  <c r="J156" i="4"/>
  <c r="M172" i="4"/>
  <c r="J172" i="4"/>
  <c r="D172" i="4" s="1"/>
  <c r="M153" i="4"/>
  <c r="G153" i="4"/>
  <c r="M39" i="4"/>
  <c r="J39" i="4"/>
  <c r="J144" i="4"/>
  <c r="D144" i="4" s="1"/>
  <c r="J190" i="4"/>
  <c r="G201" i="4"/>
  <c r="G208" i="4"/>
  <c r="C236" i="4"/>
  <c r="J236" i="4" s="1"/>
  <c r="J253" i="4"/>
  <c r="G257" i="4"/>
  <c r="G276" i="4"/>
  <c r="J285" i="4"/>
  <c r="G298" i="4"/>
  <c r="G302" i="4"/>
  <c r="O40" i="6"/>
  <c r="F42" i="6"/>
  <c r="F48" i="6"/>
  <c r="F52" i="6"/>
  <c r="F55" i="6"/>
  <c r="F58" i="6"/>
  <c r="F62" i="6"/>
  <c r="F65" i="6"/>
  <c r="I70" i="6"/>
  <c r="R72" i="6"/>
  <c r="I89" i="6"/>
  <c r="R91" i="6"/>
  <c r="I98" i="6"/>
  <c r="O111" i="6"/>
  <c r="F114" i="6"/>
  <c r="G16" i="7"/>
  <c r="G22" i="7"/>
  <c r="I17" i="9"/>
  <c r="I21" i="9"/>
  <c r="F28" i="9"/>
  <c r="I45" i="9"/>
  <c r="F57" i="9"/>
  <c r="F67" i="9"/>
  <c r="F79" i="9"/>
  <c r="F86" i="9"/>
  <c r="I88" i="9"/>
  <c r="O90" i="9"/>
  <c r="O96" i="9"/>
  <c r="F100" i="9"/>
  <c r="J15" i="10"/>
  <c r="P17" i="10"/>
  <c r="R76" i="12"/>
  <c r="R62" i="18"/>
  <c r="R99" i="18"/>
  <c r="I28" i="16"/>
  <c r="L55" i="18"/>
  <c r="F55" i="18"/>
  <c r="R55" i="18"/>
  <c r="L77" i="19"/>
  <c r="O23" i="13"/>
  <c r="F23" i="13"/>
  <c r="G56" i="4"/>
  <c r="M63" i="4"/>
  <c r="G88" i="4"/>
  <c r="J108" i="4"/>
  <c r="G114" i="4"/>
  <c r="G122" i="4"/>
  <c r="C125" i="4"/>
  <c r="G125" i="4" s="1"/>
  <c r="J127" i="4"/>
  <c r="G136" i="4"/>
  <c r="D136" i="4" s="1"/>
  <c r="G149" i="4"/>
  <c r="G199" i="4"/>
  <c r="J208" i="4"/>
  <c r="G241" i="4"/>
  <c r="G245" i="4"/>
  <c r="J257" i="4"/>
  <c r="C266" i="4"/>
  <c r="M266" i="4" s="1"/>
  <c r="J269" i="4"/>
  <c r="F280" i="4"/>
  <c r="C280" i="4" s="1"/>
  <c r="J280" i="4" s="1"/>
  <c r="M285" i="4"/>
  <c r="J292" i="4"/>
  <c r="J298" i="4"/>
  <c r="J302" i="4"/>
  <c r="N18" i="6"/>
  <c r="K30" i="6"/>
  <c r="K101" i="6"/>
  <c r="O101" i="6" s="1"/>
  <c r="K109" i="6"/>
  <c r="I28" i="9"/>
  <c r="F49" i="9"/>
  <c r="I57" i="9"/>
  <c r="I67" i="9"/>
  <c r="I79" i="9"/>
  <c r="F84" i="9"/>
  <c r="I86" i="9"/>
  <c r="O88" i="9"/>
  <c r="O100" i="9"/>
  <c r="P13" i="10"/>
  <c r="O83" i="16"/>
  <c r="F84" i="18"/>
  <c r="F62" i="21"/>
  <c r="F17" i="21"/>
  <c r="L17" i="21"/>
  <c r="R17" i="21"/>
  <c r="O17" i="21"/>
  <c r="L36" i="12"/>
  <c r="O77" i="19"/>
  <c r="R62" i="19"/>
  <c r="O17" i="13"/>
  <c r="F17" i="13"/>
  <c r="I17" i="13"/>
  <c r="B79" i="6"/>
  <c r="B86" i="6"/>
  <c r="O77" i="16"/>
  <c r="R23" i="12"/>
  <c r="R65" i="19"/>
  <c r="M236" i="4"/>
  <c r="G258" i="4"/>
  <c r="G270" i="4"/>
  <c r="R39" i="6"/>
  <c r="O48" i="6"/>
  <c r="O52" i="6"/>
  <c r="O58" i="6"/>
  <c r="O62" i="6"/>
  <c r="O65" i="6"/>
  <c r="O21" i="9"/>
  <c r="F24" i="9"/>
  <c r="I27" i="9"/>
  <c r="F47" i="9"/>
  <c r="F65" i="9"/>
  <c r="L68" i="9"/>
  <c r="L72" i="9"/>
  <c r="F77" i="9"/>
  <c r="I89" i="9"/>
  <c r="F98" i="9"/>
  <c r="I84" i="18"/>
  <c r="O84" i="13"/>
  <c r="R109" i="19"/>
  <c r="R28" i="12"/>
  <c r="I62" i="19"/>
  <c r="M15" i="24"/>
  <c r="P15" i="24"/>
  <c r="J15" i="24"/>
  <c r="L17" i="13"/>
  <c r="G207" i="4"/>
  <c r="G213" i="4"/>
  <c r="G231" i="4"/>
  <c r="J239" i="4"/>
  <c r="J243" i="4"/>
  <c r="J270" i="4"/>
  <c r="G286" i="4"/>
  <c r="J293" i="4"/>
  <c r="F43" i="6"/>
  <c r="F46" i="6"/>
  <c r="F50" i="6"/>
  <c r="F60" i="6"/>
  <c r="R68" i="6"/>
  <c r="R87" i="6"/>
  <c r="I93" i="6"/>
  <c r="R95" i="6"/>
  <c r="F110" i="6"/>
  <c r="G32" i="7"/>
  <c r="G38" i="7"/>
  <c r="I24" i="9"/>
  <c r="B26" i="9"/>
  <c r="I29" i="9"/>
  <c r="F32" i="9"/>
  <c r="H34" i="9"/>
  <c r="F37" i="9"/>
  <c r="I47" i="9"/>
  <c r="I65" i="9"/>
  <c r="I77" i="9"/>
  <c r="I87" i="9"/>
  <c r="I98" i="9"/>
  <c r="H129" i="147"/>
  <c r="J131" i="147"/>
  <c r="I76" i="19"/>
  <c r="O23" i="12"/>
  <c r="F84" i="13"/>
  <c r="R28" i="16"/>
  <c r="I84" i="13"/>
  <c r="O28" i="12"/>
  <c r="R28" i="18"/>
  <c r="O76" i="13"/>
  <c r="L28" i="12"/>
  <c r="G15" i="24"/>
  <c r="O62" i="19"/>
  <c r="G188" i="4"/>
  <c r="G192" i="4"/>
  <c r="G197" i="4"/>
  <c r="L203" i="4"/>
  <c r="J207" i="4"/>
  <c r="J213" i="4"/>
  <c r="G218" i="4"/>
  <c r="J231" i="4"/>
  <c r="J252" i="4"/>
  <c r="G267" i="4"/>
  <c r="G275" i="4"/>
  <c r="J286" i="4"/>
  <c r="Q38" i="6"/>
  <c r="K38" i="6" s="1"/>
  <c r="O38" i="6" s="1"/>
  <c r="F40" i="6"/>
  <c r="O47" i="6"/>
  <c r="O51" i="6"/>
  <c r="O61" i="6"/>
  <c r="K86" i="6"/>
  <c r="R86" i="6" s="1"/>
  <c r="F22" i="9"/>
  <c r="O24" i="9"/>
  <c r="L32" i="9"/>
  <c r="I37" i="9"/>
  <c r="L56" i="9"/>
  <c r="F61" i="9"/>
  <c r="I85" i="9"/>
  <c r="O98" i="9"/>
  <c r="R65" i="13"/>
  <c r="O84" i="18"/>
  <c r="I28" i="18"/>
  <c r="O28" i="18"/>
  <c r="B17" i="12"/>
  <c r="L17" i="12" s="1"/>
  <c r="F23" i="12"/>
  <c r="R29" i="18"/>
  <c r="L18" i="13"/>
  <c r="I18" i="13"/>
  <c r="R18" i="13"/>
  <c r="F18" i="13"/>
  <c r="M65" i="4"/>
  <c r="J117" i="4"/>
  <c r="G121" i="4"/>
  <c r="D148" i="4"/>
  <c r="J175" i="4"/>
  <c r="J181" i="4"/>
  <c r="G240" i="4"/>
  <c r="D240" i="4" s="1"/>
  <c r="G244" i="4"/>
  <c r="J256" i="4"/>
  <c r="J260" i="4"/>
  <c r="J275" i="4"/>
  <c r="G290" i="4"/>
  <c r="G294" i="4"/>
  <c r="J301" i="4"/>
  <c r="K31" i="6"/>
  <c r="O41" i="6"/>
  <c r="B45" i="6"/>
  <c r="I53" i="6"/>
  <c r="I72" i="6"/>
  <c r="O86" i="6"/>
  <c r="O113" i="6"/>
  <c r="I22" i="9"/>
  <c r="L26" i="9"/>
  <c r="O27" i="9"/>
  <c r="F35" i="9"/>
  <c r="I61" i="9"/>
  <c r="L66" i="9"/>
  <c r="L78" i="9"/>
  <c r="F90" i="9"/>
  <c r="D17" i="10"/>
  <c r="G19" i="10"/>
  <c r="L99" i="18"/>
  <c r="R84" i="13"/>
  <c r="L28" i="16"/>
  <c r="B76" i="18"/>
  <c r="R76" i="18" s="1"/>
  <c r="I23" i="13"/>
  <c r="D285" i="4"/>
  <c r="J296" i="4"/>
  <c r="H18" i="6"/>
  <c r="B18" i="6" s="1"/>
  <c r="D13" i="10"/>
  <c r="G15" i="10"/>
  <c r="J19" i="10"/>
  <c r="I107" i="12"/>
  <c r="O55" i="18"/>
  <c r="R23" i="13"/>
  <c r="F69" i="4"/>
  <c r="C71" i="4"/>
  <c r="J71" i="4" s="1"/>
  <c r="R245" i="147"/>
  <c r="L230" i="147"/>
  <c r="N245" i="147"/>
  <c r="H15" i="147"/>
  <c r="J17" i="147"/>
  <c r="N42" i="147"/>
  <c r="R42" i="147"/>
  <c r="N61" i="147"/>
  <c r="R61" i="147"/>
  <c r="L53" i="147"/>
  <c r="L40" i="147" s="1"/>
  <c r="N133" i="147"/>
  <c r="R133" i="147"/>
  <c r="L131" i="147"/>
  <c r="N21" i="147"/>
  <c r="L19" i="147"/>
  <c r="R21" i="147"/>
  <c r="N150" i="147"/>
  <c r="R150" i="147"/>
  <c r="N98" i="147"/>
  <c r="R98" i="147"/>
  <c r="L96" i="147"/>
  <c r="N31" i="147"/>
  <c r="R31" i="147"/>
  <c r="J230" i="147"/>
  <c r="R255" i="147"/>
  <c r="N255" i="147"/>
  <c r="L139" i="147"/>
  <c r="N141" i="147"/>
  <c r="R141" i="147"/>
  <c r="L182" i="147"/>
  <c r="N184" i="147"/>
  <c r="R184" i="147"/>
  <c r="J53" i="147"/>
  <c r="H40" i="147"/>
  <c r="P34" i="24"/>
  <c r="J34" i="24"/>
  <c r="M34" i="24"/>
  <c r="M26" i="24"/>
  <c r="J26" i="24"/>
  <c r="P26" i="24"/>
  <c r="J74" i="24"/>
  <c r="P74" i="24"/>
  <c r="G34" i="24"/>
  <c r="J81" i="24"/>
  <c r="M81" i="24"/>
  <c r="P81" i="24"/>
  <c r="G26" i="24"/>
  <c r="J60" i="24"/>
  <c r="P60" i="24"/>
  <c r="L11" i="24"/>
  <c r="G97" i="24"/>
  <c r="J97" i="24"/>
  <c r="P97" i="24"/>
  <c r="C13" i="24"/>
  <c r="G13" i="24" s="1"/>
  <c r="F11" i="24"/>
  <c r="L36" i="22"/>
  <c r="R36" i="22"/>
  <c r="K11" i="22"/>
  <c r="H13" i="22"/>
  <c r="N13" i="22"/>
  <c r="O62" i="22"/>
  <c r="I62" i="22"/>
  <c r="L62" i="22"/>
  <c r="R62" i="22"/>
  <c r="F76" i="22"/>
  <c r="O76" i="22"/>
  <c r="R76" i="22"/>
  <c r="L76" i="22"/>
  <c r="B15" i="22"/>
  <c r="E13" i="22"/>
  <c r="F62" i="22"/>
  <c r="I76" i="22"/>
  <c r="I36" i="22"/>
  <c r="F36" i="22"/>
  <c r="O36" i="22"/>
  <c r="Q13" i="22"/>
  <c r="Q13" i="21"/>
  <c r="L62" i="21"/>
  <c r="K13" i="21"/>
  <c r="O36" i="21"/>
  <c r="I36" i="21"/>
  <c r="H13" i="21"/>
  <c r="I62" i="21"/>
  <c r="O62" i="21"/>
  <c r="B15" i="21"/>
  <c r="F15" i="21" s="1"/>
  <c r="E13" i="21"/>
  <c r="R76" i="21"/>
  <c r="L76" i="21"/>
  <c r="F76" i="21"/>
  <c r="O76" i="21"/>
  <c r="E13" i="19"/>
  <c r="H15" i="19"/>
  <c r="I36" i="19"/>
  <c r="B36" i="19"/>
  <c r="O36" i="19" s="1"/>
  <c r="F84" i="19"/>
  <c r="Q13" i="19"/>
  <c r="N15" i="19"/>
  <c r="K13" i="19"/>
  <c r="B83" i="19"/>
  <c r="F83" i="19" s="1"/>
  <c r="O84" i="19"/>
  <c r="I84" i="19"/>
  <c r="O101" i="19"/>
  <c r="I101" i="19"/>
  <c r="L84" i="19"/>
  <c r="E13" i="18"/>
  <c r="R43" i="18"/>
  <c r="L43" i="18"/>
  <c r="F43" i="18"/>
  <c r="B36" i="18"/>
  <c r="I36" i="18" s="1"/>
  <c r="H15" i="18"/>
  <c r="I62" i="18"/>
  <c r="K13" i="18"/>
  <c r="R83" i="18"/>
  <c r="O107" i="18"/>
  <c r="L62" i="18"/>
  <c r="I43" i="18"/>
  <c r="Q13" i="18"/>
  <c r="B83" i="18"/>
  <c r="F83" i="18" s="1"/>
  <c r="I99" i="18"/>
  <c r="O36" i="18"/>
  <c r="N15" i="18"/>
  <c r="R84" i="16"/>
  <c r="L84" i="16"/>
  <c r="F84" i="16"/>
  <c r="K15" i="16"/>
  <c r="R100" i="16"/>
  <c r="O84" i="16"/>
  <c r="R108" i="16"/>
  <c r="L108" i="16"/>
  <c r="F108" i="16"/>
  <c r="I100" i="16"/>
  <c r="L77" i="16"/>
  <c r="F77" i="16"/>
  <c r="E15" i="16"/>
  <c r="B17" i="16"/>
  <c r="L17" i="16" s="1"/>
  <c r="F100" i="16"/>
  <c r="I84" i="16"/>
  <c r="B36" i="16"/>
  <c r="O36" i="16" s="1"/>
  <c r="H15" i="16"/>
  <c r="L100" i="16"/>
  <c r="Q15" i="16"/>
  <c r="N15" i="16"/>
  <c r="I76" i="16"/>
  <c r="L76" i="16"/>
  <c r="F76" i="16"/>
  <c r="L83" i="16"/>
  <c r="F83" i="16"/>
  <c r="R83" i="16"/>
  <c r="O108" i="16"/>
  <c r="I77" i="16"/>
  <c r="O65" i="16"/>
  <c r="R76" i="16"/>
  <c r="Q13" i="15"/>
  <c r="I37" i="15"/>
  <c r="O37" i="15"/>
  <c r="I36" i="15"/>
  <c r="O36" i="15"/>
  <c r="F28" i="15"/>
  <c r="L28" i="15"/>
  <c r="R28" i="15"/>
  <c r="F107" i="15"/>
  <c r="R107" i="15"/>
  <c r="L107" i="15"/>
  <c r="O83" i="15"/>
  <c r="I83" i="15"/>
  <c r="O28" i="15"/>
  <c r="H15" i="15"/>
  <c r="B17" i="15"/>
  <c r="I28" i="15"/>
  <c r="O84" i="15"/>
  <c r="I84" i="15"/>
  <c r="B76" i="15"/>
  <c r="I76" i="15" s="1"/>
  <c r="L29" i="15"/>
  <c r="R29" i="15"/>
  <c r="F29" i="15"/>
  <c r="B62" i="15"/>
  <c r="F62" i="15" s="1"/>
  <c r="E15" i="15"/>
  <c r="L37" i="15"/>
  <c r="R77" i="15"/>
  <c r="L77" i="15"/>
  <c r="F77" i="15"/>
  <c r="R37" i="15"/>
  <c r="I107" i="15"/>
  <c r="R83" i="15"/>
  <c r="F37" i="15"/>
  <c r="O107" i="15"/>
  <c r="L83" i="15"/>
  <c r="O43" i="15"/>
  <c r="I43" i="15"/>
  <c r="F43" i="15"/>
  <c r="I77" i="15"/>
  <c r="L84" i="15"/>
  <c r="O65" i="15"/>
  <c r="I65" i="15"/>
  <c r="F65" i="15"/>
  <c r="R65" i="15"/>
  <c r="O55" i="15"/>
  <c r="I55" i="15"/>
  <c r="R55" i="15"/>
  <c r="F55" i="15"/>
  <c r="R43" i="15"/>
  <c r="K13" i="15"/>
  <c r="F36" i="15"/>
  <c r="N15" i="15"/>
  <c r="R36" i="15"/>
  <c r="H15" i="13"/>
  <c r="F65" i="13"/>
  <c r="L65" i="13"/>
  <c r="L55" i="13"/>
  <c r="R36" i="13"/>
  <c r="Q15" i="13"/>
  <c r="O65" i="13"/>
  <c r="K15" i="13"/>
  <c r="N15" i="13"/>
  <c r="B62" i="13"/>
  <c r="O62" i="13" s="1"/>
  <c r="B36" i="13"/>
  <c r="I36" i="13" s="1"/>
  <c r="E15" i="13"/>
  <c r="I62" i="13"/>
  <c r="K13" i="12"/>
  <c r="I76" i="12"/>
  <c r="H13" i="12"/>
  <c r="O55" i="12"/>
  <c r="L62" i="12"/>
  <c r="L76" i="12"/>
  <c r="L77" i="12"/>
  <c r="R107" i="12"/>
  <c r="F107" i="12"/>
  <c r="L107" i="12"/>
  <c r="E13" i="12"/>
  <c r="L84" i="12"/>
  <c r="F84" i="12"/>
  <c r="R84" i="12"/>
  <c r="I84" i="12"/>
  <c r="O84" i="12"/>
  <c r="R77" i="12"/>
  <c r="Q13" i="12"/>
  <c r="F55" i="12"/>
  <c r="N15" i="12"/>
  <c r="B83" i="12"/>
  <c r="O77" i="12"/>
  <c r="F62" i="12"/>
  <c r="R62" i="12"/>
  <c r="R55" i="12"/>
  <c r="L55" i="12"/>
  <c r="I77" i="12"/>
  <c r="G13" i="10"/>
  <c r="G11" i="10" s="1"/>
  <c r="M15" i="10"/>
  <c r="M11" i="10" s="1"/>
  <c r="J13" i="10"/>
  <c r="J11" i="10" s="1"/>
  <c r="D15" i="10"/>
  <c r="D11" i="10" s="1"/>
  <c r="P15" i="10"/>
  <c r="P11" i="10" s="1"/>
  <c r="I16" i="9"/>
  <c r="O16" i="9"/>
  <c r="F95" i="9"/>
  <c r="L95" i="9"/>
  <c r="I26" i="9"/>
  <c r="O26" i="9"/>
  <c r="L35" i="9"/>
  <c r="L17" i="9"/>
  <c r="L19" i="9"/>
  <c r="L23" i="9"/>
  <c r="L29" i="9"/>
  <c r="L31" i="9"/>
  <c r="F41" i="9"/>
  <c r="O41" i="9"/>
  <c r="I44" i="9"/>
  <c r="F44" i="9"/>
  <c r="B53" i="9"/>
  <c r="I58" i="9"/>
  <c r="F58" i="9"/>
  <c r="B82" i="9"/>
  <c r="F82" i="9" s="1"/>
  <c r="E81" i="9"/>
  <c r="F97" i="9"/>
  <c r="O97" i="9"/>
  <c r="F99" i="9"/>
  <c r="O99" i="9"/>
  <c r="I36" i="9"/>
  <c r="F36" i="9"/>
  <c r="I46" i="9"/>
  <c r="F46" i="9"/>
  <c r="F93" i="9"/>
  <c r="O93" i="9"/>
  <c r="I95" i="9"/>
  <c r="H13" i="9"/>
  <c r="N13" i="9"/>
  <c r="F16" i="9"/>
  <c r="L16" i="9"/>
  <c r="O17" i="9"/>
  <c r="O19" i="9"/>
  <c r="O23" i="9"/>
  <c r="F26" i="9"/>
  <c r="O29" i="9"/>
  <c r="O32" i="9"/>
  <c r="K34" i="9"/>
  <c r="L36" i="9"/>
  <c r="I41" i="9"/>
  <c r="I42" i="9"/>
  <c r="F42" i="9"/>
  <c r="L46" i="9"/>
  <c r="F53" i="9"/>
  <c r="O53" i="9"/>
  <c r="I56" i="9"/>
  <c r="F56" i="9"/>
  <c r="B63" i="9"/>
  <c r="O63" i="9" s="1"/>
  <c r="E60" i="9"/>
  <c r="I68" i="9"/>
  <c r="F68" i="9"/>
  <c r="I72" i="9"/>
  <c r="F72" i="9"/>
  <c r="B75" i="9"/>
  <c r="E74" i="9"/>
  <c r="L93" i="9"/>
  <c r="I97" i="9"/>
  <c r="I99" i="9"/>
  <c r="I35" i="9"/>
  <c r="L41" i="9"/>
  <c r="I64" i="9"/>
  <c r="F64" i="9"/>
  <c r="I70" i="9"/>
  <c r="F70" i="9"/>
  <c r="I76" i="9"/>
  <c r="F76" i="9"/>
  <c r="K81" i="9"/>
  <c r="L82" i="9"/>
  <c r="E15" i="9"/>
  <c r="F31" i="9"/>
  <c r="E34" i="9"/>
  <c r="O35" i="9"/>
  <c r="O36" i="9"/>
  <c r="I38" i="9"/>
  <c r="F38" i="9"/>
  <c r="L44" i="9"/>
  <c r="O46" i="9"/>
  <c r="I48" i="9"/>
  <c r="F48" i="9"/>
  <c r="I53" i="9"/>
  <c r="I54" i="9"/>
  <c r="F54" i="9"/>
  <c r="L58" i="9"/>
  <c r="O64" i="9"/>
  <c r="I66" i="9"/>
  <c r="F66" i="9"/>
  <c r="O70" i="9"/>
  <c r="O76" i="9"/>
  <c r="I78" i="9"/>
  <c r="F78" i="9"/>
  <c r="F83" i="9"/>
  <c r="O83" i="9"/>
  <c r="F85" i="9"/>
  <c r="O85" i="9"/>
  <c r="F87" i="9"/>
  <c r="O87" i="9"/>
  <c r="F89" i="9"/>
  <c r="O89" i="9"/>
  <c r="F91" i="9"/>
  <c r="O91" i="9"/>
  <c r="O95" i="9"/>
  <c r="L97" i="9"/>
  <c r="L99" i="9"/>
  <c r="L37" i="9"/>
  <c r="L39" i="9"/>
  <c r="L43" i="9"/>
  <c r="L45" i="9"/>
  <c r="L47" i="9"/>
  <c r="L49" i="9"/>
  <c r="L51" i="9"/>
  <c r="L55" i="9"/>
  <c r="L57" i="9"/>
  <c r="L61" i="9"/>
  <c r="L65" i="9"/>
  <c r="L67" i="9"/>
  <c r="L77" i="9"/>
  <c r="L79" i="9"/>
  <c r="I100" i="9"/>
  <c r="D16" i="7"/>
  <c r="D22" i="7"/>
  <c r="D32" i="7"/>
  <c r="D38" i="7"/>
  <c r="G12" i="7"/>
  <c r="D12" i="7" s="1"/>
  <c r="G18" i="7"/>
  <c r="D18" i="7" s="1"/>
  <c r="G20" i="7"/>
  <c r="D20" i="7" s="1"/>
  <c r="G26" i="7"/>
  <c r="D26" i="7" s="1"/>
  <c r="G28" i="7"/>
  <c r="D28" i="7" s="1"/>
  <c r="G34" i="7"/>
  <c r="D34" i="7" s="1"/>
  <c r="G36" i="7"/>
  <c r="D36" i="7" s="1"/>
  <c r="G42" i="7"/>
  <c r="D42" i="7" s="1"/>
  <c r="B85" i="6"/>
  <c r="I85" i="6" s="1"/>
  <c r="N16" i="6"/>
  <c r="K18" i="6"/>
  <c r="R30" i="6"/>
  <c r="R31" i="6"/>
  <c r="O53" i="6"/>
  <c r="R53" i="6"/>
  <c r="O90" i="6"/>
  <c r="R90" i="6"/>
  <c r="Q16" i="6"/>
  <c r="K20" i="6"/>
  <c r="F21" i="6"/>
  <c r="O21" i="6"/>
  <c r="F22" i="6"/>
  <c r="O22" i="6"/>
  <c r="F23" i="6"/>
  <c r="O23" i="6"/>
  <c r="K25" i="6"/>
  <c r="O30" i="6"/>
  <c r="O31" i="6"/>
  <c r="R32" i="6"/>
  <c r="O32" i="6"/>
  <c r="R33" i="6"/>
  <c r="O33" i="6"/>
  <c r="R34" i="6"/>
  <c r="O34" i="6"/>
  <c r="R35" i="6"/>
  <c r="O35" i="6"/>
  <c r="R36" i="6"/>
  <c r="O36" i="6"/>
  <c r="F45" i="6"/>
  <c r="B57" i="6"/>
  <c r="H64" i="6"/>
  <c r="B64" i="6" s="1"/>
  <c r="B67" i="6"/>
  <c r="I67" i="6" s="1"/>
  <c r="I74" i="6"/>
  <c r="F74" i="6"/>
  <c r="F79" i="6"/>
  <c r="R80" i="6"/>
  <c r="O80" i="6"/>
  <c r="R82" i="6"/>
  <c r="O82" i="6"/>
  <c r="O88" i="6"/>
  <c r="R88" i="6"/>
  <c r="O97" i="6"/>
  <c r="R97" i="6"/>
  <c r="R105" i="6"/>
  <c r="O105" i="6"/>
  <c r="O109" i="6"/>
  <c r="I113" i="6"/>
  <c r="F113" i="6"/>
  <c r="F26" i="6"/>
  <c r="F27" i="6"/>
  <c r="I45" i="6"/>
  <c r="F86" i="6"/>
  <c r="O99" i="6"/>
  <c r="R99" i="6"/>
  <c r="O26" i="6"/>
  <c r="O27" i="6"/>
  <c r="O28" i="6"/>
  <c r="O57" i="6"/>
  <c r="K64" i="6"/>
  <c r="F69" i="6"/>
  <c r="I69" i="6"/>
  <c r="F71" i="6"/>
  <c r="I71" i="6"/>
  <c r="I79" i="6"/>
  <c r="H78" i="6"/>
  <c r="H16" i="6" s="1"/>
  <c r="I81" i="6"/>
  <c r="I83" i="6"/>
  <c r="K85" i="6"/>
  <c r="I86" i="6"/>
  <c r="O94" i="6"/>
  <c r="R94" i="6"/>
  <c r="R103" i="6"/>
  <c r="O103" i="6"/>
  <c r="I111" i="6"/>
  <c r="F111" i="6"/>
  <c r="F28" i="6"/>
  <c r="I30" i="6"/>
  <c r="I31" i="6"/>
  <c r="I32" i="6"/>
  <c r="F32" i="6"/>
  <c r="I33" i="6"/>
  <c r="F33" i="6"/>
  <c r="I34" i="6"/>
  <c r="F34" i="6"/>
  <c r="I35" i="6"/>
  <c r="F35" i="6"/>
  <c r="I36" i="6"/>
  <c r="F36" i="6"/>
  <c r="E38" i="6"/>
  <c r="B39" i="6"/>
  <c r="F39" i="6" s="1"/>
  <c r="R45" i="6"/>
  <c r="R57" i="6"/>
  <c r="R64" i="6"/>
  <c r="O69" i="6"/>
  <c r="R69" i="6"/>
  <c r="O71" i="6"/>
  <c r="R71" i="6"/>
  <c r="O92" i="6"/>
  <c r="R92" i="6"/>
  <c r="F107" i="6"/>
  <c r="I107" i="6"/>
  <c r="B109" i="6"/>
  <c r="F109" i="6" s="1"/>
  <c r="R109" i="6"/>
  <c r="O78" i="6"/>
  <c r="O79" i="6"/>
  <c r="F80" i="6"/>
  <c r="F82" i="6"/>
  <c r="I88" i="6"/>
  <c r="I90" i="6"/>
  <c r="I92" i="6"/>
  <c r="I94" i="6"/>
  <c r="I97" i="6"/>
  <c r="I99" i="6"/>
  <c r="F103" i="6"/>
  <c r="F105" i="6"/>
  <c r="O110" i="6"/>
  <c r="O112" i="6"/>
  <c r="O114" i="6"/>
  <c r="C50" i="4"/>
  <c r="J50" i="4" s="1"/>
  <c r="G143" i="4"/>
  <c r="M143" i="4"/>
  <c r="J143" i="4"/>
  <c r="J189" i="4"/>
  <c r="G189" i="4"/>
  <c r="M189" i="4"/>
  <c r="J193" i="4"/>
  <c r="G193" i="4"/>
  <c r="M193" i="4"/>
  <c r="I203" i="4"/>
  <c r="C205" i="4"/>
  <c r="D21" i="4"/>
  <c r="J26" i="4"/>
  <c r="J31" i="4"/>
  <c r="D40" i="4"/>
  <c r="L43" i="4"/>
  <c r="C51" i="4"/>
  <c r="G57" i="4"/>
  <c r="M57" i="4"/>
  <c r="G60" i="4"/>
  <c r="M60" i="4"/>
  <c r="M62" i="4"/>
  <c r="M71" i="4"/>
  <c r="G99" i="4"/>
  <c r="M104" i="4"/>
  <c r="J104" i="4"/>
  <c r="D110" i="4"/>
  <c r="J112" i="4"/>
  <c r="G112" i="4"/>
  <c r="D122" i="4"/>
  <c r="G139" i="4"/>
  <c r="M139" i="4"/>
  <c r="J139" i="4"/>
  <c r="G155" i="4"/>
  <c r="M155" i="4"/>
  <c r="J155" i="4"/>
  <c r="G159" i="4"/>
  <c r="M159" i="4"/>
  <c r="J159" i="4"/>
  <c r="G163" i="4"/>
  <c r="M163" i="4"/>
  <c r="J163" i="4"/>
  <c r="G167" i="4"/>
  <c r="M167" i="4"/>
  <c r="J167" i="4"/>
  <c r="G171" i="4"/>
  <c r="M171" i="4"/>
  <c r="J171" i="4"/>
  <c r="J277" i="4"/>
  <c r="G277" i="4"/>
  <c r="M277" i="4"/>
  <c r="C16" i="4"/>
  <c r="C25" i="4"/>
  <c r="J25" i="4" s="1"/>
  <c r="M31" i="4"/>
  <c r="G37" i="4"/>
  <c r="C44" i="4"/>
  <c r="J44" i="4" s="1"/>
  <c r="G52" i="4"/>
  <c r="M52" i="4"/>
  <c r="D53" i="4"/>
  <c r="M54" i="4"/>
  <c r="D75" i="4"/>
  <c r="C83" i="4"/>
  <c r="G83" i="4" s="1"/>
  <c r="G89" i="4"/>
  <c r="M89" i="4"/>
  <c r="D90" i="4"/>
  <c r="C93" i="4"/>
  <c r="J93" i="4" s="1"/>
  <c r="D94" i="4"/>
  <c r="J99" i="4"/>
  <c r="G104" i="4"/>
  <c r="J106" i="4"/>
  <c r="M112" i="4"/>
  <c r="D114" i="4"/>
  <c r="J116" i="4"/>
  <c r="G116" i="4"/>
  <c r="D121" i="4"/>
  <c r="M125" i="4"/>
  <c r="D128" i="4"/>
  <c r="J130" i="4"/>
  <c r="G130" i="4"/>
  <c r="G151" i="4"/>
  <c r="M151" i="4"/>
  <c r="J151" i="4"/>
  <c r="C195" i="4"/>
  <c r="G195" i="4" s="1"/>
  <c r="L222" i="4"/>
  <c r="C222" i="4" s="1"/>
  <c r="G222" i="4" s="1"/>
  <c r="J251" i="4"/>
  <c r="G251" i="4"/>
  <c r="M251" i="4"/>
  <c r="C41" i="4"/>
  <c r="F36" i="4"/>
  <c r="G41" i="4"/>
  <c r="C58" i="4"/>
  <c r="G58" i="4" s="1"/>
  <c r="M106" i="4"/>
  <c r="G106" i="4"/>
  <c r="D18" i="4"/>
  <c r="M26" i="4"/>
  <c r="C30" i="4"/>
  <c r="C74" i="4"/>
  <c r="J74" i="4" s="1"/>
  <c r="I24" i="4"/>
  <c r="I14" i="4" s="1"/>
  <c r="J37" i="4"/>
  <c r="F43" i="4"/>
  <c r="J57" i="4"/>
  <c r="J60" i="4"/>
  <c r="L69" i="4"/>
  <c r="J77" i="4"/>
  <c r="G77" i="4"/>
  <c r="D77" i="4" s="1"/>
  <c r="J81" i="4"/>
  <c r="G81" i="4"/>
  <c r="F92" i="4"/>
  <c r="G96" i="4"/>
  <c r="M96" i="4"/>
  <c r="D97" i="4"/>
  <c r="G102" i="4"/>
  <c r="M102" i="4"/>
  <c r="M116" i="4"/>
  <c r="D118" i="4"/>
  <c r="J120" i="4"/>
  <c r="G120" i="4"/>
  <c r="M130" i="4"/>
  <c r="D132" i="4"/>
  <c r="G147" i="4"/>
  <c r="M147" i="4"/>
  <c r="J147" i="4"/>
  <c r="J219" i="4"/>
  <c r="G219" i="4"/>
  <c r="M219" i="4"/>
  <c r="J100" i="4"/>
  <c r="D100" i="4" s="1"/>
  <c r="G101" i="4"/>
  <c r="G111" i="4"/>
  <c r="M113" i="4"/>
  <c r="D113" i="4" s="1"/>
  <c r="G115" i="4"/>
  <c r="M117" i="4"/>
  <c r="D117" i="4" s="1"/>
  <c r="G119" i="4"/>
  <c r="G123" i="4"/>
  <c r="M127" i="4"/>
  <c r="D127" i="4" s="1"/>
  <c r="G129" i="4"/>
  <c r="M131" i="4"/>
  <c r="D131" i="4" s="1"/>
  <c r="G133" i="4"/>
  <c r="J134" i="4"/>
  <c r="J135" i="4"/>
  <c r="D135" i="4" s="1"/>
  <c r="J138" i="4"/>
  <c r="G138" i="4"/>
  <c r="J142" i="4"/>
  <c r="G142" i="4"/>
  <c r="J146" i="4"/>
  <c r="G146" i="4"/>
  <c r="J150" i="4"/>
  <c r="G150" i="4"/>
  <c r="J154" i="4"/>
  <c r="G154" i="4"/>
  <c r="J158" i="4"/>
  <c r="G158" i="4"/>
  <c r="J162" i="4"/>
  <c r="G162" i="4"/>
  <c r="J166" i="4"/>
  <c r="G166" i="4"/>
  <c r="J170" i="4"/>
  <c r="G170" i="4"/>
  <c r="M190" i="4"/>
  <c r="D190" i="4" s="1"/>
  <c r="D199" i="4"/>
  <c r="C203" i="4"/>
  <c r="G203" i="4" s="1"/>
  <c r="J214" i="4"/>
  <c r="M214" i="4"/>
  <c r="G214" i="4"/>
  <c r="G216" i="4"/>
  <c r="M216" i="4"/>
  <c r="G220" i="4"/>
  <c r="M220" i="4"/>
  <c r="C228" i="4"/>
  <c r="L262" i="4"/>
  <c r="J47" i="4"/>
  <c r="D47" i="4" s="1"/>
  <c r="J66" i="4"/>
  <c r="D66" i="4" s="1"/>
  <c r="M78" i="4"/>
  <c r="D78" i="4" s="1"/>
  <c r="J87" i="4"/>
  <c r="D87" i="4" s="1"/>
  <c r="J19" i="4"/>
  <c r="D19" i="4" s="1"/>
  <c r="J28" i="4"/>
  <c r="D28" i="4" s="1"/>
  <c r="J33" i="4"/>
  <c r="D33" i="4" s="1"/>
  <c r="J38" i="4"/>
  <c r="D38" i="4" s="1"/>
  <c r="G46" i="4"/>
  <c r="G48" i="4"/>
  <c r="D48" i="4" s="1"/>
  <c r="G54" i="4"/>
  <c r="D54" i="4" s="1"/>
  <c r="M55" i="4"/>
  <c r="D55" i="4" s="1"/>
  <c r="J56" i="4"/>
  <c r="D56" i="4" s="1"/>
  <c r="G62" i="4"/>
  <c r="G63" i="4"/>
  <c r="D63" i="4" s="1"/>
  <c r="M64" i="4"/>
  <c r="D64" i="4" s="1"/>
  <c r="G65" i="4"/>
  <c r="D65" i="4" s="1"/>
  <c r="G67" i="4"/>
  <c r="D67" i="4" s="1"/>
  <c r="G71" i="4"/>
  <c r="G72" i="4"/>
  <c r="D72" i="4" s="1"/>
  <c r="J76" i="4"/>
  <c r="D76" i="4" s="1"/>
  <c r="J88" i="4"/>
  <c r="D88" i="4" s="1"/>
  <c r="J95" i="4"/>
  <c r="D95" i="4" s="1"/>
  <c r="J98" i="4"/>
  <c r="D98" i="4" s="1"/>
  <c r="J101" i="4"/>
  <c r="J111" i="4"/>
  <c r="J115" i="4"/>
  <c r="J119" i="4"/>
  <c r="J123" i="4"/>
  <c r="J129" i="4"/>
  <c r="M133" i="4"/>
  <c r="M134" i="4"/>
  <c r="D175" i="4"/>
  <c r="D181" i="4"/>
  <c r="D182" i="4"/>
  <c r="J216" i="4"/>
  <c r="J220" i="4"/>
  <c r="J233" i="4"/>
  <c r="G233" i="4"/>
  <c r="J242" i="4"/>
  <c r="G242" i="4"/>
  <c r="M242" i="4"/>
  <c r="J259" i="4"/>
  <c r="G259" i="4"/>
  <c r="M259" i="4"/>
  <c r="C272" i="4"/>
  <c r="J272" i="4" s="1"/>
  <c r="M138" i="4"/>
  <c r="M142" i="4"/>
  <c r="M146" i="4"/>
  <c r="M150" i="4"/>
  <c r="M154" i="4"/>
  <c r="C177" i="4"/>
  <c r="J177" i="4" s="1"/>
  <c r="M179" i="4"/>
  <c r="G179" i="4"/>
  <c r="J179" i="4"/>
  <c r="J184" i="4"/>
  <c r="G184" i="4"/>
  <c r="M186" i="4"/>
  <c r="D191" i="4"/>
  <c r="M212" i="4"/>
  <c r="J212" i="4"/>
  <c r="D212" i="4" s="1"/>
  <c r="G215" i="4"/>
  <c r="M215" i="4"/>
  <c r="J215" i="4"/>
  <c r="J224" i="4"/>
  <c r="G224" i="4"/>
  <c r="M224" i="4"/>
  <c r="M233" i="4"/>
  <c r="J137" i="4"/>
  <c r="D137" i="4" s="1"/>
  <c r="J141" i="4"/>
  <c r="D141" i="4" s="1"/>
  <c r="J145" i="4"/>
  <c r="D145" i="4" s="1"/>
  <c r="J149" i="4"/>
  <c r="D149" i="4" s="1"/>
  <c r="J153" i="4"/>
  <c r="D153" i="4" s="1"/>
  <c r="J157" i="4"/>
  <c r="D157" i="4" s="1"/>
  <c r="J161" i="4"/>
  <c r="D161" i="4" s="1"/>
  <c r="J165" i="4"/>
  <c r="D165" i="4" s="1"/>
  <c r="J169" i="4"/>
  <c r="D169" i="4" s="1"/>
  <c r="J173" i="4"/>
  <c r="D173" i="4" s="1"/>
  <c r="J183" i="4"/>
  <c r="D183" i="4" s="1"/>
  <c r="J188" i="4"/>
  <c r="D188" i="4" s="1"/>
  <c r="J192" i="4"/>
  <c r="D192" i="4" s="1"/>
  <c r="M197" i="4"/>
  <c r="D197" i="4" s="1"/>
  <c r="M198" i="4"/>
  <c r="D198" i="4" s="1"/>
  <c r="M201" i="4"/>
  <c r="D201" i="4" s="1"/>
  <c r="G210" i="4"/>
  <c r="D210" i="4" s="1"/>
  <c r="D226" i="4"/>
  <c r="D244" i="4"/>
  <c r="C248" i="4"/>
  <c r="J248" i="4" s="1"/>
  <c r="D253" i="4"/>
  <c r="I262" i="4"/>
  <c r="J264" i="4"/>
  <c r="G264" i="4"/>
  <c r="F262" i="4"/>
  <c r="G282" i="4"/>
  <c r="M282" i="4"/>
  <c r="J291" i="4"/>
  <c r="G291" i="4"/>
  <c r="J300" i="4"/>
  <c r="G300" i="4"/>
  <c r="D207" i="4"/>
  <c r="J238" i="4"/>
  <c r="G238" i="4"/>
  <c r="J246" i="4"/>
  <c r="G246" i="4"/>
  <c r="J255" i="4"/>
  <c r="G255" i="4"/>
  <c r="J268" i="4"/>
  <c r="G268" i="4"/>
  <c r="D275" i="4"/>
  <c r="J284" i="4"/>
  <c r="G284" i="4"/>
  <c r="D284" i="4" s="1"/>
  <c r="C288" i="4"/>
  <c r="G288" i="4" s="1"/>
  <c r="M291" i="4"/>
  <c r="D293" i="4"/>
  <c r="D296" i="4"/>
  <c r="M300" i="4"/>
  <c r="D302" i="4"/>
  <c r="M230" i="4"/>
  <c r="D230" i="4" s="1"/>
  <c r="M234" i="4"/>
  <c r="D234" i="4" s="1"/>
  <c r="M239" i="4"/>
  <c r="D239" i="4" s="1"/>
  <c r="M243" i="4"/>
  <c r="D243" i="4" s="1"/>
  <c r="M252" i="4"/>
  <c r="D252" i="4" s="1"/>
  <c r="M256" i="4"/>
  <c r="D256" i="4" s="1"/>
  <c r="M260" i="4"/>
  <c r="D260" i="4" s="1"/>
  <c r="J266" i="4"/>
  <c r="M269" i="4"/>
  <c r="D269" i="4" s="1"/>
  <c r="M274" i="4"/>
  <c r="D274" i="4" s="1"/>
  <c r="M278" i="4"/>
  <c r="D278" i="4" s="1"/>
  <c r="M292" i="4"/>
  <c r="D292" i="4" s="1"/>
  <c r="M301" i="4"/>
  <c r="D301" i="4" s="1"/>
  <c r="J218" i="4"/>
  <c r="D218" i="4" s="1"/>
  <c r="J232" i="4"/>
  <c r="D232" i="4" s="1"/>
  <c r="G236" i="4"/>
  <c r="D236" i="4" s="1"/>
  <c r="J241" i="4"/>
  <c r="D241" i="4" s="1"/>
  <c r="J245" i="4"/>
  <c r="D245" i="4" s="1"/>
  <c r="J250" i="4"/>
  <c r="D250" i="4" s="1"/>
  <c r="J254" i="4"/>
  <c r="D254" i="4" s="1"/>
  <c r="J258" i="4"/>
  <c r="D258" i="4" s="1"/>
  <c r="J267" i="4"/>
  <c r="D267" i="4" s="1"/>
  <c r="J276" i="4"/>
  <c r="D276" i="4" s="1"/>
  <c r="G280" i="4"/>
  <c r="C283" i="4"/>
  <c r="J283" i="4"/>
  <c r="J290" i="4"/>
  <c r="D290" i="4" s="1"/>
  <c r="J294" i="4"/>
  <c r="D294" i="4" s="1"/>
  <c r="J299" i="4"/>
  <c r="D299" i="4" s="1"/>
  <c r="J303" i="4"/>
  <c r="D303" i="4" s="1"/>
  <c r="B15" i="19" l="1"/>
  <c r="I17" i="12"/>
  <c r="D151" i="4"/>
  <c r="D159" i="4"/>
  <c r="D298" i="4"/>
  <c r="D156" i="4"/>
  <c r="D79" i="4"/>
  <c r="D200" i="4"/>
  <c r="D45" i="4"/>
  <c r="D168" i="4"/>
  <c r="D60" i="4"/>
  <c r="D193" i="4"/>
  <c r="R17" i="16"/>
  <c r="D160" i="4"/>
  <c r="D108" i="4"/>
  <c r="D291" i="4"/>
  <c r="D213" i="4"/>
  <c r="D27" i="4"/>
  <c r="D22" i="4"/>
  <c r="I18" i="6"/>
  <c r="F18" i="6"/>
  <c r="D134" i="4"/>
  <c r="D115" i="4"/>
  <c r="D116" i="4"/>
  <c r="D31" i="4"/>
  <c r="O17" i="16"/>
  <c r="R83" i="19"/>
  <c r="D208" i="4"/>
  <c r="D86" i="4"/>
  <c r="D155" i="4"/>
  <c r="D255" i="4"/>
  <c r="G177" i="4"/>
  <c r="D177" i="4" s="1"/>
  <c r="D62" i="4"/>
  <c r="D251" i="4"/>
  <c r="D26" i="4"/>
  <c r="L63" i="9"/>
  <c r="L15" i="21"/>
  <c r="F17" i="12"/>
  <c r="D231" i="4"/>
  <c r="R101" i="6"/>
  <c r="D89" i="4"/>
  <c r="I63" i="9"/>
  <c r="R38" i="6"/>
  <c r="O76" i="18"/>
  <c r="O17" i="12"/>
  <c r="M177" i="4"/>
  <c r="F17" i="16"/>
  <c r="I76" i="18"/>
  <c r="J125" i="4"/>
  <c r="D125" i="4" s="1"/>
  <c r="M85" i="4"/>
  <c r="D282" i="4"/>
  <c r="D216" i="4"/>
  <c r="D170" i="4"/>
  <c r="G44" i="4"/>
  <c r="D143" i="4"/>
  <c r="H127" i="147"/>
  <c r="J127" i="147" s="1"/>
  <c r="J129" i="147"/>
  <c r="D286" i="4"/>
  <c r="M280" i="4"/>
  <c r="R17" i="12"/>
  <c r="D257" i="4"/>
  <c r="D140" i="4"/>
  <c r="G186" i="4"/>
  <c r="D186" i="4" s="1"/>
  <c r="J46" i="4"/>
  <c r="D46" i="4" s="1"/>
  <c r="M46" i="4"/>
  <c r="D224" i="4"/>
  <c r="D280" i="4"/>
  <c r="L76" i="18"/>
  <c r="F76" i="18"/>
  <c r="D270" i="4"/>
  <c r="D39" i="4"/>
  <c r="J85" i="4"/>
  <c r="D85" i="4" s="1"/>
  <c r="D268" i="4"/>
  <c r="D96" i="4"/>
  <c r="D171" i="4"/>
  <c r="D139" i="4"/>
  <c r="I36" i="16"/>
  <c r="G266" i="4"/>
  <c r="D266" i="4" s="1"/>
  <c r="D152" i="4"/>
  <c r="D20" i="4"/>
  <c r="R182" i="147"/>
  <c r="N182" i="147"/>
  <c r="R139" i="147"/>
  <c r="N139" i="147"/>
  <c r="L129" i="147"/>
  <c r="N131" i="147"/>
  <c r="R131" i="147"/>
  <c r="R53" i="147"/>
  <c r="N53" i="147"/>
  <c r="N230" i="147"/>
  <c r="R230" i="147"/>
  <c r="N96" i="147"/>
  <c r="R96" i="147"/>
  <c r="L17" i="147"/>
  <c r="N19" i="147"/>
  <c r="R19" i="147"/>
  <c r="R40" i="147"/>
  <c r="N40" i="147"/>
  <c r="J40" i="147"/>
  <c r="J15" i="147"/>
  <c r="P13" i="24"/>
  <c r="J13" i="24"/>
  <c r="C11" i="24"/>
  <c r="G11" i="24" s="1"/>
  <c r="M13" i="24"/>
  <c r="L15" i="22"/>
  <c r="H11" i="22"/>
  <c r="B13" i="22"/>
  <c r="F13" i="22" s="1"/>
  <c r="E11" i="22"/>
  <c r="I15" i="22"/>
  <c r="R15" i="22"/>
  <c r="O15" i="22"/>
  <c r="R13" i="22"/>
  <c r="Q11" i="22"/>
  <c r="F15" i="22"/>
  <c r="N11" i="22"/>
  <c r="O13" i="22"/>
  <c r="B13" i="21"/>
  <c r="F13" i="21" s="1"/>
  <c r="E11" i="21"/>
  <c r="O15" i="21"/>
  <c r="H11" i="21"/>
  <c r="Q11" i="21"/>
  <c r="I15" i="21"/>
  <c r="L13" i="21"/>
  <c r="K11" i="21"/>
  <c r="R15" i="21"/>
  <c r="F15" i="19"/>
  <c r="R15" i="19"/>
  <c r="L15" i="19"/>
  <c r="N13" i="19"/>
  <c r="O15" i="19"/>
  <c r="O83" i="19"/>
  <c r="I83" i="19"/>
  <c r="L83" i="19"/>
  <c r="K11" i="19"/>
  <c r="Q11" i="19"/>
  <c r="R36" i="19"/>
  <c r="F36" i="19"/>
  <c r="L36" i="19"/>
  <c r="E11" i="19"/>
  <c r="B13" i="19"/>
  <c r="I15" i="19"/>
  <c r="H13" i="19"/>
  <c r="N13" i="18"/>
  <c r="O83" i="18"/>
  <c r="L83" i="18"/>
  <c r="I83" i="18"/>
  <c r="K11" i="18"/>
  <c r="H13" i="18"/>
  <c r="B13" i="18" s="1"/>
  <c r="E11" i="18"/>
  <c r="Q11" i="18"/>
  <c r="B15" i="18"/>
  <c r="L36" i="18"/>
  <c r="R36" i="18"/>
  <c r="F36" i="18"/>
  <c r="F15" i="16"/>
  <c r="E13" i="16"/>
  <c r="B15" i="16"/>
  <c r="I15" i="16" s="1"/>
  <c r="H13" i="16"/>
  <c r="R15" i="16"/>
  <c r="Q13" i="16"/>
  <c r="I17" i="16"/>
  <c r="O15" i="16"/>
  <c r="N13" i="16"/>
  <c r="F36" i="16"/>
  <c r="R36" i="16"/>
  <c r="L36" i="16"/>
  <c r="K13" i="16"/>
  <c r="L15" i="16"/>
  <c r="R17" i="15"/>
  <c r="F17" i="15"/>
  <c r="L17" i="15"/>
  <c r="O17" i="15"/>
  <c r="K11" i="15"/>
  <c r="I17" i="15"/>
  <c r="Q11" i="15"/>
  <c r="N13" i="15"/>
  <c r="B15" i="15"/>
  <c r="E13" i="15"/>
  <c r="O62" i="15"/>
  <c r="R62" i="15"/>
  <c r="I62" i="15"/>
  <c r="L62" i="15"/>
  <c r="R76" i="15"/>
  <c r="L76" i="15"/>
  <c r="F76" i="15"/>
  <c r="O76" i="15"/>
  <c r="H13" i="15"/>
  <c r="O36" i="13"/>
  <c r="F62" i="13"/>
  <c r="R62" i="13"/>
  <c r="L62" i="13"/>
  <c r="Q13" i="13"/>
  <c r="B15" i="13"/>
  <c r="R15" i="13" s="1"/>
  <c r="F15" i="13"/>
  <c r="E13" i="13"/>
  <c r="K13" i="13"/>
  <c r="F36" i="13"/>
  <c r="O15" i="13"/>
  <c r="N13" i="13"/>
  <c r="L36" i="13"/>
  <c r="I15" i="13"/>
  <c r="H13" i="13"/>
  <c r="F83" i="12"/>
  <c r="L83" i="12"/>
  <c r="R83" i="12"/>
  <c r="I83" i="12"/>
  <c r="N13" i="12"/>
  <c r="B13" i="12" s="1"/>
  <c r="I13" i="12" s="1"/>
  <c r="O83" i="12"/>
  <c r="B15" i="12"/>
  <c r="O15" i="12" s="1"/>
  <c r="H11" i="12"/>
  <c r="K11" i="12"/>
  <c r="Q11" i="12"/>
  <c r="E11" i="12"/>
  <c r="F75" i="9"/>
  <c r="O75" i="9"/>
  <c r="B34" i="9"/>
  <c r="L34" i="9" s="1"/>
  <c r="N11" i="9"/>
  <c r="B81" i="9"/>
  <c r="L75" i="9"/>
  <c r="B60" i="9"/>
  <c r="F60" i="9" s="1"/>
  <c r="H11" i="9"/>
  <c r="I82" i="9"/>
  <c r="O82" i="9"/>
  <c r="E13" i="9"/>
  <c r="B15" i="9"/>
  <c r="F15" i="9" s="1"/>
  <c r="B74" i="9"/>
  <c r="F63" i="9"/>
  <c r="I75" i="9"/>
  <c r="K13" i="9"/>
  <c r="L53" i="9"/>
  <c r="I39" i="6"/>
  <c r="F67" i="6"/>
  <c r="Q14" i="6"/>
  <c r="F64" i="6"/>
  <c r="R85" i="6"/>
  <c r="I57" i="6"/>
  <c r="H14" i="6"/>
  <c r="I109" i="6"/>
  <c r="B38" i="6"/>
  <c r="F38" i="6"/>
  <c r="I64" i="6"/>
  <c r="E16" i="6"/>
  <c r="N14" i="6"/>
  <c r="K16" i="6"/>
  <c r="O16" i="6" s="1"/>
  <c r="R18" i="6"/>
  <c r="R25" i="6"/>
  <c r="F85" i="6"/>
  <c r="O85" i="6"/>
  <c r="O64" i="6"/>
  <c r="F57" i="6"/>
  <c r="O25" i="6"/>
  <c r="O20" i="6"/>
  <c r="O18" i="6"/>
  <c r="B78" i="6"/>
  <c r="I78" i="6" s="1"/>
  <c r="R20" i="6"/>
  <c r="F35" i="4"/>
  <c r="C36" i="4"/>
  <c r="M51" i="4"/>
  <c r="J51" i="4"/>
  <c r="M283" i="4"/>
  <c r="G283" i="4"/>
  <c r="M203" i="4"/>
  <c r="C262" i="4"/>
  <c r="J262" i="4" s="1"/>
  <c r="D215" i="4"/>
  <c r="D242" i="4"/>
  <c r="D214" i="4"/>
  <c r="D162" i="4"/>
  <c r="D154" i="4"/>
  <c r="D146" i="4"/>
  <c r="D138" i="4"/>
  <c r="D133" i="4"/>
  <c r="D123" i="4"/>
  <c r="D147" i="4"/>
  <c r="D102" i="4"/>
  <c r="C92" i="4"/>
  <c r="G92" i="4" s="1"/>
  <c r="C24" i="4"/>
  <c r="M30" i="4"/>
  <c r="G30" i="4"/>
  <c r="M93" i="4"/>
  <c r="M50" i="4"/>
  <c r="J41" i="4"/>
  <c r="M41" i="4"/>
  <c r="D104" i="4"/>
  <c r="G93" i="4"/>
  <c r="D52" i="4"/>
  <c r="D277" i="4"/>
  <c r="D163" i="4"/>
  <c r="D112" i="4"/>
  <c r="G51" i="4"/>
  <c r="J203" i="4"/>
  <c r="M44" i="4"/>
  <c r="G50" i="4"/>
  <c r="D37" i="4"/>
  <c r="J288" i="4"/>
  <c r="G205" i="4"/>
  <c r="M205" i="4"/>
  <c r="D238" i="4"/>
  <c r="D300" i="4"/>
  <c r="D264" i="4"/>
  <c r="G248" i="4"/>
  <c r="J222" i="4"/>
  <c r="D179" i="4"/>
  <c r="D259" i="4"/>
  <c r="M228" i="4"/>
  <c r="G228" i="4"/>
  <c r="J228" i="4"/>
  <c r="D220" i="4"/>
  <c r="D119" i="4"/>
  <c r="D111" i="4"/>
  <c r="D219" i="4"/>
  <c r="D120" i="4"/>
  <c r="D81" i="4"/>
  <c r="I12" i="4"/>
  <c r="D106" i="4"/>
  <c r="M74" i="4"/>
  <c r="M222" i="4"/>
  <c r="M25" i="4"/>
  <c r="G25" i="4"/>
  <c r="D167" i="4"/>
  <c r="D99" i="4"/>
  <c r="D57" i="4"/>
  <c r="J205" i="4"/>
  <c r="M288" i="4"/>
  <c r="D246" i="4"/>
  <c r="D184" i="4"/>
  <c r="M272" i="4"/>
  <c r="G272" i="4"/>
  <c r="D233" i="4"/>
  <c r="D71" i="4"/>
  <c r="D166" i="4"/>
  <c r="D158" i="4"/>
  <c r="D150" i="4"/>
  <c r="D142" i="4"/>
  <c r="D129" i="4"/>
  <c r="D101" i="4"/>
  <c r="C43" i="4"/>
  <c r="J43" i="4" s="1"/>
  <c r="G74" i="4"/>
  <c r="M58" i="4"/>
  <c r="J58" i="4"/>
  <c r="M248" i="4"/>
  <c r="J195" i="4"/>
  <c r="D195" i="4" s="1"/>
  <c r="M195" i="4"/>
  <c r="D130" i="4"/>
  <c r="M83" i="4"/>
  <c r="J83" i="4"/>
  <c r="D83" i="4" s="1"/>
  <c r="D44" i="4"/>
  <c r="M16" i="4"/>
  <c r="G16" i="4"/>
  <c r="L14" i="4"/>
  <c r="J30" i="4"/>
  <c r="J16" i="4"/>
  <c r="D189" i="4"/>
  <c r="C69" i="4"/>
  <c r="D248" i="4" l="1"/>
  <c r="D25" i="4"/>
  <c r="D203" i="4"/>
  <c r="D41" i="4"/>
  <c r="F34" i="9"/>
  <c r="R13" i="18"/>
  <c r="L13" i="18"/>
  <c r="F13" i="18"/>
  <c r="D272" i="4"/>
  <c r="D222" i="4"/>
  <c r="D50" i="4"/>
  <c r="D93" i="4"/>
  <c r="L15" i="13"/>
  <c r="H38" i="147"/>
  <c r="H13" i="147" s="1"/>
  <c r="J13" i="147" s="1"/>
  <c r="D58" i="4"/>
  <c r="D288" i="4"/>
  <c r="R13" i="21"/>
  <c r="I13" i="22"/>
  <c r="R17" i="147"/>
  <c r="L15" i="147"/>
  <c r="N17" i="147"/>
  <c r="R129" i="147"/>
  <c r="L127" i="147"/>
  <c r="N129" i="147"/>
  <c r="M11" i="24"/>
  <c r="D153" i="24"/>
  <c r="D146" i="24"/>
  <c r="D103" i="24"/>
  <c r="D94" i="24"/>
  <c r="D90" i="24"/>
  <c r="D88" i="24"/>
  <c r="D86" i="24"/>
  <c r="D84" i="24"/>
  <c r="D79" i="24"/>
  <c r="D77" i="24"/>
  <c r="D67" i="24"/>
  <c r="D65" i="24"/>
  <c r="D61" i="24"/>
  <c r="D57" i="24"/>
  <c r="D55" i="24"/>
  <c r="D51" i="24"/>
  <c r="D49" i="24"/>
  <c r="D47" i="24"/>
  <c r="D45" i="24"/>
  <c r="D43" i="24"/>
  <c r="D39" i="24"/>
  <c r="D37" i="24"/>
  <c r="D31" i="24"/>
  <c r="D29" i="24"/>
  <c r="D28" i="24"/>
  <c r="D21" i="24"/>
  <c r="D44" i="24"/>
  <c r="D42" i="24"/>
  <c r="D38" i="24"/>
  <c r="D36" i="24"/>
  <c r="D23" i="24"/>
  <c r="D22" i="24"/>
  <c r="P11" i="24"/>
  <c r="D15" i="24"/>
  <c r="D32" i="24"/>
  <c r="D41" i="24"/>
  <c r="D87" i="24"/>
  <c r="D93" i="24"/>
  <c r="D99" i="24"/>
  <c r="D112" i="24"/>
  <c r="D58" i="24"/>
  <c r="D70" i="24"/>
  <c r="D113" i="24"/>
  <c r="D117" i="24"/>
  <c r="D121" i="24"/>
  <c r="D125" i="24"/>
  <c r="D129" i="24"/>
  <c r="D133" i="24"/>
  <c r="D137" i="24"/>
  <c r="D141" i="24"/>
  <c r="D114" i="24"/>
  <c r="D122" i="24"/>
  <c r="D130" i="24"/>
  <c r="D138" i="24"/>
  <c r="D156" i="24"/>
  <c r="D82" i="24"/>
  <c r="D85" i="24"/>
  <c r="D110" i="24"/>
  <c r="D144" i="24"/>
  <c r="D64" i="24"/>
  <c r="D72" i="24"/>
  <c r="D145" i="24"/>
  <c r="D116" i="24"/>
  <c r="D124" i="24"/>
  <c r="D132" i="24"/>
  <c r="D140" i="24"/>
  <c r="D158" i="24"/>
  <c r="D16" i="24"/>
  <c r="J11" i="24"/>
  <c r="D19" i="24"/>
  <c r="D106" i="24"/>
  <c r="D83" i="24"/>
  <c r="D91" i="24"/>
  <c r="D149" i="24"/>
  <c r="D102" i="24"/>
  <c r="D54" i="24"/>
  <c r="D66" i="24"/>
  <c r="D76" i="24"/>
  <c r="D108" i="24"/>
  <c r="D107" i="24"/>
  <c r="D115" i="24"/>
  <c r="D119" i="24"/>
  <c r="D123" i="24"/>
  <c r="D127" i="24"/>
  <c r="D131" i="24"/>
  <c r="D135" i="24"/>
  <c r="D139" i="24"/>
  <c r="D143" i="24"/>
  <c r="D159" i="24"/>
  <c r="D118" i="24"/>
  <c r="D126" i="24"/>
  <c r="D134" i="24"/>
  <c r="D142" i="24"/>
  <c r="D160" i="24"/>
  <c r="D17" i="24"/>
  <c r="D30" i="24"/>
  <c r="D46" i="24"/>
  <c r="D18" i="24"/>
  <c r="D48" i="24"/>
  <c r="D24" i="24"/>
  <c r="D89" i="24"/>
  <c r="D95" i="24"/>
  <c r="D104" i="24"/>
  <c r="D56" i="24"/>
  <c r="D68" i="24"/>
  <c r="D78" i="24"/>
  <c r="D109" i="24"/>
  <c r="D150" i="24"/>
  <c r="D157" i="24"/>
  <c r="D120" i="24"/>
  <c r="D128" i="24"/>
  <c r="D136" i="24"/>
  <c r="D151" i="24"/>
  <c r="D53" i="24"/>
  <c r="D27" i="24"/>
  <c r="D63" i="24"/>
  <c r="D155" i="24"/>
  <c r="D75" i="24"/>
  <c r="D98" i="24"/>
  <c r="D35" i="24"/>
  <c r="D74" i="24"/>
  <c r="D81" i="24"/>
  <c r="D34" i="24"/>
  <c r="D26" i="24"/>
  <c r="D60" i="24"/>
  <c r="D97" i="24"/>
  <c r="D13" i="24"/>
  <c r="B11" i="22"/>
  <c r="O11" i="22" s="1"/>
  <c r="L13" i="22"/>
  <c r="I13" i="21"/>
  <c r="B11" i="21"/>
  <c r="L11" i="21" s="1"/>
  <c r="I11" i="21"/>
  <c r="O13" i="21"/>
  <c r="C13" i="21"/>
  <c r="I13" i="19"/>
  <c r="H11" i="19"/>
  <c r="L13" i="19"/>
  <c r="R13" i="19"/>
  <c r="F13" i="19"/>
  <c r="O13" i="19"/>
  <c r="N11" i="19"/>
  <c r="F15" i="18"/>
  <c r="L15" i="18"/>
  <c r="R15" i="18"/>
  <c r="I13" i="18"/>
  <c r="H11" i="18"/>
  <c r="B11" i="18" s="1"/>
  <c r="R11" i="18" s="1"/>
  <c r="O13" i="18"/>
  <c r="N11" i="18"/>
  <c r="I15" i="18"/>
  <c r="O15" i="18"/>
  <c r="K11" i="16"/>
  <c r="Q11" i="16"/>
  <c r="N11" i="16"/>
  <c r="F13" i="16"/>
  <c r="E11" i="16"/>
  <c r="B13" i="16"/>
  <c r="R13" i="16" s="1"/>
  <c r="H11" i="16"/>
  <c r="R15" i="15"/>
  <c r="L15" i="15"/>
  <c r="O15" i="15"/>
  <c r="H11" i="15"/>
  <c r="E11" i="15"/>
  <c r="B13" i="15"/>
  <c r="I13" i="15" s="1"/>
  <c r="N11" i="15"/>
  <c r="I15" i="15"/>
  <c r="F15" i="15"/>
  <c r="N11" i="13"/>
  <c r="Q11" i="13"/>
  <c r="H11" i="13"/>
  <c r="B13" i="13"/>
  <c r="F13" i="13" s="1"/>
  <c r="E11" i="13"/>
  <c r="K11" i="13"/>
  <c r="L13" i="13"/>
  <c r="O13" i="12"/>
  <c r="N11" i="12"/>
  <c r="B11" i="12" s="1"/>
  <c r="L13" i="12"/>
  <c r="R13" i="12"/>
  <c r="F13" i="12"/>
  <c r="L15" i="12"/>
  <c r="I15" i="12"/>
  <c r="F15" i="12"/>
  <c r="R15" i="12"/>
  <c r="I81" i="9"/>
  <c r="O81" i="9"/>
  <c r="I74" i="9"/>
  <c r="O74" i="9"/>
  <c r="L74" i="9"/>
  <c r="B13" i="9"/>
  <c r="E11" i="9"/>
  <c r="F74" i="9"/>
  <c r="L81" i="9"/>
  <c r="K11" i="9"/>
  <c r="O15" i="9"/>
  <c r="L15" i="9"/>
  <c r="I15" i="9"/>
  <c r="O60" i="9"/>
  <c r="L60" i="9"/>
  <c r="I60" i="9"/>
  <c r="F81" i="9"/>
  <c r="O34" i="9"/>
  <c r="I34" i="9"/>
  <c r="K14" i="6"/>
  <c r="O14" i="6" s="1"/>
  <c r="N12" i="6"/>
  <c r="F78" i="6"/>
  <c r="B16" i="6"/>
  <c r="F16" i="6"/>
  <c r="E14" i="6"/>
  <c r="I38" i="6"/>
  <c r="R16" i="6"/>
  <c r="H12" i="6"/>
  <c r="Q12" i="6"/>
  <c r="R14" i="6"/>
  <c r="G24" i="4"/>
  <c r="M24" i="4"/>
  <c r="M36" i="4"/>
  <c r="J36" i="4"/>
  <c r="G69" i="4"/>
  <c r="J69" i="4"/>
  <c r="G43" i="4"/>
  <c r="M262" i="4"/>
  <c r="L12" i="4"/>
  <c r="M69" i="4"/>
  <c r="D30" i="4"/>
  <c r="J92" i="4"/>
  <c r="D92" i="4" s="1"/>
  <c r="M92" i="4"/>
  <c r="D283" i="4"/>
  <c r="M43" i="4"/>
  <c r="D205" i="4"/>
  <c r="J24" i="4"/>
  <c r="F14" i="4"/>
  <c r="C35" i="4"/>
  <c r="G35" i="4" s="1"/>
  <c r="D16" i="4"/>
  <c r="D74" i="4"/>
  <c r="D228" i="4"/>
  <c r="D51" i="4"/>
  <c r="G262" i="4"/>
  <c r="G36" i="4"/>
  <c r="B11" i="19" l="1"/>
  <c r="R11" i="21"/>
  <c r="H11" i="147"/>
  <c r="I253" i="147" s="1"/>
  <c r="D11" i="24"/>
  <c r="J38" i="147"/>
  <c r="D262" i="4"/>
  <c r="I281" i="147"/>
  <c r="I251" i="147"/>
  <c r="I223" i="147"/>
  <c r="I221" i="147"/>
  <c r="I216" i="147"/>
  <c r="I212" i="147"/>
  <c r="I207" i="147"/>
  <c r="I282" i="147"/>
  <c r="I274" i="147"/>
  <c r="I272" i="147"/>
  <c r="I261" i="147"/>
  <c r="I259" i="147"/>
  <c r="I252" i="147"/>
  <c r="I227" i="147"/>
  <c r="I213" i="147"/>
  <c r="I211" i="147"/>
  <c r="I206" i="147"/>
  <c r="I196" i="147"/>
  <c r="I191" i="147"/>
  <c r="I188" i="147"/>
  <c r="I160" i="147"/>
  <c r="I158" i="147"/>
  <c r="I157" i="147"/>
  <c r="I156" i="147"/>
  <c r="I146" i="147"/>
  <c r="I288" i="147"/>
  <c r="I271" i="147"/>
  <c r="I249" i="147"/>
  <c r="I214" i="147"/>
  <c r="I286" i="147"/>
  <c r="I202" i="147"/>
  <c r="I190" i="147"/>
  <c r="I184" i="147"/>
  <c r="I155" i="147"/>
  <c r="I152" i="147"/>
  <c r="I150" i="147"/>
  <c r="I147" i="147"/>
  <c r="I145" i="147"/>
  <c r="I143" i="147"/>
  <c r="I134" i="147"/>
  <c r="I133" i="147"/>
  <c r="I121" i="147"/>
  <c r="I116" i="147"/>
  <c r="I112" i="147"/>
  <c r="I108" i="147"/>
  <c r="I105" i="147"/>
  <c r="I250" i="147"/>
  <c r="I194" i="147"/>
  <c r="I192" i="147"/>
  <c r="I189" i="147"/>
  <c r="I163" i="147"/>
  <c r="I135" i="147"/>
  <c r="I124" i="147"/>
  <c r="I117" i="147"/>
  <c r="I113" i="147"/>
  <c r="I109" i="147"/>
  <c r="I106" i="147"/>
  <c r="I78" i="147"/>
  <c r="I73" i="147"/>
  <c r="I71" i="147"/>
  <c r="I197" i="147"/>
  <c r="I165" i="147"/>
  <c r="I154" i="147"/>
  <c r="I136" i="147"/>
  <c r="I125" i="147"/>
  <c r="I122" i="147"/>
  <c r="I118" i="147"/>
  <c r="I114" i="147"/>
  <c r="I110" i="147"/>
  <c r="I107" i="147"/>
  <c r="I103" i="147"/>
  <c r="I79" i="147"/>
  <c r="I75" i="147"/>
  <c r="I69" i="147"/>
  <c r="I59" i="147"/>
  <c r="I115" i="147"/>
  <c r="I65" i="147"/>
  <c r="I47" i="147"/>
  <c r="I35" i="147"/>
  <c r="I33" i="147"/>
  <c r="I162" i="147"/>
  <c r="I137" i="147"/>
  <c r="I119" i="147"/>
  <c r="I80" i="147"/>
  <c r="I77" i="147"/>
  <c r="I36" i="147"/>
  <c r="I25" i="147"/>
  <c r="J11" i="147"/>
  <c r="I76" i="147"/>
  <c r="I51" i="147"/>
  <c r="I46" i="147"/>
  <c r="I44" i="147"/>
  <c r="I225" i="147"/>
  <c r="I215" i="147"/>
  <c r="I182" i="147"/>
  <c r="I167" i="147"/>
  <c r="I159" i="147"/>
  <c r="I123" i="147"/>
  <c r="I120" i="147"/>
  <c r="I111" i="147"/>
  <c r="I63" i="147"/>
  <c r="I29" i="147"/>
  <c r="I104" i="147"/>
  <c r="I102" i="147"/>
  <c r="I100" i="147"/>
  <c r="I49" i="147"/>
  <c r="I23" i="147"/>
  <c r="I27" i="147"/>
  <c r="I141" i="147"/>
  <c r="I209" i="147"/>
  <c r="I269" i="147"/>
  <c r="I200" i="147"/>
  <c r="I204" i="147"/>
  <c r="I31" i="147"/>
  <c r="I139" i="147"/>
  <c r="I186" i="147"/>
  <c r="I257" i="147"/>
  <c r="I131" i="147"/>
  <c r="I67" i="147"/>
  <c r="I21" i="147"/>
  <c r="I42" i="147"/>
  <c r="I55" i="147"/>
  <c r="I129" i="147"/>
  <c r="I57" i="147"/>
  <c r="I98" i="147"/>
  <c r="I247" i="147"/>
  <c r="I255" i="147"/>
  <c r="I127" i="147"/>
  <c r="I19" i="147"/>
  <c r="I96" i="147"/>
  <c r="I61" i="147"/>
  <c r="I245" i="147"/>
  <c r="I230" i="147"/>
  <c r="I17" i="147"/>
  <c r="I53" i="147"/>
  <c r="I40" i="147"/>
  <c r="I15" i="147"/>
  <c r="I38" i="147"/>
  <c r="R127" i="147"/>
  <c r="N127" i="147"/>
  <c r="L38" i="147"/>
  <c r="R15" i="147"/>
  <c r="N15" i="147"/>
  <c r="L13" i="147"/>
  <c r="I13" i="147"/>
  <c r="C105" i="22"/>
  <c r="C70" i="22"/>
  <c r="C66" i="22"/>
  <c r="C60" i="22"/>
  <c r="C56" i="22"/>
  <c r="C51" i="22"/>
  <c r="C93" i="22"/>
  <c r="C89" i="22"/>
  <c r="C85" i="22"/>
  <c r="C112" i="22"/>
  <c r="C97" i="22"/>
  <c r="C103" i="22"/>
  <c r="C72" i="22"/>
  <c r="C69" i="22"/>
  <c r="C68" i="22"/>
  <c r="C46" i="22"/>
  <c r="C21" i="22"/>
  <c r="C20" i="22"/>
  <c r="C107" i="22"/>
  <c r="C104" i="22"/>
  <c r="C79" i="22"/>
  <c r="C78" i="22"/>
  <c r="C50" i="22"/>
  <c r="C32" i="22"/>
  <c r="C49" i="22"/>
  <c r="C38" i="22"/>
  <c r="C26" i="22"/>
  <c r="C59" i="22"/>
  <c r="C58" i="22"/>
  <c r="C25" i="22"/>
  <c r="C41" i="22"/>
  <c r="C53" i="22"/>
  <c r="C57" i="22"/>
  <c r="C81" i="22"/>
  <c r="C19" i="22"/>
  <c r="C88" i="22"/>
  <c r="C91" i="22"/>
  <c r="C90" i="22"/>
  <c r="C48" i="22"/>
  <c r="C24" i="22"/>
  <c r="C95" i="22"/>
  <c r="C110" i="22"/>
  <c r="C114" i="22"/>
  <c r="C39" i="22"/>
  <c r="C92" i="22"/>
  <c r="C74" i="22"/>
  <c r="C40" i="22"/>
  <c r="C28" i="22"/>
  <c r="C30" i="22"/>
  <c r="C96" i="22"/>
  <c r="C111" i="22"/>
  <c r="C33" i="22"/>
  <c r="C44" i="22"/>
  <c r="C80" i="22"/>
  <c r="C100" i="22"/>
  <c r="C63" i="22"/>
  <c r="C67" i="22"/>
  <c r="C31" i="22"/>
  <c r="C45" i="22"/>
  <c r="C55" i="22"/>
  <c r="C87" i="22"/>
  <c r="C113" i="22"/>
  <c r="C34" i="22"/>
  <c r="C47" i="22"/>
  <c r="C86" i="22"/>
  <c r="C17" i="22"/>
  <c r="C84" i="22"/>
  <c r="C29" i="22"/>
  <c r="C83" i="22"/>
  <c r="C102" i="22"/>
  <c r="C109" i="22"/>
  <c r="C18" i="22"/>
  <c r="C65" i="22"/>
  <c r="C43" i="22"/>
  <c r="C77" i="22"/>
  <c r="C23" i="22"/>
  <c r="C37" i="22"/>
  <c r="C36" i="22"/>
  <c r="C62" i="22"/>
  <c r="C76" i="22"/>
  <c r="C15" i="22"/>
  <c r="L11" i="22"/>
  <c r="C13" i="22"/>
  <c r="F11" i="22"/>
  <c r="I11" i="22"/>
  <c r="R11" i="22"/>
  <c r="C74" i="21"/>
  <c r="C70" i="21"/>
  <c r="C66" i="21"/>
  <c r="C60" i="21"/>
  <c r="C56" i="21"/>
  <c r="C51" i="21"/>
  <c r="C47" i="21"/>
  <c r="C102" i="21"/>
  <c r="C69" i="21"/>
  <c r="C44" i="21"/>
  <c r="C39" i="21"/>
  <c r="C33" i="21"/>
  <c r="C21" i="21"/>
  <c r="C97" i="21"/>
  <c r="C93" i="21"/>
  <c r="C79" i="21"/>
  <c r="C110" i="21"/>
  <c r="C50" i="21"/>
  <c r="C38" i="21"/>
  <c r="C89" i="21"/>
  <c r="C85" i="21"/>
  <c r="C59" i="21"/>
  <c r="C46" i="21"/>
  <c r="C37" i="21"/>
  <c r="C32" i="21"/>
  <c r="C26" i="21"/>
  <c r="O11" i="21"/>
  <c r="C29" i="21"/>
  <c r="C18" i="21"/>
  <c r="C77" i="21"/>
  <c r="C31" i="21"/>
  <c r="C58" i="21"/>
  <c r="C101" i="21"/>
  <c r="C48" i="21"/>
  <c r="C105" i="21"/>
  <c r="C92" i="21"/>
  <c r="C95" i="21"/>
  <c r="C103" i="21"/>
  <c r="C23" i="21"/>
  <c r="C83" i="21"/>
  <c r="C49" i="21"/>
  <c r="C99" i="21"/>
  <c r="C81" i="21"/>
  <c r="C84" i="21"/>
  <c r="C41" i="21"/>
  <c r="C68" i="21"/>
  <c r="C19" i="21"/>
  <c r="C24" i="21"/>
  <c r="C30" i="21"/>
  <c r="C34" i="21"/>
  <c r="C107" i="21"/>
  <c r="C63" i="21"/>
  <c r="C78" i="21"/>
  <c r="C96" i="21"/>
  <c r="C67" i="21"/>
  <c r="C87" i="21"/>
  <c r="C91" i="21"/>
  <c r="C108" i="21"/>
  <c r="C112" i="21"/>
  <c r="C80" i="21"/>
  <c r="C90" i="21"/>
  <c r="C25" i="21"/>
  <c r="C40" i="21"/>
  <c r="C86" i="21"/>
  <c r="C17" i="21"/>
  <c r="C43" i="21"/>
  <c r="C28" i="21"/>
  <c r="C53" i="21"/>
  <c r="C20" i="21"/>
  <c r="C109" i="21"/>
  <c r="C45" i="21"/>
  <c r="C72" i="21"/>
  <c r="C57" i="21"/>
  <c r="C111" i="21"/>
  <c r="C88" i="21"/>
  <c r="C55" i="21"/>
  <c r="C65" i="21"/>
  <c r="C76" i="21"/>
  <c r="C36" i="21"/>
  <c r="C62" i="21"/>
  <c r="C15" i="21"/>
  <c r="F11" i="21"/>
  <c r="C11" i="21"/>
  <c r="C97" i="19"/>
  <c r="C93" i="19"/>
  <c r="C89" i="19"/>
  <c r="C85" i="19"/>
  <c r="C79" i="19"/>
  <c r="C69" i="19"/>
  <c r="C59" i="19"/>
  <c r="C50" i="19"/>
  <c r="C74" i="19"/>
  <c r="C88" i="19"/>
  <c r="C77" i="19"/>
  <c r="C58" i="19"/>
  <c r="C53" i="19"/>
  <c r="C31" i="19"/>
  <c r="C25" i="19"/>
  <c r="C20" i="19"/>
  <c r="C92" i="19"/>
  <c r="C78" i="19"/>
  <c r="C45" i="19"/>
  <c r="C40" i="19"/>
  <c r="C34" i="19"/>
  <c r="C76" i="19"/>
  <c r="C68" i="19"/>
  <c r="C63" i="19"/>
  <c r="C105" i="19"/>
  <c r="C62" i="19"/>
  <c r="C112" i="19"/>
  <c r="C96" i="19"/>
  <c r="C72" i="19"/>
  <c r="C30" i="19"/>
  <c r="C24" i="19"/>
  <c r="C19" i="19"/>
  <c r="C57" i="19"/>
  <c r="C33" i="19"/>
  <c r="C91" i="19"/>
  <c r="C32" i="19"/>
  <c r="C109" i="19"/>
  <c r="C41" i="19"/>
  <c r="C49" i="19"/>
  <c r="C65" i="19"/>
  <c r="C60" i="19"/>
  <c r="C70" i="19"/>
  <c r="C103" i="19"/>
  <c r="C110" i="19"/>
  <c r="C114" i="19"/>
  <c r="C29" i="19"/>
  <c r="C28" i="19"/>
  <c r="C87" i="19"/>
  <c r="C48" i="19"/>
  <c r="C67" i="19"/>
  <c r="C56" i="19"/>
  <c r="C43" i="19"/>
  <c r="C55" i="19"/>
  <c r="C44" i="19"/>
  <c r="C111" i="19"/>
  <c r="C21" i="19"/>
  <c r="C26" i="19"/>
  <c r="C47" i="19"/>
  <c r="C81" i="19"/>
  <c r="C104" i="19"/>
  <c r="C51" i="19"/>
  <c r="C86" i="19"/>
  <c r="C23" i="19"/>
  <c r="C17" i="19"/>
  <c r="C18" i="19"/>
  <c r="C37" i="19"/>
  <c r="C39" i="19"/>
  <c r="C95" i="19"/>
  <c r="C38" i="19"/>
  <c r="C46" i="19"/>
  <c r="C80" i="19"/>
  <c r="C90" i="19"/>
  <c r="C99" i="19"/>
  <c r="C66" i="19"/>
  <c r="C107" i="19"/>
  <c r="C113" i="19"/>
  <c r="C101" i="19"/>
  <c r="C84" i="19"/>
  <c r="C15" i="19"/>
  <c r="C83" i="19"/>
  <c r="C36" i="19"/>
  <c r="I11" i="19"/>
  <c r="O11" i="19"/>
  <c r="R11" i="19"/>
  <c r="L11" i="19"/>
  <c r="F11" i="19"/>
  <c r="C13" i="19"/>
  <c r="O11" i="18"/>
  <c r="C109" i="18"/>
  <c r="C105" i="18"/>
  <c r="C78" i="18"/>
  <c r="C68" i="18"/>
  <c r="C56" i="18"/>
  <c r="C55" i="18"/>
  <c r="C49" i="18"/>
  <c r="C41" i="18"/>
  <c r="C31" i="18"/>
  <c r="C25" i="18"/>
  <c r="C20" i="18"/>
  <c r="C92" i="18"/>
  <c r="C58" i="18"/>
  <c r="C53" i="18"/>
  <c r="C96" i="18"/>
  <c r="C101" i="18"/>
  <c r="C88" i="18"/>
  <c r="C72" i="18"/>
  <c r="C63" i="18"/>
  <c r="C40" i="18"/>
  <c r="C24" i="18"/>
  <c r="C30" i="18"/>
  <c r="C47" i="18"/>
  <c r="C29" i="18"/>
  <c r="C28" i="18"/>
  <c r="C57" i="18"/>
  <c r="C45" i="18"/>
  <c r="C34" i="18"/>
  <c r="C19" i="18"/>
  <c r="C17" i="18"/>
  <c r="C77" i="18"/>
  <c r="C67" i="18"/>
  <c r="C65" i="18"/>
  <c r="C108" i="18"/>
  <c r="C32" i="18"/>
  <c r="C46" i="18"/>
  <c r="C70" i="18"/>
  <c r="C69" i="18"/>
  <c r="C39" i="18"/>
  <c r="C95" i="18"/>
  <c r="C80" i="18"/>
  <c r="C89" i="18"/>
  <c r="C23" i="18"/>
  <c r="C50" i="18"/>
  <c r="C48" i="18"/>
  <c r="C87" i="18"/>
  <c r="C59" i="18"/>
  <c r="C66" i="18"/>
  <c r="C90" i="18"/>
  <c r="C111" i="18"/>
  <c r="C85" i="18"/>
  <c r="C93" i="18"/>
  <c r="C110" i="18"/>
  <c r="C112" i="18"/>
  <c r="C51" i="18"/>
  <c r="C81" i="18"/>
  <c r="C74" i="18"/>
  <c r="C86" i="18"/>
  <c r="C103" i="18"/>
  <c r="C97" i="18"/>
  <c r="C37" i="18"/>
  <c r="C44" i="18"/>
  <c r="C76" i="18"/>
  <c r="C21" i="18"/>
  <c r="C26" i="18"/>
  <c r="C38" i="18"/>
  <c r="C91" i="18"/>
  <c r="C79" i="18"/>
  <c r="C102" i="18"/>
  <c r="C18" i="18"/>
  <c r="C33" i="18"/>
  <c r="C60" i="18"/>
  <c r="C99" i="18"/>
  <c r="C84" i="18"/>
  <c r="C43" i="18"/>
  <c r="C62" i="18"/>
  <c r="C107" i="18"/>
  <c r="C36" i="18"/>
  <c r="C83" i="18"/>
  <c r="L11" i="18"/>
  <c r="F11" i="18"/>
  <c r="I11" i="18"/>
  <c r="C13" i="18"/>
  <c r="C15" i="18"/>
  <c r="I13" i="16"/>
  <c r="O13" i="16"/>
  <c r="B11" i="16"/>
  <c r="L13" i="16"/>
  <c r="O13" i="15"/>
  <c r="F13" i="15"/>
  <c r="B11" i="15"/>
  <c r="C13" i="15" s="1"/>
  <c r="L13" i="15"/>
  <c r="R13" i="15"/>
  <c r="I11" i="15"/>
  <c r="R13" i="13"/>
  <c r="I13" i="13"/>
  <c r="O13" i="13"/>
  <c r="B11" i="13"/>
  <c r="L11" i="13" s="1"/>
  <c r="C72" i="12"/>
  <c r="C91" i="12"/>
  <c r="C87" i="12"/>
  <c r="C41" i="12"/>
  <c r="C31" i="12"/>
  <c r="C95" i="12"/>
  <c r="C81" i="12"/>
  <c r="C67" i="12"/>
  <c r="C48" i="12"/>
  <c r="C110" i="12"/>
  <c r="C74" i="12"/>
  <c r="C102" i="12"/>
  <c r="C57" i="12"/>
  <c r="C109" i="12"/>
  <c r="C105" i="12"/>
  <c r="C25" i="12"/>
  <c r="C20" i="12"/>
  <c r="C29" i="12"/>
  <c r="C23" i="12"/>
  <c r="C17" i="12"/>
  <c r="C19" i="12"/>
  <c r="C30" i="12"/>
  <c r="C40" i="12"/>
  <c r="C56" i="12"/>
  <c r="C59" i="12"/>
  <c r="C39" i="12"/>
  <c r="C44" i="12"/>
  <c r="C46" i="12"/>
  <c r="C66" i="12"/>
  <c r="C69" i="12"/>
  <c r="C80" i="12"/>
  <c r="C99" i="12"/>
  <c r="C21" i="12"/>
  <c r="C38" i="12"/>
  <c r="C86" i="12"/>
  <c r="C89" i="12"/>
  <c r="C45" i="12"/>
  <c r="C63" i="12"/>
  <c r="C92" i="12"/>
  <c r="C18" i="12"/>
  <c r="C34" i="12"/>
  <c r="C112" i="12"/>
  <c r="C33" i="12"/>
  <c r="C79" i="12"/>
  <c r="C88" i="12"/>
  <c r="C43" i="12"/>
  <c r="C37" i="12"/>
  <c r="C28" i="12"/>
  <c r="C108" i="12"/>
  <c r="C60" i="12"/>
  <c r="C101" i="12"/>
  <c r="C47" i="12"/>
  <c r="C50" i="12"/>
  <c r="C70" i="12"/>
  <c r="C26" i="12"/>
  <c r="C90" i="12"/>
  <c r="C93" i="12"/>
  <c r="C49" i="12"/>
  <c r="C68" i="12"/>
  <c r="C85" i="12"/>
  <c r="C58" i="12"/>
  <c r="C111" i="12"/>
  <c r="C36" i="12"/>
  <c r="C24" i="12"/>
  <c r="C65" i="12"/>
  <c r="C51" i="12"/>
  <c r="C32" i="12"/>
  <c r="C53" i="12"/>
  <c r="C78" i="12"/>
  <c r="C103" i="12"/>
  <c r="C107" i="12"/>
  <c r="C55" i="12"/>
  <c r="C62" i="12"/>
  <c r="C77" i="12"/>
  <c r="C76" i="12"/>
  <c r="C84" i="12"/>
  <c r="C83" i="12"/>
  <c r="R11" i="12"/>
  <c r="C13" i="12"/>
  <c r="C11" i="12" s="1"/>
  <c r="F11" i="12"/>
  <c r="L11" i="12"/>
  <c r="I11" i="12"/>
  <c r="C15" i="12"/>
  <c r="O11" i="12"/>
  <c r="O13" i="9"/>
  <c r="I13" i="9"/>
  <c r="L13" i="9"/>
  <c r="F13" i="9"/>
  <c r="B11" i="9"/>
  <c r="F11" i="9" s="1"/>
  <c r="K12" i="6"/>
  <c r="L14" i="6" s="1"/>
  <c r="B14" i="6"/>
  <c r="F14" i="6" s="1"/>
  <c r="E12" i="6"/>
  <c r="I16" i="6"/>
  <c r="C14" i="4"/>
  <c r="G14" i="4" s="1"/>
  <c r="F12" i="4"/>
  <c r="D43" i="4"/>
  <c r="D36" i="4"/>
  <c r="M35" i="4"/>
  <c r="J35" i="4"/>
  <c r="D69" i="4"/>
  <c r="D24" i="4"/>
  <c r="D35" i="4" l="1"/>
  <c r="I11" i="13"/>
  <c r="R12" i="6"/>
  <c r="R11" i="13"/>
  <c r="F11" i="13"/>
  <c r="C11" i="19"/>
  <c r="O12" i="6"/>
  <c r="F11" i="15"/>
  <c r="O11" i="15"/>
  <c r="C11" i="18"/>
  <c r="C11" i="22"/>
  <c r="N13" i="147"/>
  <c r="L11" i="147"/>
  <c r="M13" i="147" s="1"/>
  <c r="R13" i="147"/>
  <c r="R38" i="147"/>
  <c r="N38" i="147"/>
  <c r="C53" i="16"/>
  <c r="C49" i="16"/>
  <c r="C98" i="16"/>
  <c r="C95" i="16"/>
  <c r="C81" i="16"/>
  <c r="C80" i="16"/>
  <c r="C70" i="16"/>
  <c r="C67" i="16"/>
  <c r="C66" i="16"/>
  <c r="C51" i="16"/>
  <c r="C48" i="16"/>
  <c r="C47" i="16"/>
  <c r="C111" i="16"/>
  <c r="C110" i="16"/>
  <c r="C104" i="16"/>
  <c r="C103" i="16"/>
  <c r="C91" i="16"/>
  <c r="C90" i="16"/>
  <c r="C87" i="16"/>
  <c r="C86" i="16"/>
  <c r="C40" i="16"/>
  <c r="C21" i="16"/>
  <c r="C57" i="16"/>
  <c r="C45" i="16"/>
  <c r="C31" i="16"/>
  <c r="C25" i="16"/>
  <c r="C55" i="16"/>
  <c r="C37" i="16"/>
  <c r="C20" i="16"/>
  <c r="C30" i="16"/>
  <c r="C39" i="16"/>
  <c r="C56" i="16"/>
  <c r="C59" i="16"/>
  <c r="C85" i="16"/>
  <c r="C89" i="16"/>
  <c r="C93" i="16"/>
  <c r="C102" i="16"/>
  <c r="C109" i="16"/>
  <c r="C50" i="16"/>
  <c r="C106" i="16"/>
  <c r="C72" i="16"/>
  <c r="C96" i="16"/>
  <c r="C18" i="16"/>
  <c r="C43" i="16"/>
  <c r="C32" i="16"/>
  <c r="C88" i="16"/>
  <c r="C23" i="16"/>
  <c r="C29" i="16"/>
  <c r="C34" i="16"/>
  <c r="C44" i="16"/>
  <c r="C74" i="16"/>
  <c r="C19" i="16"/>
  <c r="C68" i="16"/>
  <c r="C92" i="16"/>
  <c r="C28" i="16"/>
  <c r="C113" i="16"/>
  <c r="C62" i="16"/>
  <c r="C33" i="16"/>
  <c r="C38" i="16"/>
  <c r="C46" i="16"/>
  <c r="C60" i="16"/>
  <c r="C26" i="16"/>
  <c r="C41" i="16"/>
  <c r="C79" i="16"/>
  <c r="C58" i="16"/>
  <c r="C78" i="16"/>
  <c r="C112" i="16"/>
  <c r="C24" i="16"/>
  <c r="C69" i="16"/>
  <c r="C63" i="16"/>
  <c r="C84" i="16"/>
  <c r="C83" i="16"/>
  <c r="C100" i="16"/>
  <c r="C77" i="16"/>
  <c r="C76" i="16"/>
  <c r="C108" i="16"/>
  <c r="C65" i="16"/>
  <c r="C17" i="16"/>
  <c r="C36" i="16"/>
  <c r="C15" i="16"/>
  <c r="I11" i="16"/>
  <c r="L11" i="16"/>
  <c r="O11" i="16"/>
  <c r="F11" i="16"/>
  <c r="C13" i="16"/>
  <c r="R11" i="16"/>
  <c r="C103" i="15"/>
  <c r="C90" i="15"/>
  <c r="C86" i="15"/>
  <c r="C80" i="15"/>
  <c r="C74" i="15"/>
  <c r="C70" i="15"/>
  <c r="C66" i="15"/>
  <c r="C60" i="15"/>
  <c r="C56" i="15"/>
  <c r="C51" i="15"/>
  <c r="C47" i="15"/>
  <c r="C44" i="15"/>
  <c r="C39" i="15"/>
  <c r="C33" i="15"/>
  <c r="C102" i="15"/>
  <c r="C69" i="15"/>
  <c r="C59" i="15"/>
  <c r="C49" i="15"/>
  <c r="C32" i="15"/>
  <c r="C97" i="15"/>
  <c r="C93" i="15"/>
  <c r="C38" i="15"/>
  <c r="C20" i="15"/>
  <c r="C85" i="15"/>
  <c r="C79" i="15"/>
  <c r="C21" i="15"/>
  <c r="C26" i="15"/>
  <c r="C89" i="15"/>
  <c r="C50" i="15"/>
  <c r="C110" i="15"/>
  <c r="C18" i="15"/>
  <c r="C111" i="15"/>
  <c r="C25" i="15"/>
  <c r="C24" i="15"/>
  <c r="C57" i="15"/>
  <c r="C72" i="15"/>
  <c r="C108" i="15"/>
  <c r="C46" i="15"/>
  <c r="C48" i="15"/>
  <c r="C58" i="15"/>
  <c r="C109" i="15"/>
  <c r="C45" i="15"/>
  <c r="C78" i="15"/>
  <c r="C81" i="15"/>
  <c r="C91" i="15"/>
  <c r="C99" i="15"/>
  <c r="C96" i="15"/>
  <c r="C34" i="15"/>
  <c r="C87" i="15"/>
  <c r="C112" i="15"/>
  <c r="C19" i="15"/>
  <c r="C31" i="15"/>
  <c r="C53" i="15"/>
  <c r="C63" i="15"/>
  <c r="C68" i="15"/>
  <c r="C101" i="15"/>
  <c r="C40" i="15"/>
  <c r="C41" i="15"/>
  <c r="C92" i="15"/>
  <c r="C105" i="15"/>
  <c r="C23" i="15"/>
  <c r="C30" i="15"/>
  <c r="C67" i="15"/>
  <c r="C88" i="15"/>
  <c r="C95" i="15"/>
  <c r="C28" i="15"/>
  <c r="C107" i="15"/>
  <c r="C11" i="15" s="1"/>
  <c r="C77" i="15"/>
  <c r="C55" i="15"/>
  <c r="C36" i="15"/>
  <c r="C83" i="15"/>
  <c r="C29" i="15"/>
  <c r="C43" i="15"/>
  <c r="C37" i="15"/>
  <c r="C84" i="15"/>
  <c r="C65" i="15"/>
  <c r="C76" i="15"/>
  <c r="C17" i="15"/>
  <c r="C62" i="15"/>
  <c r="C15" i="15"/>
  <c r="L11" i="15"/>
  <c r="R11" i="15"/>
  <c r="C93" i="13"/>
  <c r="C89" i="13"/>
  <c r="C85" i="13"/>
  <c r="C84" i="13"/>
  <c r="C83" i="13"/>
  <c r="C79" i="13"/>
  <c r="C69" i="13"/>
  <c r="C59" i="13"/>
  <c r="C109" i="13"/>
  <c r="C104" i="13"/>
  <c r="C100" i="13"/>
  <c r="C95" i="13"/>
  <c r="C91" i="13"/>
  <c r="C87" i="13"/>
  <c r="C81" i="13"/>
  <c r="C67" i="13"/>
  <c r="C57" i="13"/>
  <c r="C45" i="13"/>
  <c r="C40" i="13"/>
  <c r="C34" i="13"/>
  <c r="C30" i="13"/>
  <c r="C29" i="13"/>
  <c r="C28" i="13"/>
  <c r="C24" i="13"/>
  <c r="C23" i="13"/>
  <c r="C19" i="13"/>
  <c r="C18" i="13"/>
  <c r="C17" i="13"/>
  <c r="C32" i="13"/>
  <c r="C50" i="13"/>
  <c r="C48" i="13"/>
  <c r="C38" i="13"/>
  <c r="C37" i="13"/>
  <c r="C26" i="13"/>
  <c r="C21" i="13"/>
  <c r="C43" i="13"/>
  <c r="C20" i="13"/>
  <c r="C46" i="13"/>
  <c r="C70" i="13"/>
  <c r="C39" i="13"/>
  <c r="C76" i="13"/>
  <c r="C80" i="13"/>
  <c r="C68" i="13"/>
  <c r="C92" i="13"/>
  <c r="C90" i="13"/>
  <c r="C63" i="13"/>
  <c r="C101" i="13"/>
  <c r="C49" i="13"/>
  <c r="C25" i="13"/>
  <c r="C106" i="13"/>
  <c r="C51" i="13"/>
  <c r="C53" i="13"/>
  <c r="C108" i="13"/>
  <c r="C107" i="13"/>
  <c r="C58" i="13"/>
  <c r="C78" i="13"/>
  <c r="C77" i="13"/>
  <c r="C31" i="13"/>
  <c r="C47" i="13"/>
  <c r="C56" i="13"/>
  <c r="C33" i="13"/>
  <c r="C44" i="13"/>
  <c r="C74" i="13"/>
  <c r="C102" i="13"/>
  <c r="C111" i="13"/>
  <c r="C72" i="13"/>
  <c r="C88" i="13"/>
  <c r="C96" i="13"/>
  <c r="C110" i="13"/>
  <c r="C60" i="13"/>
  <c r="C41" i="13"/>
  <c r="C66" i="13"/>
  <c r="C98" i="13"/>
  <c r="C86" i="13"/>
  <c r="C55" i="13"/>
  <c r="C65" i="13"/>
  <c r="C36" i="13"/>
  <c r="C62" i="13"/>
  <c r="C15" i="13"/>
  <c r="O11" i="13"/>
  <c r="C13" i="13"/>
  <c r="C11" i="13" s="1"/>
  <c r="C90" i="9"/>
  <c r="C88" i="9"/>
  <c r="C86" i="9"/>
  <c r="C84" i="9"/>
  <c r="C72" i="9"/>
  <c r="C68" i="9"/>
  <c r="C66" i="9"/>
  <c r="C54" i="9"/>
  <c r="C48" i="9"/>
  <c r="C38" i="9"/>
  <c r="C30" i="9"/>
  <c r="C28" i="9"/>
  <c r="C78" i="9"/>
  <c r="C24" i="9"/>
  <c r="C22" i="9"/>
  <c r="C18" i="9"/>
  <c r="C100" i="9"/>
  <c r="C98" i="9"/>
  <c r="C96" i="9"/>
  <c r="C64" i="9"/>
  <c r="C41" i="9"/>
  <c r="C29" i="9"/>
  <c r="C85" i="9"/>
  <c r="C37" i="9"/>
  <c r="C47" i="9"/>
  <c r="C57" i="9"/>
  <c r="C77" i="9"/>
  <c r="C31" i="9"/>
  <c r="C43" i="9"/>
  <c r="C65" i="9"/>
  <c r="C35" i="9"/>
  <c r="C93" i="9"/>
  <c r="C19" i="9"/>
  <c r="C42" i="9"/>
  <c r="C56" i="9"/>
  <c r="C55" i="9"/>
  <c r="C36" i="9"/>
  <c r="C27" i="9"/>
  <c r="C21" i="9"/>
  <c r="C70" i="9"/>
  <c r="C99" i="9"/>
  <c r="C17" i="9"/>
  <c r="C23" i="9"/>
  <c r="C44" i="9"/>
  <c r="C32" i="9"/>
  <c r="C83" i="9"/>
  <c r="C91" i="9"/>
  <c r="C39" i="9"/>
  <c r="C49" i="9"/>
  <c r="C61" i="9"/>
  <c r="C79" i="9"/>
  <c r="C16" i="9"/>
  <c r="C46" i="9"/>
  <c r="C97" i="9"/>
  <c r="C89" i="9"/>
  <c r="C51" i="9"/>
  <c r="C95" i="9"/>
  <c r="C26" i="9"/>
  <c r="C76" i="9"/>
  <c r="C58" i="9"/>
  <c r="C87" i="9"/>
  <c r="C45" i="9"/>
  <c r="C67" i="9"/>
  <c r="C75" i="9"/>
  <c r="C82" i="9"/>
  <c r="C53" i="9"/>
  <c r="C63" i="9"/>
  <c r="C81" i="9"/>
  <c r="C74" i="9"/>
  <c r="C15" i="9"/>
  <c r="C60" i="9"/>
  <c r="O11" i="9"/>
  <c r="C34" i="9"/>
  <c r="I11" i="9"/>
  <c r="L11" i="9"/>
  <c r="C13" i="9"/>
  <c r="B12" i="6"/>
  <c r="F12" i="6" s="1"/>
  <c r="I14" i="6"/>
  <c r="L104" i="6"/>
  <c r="L87" i="6"/>
  <c r="L68" i="6"/>
  <c r="L52" i="6"/>
  <c r="L49" i="6"/>
  <c r="L48" i="6"/>
  <c r="L47" i="6"/>
  <c r="L46" i="6"/>
  <c r="L86" i="6"/>
  <c r="L76" i="6"/>
  <c r="L67" i="6"/>
  <c r="L101" i="6"/>
  <c r="L113" i="6"/>
  <c r="L43" i="6"/>
  <c r="L41" i="6"/>
  <c r="L40" i="6"/>
  <c r="L12" i="6"/>
  <c r="L111" i="6"/>
  <c r="L36" i="6"/>
  <c r="L35" i="6"/>
  <c r="L34" i="6"/>
  <c r="L33" i="6"/>
  <c r="L32" i="6"/>
  <c r="L74" i="6"/>
  <c r="L23" i="6"/>
  <c r="L22" i="6"/>
  <c r="L107" i="6"/>
  <c r="L62" i="6"/>
  <c r="L61" i="6"/>
  <c r="L60" i="6"/>
  <c r="L59" i="6"/>
  <c r="L58" i="6"/>
  <c r="L42" i="6"/>
  <c r="L71" i="6"/>
  <c r="L69" i="6"/>
  <c r="L45" i="6"/>
  <c r="L21" i="6"/>
  <c r="L109" i="6"/>
  <c r="L38" i="6"/>
  <c r="L94" i="6"/>
  <c r="L65" i="6"/>
  <c r="L110" i="6"/>
  <c r="L55" i="6"/>
  <c r="L83" i="6"/>
  <c r="L91" i="6"/>
  <c r="L95" i="6"/>
  <c r="L31" i="6"/>
  <c r="L90" i="6"/>
  <c r="L80" i="6"/>
  <c r="L28" i="6"/>
  <c r="L72" i="6"/>
  <c r="L30" i="6"/>
  <c r="L78" i="6"/>
  <c r="L105" i="6"/>
  <c r="L99" i="6"/>
  <c r="L27" i="6"/>
  <c r="L39" i="6"/>
  <c r="L50" i="6"/>
  <c r="L92" i="6"/>
  <c r="L112" i="6"/>
  <c r="L57" i="6"/>
  <c r="L88" i="6"/>
  <c r="L26" i="6"/>
  <c r="L53" i="6"/>
  <c r="L51" i="6"/>
  <c r="L82" i="6"/>
  <c r="L97" i="6"/>
  <c r="L79" i="6"/>
  <c r="L114" i="6"/>
  <c r="L70" i="6"/>
  <c r="L81" i="6"/>
  <c r="L89" i="6"/>
  <c r="L93" i="6"/>
  <c r="L98" i="6"/>
  <c r="L103" i="6"/>
  <c r="L18" i="6"/>
  <c r="L85" i="6"/>
  <c r="L64" i="6"/>
  <c r="L25" i="6"/>
  <c r="L20" i="6"/>
  <c r="L16" i="6"/>
  <c r="J14" i="4"/>
  <c r="M14" i="4"/>
  <c r="C12" i="4"/>
  <c r="M38" i="147" l="1"/>
  <c r="C14" i="6"/>
  <c r="C11" i="9"/>
  <c r="D14" i="4"/>
  <c r="M286" i="147"/>
  <c r="M285" i="147"/>
  <c r="M277" i="147"/>
  <c r="M250" i="147"/>
  <c r="M218" i="147"/>
  <c r="M214" i="147"/>
  <c r="M284" i="147"/>
  <c r="M280" i="147"/>
  <c r="M276" i="147"/>
  <c r="M253" i="147"/>
  <c r="M251" i="147"/>
  <c r="M217" i="147"/>
  <c r="M215" i="147"/>
  <c r="M207" i="147"/>
  <c r="M202" i="147"/>
  <c r="M193" i="147"/>
  <c r="M147" i="147"/>
  <c r="M283" i="147"/>
  <c r="M279" i="147"/>
  <c r="M275" i="147"/>
  <c r="M273" i="147"/>
  <c r="M197" i="147"/>
  <c r="M288" i="147"/>
  <c r="M278" i="147"/>
  <c r="M211" i="147"/>
  <c r="M200" i="147"/>
  <c r="M191" i="147"/>
  <c r="M188" i="147"/>
  <c r="M162" i="147"/>
  <c r="M160" i="147"/>
  <c r="M159" i="147"/>
  <c r="M158" i="147"/>
  <c r="M137" i="147"/>
  <c r="M123" i="147"/>
  <c r="M118" i="147"/>
  <c r="M114" i="147"/>
  <c r="M111" i="147"/>
  <c r="M107" i="147"/>
  <c r="M104" i="147"/>
  <c r="M213" i="147"/>
  <c r="M157" i="147"/>
  <c r="M156" i="147"/>
  <c r="M145" i="147"/>
  <c r="M119" i="147"/>
  <c r="M116" i="147"/>
  <c r="M115" i="147"/>
  <c r="M112" i="147"/>
  <c r="M108" i="147"/>
  <c r="M105" i="147"/>
  <c r="M102" i="147"/>
  <c r="M86" i="147"/>
  <c r="M85" i="147"/>
  <c r="M84" i="147"/>
  <c r="M83" i="147"/>
  <c r="M65" i="147"/>
  <c r="M63" i="147"/>
  <c r="M271" i="147"/>
  <c r="M198" i="147"/>
  <c r="M80" i="147"/>
  <c r="M77" i="147"/>
  <c r="M249" i="147"/>
  <c r="M125" i="147"/>
  <c r="M122" i="147"/>
  <c r="M110" i="147"/>
  <c r="M76" i="147"/>
  <c r="M69" i="147"/>
  <c r="M59" i="147"/>
  <c r="M51" i="147"/>
  <c r="M49" i="147"/>
  <c r="M46" i="147"/>
  <c r="M146" i="147"/>
  <c r="M103" i="147"/>
  <c r="M136" i="147"/>
  <c r="M121" i="147"/>
  <c r="M67" i="147"/>
  <c r="N11" i="147"/>
  <c r="M154" i="147"/>
  <c r="M79" i="147"/>
  <c r="R11" i="147"/>
  <c r="M163" i="147"/>
  <c r="M29" i="147"/>
  <c r="M27" i="147"/>
  <c r="M35" i="147"/>
  <c r="M206" i="147"/>
  <c r="M55" i="147"/>
  <c r="M75" i="147"/>
  <c r="M81" i="147"/>
  <c r="M109" i="147"/>
  <c r="M124" i="147"/>
  <c r="M155" i="147"/>
  <c r="M190" i="147"/>
  <c r="M167" i="147"/>
  <c r="M272" i="147"/>
  <c r="M282" i="147"/>
  <c r="M47" i="147"/>
  <c r="M73" i="147"/>
  <c r="M36" i="147"/>
  <c r="M57" i="147"/>
  <c r="M196" i="147"/>
  <c r="M252" i="147"/>
  <c r="M259" i="147"/>
  <c r="M113" i="147"/>
  <c r="M261" i="147"/>
  <c r="M209" i="147"/>
  <c r="M165" i="147"/>
  <c r="M25" i="147"/>
  <c r="M194" i="147"/>
  <c r="M135" i="147"/>
  <c r="M78" i="147"/>
  <c r="M106" i="147"/>
  <c r="M117" i="147"/>
  <c r="M189" i="147"/>
  <c r="M281" i="147"/>
  <c r="M161" i="147"/>
  <c r="M212" i="147"/>
  <c r="M216" i="147"/>
  <c r="M227" i="147"/>
  <c r="M274" i="147"/>
  <c r="M192" i="147"/>
  <c r="M186" i="147"/>
  <c r="M221" i="147"/>
  <c r="M223" i="147"/>
  <c r="M100" i="147"/>
  <c r="M225" i="147"/>
  <c r="M120" i="147"/>
  <c r="M134" i="147"/>
  <c r="M71" i="147"/>
  <c r="M44" i="147"/>
  <c r="M247" i="147"/>
  <c r="M143" i="147"/>
  <c r="M152" i="147"/>
  <c r="M33" i="147"/>
  <c r="M204" i="147"/>
  <c r="M269" i="147"/>
  <c r="M257" i="147"/>
  <c r="M23" i="147"/>
  <c r="M245" i="147"/>
  <c r="M42" i="147"/>
  <c r="M61" i="147"/>
  <c r="M133" i="147"/>
  <c r="M21" i="147"/>
  <c r="M141" i="147"/>
  <c r="M184" i="147"/>
  <c r="M150" i="147"/>
  <c r="M98" i="147"/>
  <c r="M31" i="147"/>
  <c r="M255" i="147"/>
  <c r="M131" i="147"/>
  <c r="M139" i="147"/>
  <c r="M96" i="147"/>
  <c r="M19" i="147"/>
  <c r="M182" i="147"/>
  <c r="M230" i="147"/>
  <c r="M40" i="147"/>
  <c r="M53" i="147"/>
  <c r="M17" i="147"/>
  <c r="M129" i="147"/>
  <c r="M127" i="147"/>
  <c r="M15" i="147"/>
  <c r="C11" i="16"/>
  <c r="C110" i="6"/>
  <c r="C50" i="6"/>
  <c r="C49" i="6"/>
  <c r="C48" i="6"/>
  <c r="C47" i="6"/>
  <c r="C46" i="6"/>
  <c r="C76" i="6"/>
  <c r="C98" i="6"/>
  <c r="C89" i="6"/>
  <c r="C41" i="6"/>
  <c r="C40" i="6"/>
  <c r="C25" i="6"/>
  <c r="C22" i="6"/>
  <c r="C20" i="6"/>
  <c r="C101" i="6"/>
  <c r="C91" i="6"/>
  <c r="C72" i="6"/>
  <c r="C70" i="6"/>
  <c r="C68" i="6"/>
  <c r="C42" i="6"/>
  <c r="C87" i="6"/>
  <c r="C36" i="6"/>
  <c r="C34" i="6"/>
  <c r="C32" i="6"/>
  <c r="C31" i="6"/>
  <c r="C30" i="6"/>
  <c r="C21" i="6"/>
  <c r="C93" i="6"/>
  <c r="C62" i="6"/>
  <c r="C61" i="6"/>
  <c r="C60" i="6"/>
  <c r="C59" i="6"/>
  <c r="C58" i="6"/>
  <c r="C55" i="6"/>
  <c r="C12" i="6"/>
  <c r="C104" i="6"/>
  <c r="C95" i="6"/>
  <c r="C43" i="6"/>
  <c r="C35" i="6"/>
  <c r="C33" i="6"/>
  <c r="C23" i="6"/>
  <c r="C79" i="6"/>
  <c r="C52" i="6"/>
  <c r="C69" i="6"/>
  <c r="C74" i="6"/>
  <c r="C28" i="6"/>
  <c r="C107" i="6"/>
  <c r="C88" i="6"/>
  <c r="C97" i="6"/>
  <c r="C112" i="6"/>
  <c r="C26" i="6"/>
  <c r="C45" i="6"/>
  <c r="C81" i="6"/>
  <c r="C82" i="6"/>
  <c r="C18" i="6"/>
  <c r="C113" i="6"/>
  <c r="C27" i="6"/>
  <c r="C83" i="6"/>
  <c r="C90" i="6"/>
  <c r="C99" i="6"/>
  <c r="C65" i="6"/>
  <c r="C71" i="6"/>
  <c r="C94" i="6"/>
  <c r="C53" i="6"/>
  <c r="C86" i="6"/>
  <c r="C51" i="6"/>
  <c r="C111" i="6"/>
  <c r="C80" i="6"/>
  <c r="C92" i="6"/>
  <c r="C103" i="6"/>
  <c r="C114" i="6"/>
  <c r="C105" i="6"/>
  <c r="C109" i="6"/>
  <c r="C39" i="6"/>
  <c r="C67" i="6"/>
  <c r="C64" i="6"/>
  <c r="C85" i="6"/>
  <c r="C57" i="6"/>
  <c r="C38" i="6"/>
  <c r="C78" i="6"/>
  <c r="I12" i="6"/>
  <c r="C16" i="6"/>
  <c r="J12" i="4"/>
  <c r="M12" i="4"/>
  <c r="G12" i="4"/>
  <c r="D12"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rlopez</author>
  </authors>
  <commentList>
    <comment ref="L81" authorId="0" shapeId="0" xr:uid="{00000000-0006-0000-1B00-000001000000}">
      <text>
        <r>
          <rPr>
            <b/>
            <sz val="9"/>
            <color indexed="81"/>
            <rFont val="Tahoma"/>
            <family val="2"/>
          </rPr>
          <t>rlopez:</t>
        </r>
        <r>
          <rPr>
            <sz val="9"/>
            <color indexed="81"/>
            <rFont val="Tahoma"/>
            <family val="2"/>
          </rPr>
          <t xml:space="preserve">
04-005-029</t>
        </r>
      </text>
    </comment>
    <comment ref="L83" authorId="0" shapeId="0" xr:uid="{00000000-0006-0000-1B00-000002000000}">
      <text>
        <r>
          <rPr>
            <b/>
            <sz val="9"/>
            <color indexed="81"/>
            <rFont val="Tahoma"/>
            <family val="2"/>
          </rPr>
          <t>rlopez:</t>
        </r>
        <r>
          <rPr>
            <sz val="9"/>
            <color indexed="81"/>
            <rFont val="Tahoma"/>
            <family val="2"/>
          </rPr>
          <t xml:space="preserve">
04-005-030</t>
        </r>
      </text>
    </comment>
    <comment ref="L84" authorId="0" shapeId="0" xr:uid="{00000000-0006-0000-1B00-000003000000}">
      <text>
        <r>
          <rPr>
            <b/>
            <sz val="9"/>
            <color indexed="81"/>
            <rFont val="Tahoma"/>
            <family val="2"/>
          </rPr>
          <t>rlopez:</t>
        </r>
        <r>
          <rPr>
            <sz val="9"/>
            <color indexed="81"/>
            <rFont val="Tahoma"/>
            <family val="2"/>
          </rPr>
          <t xml:space="preserve">
04-005-031</t>
        </r>
      </text>
    </comment>
    <comment ref="L85" authorId="0" shapeId="0" xr:uid="{00000000-0006-0000-1B00-000004000000}">
      <text>
        <r>
          <rPr>
            <b/>
            <sz val="9"/>
            <color indexed="81"/>
            <rFont val="Tahoma"/>
            <family val="2"/>
          </rPr>
          <t>rlopez:</t>
        </r>
        <r>
          <rPr>
            <sz val="9"/>
            <color indexed="81"/>
            <rFont val="Tahoma"/>
            <family val="2"/>
          </rPr>
          <t xml:space="preserve">
04-005-032</t>
        </r>
      </text>
    </comment>
    <comment ref="L86" authorId="0" shapeId="0" xr:uid="{00000000-0006-0000-1B00-000005000000}">
      <text>
        <r>
          <rPr>
            <b/>
            <sz val="9"/>
            <color indexed="81"/>
            <rFont val="Tahoma"/>
            <family val="2"/>
          </rPr>
          <t>rlopez:</t>
        </r>
        <r>
          <rPr>
            <sz val="9"/>
            <color indexed="81"/>
            <rFont val="Tahoma"/>
            <family val="2"/>
          </rPr>
          <t xml:space="preserve">
04-005-010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Mainor Ulate</author>
    <author>mainor</author>
  </authors>
  <commentList>
    <comment ref="D13" authorId="0" shapeId="0" xr:uid="{00000000-0006-0000-1D00-000001000000}">
      <text>
        <r>
          <rPr>
            <b/>
            <sz val="8"/>
            <color indexed="81"/>
            <rFont val="Tahoma"/>
            <family val="2"/>
          </rPr>
          <t>Mainor Ulate:</t>
        </r>
        <r>
          <rPr>
            <sz val="8"/>
            <color indexed="81"/>
            <rFont val="Tahoma"/>
            <family val="2"/>
          </rPr>
          <t xml:space="preserve">
se suma fondos corrientes mas fond prestamo PAG 7 EN 2015</t>
        </r>
      </text>
    </comment>
    <comment ref="G13" authorId="0" shapeId="0" xr:uid="{00000000-0006-0000-1D00-000002000000}">
      <text>
        <r>
          <rPr>
            <b/>
            <sz val="8"/>
            <color indexed="81"/>
            <rFont val="Tahoma"/>
            <family val="2"/>
          </rPr>
          <t>Mainor Ulate:</t>
        </r>
        <r>
          <rPr>
            <sz val="8"/>
            <color indexed="81"/>
            <rFont val="Tahoma"/>
            <family val="2"/>
          </rPr>
          <t xml:space="preserve">
se suma fondos corrientes mas fond prestamo PAG 11 2016</t>
        </r>
      </text>
    </comment>
    <comment ref="J13" authorId="0" shapeId="0" xr:uid="{00000000-0006-0000-1D00-000003000000}">
      <text>
        <r>
          <rPr>
            <b/>
            <sz val="8"/>
            <color indexed="81"/>
            <rFont val="Tahoma"/>
            <family val="2"/>
          </rPr>
          <t>Mainor Ulate:</t>
        </r>
        <r>
          <rPr>
            <sz val="8"/>
            <color indexed="81"/>
            <rFont val="Tahoma"/>
            <family val="2"/>
          </rPr>
          <t xml:space="preserve">
se suma fondos corrientes mas fond prestamo PAG 11 2016</t>
        </r>
      </text>
    </comment>
    <comment ref="M13" authorId="0" shapeId="0" xr:uid="{00000000-0006-0000-1D00-000004000000}">
      <text>
        <r>
          <rPr>
            <b/>
            <sz val="8"/>
            <color indexed="81"/>
            <rFont val="Tahoma"/>
            <family val="2"/>
          </rPr>
          <t>Mainor Ulate:</t>
        </r>
        <r>
          <rPr>
            <sz val="8"/>
            <color indexed="81"/>
            <rFont val="Tahoma"/>
            <family val="2"/>
          </rPr>
          <t xml:space="preserve">
se suma fondos corrientes mas fond prestamo PAG 11 2016</t>
        </r>
      </text>
    </comment>
    <comment ref="P13" authorId="0" shapeId="0" xr:uid="{00000000-0006-0000-1D00-000005000000}">
      <text>
        <r>
          <rPr>
            <b/>
            <sz val="8"/>
            <color indexed="81"/>
            <rFont val="Tahoma"/>
            <family val="2"/>
          </rPr>
          <t>Mainor Ulate:</t>
        </r>
        <r>
          <rPr>
            <sz val="8"/>
            <color indexed="81"/>
            <rFont val="Tahoma"/>
            <family val="2"/>
          </rPr>
          <t xml:space="preserve">
se suma fondos corrientes mas fond prestamo PAG 11 2016</t>
        </r>
      </text>
    </comment>
    <comment ref="D15" authorId="1" shapeId="0" xr:uid="{00000000-0006-0000-1D00-000006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G15" authorId="1" shapeId="0" xr:uid="{00000000-0006-0000-1D00-000007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J15" authorId="1" shapeId="0" xr:uid="{00000000-0006-0000-1D00-000008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M15" authorId="1" shapeId="0" xr:uid="{00000000-0006-0000-1D00-000009000000}">
      <text>
        <r>
          <rPr>
            <b/>
            <sz val="9"/>
            <color indexed="81"/>
            <rFont val="Tahoma"/>
            <family val="2"/>
          </rPr>
          <t>mainor:</t>
        </r>
        <r>
          <rPr>
            <sz val="9"/>
            <color indexed="81"/>
            <rFont val="Tahoma"/>
            <family val="2"/>
          </rPr>
          <t xml:space="preserve">
este monto se genera desde SIAF. Correspionde al ingreso real de la partida de ingreso 09001000, FEES de fondos corrientes (sin Fondo del Sistema). </t>
        </r>
      </text>
    </comment>
    <comment ref="D16" authorId="0" shapeId="0" xr:uid="{00000000-0006-0000-1D00-00000A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G16" authorId="0" shapeId="0" xr:uid="{00000000-0006-0000-1D00-00000B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J16" authorId="0" shapeId="0" xr:uid="{00000000-0006-0000-1D00-00000C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M16" authorId="0" shapeId="0" xr:uid="{00000000-0006-0000-1D00-00000D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P16" authorId="0" shapeId="0" xr:uid="{00000000-0006-0000-1D00-00000E000000}">
      <text>
        <r>
          <rPr>
            <b/>
            <sz val="8"/>
            <color indexed="81"/>
            <rFont val="Tahoma"/>
            <family val="2"/>
          </rPr>
          <t>Mainor Ulate:</t>
        </r>
        <r>
          <rPr>
            <sz val="8"/>
            <color indexed="81"/>
            <rFont val="Tahoma"/>
            <family val="2"/>
          </rPr>
          <t xml:space="preserve">
se resta  a  (fondos corrientes + fondo de prestamos) el FEES ingresado sin fondo del sistema</t>
        </r>
      </text>
    </comment>
    <comment ref="D20" authorId="1" shapeId="0" xr:uid="{00000000-0006-0000-1D00-00000F000000}">
      <text>
        <r>
          <rPr>
            <b/>
            <sz val="9"/>
            <color indexed="81"/>
            <rFont val="Tahoma"/>
            <family val="2"/>
          </rPr>
          <t>mainor:</t>
        </r>
        <r>
          <rPr>
            <sz val="9"/>
            <color indexed="81"/>
            <rFont val="Tahoma"/>
            <family val="2"/>
          </rPr>
          <t xml:space="preserve">
se suma FR+F intraproyectos+F del sistema+Plan de mejoramiento Instit</t>
        </r>
      </text>
    </comment>
    <comment ref="G20" authorId="1" shapeId="0" xr:uid="{00000000-0006-0000-1D00-000010000000}">
      <text>
        <r>
          <rPr>
            <b/>
            <sz val="9"/>
            <color indexed="81"/>
            <rFont val="Tahoma"/>
            <family val="2"/>
          </rPr>
          <t>mainor:</t>
        </r>
        <r>
          <rPr>
            <sz val="9"/>
            <color indexed="81"/>
            <rFont val="Tahoma"/>
            <family val="2"/>
          </rPr>
          <t xml:space="preserve">
se suma FR+F intraproyectos+F del sistema+Plan de mejoramiento Instit</t>
        </r>
      </text>
    </comment>
    <comment ref="J20" authorId="1" shapeId="0" xr:uid="{00000000-0006-0000-1D00-000011000000}">
      <text>
        <r>
          <rPr>
            <b/>
            <sz val="9"/>
            <color indexed="81"/>
            <rFont val="Tahoma"/>
            <family val="2"/>
          </rPr>
          <t>mainor:</t>
        </r>
        <r>
          <rPr>
            <sz val="9"/>
            <color indexed="81"/>
            <rFont val="Tahoma"/>
            <family val="2"/>
          </rPr>
          <t xml:space="preserve">
se suma FR+F intraproyectos+F del sistema+Plan de mejoramiento Instit</t>
        </r>
      </text>
    </comment>
    <comment ref="M20" authorId="1" shapeId="0" xr:uid="{00000000-0006-0000-1D00-000012000000}">
      <text>
        <r>
          <rPr>
            <b/>
            <sz val="9"/>
            <color indexed="81"/>
            <rFont val="Tahoma"/>
            <family val="2"/>
          </rPr>
          <t>mainor:</t>
        </r>
        <r>
          <rPr>
            <sz val="9"/>
            <color indexed="81"/>
            <rFont val="Tahoma"/>
            <family val="2"/>
          </rPr>
          <t xml:space="preserve">
se suma FR+F intraproyectos+F del sistema+Plan de mejoramiento Instit</t>
        </r>
      </text>
    </comment>
    <comment ref="P20" authorId="1" shapeId="0" xr:uid="{00000000-0006-0000-1D00-000013000000}">
      <text>
        <r>
          <rPr>
            <b/>
            <sz val="9"/>
            <color indexed="81"/>
            <rFont val="Tahoma"/>
            <family val="2"/>
          </rPr>
          <t>mainor:</t>
        </r>
        <r>
          <rPr>
            <sz val="9"/>
            <color indexed="81"/>
            <rFont val="Tahoma"/>
            <family val="2"/>
          </rPr>
          <t xml:space="preserve">
se suma FR+F intraproyectos+F del sistema+Plan de mejoramiento Instit</t>
        </r>
      </text>
    </comment>
    <comment ref="D22" authorId="1" shapeId="0" xr:uid="{00000000-0006-0000-1D00-000014000000}">
      <text>
        <r>
          <rPr>
            <b/>
            <sz val="9"/>
            <color indexed="81"/>
            <rFont val="Tahoma"/>
            <family val="2"/>
          </rPr>
          <t>mainor:</t>
        </r>
        <r>
          <rPr>
            <sz val="9"/>
            <color indexed="81"/>
            <rFont val="Tahoma"/>
            <family val="2"/>
          </rPr>
          <t xml:space="preserve">
se suma Cursos espec+Program de Posgrad con financiamiemto complementario</t>
        </r>
      </text>
    </comment>
    <comment ref="G22" authorId="1" shapeId="0" xr:uid="{00000000-0006-0000-1D00-000015000000}">
      <text>
        <r>
          <rPr>
            <b/>
            <sz val="9"/>
            <color indexed="81"/>
            <rFont val="Tahoma"/>
            <family val="2"/>
          </rPr>
          <t>mainor:</t>
        </r>
        <r>
          <rPr>
            <sz val="9"/>
            <color indexed="81"/>
            <rFont val="Tahoma"/>
            <family val="2"/>
          </rPr>
          <t xml:space="preserve">
se suma Cursos espec+Program de Posgrad con financiamiemto complementario</t>
        </r>
      </text>
    </comment>
    <comment ref="J22" authorId="1" shapeId="0" xr:uid="{00000000-0006-0000-1D00-000016000000}">
      <text>
        <r>
          <rPr>
            <b/>
            <sz val="9"/>
            <color indexed="81"/>
            <rFont val="Tahoma"/>
            <family val="2"/>
          </rPr>
          <t>mainor:</t>
        </r>
        <r>
          <rPr>
            <sz val="9"/>
            <color indexed="81"/>
            <rFont val="Tahoma"/>
            <family val="2"/>
          </rPr>
          <t xml:space="preserve">
se suma Cursos espec+Program de Posgrad con financiamiemto complementario</t>
        </r>
      </text>
    </comment>
    <comment ref="M22" authorId="1" shapeId="0" xr:uid="{00000000-0006-0000-1D00-000017000000}">
      <text>
        <r>
          <rPr>
            <b/>
            <sz val="9"/>
            <color indexed="81"/>
            <rFont val="Tahoma"/>
            <family val="2"/>
          </rPr>
          <t>mainor:</t>
        </r>
        <r>
          <rPr>
            <sz val="9"/>
            <color indexed="81"/>
            <rFont val="Tahoma"/>
            <family val="2"/>
          </rPr>
          <t xml:space="preserve">
se suma Cursos espec+Program de Posgrad con financiamiemto complementario</t>
        </r>
      </text>
    </comment>
    <comment ref="P22" authorId="1" shapeId="0" xr:uid="{00000000-0006-0000-1D00-000018000000}">
      <text>
        <r>
          <rPr>
            <b/>
            <sz val="9"/>
            <color indexed="81"/>
            <rFont val="Tahoma"/>
            <family val="2"/>
          </rPr>
          <t>mainor:</t>
        </r>
        <r>
          <rPr>
            <sz val="9"/>
            <color indexed="81"/>
            <rFont val="Tahoma"/>
            <family val="2"/>
          </rPr>
          <t xml:space="preserve">
se suma Cursos espec+Program de Posgrad con financiamiemto complementario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mainor</author>
  </authors>
  <commentList>
    <comment ref="E20" authorId="0" shapeId="0" xr:uid="{00000000-0006-0000-1E00-000001000000}">
      <text>
        <r>
          <rPr>
            <b/>
            <sz val="9"/>
            <color indexed="81"/>
            <rFont val="Tahoma"/>
            <family val="2"/>
          </rPr>
          <t>mainor:</t>
        </r>
        <r>
          <rPr>
            <sz val="9"/>
            <color indexed="81"/>
            <rFont val="Tahoma"/>
            <family val="2"/>
          </rPr>
          <t xml:space="preserve">
se suma el GR de VE y el GR de Fondo de prestamo de VE</t>
        </r>
      </text>
    </comment>
    <comment ref="E24" authorId="0" shapeId="0" xr:uid="{00000000-0006-0000-1E00-000002000000}">
      <text>
        <r>
          <rPr>
            <b/>
            <sz val="9"/>
            <color indexed="81"/>
            <rFont val="Tahoma"/>
            <family val="2"/>
          </rPr>
          <t>mainor:</t>
        </r>
        <r>
          <rPr>
            <sz val="9"/>
            <color indexed="81"/>
            <rFont val="Tahoma"/>
            <family val="2"/>
          </rPr>
          <t xml:space="preserve">
se suma el GR de DSUP y el GR de Fondo de Presta de D Sup
</t>
        </r>
      </text>
    </comment>
  </commentList>
</comments>
</file>

<file path=xl/sharedStrings.xml><?xml version="1.0" encoding="utf-8"?>
<sst xmlns="http://schemas.openxmlformats.org/spreadsheetml/2006/main" count="7677" uniqueCount="2247">
  <si>
    <t>DEFINICIONES</t>
  </si>
  <si>
    <r>
      <rPr>
        <b/>
        <sz val="12"/>
        <color theme="1"/>
        <rFont val="Times New Roman"/>
        <family val="1"/>
      </rPr>
      <t>Año lectivo</t>
    </r>
    <r>
      <rPr>
        <sz val="12"/>
        <color theme="1"/>
        <rFont val="Times New Roman"/>
        <family val="1"/>
      </rPr>
      <t>: está constituido por los tres ciclos previos al mes de febrero, en el orden siguiente: III ciclo del año tras anterior (curso de verano) y el I y II ciclos del año anterior.</t>
    </r>
  </si>
  <si>
    <r>
      <rPr>
        <b/>
        <sz val="12"/>
        <color theme="1"/>
        <rFont val="Times New Roman"/>
        <family val="1"/>
      </rPr>
      <t>Beca permanente</t>
    </r>
    <r>
      <rPr>
        <sz val="12"/>
        <color theme="1"/>
        <rFont val="Times New Roman"/>
        <family val="1"/>
      </rPr>
      <t>: se refiere a la beca asignada por el programa, esta puede ser modificada luego por aplicación del rendimiento académico y por la Comisión de Becas.</t>
    </r>
  </si>
  <si>
    <r>
      <rPr>
        <b/>
        <sz val="12"/>
        <color theme="1"/>
        <rFont val="Times New Roman"/>
        <family val="1"/>
      </rPr>
      <t>Características socioeconómicas</t>
    </r>
    <r>
      <rPr>
        <sz val="12"/>
        <color theme="1"/>
        <rFont val="Times New Roman"/>
        <family val="1"/>
      </rPr>
      <t>: incluye la población estudiantil que solicitó beca, se les haya asignado o no.</t>
    </r>
  </si>
  <si>
    <r>
      <rPr>
        <b/>
        <sz val="12"/>
        <color theme="1"/>
        <rFont val="Times New Roman"/>
        <family val="1"/>
      </rPr>
      <t>Carga académica</t>
    </r>
    <r>
      <rPr>
        <sz val="12"/>
        <color theme="1"/>
        <rFont val="Times New Roman"/>
        <family val="1"/>
      </rPr>
      <t>: es el tiempo (medido en horas semanales) que cada profesor le dedica a la Universidad, en las diferentes actividades que ejecuta: docencia, investigación, acción social, docente-administrativas, comisiones institucionales y otros.</t>
    </r>
  </si>
  <si>
    <r>
      <rPr>
        <b/>
        <sz val="12"/>
        <color theme="1"/>
        <rFont val="Times New Roman"/>
        <family val="1"/>
      </rPr>
      <t>Crédito</t>
    </r>
    <r>
      <rPr>
        <sz val="12"/>
        <color theme="1"/>
        <rFont val="Times New Roman"/>
        <family val="1"/>
      </rPr>
      <t>: es una unidad valorativa del esfuerzo del estudiante, que equivale a tres horas reloj semanales de trabajo, durante 15 semanas, aplicadas a una actividad que ha sido supervisada, evaluada y aprobada por el profesor.</t>
    </r>
  </si>
  <si>
    <r>
      <rPr>
        <b/>
        <sz val="12"/>
        <color theme="1"/>
        <rFont val="Times New Roman"/>
        <family val="1"/>
      </rPr>
      <t>Investigación Básica</t>
    </r>
    <r>
      <rPr>
        <sz val="12"/>
        <color theme="1"/>
        <rFont val="Times New Roman"/>
        <family val="1"/>
      </rPr>
      <t>: actividades que tienen como propósito la búsqueda sistemática del conocimiento sobre la materia objeto de estudio y que no necesariamente producen aplicaciones prácticas de las resultados.</t>
    </r>
  </si>
  <si>
    <r>
      <rPr>
        <b/>
        <sz val="12"/>
        <color theme="1"/>
        <rFont val="Times New Roman"/>
        <family val="1"/>
      </rPr>
      <t>Logro mínimo</t>
    </r>
    <r>
      <rPr>
        <sz val="12"/>
        <color theme="1"/>
        <rFont val="Times New Roman"/>
        <family val="1"/>
      </rPr>
      <t>: se refiere al rendimiento que alcanza un estudiante que gana todos los créditos matrículados con al menos una nota de 7.</t>
    </r>
  </si>
  <si>
    <r>
      <rPr>
        <b/>
        <sz val="12"/>
        <color theme="1"/>
        <rFont val="Times New Roman"/>
        <family val="1"/>
      </rPr>
      <t>Promedio ponderado</t>
    </r>
    <r>
      <rPr>
        <sz val="12"/>
        <color theme="1"/>
        <rFont val="Times New Roman"/>
        <family val="1"/>
      </rPr>
      <t>: es la suma de los productos de la calificación final de cada curso por sus créditos, dividido por el número total de créditos de las asignaturas cursadas.</t>
    </r>
  </si>
  <si>
    <r>
      <rPr>
        <b/>
        <sz val="12"/>
        <color theme="1"/>
        <rFont val="Times New Roman"/>
        <family val="1"/>
      </rPr>
      <t>Proyecto ampliación</t>
    </r>
    <r>
      <rPr>
        <sz val="12"/>
        <color theme="1"/>
        <rFont val="Times New Roman"/>
        <family val="1"/>
      </rPr>
      <t>: proyectos en desarrollo y se toman por periodo de vigencia.</t>
    </r>
  </si>
  <si>
    <r>
      <rPr>
        <b/>
        <sz val="12"/>
        <color theme="1"/>
        <rFont val="Times New Roman"/>
        <family val="1"/>
      </rPr>
      <t xml:space="preserve">Proyecto inscrito: </t>
    </r>
    <r>
      <rPr>
        <sz val="12"/>
        <color theme="1"/>
        <rFont val="Times New Roman"/>
        <family val="1"/>
      </rPr>
      <t>propuesta de investigación registrada en la Vicerrectoría de Investigación.</t>
    </r>
  </si>
  <si>
    <r>
      <rPr>
        <b/>
        <sz val="12"/>
        <color theme="1"/>
        <rFont val="Times New Roman"/>
        <family val="1"/>
      </rPr>
      <t>Proyecto cerrado</t>
    </r>
    <r>
      <rPr>
        <sz val="12"/>
        <color theme="1"/>
        <rFont val="Times New Roman"/>
        <family val="1"/>
      </rPr>
      <t>: aquel en que su ejecución ha sido paralizada indefinidamente sin que haya alcanzado los objetivos propuestos.</t>
    </r>
  </si>
  <si>
    <r>
      <rPr>
        <b/>
        <sz val="12"/>
        <color theme="1"/>
        <rFont val="Times New Roman"/>
        <family val="1"/>
      </rPr>
      <t>Proyecto terminado</t>
    </r>
    <r>
      <rPr>
        <sz val="12"/>
        <color theme="1"/>
        <rFont val="Times New Roman"/>
        <family val="1"/>
      </rPr>
      <t>: aquel en que su ejecución ha sido terminada, alcanzando los objetivos propuestos.</t>
    </r>
  </si>
  <si>
    <r>
      <rPr>
        <b/>
        <sz val="12"/>
        <color theme="1"/>
        <rFont val="Times New Roman"/>
        <family val="1"/>
      </rPr>
      <t>Proyecto suspendido</t>
    </r>
    <r>
      <rPr>
        <sz val="12"/>
        <color theme="1"/>
        <rFont val="Times New Roman"/>
        <family val="1"/>
      </rPr>
      <t>: aquel en que su ejecución ha sido paralizada temporalmente, sin que haya alcanzado los objetivos propuestos.</t>
    </r>
  </si>
  <si>
    <r>
      <rPr>
        <b/>
        <sz val="12"/>
        <color theme="1"/>
        <rFont val="Times New Roman"/>
        <family val="1"/>
      </rPr>
      <t>Proyecto reactivado</t>
    </r>
    <r>
      <rPr>
        <sz val="12"/>
        <color theme="1"/>
        <rFont val="Times New Roman"/>
        <family val="1"/>
      </rPr>
      <t>: aquel en que su ejecución fue suspendida de manera temporal y luego reactivada nuevamente.</t>
    </r>
  </si>
  <si>
    <r>
      <rPr>
        <b/>
        <sz val="12"/>
        <color theme="1"/>
        <rFont val="Times New Roman"/>
        <family val="1"/>
      </rPr>
      <t>Proyecto nuevo en desarrollo</t>
    </r>
    <r>
      <rPr>
        <sz val="12"/>
        <color theme="1"/>
        <rFont val="Times New Roman"/>
        <family val="1"/>
      </rPr>
      <t>: aquel cuya propuesta fue aprobada por la Vicerrectoría de Investigación y se encuentra en ejecución.</t>
    </r>
  </si>
  <si>
    <r>
      <rPr>
        <b/>
        <sz val="12"/>
        <color theme="1"/>
        <rFont val="Times New Roman"/>
        <family val="1"/>
      </rPr>
      <t xml:space="preserve">Proyecto Vigente: </t>
    </r>
    <r>
      <rPr>
        <sz val="12"/>
        <color theme="1"/>
        <rFont val="Times New Roman"/>
        <family val="1"/>
      </rPr>
      <t>es aquel que estuvo en ejecución en el periodo seleccionado, además, incluye los proyectos nuevos en desarrollo.</t>
    </r>
  </si>
  <si>
    <r>
      <rPr>
        <b/>
        <sz val="12"/>
        <color theme="1"/>
        <rFont val="Times New Roman"/>
        <family val="1"/>
      </rPr>
      <t>Unidad académica</t>
    </r>
    <r>
      <rPr>
        <sz val="12"/>
        <color theme="1"/>
        <rFont val="Times New Roman"/>
        <family val="1"/>
      </rPr>
      <t>: se define por unidad académica a los centros e institutos de investigación, a las escuelas, a las facultades no divididas en escuelas y a las sedes regionales.</t>
    </r>
  </si>
  <si>
    <t>SIMBOLOGÍA</t>
  </si>
  <si>
    <t>A.S.</t>
  </si>
  <si>
    <t>Acción Social</t>
  </si>
  <si>
    <t>AD.</t>
  </si>
  <si>
    <t>Administración</t>
  </si>
  <si>
    <t>C.C.P.</t>
  </si>
  <si>
    <t>Centro Centroamericano de Población</t>
  </si>
  <si>
    <t>C.EL.E.Q.</t>
  </si>
  <si>
    <t>Centro de Investigación en Electroquímica y Energía Química</t>
  </si>
  <si>
    <t>C.I.A.</t>
  </si>
  <si>
    <t>Centro de Investigaciones Agronómicas</t>
  </si>
  <si>
    <t>C.I.B.C.M.</t>
  </si>
  <si>
    <t>Centro de Investigación en Biología Celular y Molecular</t>
  </si>
  <si>
    <t>C.I.C.A.</t>
  </si>
  <si>
    <t>Centro de Investigación en Contaminación Ambiental</t>
  </si>
  <si>
    <t>C.I.C.A.NU.M</t>
  </si>
  <si>
    <t>Centro de Investigación en Cs. Atómicas, Nucleares y Moleculares</t>
  </si>
  <si>
    <t>C.I.C.A.P.</t>
  </si>
  <si>
    <t>Centro de Investigación y Capacitación en Administración Pública</t>
  </si>
  <si>
    <t>C.I.C.I.MA.</t>
  </si>
  <si>
    <t>Centro de Investigación en Ciencias e Ingeniería de Materiales</t>
  </si>
  <si>
    <t>C.I.E.D.A.</t>
  </si>
  <si>
    <t>Centro de Investigación en Economía Agrícola y Desarrollo Agroempresarial</t>
  </si>
  <si>
    <t>C.I.E.D.E.S.</t>
  </si>
  <si>
    <t>Centro de Investigación en Desarrollo Sostenible</t>
  </si>
  <si>
    <t>C.I.E.M.</t>
  </si>
  <si>
    <t>Centro de Investigación en Estudios de la Mujer</t>
  </si>
  <si>
    <t>C.I.E.MIC.</t>
  </si>
  <si>
    <t>Centro de Investigación en Estructuras Microscópicas</t>
  </si>
  <si>
    <t>C.I.E.T.</t>
  </si>
  <si>
    <t>Centro de Investigación en Enfermedades Tropicales</t>
  </si>
  <si>
    <t>C.I.GEFI.</t>
  </si>
  <si>
    <t>Centro de Investigaciones Geofísicas</t>
  </si>
  <si>
    <t>C.I.GRA.S.</t>
  </si>
  <si>
    <t>Centro de Investigación en Granos y Semillas</t>
  </si>
  <si>
    <t>C.I.H.A.C.</t>
  </si>
  <si>
    <t>Centro de Investigaciones Históricas de América Central</t>
  </si>
  <si>
    <t>C.I.H.A.T.A.</t>
  </si>
  <si>
    <t>Centro de Investigación en Hematología y Trastornos Afines</t>
  </si>
  <si>
    <t>C.I.I.C.LA.</t>
  </si>
  <si>
    <t>Centro de Investigaciones en Identidad y Cultura Latinoamericana</t>
  </si>
  <si>
    <t>C.I.M.M.</t>
  </si>
  <si>
    <t>Centro de Investigación en Matemática y Meta-matemática</t>
  </si>
  <si>
    <t>C.I.M.P.A.</t>
  </si>
  <si>
    <t>Centro de Investigación en Matemáticas Puras y Aplicadas</t>
  </si>
  <si>
    <t>C.I.MAR.</t>
  </si>
  <si>
    <t>Centro de Investigación en Ciencias del Mar y Limnología</t>
  </si>
  <si>
    <t>C.I.MO.HU</t>
  </si>
  <si>
    <t>Centro de Investigación en Ciencias del Movimiento Humano</t>
  </si>
  <si>
    <t>C.I.N.A.</t>
  </si>
  <si>
    <t>Centro de Investigación en Nutrición Animal</t>
  </si>
  <si>
    <t>C.I.PRO.C.</t>
  </si>
  <si>
    <t>Centro de Investigación en Protección de Cultivos</t>
  </si>
  <si>
    <t>C.I.PRO.NA.</t>
  </si>
  <si>
    <t>Centro de Investigación en Productos Naturales</t>
  </si>
  <si>
    <t>C.I.T.A.</t>
  </si>
  <si>
    <t>Centro Nacional de Ciencia y Tecnología de Alimentos</t>
  </si>
  <si>
    <t>C.I.T.I.C</t>
  </si>
  <si>
    <t>Centro de Investigaciones en Tecnologías de la Información y Comunicación</t>
  </si>
  <si>
    <t>C.IN.ESPA</t>
  </si>
  <si>
    <t>Centro de Investigaciones Espaciales</t>
  </si>
  <si>
    <t>D.</t>
  </si>
  <si>
    <t>Docencia</t>
  </si>
  <si>
    <t>D.S.</t>
  </si>
  <si>
    <t>Dirección Superior</t>
  </si>
  <si>
    <t>I.</t>
  </si>
  <si>
    <t>Investigación</t>
  </si>
  <si>
    <t>I.C.P.</t>
  </si>
  <si>
    <t>Instituto Clodomiro Picado</t>
  </si>
  <si>
    <t>I.I.A.</t>
  </si>
  <si>
    <t>Instituto de Investigaciones Agrícolas</t>
  </si>
  <si>
    <t>I.I.C.E.</t>
  </si>
  <si>
    <t>Instituto de Investigaciones en Ciencias Económicas</t>
  </si>
  <si>
    <t>I.I.J.</t>
  </si>
  <si>
    <t>Instituto de Investigaciones Jurídicas</t>
  </si>
  <si>
    <t>I.I.P.</t>
  </si>
  <si>
    <t>Instituto de Investigaciones Psicológicas</t>
  </si>
  <si>
    <t>I.I.S.</t>
  </si>
  <si>
    <t>Instituto de Investigaciones Sociales</t>
  </si>
  <si>
    <t>IN.I.E.</t>
  </si>
  <si>
    <t>Instituto de Investigaciones en Educación</t>
  </si>
  <si>
    <t>IN.I.F.</t>
  </si>
  <si>
    <t>Instituto de Investigaciones Filosóficas</t>
  </si>
  <si>
    <t>IN.I.FAR</t>
  </si>
  <si>
    <t>Instituto de Investigaciones Farmacéuticas</t>
  </si>
  <si>
    <t xml:space="preserve">IN.I.I. </t>
  </si>
  <si>
    <t>Instituto en Investigaciones en Ingeniería</t>
  </si>
  <si>
    <t>IN.I.L.</t>
  </si>
  <si>
    <t>Instituto de Investigaciones Lingüísticas</t>
  </si>
  <si>
    <t>IN.I.SA.</t>
  </si>
  <si>
    <t>Instituto de Investigaciones en Salud</t>
  </si>
  <si>
    <t>O.D.D.</t>
  </si>
  <si>
    <t>Observatorio del Desarrollo</t>
  </si>
  <si>
    <t>O.D.I.</t>
  </si>
  <si>
    <t>Oficina de Divulgación e Información</t>
  </si>
  <si>
    <t>O.PLA.U.</t>
  </si>
  <si>
    <t>Oficina de Planificación Universitaria</t>
  </si>
  <si>
    <t>R.F.</t>
  </si>
  <si>
    <t>Recursos Financieros</t>
  </si>
  <si>
    <t>R.H.</t>
  </si>
  <si>
    <t>Recursos Humanos</t>
  </si>
  <si>
    <t>SI.B.D.I.</t>
  </si>
  <si>
    <t>Sistema de Bibliotecas, Documentación e Información</t>
  </si>
  <si>
    <t>V.E.</t>
  </si>
  <si>
    <t>Vida Estudiantil</t>
  </si>
  <si>
    <t>PRODUS</t>
  </si>
  <si>
    <t>Programa de Investigación en Desarrollo Urbano Sostenible</t>
  </si>
  <si>
    <t>Laboratorio Nacional de Materiales y Modelos Estructurales</t>
  </si>
  <si>
    <t>INDICE DE CUADROS</t>
  </si>
  <si>
    <t>RECURSOS HUMANOS</t>
  </si>
  <si>
    <t xml:space="preserve"> </t>
  </si>
  <si>
    <t>Cuadro RH1</t>
  </si>
  <si>
    <t>Cuadro RH2</t>
  </si>
  <si>
    <t>Cuadro RH3</t>
  </si>
  <si>
    <t>Cuadro RH4</t>
  </si>
  <si>
    <t>Cuadro RH5</t>
  </si>
  <si>
    <t>Cuadro RH6</t>
  </si>
  <si>
    <t>Cuadro RH7</t>
  </si>
  <si>
    <t>Cuadro RH8</t>
  </si>
  <si>
    <t>Cuadro RH9</t>
  </si>
  <si>
    <t>Cuadro RH10</t>
  </si>
  <si>
    <t>Cuadro RH11</t>
  </si>
  <si>
    <t>Cuadro RH12</t>
  </si>
  <si>
    <t>Cuadro RH13</t>
  </si>
  <si>
    <t>Cuadro RH14</t>
  </si>
  <si>
    <t>Cuadro RH15</t>
  </si>
  <si>
    <t xml:space="preserve">                      Universidad de Costa Rica</t>
  </si>
  <si>
    <t xml:space="preserve">                      Panorama Cuantitativo Universitario</t>
  </si>
  <si>
    <r>
      <t xml:space="preserve">Plazas  </t>
    </r>
    <r>
      <rPr>
        <b/>
        <vertAlign val="superscript"/>
        <sz val="10"/>
        <rFont val="Arial"/>
        <family val="2"/>
      </rPr>
      <t>1/</t>
    </r>
  </si>
  <si>
    <t>Unidades</t>
  </si>
  <si>
    <t>Total</t>
  </si>
  <si>
    <t>Docente</t>
  </si>
  <si>
    <t>De Apoyo</t>
  </si>
  <si>
    <t xml:space="preserve">Administración </t>
  </si>
  <si>
    <t>abs.</t>
  </si>
  <si>
    <t>%</t>
  </si>
  <si>
    <t/>
  </si>
  <si>
    <t>Apoyo a la Docencia</t>
  </si>
  <si>
    <t>Licencia Sabática</t>
  </si>
  <si>
    <t>Centro de Evaluación Académica</t>
  </si>
  <si>
    <t>Tercer Ciclo</t>
  </si>
  <si>
    <t>Servicios de Apoyo</t>
  </si>
  <si>
    <t>Formación de Recursos Docentes</t>
  </si>
  <si>
    <t>Area de Artes y Letras</t>
  </si>
  <si>
    <t xml:space="preserve">  Facultad de Bellas Artes</t>
  </si>
  <si>
    <t xml:space="preserve">   Artes Dramáticas</t>
  </si>
  <si>
    <t xml:space="preserve">   Artes Musicales</t>
  </si>
  <si>
    <t xml:space="preserve">   Artes Plásticas</t>
  </si>
  <si>
    <t xml:space="preserve">  Facultad de Letras</t>
  </si>
  <si>
    <t xml:space="preserve">   Filología</t>
  </si>
  <si>
    <t xml:space="preserve">   Filosofía</t>
  </si>
  <si>
    <t xml:space="preserve">   Lenguas Modernas</t>
  </si>
  <si>
    <t>Area de Ciencias Básicas</t>
  </si>
  <si>
    <t xml:space="preserve">  Facultad de Ciencias</t>
  </si>
  <si>
    <t xml:space="preserve">   Biología </t>
  </si>
  <si>
    <t xml:space="preserve">   Física</t>
  </si>
  <si>
    <t xml:space="preserve">   Geología </t>
  </si>
  <si>
    <t xml:space="preserve">   Matemática</t>
  </si>
  <si>
    <t xml:space="preserve">   Química</t>
  </si>
  <si>
    <t>Area de Ciencias Sociales</t>
  </si>
  <si>
    <t xml:space="preserve"> Facultad de Ciencias Económicas</t>
  </si>
  <si>
    <t xml:space="preserve">   Administración de Negocios</t>
  </si>
  <si>
    <t xml:space="preserve">   Administración Pública</t>
  </si>
  <si>
    <t xml:space="preserve">   Economía</t>
  </si>
  <si>
    <t xml:space="preserve">   Estadística</t>
  </si>
  <si>
    <t xml:space="preserve"> Facultad de Ciencias Sociales</t>
  </si>
  <si>
    <t xml:space="preserve">   Sociología</t>
  </si>
  <si>
    <t xml:space="preserve">   Cs. de la Comunicación Colectiva</t>
  </si>
  <si>
    <t xml:space="preserve">   Ciencias Políticas</t>
  </si>
  <si>
    <t xml:space="preserve">   Historia  </t>
  </si>
  <si>
    <t xml:space="preserve">   Trabajo Social</t>
  </si>
  <si>
    <t xml:space="preserve">   Psicología</t>
  </si>
  <si>
    <t xml:space="preserve">   Geografía</t>
  </si>
  <si>
    <t xml:space="preserve">   Antropología</t>
  </si>
  <si>
    <t xml:space="preserve"> Facultad de Derecho</t>
  </si>
  <si>
    <t xml:space="preserve"> Facultad de Educación</t>
  </si>
  <si>
    <t xml:space="preserve">   Administración Educativa</t>
  </si>
  <si>
    <t xml:space="preserve">   Formación Docente</t>
  </si>
  <si>
    <t xml:space="preserve">   Orient. y Educación Especial</t>
  </si>
  <si>
    <t xml:space="preserve">   Bibliotecología  Cs. Información</t>
  </si>
  <si>
    <t xml:space="preserve">   Educación Física y Deportes</t>
  </si>
  <si>
    <t>Area de Salud</t>
  </si>
  <si>
    <t xml:space="preserve"> Facultad de Farmacia</t>
  </si>
  <si>
    <t xml:space="preserve">   Esc. de Farmacia</t>
  </si>
  <si>
    <t xml:space="preserve">  Facultad de Medicina</t>
  </si>
  <si>
    <t xml:space="preserve">   Medicina</t>
  </si>
  <si>
    <t xml:space="preserve">   Enfermería</t>
  </si>
  <si>
    <t xml:space="preserve">   Salud Pública</t>
  </si>
  <si>
    <t xml:space="preserve">   Nutrición</t>
  </si>
  <si>
    <t xml:space="preserve">   Tecnologías en Salud</t>
  </si>
  <si>
    <t xml:space="preserve">  Facultad de Microbiología</t>
  </si>
  <si>
    <t xml:space="preserve">  Facultad de Odontología</t>
  </si>
  <si>
    <t>Area de Ciencias Agroalimentarias</t>
  </si>
  <si>
    <t xml:space="preserve">  Facultad de Agronomía</t>
  </si>
  <si>
    <t xml:space="preserve">   Economía Agrícola y Agronegocios</t>
  </si>
  <si>
    <t xml:space="preserve">   Agronomía</t>
  </si>
  <si>
    <t xml:space="preserve">   Zootecnia</t>
  </si>
  <si>
    <t xml:space="preserve">   Tecnología de Alimentos</t>
  </si>
  <si>
    <t>Area de Ingeniería y Arquitectura</t>
  </si>
  <si>
    <t xml:space="preserve">  Facultad de Ingeniería</t>
  </si>
  <si>
    <t xml:space="preserve">   Ingeniería Civil</t>
  </si>
  <si>
    <t xml:space="preserve">   Ingeniería Química</t>
  </si>
  <si>
    <t xml:space="preserve">   Ingeniería Eléctrica</t>
  </si>
  <si>
    <t xml:space="preserve">   Ingeniería Mecánica</t>
  </si>
  <si>
    <t xml:space="preserve">   Ingeniería Industrial</t>
  </si>
  <si>
    <t xml:space="preserve">   Arquitectura</t>
  </si>
  <si>
    <t xml:space="preserve">   Ingeniería Agricola</t>
  </si>
  <si>
    <t xml:space="preserve">   Cs. Computación e Información</t>
  </si>
  <si>
    <t xml:space="preserve">   Ingeniería Topográfíca </t>
  </si>
  <si>
    <t>Estudios Generales</t>
  </si>
  <si>
    <t>Apoyo a la Investigación</t>
  </si>
  <si>
    <t xml:space="preserve"> Servicios de Apoyo</t>
  </si>
  <si>
    <t xml:space="preserve">  Direcc. Editorial  y Difusión de la Invest. </t>
  </si>
  <si>
    <t xml:space="preserve">  Ofic. de Biblioteca Doc. e Información</t>
  </si>
  <si>
    <t xml:space="preserve">  Jardín Lankester</t>
  </si>
  <si>
    <t xml:space="preserve">  Est. Experimental Fabio Baudrit M.</t>
  </si>
  <si>
    <t xml:space="preserve">  Est. Experimental Alfredo Volio Mata</t>
  </si>
  <si>
    <t xml:space="preserve">  Laboratorio de Ensayos Biologicos</t>
  </si>
  <si>
    <t xml:space="preserve">  Finca de Producción Animal</t>
  </si>
  <si>
    <t xml:space="preserve">  Observatorio del Desarrollo</t>
  </si>
  <si>
    <t xml:space="preserve">  Unidad de Gestión y Transf. del Conoci.</t>
  </si>
  <si>
    <t xml:space="preserve">  Lab. de Materiales y Modelos Estrc.</t>
  </si>
  <si>
    <t xml:space="preserve">  Finca Exp. Interdis de Model Agrope</t>
  </si>
  <si>
    <t xml:space="preserve">  Red y Museos </t>
  </si>
  <si>
    <t xml:space="preserve"> Unidad Espec Invest de Areas Proteg.</t>
  </si>
  <si>
    <t>Centros e Inst. de Investigación</t>
  </si>
  <si>
    <t xml:space="preserve"> C. Inv. en Biolog. Celular y Molec.</t>
  </si>
  <si>
    <t xml:space="preserve"> C. Inv. en Cs. del Mar y Limnología</t>
  </si>
  <si>
    <t xml:space="preserve"> C. Inv. en Electroq. y Energ. Quím.</t>
  </si>
  <si>
    <t xml:space="preserve"> C. Inv. en Hem. Anorm. y Trast. Af.</t>
  </si>
  <si>
    <t xml:space="preserve"> C. Inv. en Productos Naturales</t>
  </si>
  <si>
    <t xml:space="preserve"> C. Inv. Geofísicas</t>
  </si>
  <si>
    <t xml:space="preserve"> C. Inv. en Enfermedades Tropicales</t>
  </si>
  <si>
    <t xml:space="preserve"> C. Inv. Históricas de América Central</t>
  </si>
  <si>
    <t xml:space="preserve"> C. Inv. en Contaminación Ambiental</t>
  </si>
  <si>
    <t xml:space="preserve"> C. Inv. Agronómicas</t>
  </si>
  <si>
    <t xml:space="preserve"> C. Inv. en Granos y Semillas</t>
  </si>
  <si>
    <t xml:space="preserve"> C. Inv. en Tecnología de Alimentos</t>
  </si>
  <si>
    <t xml:space="preserve"> I. Inv. en Ciencias Económicas</t>
  </si>
  <si>
    <t xml:space="preserve"> I. Inv. Psicológicas</t>
  </si>
  <si>
    <t xml:space="preserve"> I. Inv. En Educación</t>
  </si>
  <si>
    <t xml:space="preserve"> I. Inv. Sociales</t>
  </si>
  <si>
    <t xml:space="preserve"> I. Clodomiro Picado</t>
  </si>
  <si>
    <t xml:space="preserve"> I. Inv. en Salud</t>
  </si>
  <si>
    <t xml:space="preserve"> I. Inv. en Ingeniería </t>
  </si>
  <si>
    <t xml:space="preserve"> C. Inv. en Nutrición Animal</t>
  </si>
  <si>
    <t xml:space="preserve"> I. Inv. Agricolas</t>
  </si>
  <si>
    <t xml:space="preserve"> I. Inv. FilosófIcas</t>
  </si>
  <si>
    <t xml:space="preserve"> C. Inv. en Protección de Cultivo</t>
  </si>
  <si>
    <t xml:space="preserve"> C. Inv. en Ingeniería de Materiales</t>
  </si>
  <si>
    <t xml:space="preserve"> I. Inv. Farmaceuticas</t>
  </si>
  <si>
    <t>C. Inv. en Estudios de la Mujer</t>
  </si>
  <si>
    <t>C. Inv. en Desarrollo Sostenible</t>
  </si>
  <si>
    <t xml:space="preserve"> C. Inv. De identidad de Cultura Latinoamericana</t>
  </si>
  <si>
    <t>C. de Inv. Matemática y  Metamátematica</t>
  </si>
  <si>
    <t xml:space="preserve"> C. Inv. de Agro y Desarrollo Agroempresarial</t>
  </si>
  <si>
    <t xml:space="preserve"> Instituto de Inv. en Lingüística</t>
  </si>
  <si>
    <t>C. Inv. en Matemática Pura y Aplicada</t>
  </si>
  <si>
    <t xml:space="preserve"> I. Inv. Jurídicas</t>
  </si>
  <si>
    <t>C. Inv. en Estructuras Microscopicas</t>
  </si>
  <si>
    <t>Ctro de Inv. Espaciales</t>
  </si>
  <si>
    <t>Ctro de Inv. Atómicas, Nucle. y Molecul</t>
  </si>
  <si>
    <t>Ctro. Inv. y Capacitac. En Admin. Pública</t>
  </si>
  <si>
    <t>Ctro. Inv. en Ciencias Geológicas</t>
  </si>
  <si>
    <t>Ctro. Inv. y Estudios Políticos "J.M. Castro M"</t>
  </si>
  <si>
    <t>Ctro. Inv. Tecnol. Infor y Comunicación</t>
  </si>
  <si>
    <t>Ctro. Inv. en Comunicación</t>
  </si>
  <si>
    <t>Ctro. Inv. Sobre Diversidad Cult y Estud</t>
  </si>
  <si>
    <t>Ctro. Inv. en Neurociencias</t>
  </si>
  <si>
    <t xml:space="preserve"> I. Inv. en Arte</t>
  </si>
  <si>
    <t>Ctro.Inv. en Cs. del Movimiento Huma</t>
  </si>
  <si>
    <t>Ctro.Inv. Antropológicas</t>
  </si>
  <si>
    <t>Sistema de Estudios de Posgrado</t>
  </si>
  <si>
    <t xml:space="preserve"> Divulgación y Difusión</t>
  </si>
  <si>
    <t xml:space="preserve">  Semanario Universidad</t>
  </si>
  <si>
    <t xml:space="preserve">  Radio Universidad de Costa Rica </t>
  </si>
  <si>
    <t xml:space="preserve">  Canal 15</t>
  </si>
  <si>
    <t xml:space="preserve">  Oficina de Divulgación e Información</t>
  </si>
  <si>
    <t xml:space="preserve"> Apoyo a la Acción Social</t>
  </si>
  <si>
    <t xml:space="preserve">  Trabajo Comunal Universitario</t>
  </si>
  <si>
    <t xml:space="preserve">  Teatro Universistario</t>
  </si>
  <si>
    <t xml:space="preserve">  Extensión  Cultural</t>
  </si>
  <si>
    <t xml:space="preserve">  Servicios de Apoyo a la Acción Social</t>
  </si>
  <si>
    <t xml:space="preserve">  Unidades de Extensión Docente</t>
  </si>
  <si>
    <t xml:space="preserve">  Centro Infantil Laboratorio</t>
  </si>
  <si>
    <t xml:space="preserve"> Servicios de Apoyo de Vida Estudiantil</t>
  </si>
  <si>
    <t xml:space="preserve"> Oficina de Registro e información</t>
  </si>
  <si>
    <t xml:space="preserve"> Oficina de Becas y Atención Socioec.</t>
  </si>
  <si>
    <t xml:space="preserve"> Oficina de Orientación </t>
  </si>
  <si>
    <t xml:space="preserve"> Oficina de Bienestar y Salud</t>
  </si>
  <si>
    <t xml:space="preserve"> Adm. Financ. y de Personal</t>
  </si>
  <si>
    <t xml:space="preserve">  Oficina de Admistración Financiera</t>
  </si>
  <si>
    <t xml:space="preserve">  Oficina de Personal</t>
  </si>
  <si>
    <t xml:space="preserve"> Servicios </t>
  </si>
  <si>
    <t xml:space="preserve">  Oficina de Suministros</t>
  </si>
  <si>
    <t xml:space="preserve">  Unidad de Coordinación de Serv. Generales</t>
  </si>
  <si>
    <t xml:space="preserve">  Sección de Construc. y Mantenimiento</t>
  </si>
  <si>
    <t xml:space="preserve">  Sección de Correos</t>
  </si>
  <si>
    <t xml:space="preserve">  Sección de Transportes</t>
  </si>
  <si>
    <t xml:space="preserve">  Sección de Seguridad y Tránsito</t>
  </si>
  <si>
    <t xml:space="preserve">  Sección de Servicios Contratados</t>
  </si>
  <si>
    <t xml:space="preserve">  Sección de Mantenimiento de Maq. y Equipo</t>
  </si>
  <si>
    <t xml:space="preserve">  Servicios de Apoyo</t>
  </si>
  <si>
    <t xml:space="preserve"> Consejo Universitario</t>
  </si>
  <si>
    <t xml:space="preserve"> Rectoría</t>
  </si>
  <si>
    <t xml:space="preserve"> Vicerrectorías</t>
  </si>
  <si>
    <t xml:space="preserve">  Vicerrectoría de Docencia</t>
  </si>
  <si>
    <t xml:space="preserve">  Vicerrectoría de Investigación</t>
  </si>
  <si>
    <t xml:space="preserve">  Vicerrectoría de Acción Social</t>
  </si>
  <si>
    <t xml:space="preserve">  Vicerrectoría de Vida Estudiantil</t>
  </si>
  <si>
    <t xml:space="preserve">  Vicerrectoría de Administración</t>
  </si>
  <si>
    <t xml:space="preserve"> Decanatos</t>
  </si>
  <si>
    <t xml:space="preserve">  Decanato de Bellas Artes</t>
  </si>
  <si>
    <t xml:space="preserve">  Decanato de Letras</t>
  </si>
  <si>
    <t xml:space="preserve">  Decanato de Ciencias Básicas</t>
  </si>
  <si>
    <t xml:space="preserve">  Decanato de Ciencias Económicas</t>
  </si>
  <si>
    <t xml:space="preserve">  Decanato de Educación</t>
  </si>
  <si>
    <t xml:space="preserve">  Decanato de Ciencias Sociales</t>
  </si>
  <si>
    <t xml:space="preserve">  Decanato de Medicina</t>
  </si>
  <si>
    <t xml:space="preserve">  Decanato de Cs Agroalimentarias</t>
  </si>
  <si>
    <t xml:space="preserve">  Decanato de Ingeniería</t>
  </si>
  <si>
    <t xml:space="preserve"> Oficinas Administrativas</t>
  </si>
  <si>
    <t xml:space="preserve">  Oficina de Planificación Universitaria</t>
  </si>
  <si>
    <t xml:space="preserve">  Oficina de Contraloría</t>
  </si>
  <si>
    <t xml:space="preserve">  Oficina Jurídica</t>
  </si>
  <si>
    <t xml:space="preserve">  Oficina Ejecutora del Plan de Invers.</t>
  </si>
  <si>
    <t xml:space="preserve">  Oficina de Asuntos Internacionales</t>
  </si>
  <si>
    <t xml:space="preserve">  Centro de Informática</t>
  </si>
  <si>
    <t xml:space="preserve">  Tribunal Universitario</t>
  </si>
  <si>
    <t xml:space="preserve">   Unidades de Apoyo Académico</t>
  </si>
  <si>
    <t xml:space="preserve">   Recinto de  Golfito</t>
  </si>
  <si>
    <t xml:space="preserve">   Plaza de la Autonomía</t>
  </si>
  <si>
    <t xml:space="preserve">   Archivo Universitario</t>
  </si>
  <si>
    <t>Desarrollo Regional</t>
  </si>
  <si>
    <r>
      <t xml:space="preserve"> Sede Regional de Occidente</t>
    </r>
    <r>
      <rPr>
        <vertAlign val="superscript"/>
        <sz val="10"/>
        <rFont val="Arial"/>
        <family val="2"/>
      </rPr>
      <t xml:space="preserve"> 2/</t>
    </r>
  </si>
  <si>
    <t xml:space="preserve">  Docencia (San Ramón)</t>
  </si>
  <si>
    <t xml:space="preserve">  Investigación (San Ramón)</t>
  </si>
  <si>
    <t xml:space="preserve">  Acción Social (San Ramón)</t>
  </si>
  <si>
    <t xml:space="preserve">  Vida Estudiantil (San Ramón)</t>
  </si>
  <si>
    <t xml:space="preserve">  Administración (San Ramón) </t>
  </si>
  <si>
    <r>
      <t xml:space="preserve"> Sede Regional de Guanacaste </t>
    </r>
    <r>
      <rPr>
        <vertAlign val="superscript"/>
        <sz val="10"/>
        <rFont val="Arial"/>
        <family val="2"/>
      </rPr>
      <t>3/</t>
    </r>
  </si>
  <si>
    <t xml:space="preserve">  Docencia (Guanacaste) </t>
  </si>
  <si>
    <t xml:space="preserve">  Investigación (Guanacaste)</t>
  </si>
  <si>
    <t xml:space="preserve">  Acción Social (Guanacaste)</t>
  </si>
  <si>
    <t xml:space="preserve">  Vida Estudiantil (Guanacaste)</t>
  </si>
  <si>
    <t xml:space="preserve">  Administración (Guanacaste) </t>
  </si>
  <si>
    <r>
      <t xml:space="preserve"> Sede Regional del Atlántico </t>
    </r>
    <r>
      <rPr>
        <vertAlign val="superscript"/>
        <sz val="10"/>
        <rFont val="Arial"/>
        <family val="2"/>
      </rPr>
      <t>4/</t>
    </r>
  </si>
  <si>
    <t xml:space="preserve">  Docencia (Turrialba) </t>
  </si>
  <si>
    <t xml:space="preserve">  Investigación (Turrialba)  </t>
  </si>
  <si>
    <t xml:space="preserve">  Acción Social (Turrialba)  </t>
  </si>
  <si>
    <t xml:space="preserve">  Vida Estudiantil (Turrialba)  </t>
  </si>
  <si>
    <t xml:space="preserve">  Administración (Turrialba)   </t>
  </si>
  <si>
    <t xml:space="preserve"> Sede Regional del Caribe</t>
  </si>
  <si>
    <t xml:space="preserve">  Docencia (Caribe)</t>
  </si>
  <si>
    <t xml:space="preserve">  Investigación (Caribe)</t>
  </si>
  <si>
    <t xml:space="preserve">  Acción Social (Caribe)</t>
  </si>
  <si>
    <t xml:space="preserve">  Vida Estudiantil (Caribe)</t>
  </si>
  <si>
    <t xml:space="preserve">  Administración (Caribe)</t>
  </si>
  <si>
    <t xml:space="preserve"> Sede Regional del Pacífico</t>
  </si>
  <si>
    <t xml:space="preserve">  Docencia (Puntarenas)  </t>
  </si>
  <si>
    <t xml:space="preserve">  Investigación (Puntarenas)</t>
  </si>
  <si>
    <t xml:space="preserve">  Acción Social (Puntarenas)</t>
  </si>
  <si>
    <t xml:space="preserve">  Vida Estudiantil (Puntarenas)</t>
  </si>
  <si>
    <t xml:space="preserve">  Administración (Puntarenas)</t>
  </si>
  <si>
    <t xml:space="preserve">  Dirección Superior (Puntarenas)  </t>
  </si>
  <si>
    <r>
      <t xml:space="preserve">2/  </t>
    </r>
    <r>
      <rPr>
        <sz val="10"/>
        <rFont val="Arial"/>
        <family val="2"/>
      </rPr>
      <t>Incluyen el Recinto de Tacares Grecia.</t>
    </r>
  </si>
  <si>
    <r>
      <t xml:space="preserve">3/  </t>
    </r>
    <r>
      <rPr>
        <sz val="10"/>
        <rFont val="Arial"/>
        <family val="2"/>
      </rPr>
      <t>Incluyen el Recinto de Santa Cruz.</t>
    </r>
  </si>
  <si>
    <r>
      <t>4/</t>
    </r>
    <r>
      <rPr>
        <sz val="10"/>
        <rFont val="Arial"/>
        <family val="2"/>
      </rPr>
      <t xml:space="preserve"> Incluyen el Recinto de Paraiso y el de Guapiles.</t>
    </r>
  </si>
  <si>
    <t xml:space="preserve">     </t>
  </si>
  <si>
    <t xml:space="preserve">              Oficina de Planificación Universitaria. </t>
  </si>
  <si>
    <t xml:space="preserve">                       Universidad de Costa Rica</t>
  </si>
  <si>
    <t xml:space="preserve">                       Panorama Cuantitativo Universitario</t>
  </si>
  <si>
    <t xml:space="preserve">   Unidades              </t>
  </si>
  <si>
    <t>Primer ciclo</t>
  </si>
  <si>
    <t>Segundo ciclo</t>
  </si>
  <si>
    <t xml:space="preserve">                                      Tipo de</t>
  </si>
  <si>
    <r>
      <t xml:space="preserve">Total  </t>
    </r>
    <r>
      <rPr>
        <vertAlign val="superscript"/>
        <sz val="10"/>
        <rFont val="Arial"/>
        <family val="2"/>
      </rPr>
      <t>2/</t>
    </r>
  </si>
  <si>
    <t xml:space="preserve">Propiedad </t>
  </si>
  <si>
    <t xml:space="preserve">Interino  </t>
  </si>
  <si>
    <r>
      <t xml:space="preserve">Total   </t>
    </r>
    <r>
      <rPr>
        <vertAlign val="superscript"/>
        <sz val="10"/>
        <rFont val="Arial"/>
        <family val="2"/>
      </rPr>
      <t>2/</t>
    </r>
  </si>
  <si>
    <t>Propiedad</t>
  </si>
  <si>
    <t xml:space="preserve">                                       Nombramiento</t>
  </si>
  <si>
    <t xml:space="preserve">   abs.</t>
  </si>
  <si>
    <t xml:space="preserve">   %</t>
  </si>
  <si>
    <t>Universidad de Costa Rica</t>
  </si>
  <si>
    <t>Sede Rodrigo Facio</t>
  </si>
  <si>
    <t>Área de Artes y Letras</t>
  </si>
  <si>
    <t xml:space="preserve">Área de Ciencias </t>
  </si>
  <si>
    <t>Área de Ciencias Sociales</t>
  </si>
  <si>
    <t xml:space="preserve">   Antropología </t>
  </si>
  <si>
    <t xml:space="preserve">   Historia</t>
  </si>
  <si>
    <t xml:space="preserve">   Bibliotecas y Cs. Información</t>
  </si>
  <si>
    <t>Área de Salud</t>
  </si>
  <si>
    <t xml:space="preserve">  Facultad de Farmacia</t>
  </si>
  <si>
    <t xml:space="preserve">   Medicina </t>
  </si>
  <si>
    <t>Área de Ciencias Agroalimentarias</t>
  </si>
  <si>
    <t xml:space="preserve">  Facultad de Ciencias Agroalimentarias</t>
  </si>
  <si>
    <t xml:space="preserve">   Ingeniería Agrícola</t>
  </si>
  <si>
    <t xml:space="preserve">   Cs. Computación e Informática</t>
  </si>
  <si>
    <t>Recinto de Golfito</t>
  </si>
  <si>
    <t>Sede Interuniversitaria Alajuela</t>
  </si>
  <si>
    <t>Institutos de Investigación</t>
  </si>
  <si>
    <t>Centros de Investigación</t>
  </si>
  <si>
    <t>Estaciones Experimentales</t>
  </si>
  <si>
    <t>Sistema Estudios de Posgrado</t>
  </si>
  <si>
    <t>Sedes Regionales</t>
  </si>
  <si>
    <t xml:space="preserve">   Sede Regional de Occidente</t>
  </si>
  <si>
    <t xml:space="preserve">   Sede Regional del Atlántico </t>
  </si>
  <si>
    <t xml:space="preserve">   Sede Regional de Guanacaste</t>
  </si>
  <si>
    <t xml:space="preserve">   Sede Regional del Caribe</t>
  </si>
  <si>
    <t xml:space="preserve">   Sede Regional del Pacífico  </t>
  </si>
  <si>
    <t xml:space="preserve">Nota: Un docente puede tener un nombramiento interino y otro en propiedad en la misma Unidad Académica y tambiém en varias Unidades Académicas, por lo que se contabilizan </t>
  </si>
  <si>
    <t xml:space="preserve">todos sus nombramientos en el total de UCR. </t>
  </si>
  <si>
    <t>Fuente:  Centro de Evaluación Académica.</t>
  </si>
  <si>
    <t xml:space="preserve">                 Oficina de Planificación Universitaria.</t>
  </si>
  <si>
    <t xml:space="preserve">                              </t>
  </si>
  <si>
    <t>Ciclo        Nombramiento</t>
  </si>
  <si>
    <t xml:space="preserve">               Propiedad</t>
  </si>
  <si>
    <t xml:space="preserve">                Interinos</t>
  </si>
  <si>
    <t>Abs.</t>
  </si>
  <si>
    <t>I ciclo 2012</t>
  </si>
  <si>
    <t>II ciclo 2012</t>
  </si>
  <si>
    <t>I ciclo 2013</t>
  </si>
  <si>
    <t>II ciclo 2013</t>
  </si>
  <si>
    <t>I ciclo 2014</t>
  </si>
  <si>
    <t>II ciclo 2014</t>
  </si>
  <si>
    <t>I ciclo 2015</t>
  </si>
  <si>
    <t>II ciclo 2015</t>
  </si>
  <si>
    <t>I ciclo 2016</t>
  </si>
  <si>
    <t>II ciclo 2016</t>
  </si>
  <si>
    <t>I ciclo 2017</t>
  </si>
  <si>
    <t>II ciclo 2017</t>
  </si>
  <si>
    <t>I ciclo 2018</t>
  </si>
  <si>
    <t>II ciclo 2018</t>
  </si>
  <si>
    <t xml:space="preserve">              Oficina de Planificación Universitaria.</t>
  </si>
  <si>
    <t xml:space="preserve">                         Universidad de Costa Rica</t>
  </si>
  <si>
    <t xml:space="preserve">                         Panorama Cuantitativo Universitario</t>
  </si>
  <si>
    <t xml:space="preserve">                  </t>
  </si>
  <si>
    <t xml:space="preserve">     Unidades</t>
  </si>
  <si>
    <r>
      <t xml:space="preserve">            Total </t>
    </r>
    <r>
      <rPr>
        <vertAlign val="superscript"/>
        <sz val="10"/>
        <rFont val="Arial"/>
        <family val="2"/>
      </rPr>
      <t>1/</t>
    </r>
  </si>
  <si>
    <t>Catedrático</t>
  </si>
  <si>
    <t>Adjunto</t>
  </si>
  <si>
    <t>Asociado</t>
  </si>
  <si>
    <t>Instructor</t>
  </si>
  <si>
    <t xml:space="preserve">                                       Categoría</t>
  </si>
  <si>
    <t xml:space="preserve">        </t>
  </si>
  <si>
    <t>Área de Ciencias Básicas</t>
  </si>
  <si>
    <t xml:space="preserve">   Tecnologias en Salud</t>
  </si>
  <si>
    <t xml:space="preserve">                          Universidad de Costa Rica</t>
  </si>
  <si>
    <t xml:space="preserve">                          Panorama Cuantitativo Universitario</t>
  </si>
  <si>
    <t xml:space="preserve">Categoría                 </t>
  </si>
  <si>
    <t>Académica                     Año</t>
  </si>
  <si>
    <t>Fuente:   Centro de Evaluación Académica.</t>
  </si>
  <si>
    <t xml:space="preserve">               Oficina de Planificación Universitaria.</t>
  </si>
  <si>
    <t xml:space="preserve">                          </t>
  </si>
  <si>
    <t xml:space="preserve">   Unidades                  Grado</t>
  </si>
  <si>
    <t xml:space="preserve">                Doctor</t>
  </si>
  <si>
    <t xml:space="preserve">           Máster</t>
  </si>
  <si>
    <t xml:space="preserve">                Licenciado</t>
  </si>
  <si>
    <t xml:space="preserve">Bachiller </t>
  </si>
  <si>
    <t>Sin Información</t>
  </si>
  <si>
    <t xml:space="preserve">                                         Académico</t>
  </si>
  <si>
    <t xml:space="preserve">       </t>
  </si>
  <si>
    <t xml:space="preserve">Universidad de Costa Rica </t>
  </si>
  <si>
    <t xml:space="preserve">   Medicina  </t>
  </si>
  <si>
    <t>Área de Ingeniería y Arquitectura</t>
  </si>
  <si>
    <t>Sede Interuniversitaría de Alajuela</t>
  </si>
  <si>
    <t xml:space="preserve">  Institutos de Investigación</t>
  </si>
  <si>
    <t xml:space="preserve">  Centros de Investigación</t>
  </si>
  <si>
    <t xml:space="preserve">  Estaciones Experimentales</t>
  </si>
  <si>
    <t>Nota: Un docente puede tener un nombramiento interino y otro en propiedad en la misma Unidad Académica, y también en varias Unidades Académicas</t>
  </si>
  <si>
    <t xml:space="preserve">         por lo que se contabilizan todos sus nombramientos en el total de la UCR.</t>
  </si>
  <si>
    <t>1/  La distribución  vertical es con respecto al total de la Universidad y la horizontal es con respecto al total de la Unidad.</t>
  </si>
  <si>
    <t>Fuente:  Sección Técnica de Cargas Académicas.  Centro de Evaluación Académica.</t>
  </si>
  <si>
    <r>
      <t>Bachiller</t>
    </r>
    <r>
      <rPr>
        <vertAlign val="superscript"/>
        <sz val="10"/>
        <rFont val="Arial"/>
        <family val="2"/>
      </rPr>
      <t xml:space="preserve"> </t>
    </r>
  </si>
  <si>
    <t>Sin información</t>
  </si>
  <si>
    <t xml:space="preserve">   Técnologias en Salud</t>
  </si>
  <si>
    <t>Sede Interuniversitaria de Alajuela</t>
  </si>
  <si>
    <t>por lo que se contabilizan todos sus nombramientos en el total de la UCR.</t>
  </si>
  <si>
    <r>
      <t xml:space="preserve">Total </t>
    </r>
    <r>
      <rPr>
        <vertAlign val="superscript"/>
        <sz val="10"/>
        <rFont val="Arial"/>
        <family val="2"/>
      </rPr>
      <t>1/</t>
    </r>
  </si>
  <si>
    <t>Doctor</t>
  </si>
  <si>
    <t>Máster</t>
  </si>
  <si>
    <t>Licenciado</t>
  </si>
  <si>
    <t>Bachiller</t>
  </si>
  <si>
    <t xml:space="preserve">  Institutos de Investigación </t>
  </si>
  <si>
    <t xml:space="preserve">  Sistema Estudios de Posgrado</t>
  </si>
  <si>
    <t xml:space="preserve">Notas: Un docente puede tener un nombramiento interino y otro en propiedad en la misma Unidad Académica, y también en varias Unidades Académicas, por lo que </t>
  </si>
  <si>
    <t>se contabilizan todos sus nombramientos en el total de la UCR.</t>
  </si>
  <si>
    <t>2/ Total Universidad de Costa Rica según nombramientos.</t>
  </si>
  <si>
    <t xml:space="preserve">Sin Información </t>
  </si>
  <si>
    <t xml:space="preserve">   Tecnologías en  Salud</t>
  </si>
  <si>
    <t xml:space="preserve">   Ingeniería Topográfica </t>
  </si>
  <si>
    <t>Recinto de  Golfito</t>
  </si>
  <si>
    <t xml:space="preserve">   Unidades                  </t>
  </si>
  <si>
    <t xml:space="preserve">                Tiempo Completo</t>
  </si>
  <si>
    <t>3/4 de tiempo</t>
  </si>
  <si>
    <t>1/2  tiempo</t>
  </si>
  <si>
    <t>1/4 de tiempo</t>
  </si>
  <si>
    <t>Otras Jornadas</t>
  </si>
  <si>
    <t xml:space="preserve">                                         Jornada</t>
  </si>
  <si>
    <t>Recinto de Golfito Golfito</t>
  </si>
  <si>
    <t>Un docente puede tener jornadas en varias unidades académicas, y el total de la UCR considera sus jornadas en todas las Unidades Académicas donde tenga nombramiento.</t>
  </si>
  <si>
    <t>Sede Interunivers. Alajuela</t>
  </si>
  <si>
    <t xml:space="preserve">                         Universidad de Costa Rica </t>
  </si>
  <si>
    <t xml:space="preserve">   Sede Regional de Limón</t>
  </si>
  <si>
    <t>Especialidades Medicas</t>
  </si>
  <si>
    <t xml:space="preserve">  Institutos</t>
  </si>
  <si>
    <t xml:space="preserve">  Centros </t>
  </si>
  <si>
    <t xml:space="preserve"> Unidades                    </t>
  </si>
  <si>
    <r>
      <t>Total</t>
    </r>
    <r>
      <rPr>
        <vertAlign val="superscript"/>
        <sz val="10"/>
        <rFont val="Arial"/>
        <family val="2"/>
      </rPr>
      <t xml:space="preserve"> 1/</t>
    </r>
  </si>
  <si>
    <t xml:space="preserve">     Cargos Doc- Adm.</t>
  </si>
  <si>
    <t xml:space="preserve">                                       </t>
  </si>
  <si>
    <t xml:space="preserve">   Cs. de la comunicación Colectiva</t>
  </si>
  <si>
    <t xml:space="preserve">   Historia </t>
  </si>
  <si>
    <t xml:space="preserve">  Tecnologías en Salud</t>
  </si>
  <si>
    <t xml:space="preserve">   Ingeniería Topografíca </t>
  </si>
  <si>
    <t xml:space="preserve">   Estudios Generales</t>
  </si>
  <si>
    <t xml:space="preserve">   Recinto de Golfito</t>
  </si>
  <si>
    <t xml:space="preserve">   Sede Interuniversitaria Alajuela</t>
  </si>
  <si>
    <t>Institutos y Centros de Investigación</t>
  </si>
  <si>
    <t>Institutos</t>
  </si>
  <si>
    <t xml:space="preserve">   Ins. Inv. Ciencias Económicas  (IICE)</t>
  </si>
  <si>
    <t xml:space="preserve">   Ins. Inv. en  Arte (IIARTE) </t>
  </si>
  <si>
    <t xml:space="preserve">   Ins. Inv. Agricolas  (IIA)</t>
  </si>
  <si>
    <t xml:space="preserve">   Ins. Clodomiro Picado (ICP)</t>
  </si>
  <si>
    <t xml:space="preserve">   Ins. Inv. Ingeniería (IINI)</t>
  </si>
  <si>
    <t xml:space="preserve">   Ins. Inv. en  Educación (INIE) </t>
  </si>
  <si>
    <t xml:space="preserve">   Ins. Inv. Filosoficas  (INIF)</t>
  </si>
  <si>
    <t xml:space="preserve">   Ins. Inv. Psicológicas  (IIP)</t>
  </si>
  <si>
    <t xml:space="preserve">   Ins. Inv. Salud  (INISA)</t>
  </si>
  <si>
    <t xml:space="preserve">   Ins. Inv. Sociales  (IIS)</t>
  </si>
  <si>
    <t xml:space="preserve">   Ins. Inv. Linguísticas  (IIL)</t>
  </si>
  <si>
    <t xml:space="preserve">   Ins. Inv. Juridicas  (IIJ)</t>
  </si>
  <si>
    <t>Centros</t>
  </si>
  <si>
    <t xml:space="preserve">   Ctro. Inv. Agronómicas (CIA)</t>
  </si>
  <si>
    <t xml:space="preserve">   Ctro. Inv. Biol. Celular y Molecular (CIBCM)</t>
  </si>
  <si>
    <t xml:space="preserve">   Ctro. Inv. Cs. del Mar y Limnología (CIMAR)</t>
  </si>
  <si>
    <t xml:space="preserve">   Ctro. Inv. Contaminación Amb. (CICA)</t>
  </si>
  <si>
    <t xml:space="preserve">   Ctro. Inv. Enf. Tropicales  (CIET)</t>
  </si>
  <si>
    <t xml:space="preserve">   Ctro. Inv. Geofísicas (CIGEFI)</t>
  </si>
  <si>
    <t xml:space="preserve">   Ctro. Inv. Granos y Semillas (CIGRAS)</t>
  </si>
  <si>
    <t xml:space="preserve">   Ctro. Inv. Hem. Anorm. y Tras. Af. (CIHATA)</t>
  </si>
  <si>
    <t xml:space="preserve">   Ctro Inv. Hist. y Amér. Ctral (CIHAC)</t>
  </si>
  <si>
    <t xml:space="preserve">   Ctro. Inv. Nutrición Animal  (CINA)</t>
  </si>
  <si>
    <t xml:space="preserve">   Ctro. Inv. Productos Naturales (CIPRONA)</t>
  </si>
  <si>
    <t xml:space="preserve">   Ctro Nac. Ciencia y Tec. Alim (CITA)</t>
  </si>
  <si>
    <t xml:space="preserve">   Ctro Inv Estudios de la Mujer (CIEM)</t>
  </si>
  <si>
    <t xml:space="preserve">   Ctro. Inv. Matemática y Meta-Mat. (CIMM)</t>
  </si>
  <si>
    <t xml:space="preserve">   Ctro. Inv. Identidad y Cultura Latin (CICLA)</t>
  </si>
  <si>
    <t xml:space="preserve">   Ctro.Inv.Matemátic Pura Aplicada (CIMPA)</t>
  </si>
  <si>
    <t xml:space="preserve">   Ctro.Inv. en Ciencias Geológicas (CICG)</t>
  </si>
  <si>
    <t xml:space="preserve">   Ctro.inv.Estruct Microscopicas (CIEMIC)</t>
  </si>
  <si>
    <t xml:space="preserve">   Ctro. Inv. Electroq. y Energía Quimica (CELEQ)</t>
  </si>
  <si>
    <t xml:space="preserve">   Ctro. Inv. y Capacitac en Adminitr Pública (CICAP)</t>
  </si>
  <si>
    <t xml:space="preserve">   Ctro.Inv.en Observatorio del Desarrollo</t>
  </si>
  <si>
    <t xml:space="preserve">   Ctro.Investigaciones en Estudios Políticos (CIEP)</t>
  </si>
  <si>
    <t xml:space="preserve">   Ctro. Inv. y Est. Desarrollo Sostenible )CIEDES)</t>
  </si>
  <si>
    <t xml:space="preserve">   Ctro. Centroámericano de Población (CCP)</t>
  </si>
  <si>
    <t xml:space="preserve">   Ctro. Inv. en Movimiento Humano (CIMOHU)</t>
  </si>
  <si>
    <t xml:space="preserve">   Ctro. de Inv.  Espaciales (CINESPA)</t>
  </si>
  <si>
    <t xml:space="preserve">   Ctro. Inv. en en Protección de Cultivos (CIPROC)</t>
  </si>
  <si>
    <t xml:space="preserve">   Ctro. Inv. en Ciencias e Ing. de Materiales (CICIMA)</t>
  </si>
  <si>
    <t xml:space="preserve">   Ctro. Inv. en Comunicaciones (CICOM)</t>
  </si>
  <si>
    <t xml:space="preserve">   Ctro. Inv. Antropológicas (CIAN)</t>
  </si>
  <si>
    <t xml:space="preserve">   Laboratorio de Ensayos Biológicos (LEBI)</t>
  </si>
  <si>
    <t xml:space="preserve">   Jardín Lankester</t>
  </si>
  <si>
    <t xml:space="preserve">   Museo- UCR</t>
  </si>
  <si>
    <t xml:space="preserve">   Estac. Exp. Alfredo Volio Mata</t>
  </si>
  <si>
    <t xml:space="preserve">   Estac. Exp. Fabio Baudrit M.</t>
  </si>
  <si>
    <t xml:space="preserve">   Sede Regional del Pacífico</t>
  </si>
  <si>
    <t>Nota: Es la carga real asignada para ese ciclo.</t>
  </si>
  <si>
    <t xml:space="preserve">                        Universidad de Costa Rica</t>
  </si>
  <si>
    <t xml:space="preserve">                        Panorama Cuantitativo Universitario</t>
  </si>
  <si>
    <t xml:space="preserve">   Actividad         </t>
  </si>
  <si>
    <t xml:space="preserve">                                    Año</t>
  </si>
  <si>
    <t xml:space="preserve">   Total</t>
  </si>
  <si>
    <t xml:space="preserve">   Docencia</t>
  </si>
  <si>
    <t xml:space="preserve">   Investigación</t>
  </si>
  <si>
    <t xml:space="preserve">   Acción Social</t>
  </si>
  <si>
    <t xml:space="preserve">   Docente-Administrativo</t>
  </si>
  <si>
    <t>Nota:  Los datos incluyen las unidades docentes y los centros e institutos de investigación.</t>
  </si>
  <si>
    <t xml:space="preserve">          La carga que se presenta es la real asignada para ese ciclo.</t>
  </si>
  <si>
    <t xml:space="preserve">Fuente:  Sección de Cargas Académicas. Centro de Evaluación Académica.  </t>
  </si>
  <si>
    <t>Interino</t>
  </si>
  <si>
    <t xml:space="preserve">Asociado </t>
  </si>
  <si>
    <t>I Ciclo</t>
  </si>
  <si>
    <t>II Ciclo</t>
  </si>
  <si>
    <t xml:space="preserve">Master </t>
  </si>
  <si>
    <t xml:space="preserve">Doctor </t>
  </si>
  <si>
    <t>I ciclo</t>
  </si>
  <si>
    <t>II ciclo</t>
  </si>
  <si>
    <t>1/2 tiempo</t>
  </si>
  <si>
    <t>Tiempo Completo</t>
  </si>
  <si>
    <t>Doc-Administ.</t>
  </si>
  <si>
    <t>RECURSOS FINANCIEROS</t>
  </si>
  <si>
    <t>Cuadro RF1</t>
  </si>
  <si>
    <t>Cuadro RF2</t>
  </si>
  <si>
    <t>Cuadro RF3</t>
  </si>
  <si>
    <t>Cuadro RF4</t>
  </si>
  <si>
    <t>Clase de Ingreso</t>
  </si>
  <si>
    <t>2014</t>
  </si>
  <si>
    <t>2015</t>
  </si>
  <si>
    <t>2016</t>
  </si>
  <si>
    <t>2017</t>
  </si>
  <si>
    <t>2018</t>
  </si>
  <si>
    <t xml:space="preserve">  Total</t>
  </si>
  <si>
    <t>Fondos Corrientes</t>
  </si>
  <si>
    <r>
      <t xml:space="preserve">  FEES </t>
    </r>
    <r>
      <rPr>
        <vertAlign val="superscript"/>
        <sz val="10"/>
        <rFont val="Arial"/>
        <family val="2"/>
      </rPr>
      <t>1/</t>
    </r>
  </si>
  <si>
    <r>
      <t xml:space="preserve">  Otros Ingresos </t>
    </r>
    <r>
      <rPr>
        <vertAlign val="superscript"/>
        <sz val="10"/>
        <rFont val="Arial"/>
        <family val="2"/>
      </rPr>
      <t>2/</t>
    </r>
  </si>
  <si>
    <t>Empresas Auxiliares</t>
  </si>
  <si>
    <r>
      <t xml:space="preserve">Fondos Restringidos </t>
    </r>
    <r>
      <rPr>
        <vertAlign val="superscript"/>
        <sz val="10"/>
        <rFont val="Arial"/>
        <family val="2"/>
      </rPr>
      <t>3/</t>
    </r>
  </si>
  <si>
    <t xml:space="preserve">Cursos Especiales </t>
  </si>
  <si>
    <r>
      <t>2/</t>
    </r>
    <r>
      <rPr>
        <sz val="10"/>
        <rFont val="Arial"/>
        <family val="2"/>
      </rPr>
      <t xml:space="preserve">  Incluye entre otros el cobro de matrícula y otras transferencias del sector público y privado.</t>
    </r>
  </si>
  <si>
    <r>
      <t>3/</t>
    </r>
    <r>
      <rPr>
        <sz val="10"/>
        <rFont val="Arial"/>
        <family val="2"/>
      </rPr>
      <t xml:space="preserve"> Incluye el monto correspondiente de Fondos del Sistema provenientes del FEES, los cuales tienen un fin específico.</t>
    </r>
  </si>
  <si>
    <t>Clase de Egreso</t>
  </si>
  <si>
    <t>Programa</t>
  </si>
  <si>
    <t>Fondos Restringidos</t>
  </si>
  <si>
    <t>Cursos Especiales</t>
  </si>
  <si>
    <t>Prog. Posg. Financ. Comple</t>
  </si>
  <si>
    <t>Fondos Intraproyectos</t>
  </si>
  <si>
    <t>Fondo del Sist. (CONARE)</t>
  </si>
  <si>
    <t>Plan de Mejoramiento Inst.</t>
  </si>
  <si>
    <t>Inversiones</t>
  </si>
  <si>
    <t>Prog. Posg. Financia</t>
  </si>
  <si>
    <t>Complementario</t>
  </si>
  <si>
    <t>Fondos del Sistema</t>
  </si>
  <si>
    <t>(CONARE)</t>
  </si>
  <si>
    <t xml:space="preserve">Plan de Mejoramiento </t>
  </si>
  <si>
    <t>Institucional</t>
  </si>
  <si>
    <r>
      <t>1/</t>
    </r>
    <r>
      <rPr>
        <sz val="10"/>
        <color theme="1"/>
        <rFont val="Arial"/>
        <family val="2"/>
      </rPr>
      <t xml:space="preserve">  La distribución vertical es con respecto al total de la Universidad y  la horizontal es con respecto al total de la Unidad.</t>
    </r>
  </si>
  <si>
    <r>
      <t xml:space="preserve">1/ </t>
    </r>
    <r>
      <rPr>
        <sz val="10"/>
        <color theme="1"/>
        <rFont val="Arial"/>
        <family val="2"/>
      </rPr>
      <t xml:space="preserve"> La distribución  vertical es con respecto al total de la Universidad y la horizontal es con respecto al total de la Unidad.</t>
    </r>
  </si>
  <si>
    <r>
      <t>1/</t>
    </r>
    <r>
      <rPr>
        <sz val="10"/>
        <color theme="1"/>
        <rFont val="Arial"/>
        <family val="2"/>
      </rPr>
      <t xml:space="preserve">  La distribución  vertical es con respecto al total de la Universidad y la horizontal es con respecto al total de la Unidad.</t>
    </r>
  </si>
  <si>
    <t>DOCENCIA</t>
  </si>
  <si>
    <t>Plazas</t>
  </si>
  <si>
    <t>Cuadro D1</t>
  </si>
  <si>
    <t>Carreras, materias y créditos</t>
  </si>
  <si>
    <t>Cuadro D2</t>
  </si>
  <si>
    <t>Cuadro D3</t>
  </si>
  <si>
    <t>Cuadro D4</t>
  </si>
  <si>
    <t>Cuadro D5</t>
  </si>
  <si>
    <t>Cuadro D6</t>
  </si>
  <si>
    <t>Cuadro D7</t>
  </si>
  <si>
    <t>Cuadro D8</t>
  </si>
  <si>
    <t>Cuadro D9</t>
  </si>
  <si>
    <t>Cuadro D10</t>
  </si>
  <si>
    <t>Cuadro D11</t>
  </si>
  <si>
    <t>Cuadro D12</t>
  </si>
  <si>
    <t>Cuadro D13</t>
  </si>
  <si>
    <t>Cuadro D14</t>
  </si>
  <si>
    <t>Cuadro D15</t>
  </si>
  <si>
    <t>Graduados</t>
  </si>
  <si>
    <t>Cuadro D16</t>
  </si>
  <si>
    <t>Cuadro D17</t>
  </si>
  <si>
    <t>Cuadro D18</t>
  </si>
  <si>
    <t>Cuadro D19</t>
  </si>
  <si>
    <r>
      <t xml:space="preserve">2/  </t>
    </r>
    <r>
      <rPr>
        <sz val="10"/>
        <rFont val="Arial"/>
        <family val="2"/>
      </rPr>
      <t>Incluyen el Recinto de Santa Cruz.</t>
    </r>
  </si>
  <si>
    <t xml:space="preserve">                    Universidad de Costa Rica</t>
  </si>
  <si>
    <t xml:space="preserve">                    Panorama Cuantitativo Universitario</t>
  </si>
  <si>
    <t>Áreas</t>
  </si>
  <si>
    <t xml:space="preserve">Especialidades </t>
  </si>
  <si>
    <t>Doctorado</t>
  </si>
  <si>
    <t xml:space="preserve">                                      Posgrado </t>
  </si>
  <si>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</si>
  <si>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</si>
  <si>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</si>
  <si>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</si>
  <si>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</si>
  <si>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</si>
  <si>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Interdisciplinarias</t>
  </si>
  <si>
    <t>Fuente:  Sistema de Estudios de Posgrado</t>
  </si>
  <si>
    <t xml:space="preserve">            Oficina de Planificación Universitaria.</t>
  </si>
  <si>
    <t xml:space="preserve">                   Universidad de Costa Rica</t>
  </si>
  <si>
    <t xml:space="preserve">                   Panorama Cuantitativo Universitario</t>
  </si>
  <si>
    <t xml:space="preserve"> Unidades              Materias</t>
  </si>
  <si>
    <r>
      <t xml:space="preserve">            Total  </t>
    </r>
    <r>
      <rPr>
        <vertAlign val="superscript"/>
        <sz val="10"/>
        <rFont val="Arial"/>
        <family val="2"/>
      </rPr>
      <t>1/</t>
    </r>
  </si>
  <si>
    <t>Menos de 5</t>
  </si>
  <si>
    <t>de 5 a 9</t>
  </si>
  <si>
    <t>de 10 a 14</t>
  </si>
  <si>
    <t>de 15 a 19</t>
  </si>
  <si>
    <t>20 y más</t>
  </si>
  <si>
    <t xml:space="preserve">                              Aprobadas </t>
  </si>
  <si>
    <t xml:space="preserve">   % </t>
  </si>
  <si>
    <t xml:space="preserve">  Convenios Universidades Extranjeras</t>
  </si>
  <si>
    <r>
      <t>1/</t>
    </r>
    <r>
      <rPr>
        <sz val="10"/>
        <color theme="1"/>
        <rFont val="Arial"/>
        <family val="2"/>
      </rPr>
      <t xml:space="preserve">  La distribución vertical es con respecto al total de la Universidad, y la distribución horizontal es con respecto al total de la Unidad.</t>
    </r>
  </si>
  <si>
    <t xml:space="preserve"> Especialidad                  Materias</t>
  </si>
  <si>
    <t xml:space="preserve">       Menos de 5</t>
  </si>
  <si>
    <t xml:space="preserve">         de 5 a 9</t>
  </si>
  <si>
    <t xml:space="preserve">        de 10 a 14</t>
  </si>
  <si>
    <t xml:space="preserve">       de 15 a 19</t>
  </si>
  <si>
    <t xml:space="preserve">         20 y más</t>
  </si>
  <si>
    <t xml:space="preserve">                                            Matriculadas</t>
  </si>
  <si>
    <t xml:space="preserve">Doctorados </t>
  </si>
  <si>
    <t xml:space="preserve">   Ciencias</t>
  </si>
  <si>
    <t xml:space="preserve">   Educación</t>
  </si>
  <si>
    <t xml:space="preserve">   Estudios de la Sociedad y la Cultura</t>
  </si>
  <si>
    <t xml:space="preserve">   Ingeniería</t>
  </si>
  <si>
    <t>Maestrías</t>
  </si>
  <si>
    <t xml:space="preserve">  Administración Pública</t>
  </si>
  <si>
    <t xml:space="preserve">  Administración Universitaria</t>
  </si>
  <si>
    <t xml:space="preserve">  Administración y Dirección</t>
  </si>
  <si>
    <t xml:space="preserve">  Antropología</t>
  </si>
  <si>
    <t xml:space="preserve">  Arquitectura</t>
  </si>
  <si>
    <t xml:space="preserve">  Artes</t>
  </si>
  <si>
    <t xml:space="preserve">  Bibliotecología</t>
  </si>
  <si>
    <t xml:space="preserve">  Biología</t>
  </si>
  <si>
    <t xml:space="preserve">  Biosistemas</t>
  </si>
  <si>
    <t xml:space="preserve">  Ciencia de Alimentos</t>
  </si>
  <si>
    <t xml:space="preserve">  Ciencias Biomédicas</t>
  </si>
  <si>
    <t xml:space="preserve">  Ciencias Cognoscitivas</t>
  </si>
  <si>
    <t xml:space="preserve">  Ciencias de la Atmósfera</t>
  </si>
  <si>
    <t xml:space="preserve">  Ciencias de la Educación</t>
  </si>
  <si>
    <t xml:space="preserve">  Ciencias Médicas</t>
  </si>
  <si>
    <t xml:space="preserve">  Ciencias Políticas</t>
  </si>
  <si>
    <t xml:space="preserve">  Computación e Informática</t>
  </si>
  <si>
    <t xml:space="preserve">  Comunicación</t>
  </si>
  <si>
    <t xml:space="preserve">  Cs. Agrícolas y Recur. Naturales</t>
  </si>
  <si>
    <t xml:space="preserve">  Cs. del Movimiento Humano</t>
  </si>
  <si>
    <t xml:space="preserve">  Economía</t>
  </si>
  <si>
    <t xml:space="preserve">  Educación</t>
  </si>
  <si>
    <t xml:space="preserve">  Enfermería</t>
  </si>
  <si>
    <t xml:space="preserve">  Enseñanza del Ingles</t>
  </si>
  <si>
    <t xml:space="preserve">  Español como Segunda Lengua</t>
  </si>
  <si>
    <t xml:space="preserve">  Estadística</t>
  </si>
  <si>
    <t xml:space="preserve">  Estudios de la Mujer</t>
  </si>
  <si>
    <t xml:space="preserve">  Estudios Interdisciplinarios</t>
  </si>
  <si>
    <t xml:space="preserve">  Estudios de Posgrado</t>
  </si>
  <si>
    <t xml:space="preserve">  Evaluación de Prog. Proyectos</t>
  </si>
  <si>
    <t xml:space="preserve">  Farmacia</t>
  </si>
  <si>
    <t xml:space="preserve">  Filosofía</t>
  </si>
  <si>
    <t xml:space="preserve">  Física</t>
  </si>
  <si>
    <t xml:space="preserve">  Geografía</t>
  </si>
  <si>
    <t xml:space="preserve">  Geología</t>
  </si>
  <si>
    <t xml:space="preserve">  Gerencia Agroempresarial</t>
  </si>
  <si>
    <t xml:space="preserve">  Gerontología</t>
  </si>
  <si>
    <t xml:space="preserve">  Gestión Ambiental y Ecoturismo</t>
  </si>
  <si>
    <t xml:space="preserve">  Gestión Integrada Areas Costeras Tropic. </t>
  </si>
  <si>
    <t xml:space="preserve">  Gobierno y Políticas Públicas</t>
  </si>
  <si>
    <t xml:space="preserve">  Historia</t>
  </si>
  <si>
    <t xml:space="preserve">  Ingeniería Civil</t>
  </si>
  <si>
    <t xml:space="preserve">  Ingeniería Eléctrica</t>
  </si>
  <si>
    <t xml:space="preserve">  Ingeniería Industrial</t>
  </si>
  <si>
    <t xml:space="preserve">  Ingeniería Mecánica</t>
  </si>
  <si>
    <t xml:space="preserve">  Ingeniería Química</t>
  </si>
  <si>
    <t xml:space="preserve">  Lingüística</t>
  </si>
  <si>
    <t xml:space="preserve">  Literatura</t>
  </si>
  <si>
    <t xml:space="preserve">  Matemática</t>
  </si>
  <si>
    <t xml:space="preserve">  Microb. Parasitol. y Química Clínica</t>
  </si>
  <si>
    <t xml:space="preserve">  Nutrición Humana</t>
  </si>
  <si>
    <t xml:space="preserve">  Odontología</t>
  </si>
  <si>
    <t xml:space="preserve">  Planeación Curricular</t>
  </si>
  <si>
    <t xml:space="preserve">  Psicología</t>
  </si>
  <si>
    <t xml:space="preserve">  Química</t>
  </si>
  <si>
    <t xml:space="preserve">  Salud Pública</t>
  </si>
  <si>
    <t xml:space="preserve">  Sociología</t>
  </si>
  <si>
    <t xml:space="preserve">  Tecnología de la Información</t>
  </si>
  <si>
    <t xml:space="preserve">  Trabajo Social</t>
  </si>
  <si>
    <t>Especialidades</t>
  </si>
  <si>
    <t xml:space="preserve">  Derecho</t>
  </si>
  <si>
    <t xml:space="preserve">  Medicina</t>
  </si>
  <si>
    <t xml:space="preserve">  Medicina Legal y Forence</t>
  </si>
  <si>
    <t xml:space="preserve">  Microbiologia</t>
  </si>
  <si>
    <t xml:space="preserve">   Ciencias de la Educación</t>
  </si>
  <si>
    <t xml:space="preserve">   Derecho</t>
  </si>
  <si>
    <t xml:space="preserve">   Desarrollo Integral</t>
  </si>
  <si>
    <t xml:space="preserve">   Desarrollo Sostenible</t>
  </si>
  <si>
    <t xml:space="preserve">   Enseñanza del Castellano</t>
  </si>
  <si>
    <t xml:space="preserve">   Enseñanza del Ingles</t>
  </si>
  <si>
    <t xml:space="preserve">   Gerencia Agroempresarial</t>
  </si>
  <si>
    <t xml:space="preserve">   Planificación Curricular</t>
  </si>
  <si>
    <t xml:space="preserve"> Unidades                        Materias</t>
  </si>
  <si>
    <t xml:space="preserve">                                           Aprobadas </t>
  </si>
  <si>
    <t xml:space="preserve">   Recinto de Golfito </t>
  </si>
  <si>
    <t xml:space="preserve">   Sede Regional de Caribe</t>
  </si>
  <si>
    <r>
      <t xml:space="preserve">1/ </t>
    </r>
    <r>
      <rPr>
        <sz val="10"/>
        <color theme="1"/>
        <rFont val="Arial"/>
        <family val="2"/>
      </rPr>
      <t xml:space="preserve"> La distribución vertical es con respecto al total de la Universidad, y la distribución horizontal es con respecto al total de la Unidad.</t>
    </r>
  </si>
  <si>
    <t>Especialidad                   Materias</t>
  </si>
  <si>
    <t xml:space="preserve">         de 10 a 14</t>
  </si>
  <si>
    <t xml:space="preserve">         15 y más</t>
  </si>
  <si>
    <t xml:space="preserve">                                             Aprobadas</t>
  </si>
  <si>
    <t xml:space="preserve">                      Panorama Cuantitativo Universitario            </t>
  </si>
  <si>
    <t xml:space="preserve"> Clase de                </t>
  </si>
  <si>
    <t>2012</t>
  </si>
  <si>
    <t>2013</t>
  </si>
  <si>
    <t xml:space="preserve">    Ingreso                    Año</t>
  </si>
  <si>
    <r>
      <t>%</t>
    </r>
    <r>
      <rPr>
        <vertAlign val="superscript"/>
        <sz val="10"/>
        <color indexed="8"/>
        <rFont val="Arial"/>
        <family val="2"/>
      </rPr>
      <t>1/</t>
    </r>
  </si>
  <si>
    <r>
      <t>%</t>
    </r>
    <r>
      <rPr>
        <vertAlign val="superscript"/>
        <sz val="10"/>
        <color indexed="8"/>
        <rFont val="Arial"/>
        <family val="2"/>
      </rPr>
      <t>2/</t>
    </r>
  </si>
  <si>
    <t>*******</t>
  </si>
  <si>
    <t>Total de Ingresos</t>
  </si>
  <si>
    <t>******</t>
  </si>
  <si>
    <t>Ingresos Corrientes</t>
  </si>
  <si>
    <t>*****</t>
  </si>
  <si>
    <t>Ingresos Tributarios</t>
  </si>
  <si>
    <t>****</t>
  </si>
  <si>
    <t>Impuesto sobre Bienes y Servicios</t>
  </si>
  <si>
    <t>***</t>
  </si>
  <si>
    <t>**</t>
  </si>
  <si>
    <t>Impuestos Específicos sobre la Producción y Consumo de Bienes</t>
  </si>
  <si>
    <t>*</t>
  </si>
  <si>
    <t>Impuesto Especif sobre la Explot de Recursos Natu y Minerales</t>
  </si>
  <si>
    <t>Derechos de Pesca del atún  Ley nº 8436</t>
  </si>
  <si>
    <t>Otros impuestos especif sobre la produc y consumo de bienes</t>
  </si>
  <si>
    <t>Control Calid. Alimentos  CINA. Ley 6883</t>
  </si>
  <si>
    <t>Otros Ingresos Tributarios</t>
  </si>
  <si>
    <t>Ingresos Tributarios Diversos</t>
  </si>
  <si>
    <t>Timbre de Educacion y Cultura</t>
  </si>
  <si>
    <t>Timbre Topográfico Ley n° 5361</t>
  </si>
  <si>
    <t>Ingresos no Tributarios</t>
  </si>
  <si>
    <t>Venta de Bienes y Servicios</t>
  </si>
  <si>
    <t>Venta de Bienes</t>
  </si>
  <si>
    <t>Venta de otros Bienes Manufacturados</t>
  </si>
  <si>
    <t>Productos Oficina de Coordinacion Edit.</t>
  </si>
  <si>
    <t>Productos Semanario Universidad</t>
  </si>
  <si>
    <t>Venta de otros Bienes</t>
  </si>
  <si>
    <t>Venta de Bienes Empresas Auxiliares</t>
  </si>
  <si>
    <t>Venta de Servicios</t>
  </si>
  <si>
    <t>Alquileres</t>
  </si>
  <si>
    <t>Alquiler de Edificios e Instalaciones</t>
  </si>
  <si>
    <t>Alquiler de Soda y Fotocopiadora</t>
  </si>
  <si>
    <t>Otros Servicios</t>
  </si>
  <si>
    <t>Servicios Médicos Asistenciales</t>
  </si>
  <si>
    <t>Servicios Dentales</t>
  </si>
  <si>
    <t>Servicios de Publicidad e Impresión</t>
  </si>
  <si>
    <t>Publicidad Semanario Universidad</t>
  </si>
  <si>
    <t>Venta de Otros Servicios</t>
  </si>
  <si>
    <t>Servicios Fondos Restringidos</t>
  </si>
  <si>
    <t>Servicios Fondos Intraproyectos</t>
  </si>
  <si>
    <t>Servicios Administrativos</t>
  </si>
  <si>
    <t>Servicios de Fotocopiado</t>
  </si>
  <si>
    <t>Servicios Varios</t>
  </si>
  <si>
    <t>Venta de Servicios Empresas Auxiliares</t>
  </si>
  <si>
    <t>Fondo Solidario CIUS</t>
  </si>
  <si>
    <t>Fotocopias de expedientes</t>
  </si>
  <si>
    <t>Servicios Radio U</t>
  </si>
  <si>
    <t>Servicios Canal 15</t>
  </si>
  <si>
    <t>Servicios Semanario Universidad</t>
  </si>
  <si>
    <t>Servicios Impresión SIEDIN</t>
  </si>
  <si>
    <t>Material quebrado</t>
  </si>
  <si>
    <t>Derechos Administrativos</t>
  </si>
  <si>
    <t>Derechos Administrativos a Otros Servicios Publicos</t>
  </si>
  <si>
    <t>Derechos Administrativos a los Servicios De  Educación</t>
  </si>
  <si>
    <t>Derecho y Confección Carne Universitario</t>
  </si>
  <si>
    <t>Derechos de  Exámenes</t>
  </si>
  <si>
    <t>Derechos de  Examen de  Admisión</t>
  </si>
  <si>
    <t>Derechos de  Incorporación y Titulo</t>
  </si>
  <si>
    <t>Derechos de  Matricula  Corriente</t>
  </si>
  <si>
    <t>Derechos de  Marchamo</t>
  </si>
  <si>
    <t>Derechos de  Matricula, Cursos Especiales</t>
  </si>
  <si>
    <t>Derechos de  Laboratorio</t>
  </si>
  <si>
    <t>Derechos de  Matricula, Est. de  Posgrado</t>
  </si>
  <si>
    <t>Derechos de  Certificaciones</t>
  </si>
  <si>
    <t>Convenio Articulación Y Cooperación OPES-CONARE</t>
  </si>
  <si>
    <t>Supernumerario</t>
  </si>
  <si>
    <t>Inscripción a Seminarios y Congresos</t>
  </si>
  <si>
    <t>Ingresos Intersede  de  Alajuela</t>
  </si>
  <si>
    <t>Fondo Solidario Estudiantil</t>
  </si>
  <si>
    <t>Carne Funcionario UCR</t>
  </si>
  <si>
    <t>Diplomado en Histotecnología</t>
  </si>
  <si>
    <t>Diplomado en Citotecnología</t>
  </si>
  <si>
    <t>Derechos de  Cuota de  Bienestar Estudiantl</t>
  </si>
  <si>
    <t>Cuota Bienestar Estudiantil</t>
  </si>
  <si>
    <t>Cuota Estudiantil Asoc. Deportiva</t>
  </si>
  <si>
    <t>Cuota Estudiantil Eventos Deportivos</t>
  </si>
  <si>
    <t>Cuota Estudiantil FEUCR</t>
  </si>
  <si>
    <t>Cuota Estudiantil Grupos Cult. y Dep.</t>
  </si>
  <si>
    <t>Ingresos de La Propiedad</t>
  </si>
  <si>
    <t>Renta de Activos Financieros</t>
  </si>
  <si>
    <t>Intereses Sobre Títulos Valores</t>
  </si>
  <si>
    <t xml:space="preserve">Intereses Sobre Títulos Valores de Instit Publicas Financieras </t>
  </si>
  <si>
    <t>Intereses Sobre Inv. Emp. Pub. Financ.</t>
  </si>
  <si>
    <t>Intereses sobre saldos Cuentas Corrientes</t>
  </si>
  <si>
    <t>Intereses Sobre Bonos  Emp. Pub. Financ.</t>
  </si>
  <si>
    <t>Intereses Sobre Prestamos</t>
  </si>
  <si>
    <t>Multas, Sanciones, Remates y Confiscaciones</t>
  </si>
  <si>
    <t>Multas y Sanciones</t>
  </si>
  <si>
    <t xml:space="preserve">Otras Multas </t>
  </si>
  <si>
    <t>Deudas de Biblioteca</t>
  </si>
  <si>
    <t>Recargos por Matrícula</t>
  </si>
  <si>
    <t>Sanciones Administrativas</t>
  </si>
  <si>
    <t>Otros Ingresos No Tributarios</t>
  </si>
  <si>
    <t>Reintegros en Efectivo</t>
  </si>
  <si>
    <t>Depósitos Bancarios No Especificados</t>
  </si>
  <si>
    <t>Diferencias por Tipo de Cambio</t>
  </si>
  <si>
    <t>Revaloración Inversiones en Dólares</t>
  </si>
  <si>
    <t>Revaloración en Dólares Fondos Restringidos</t>
  </si>
  <si>
    <t>Venta de Activos</t>
  </si>
  <si>
    <t>Fondo Estudiantil Apoyo Estudiantes</t>
  </si>
  <si>
    <t>Descuentos por Pronto Pago</t>
  </si>
  <si>
    <t>Descuentos por Pronto Pago Banco Mundial</t>
  </si>
  <si>
    <t>Otros Ingresos</t>
  </si>
  <si>
    <t>Cheques prescritos</t>
  </si>
  <si>
    <t>Ingresos Varios no Especificados</t>
  </si>
  <si>
    <t>Indemnizaciones Del INS</t>
  </si>
  <si>
    <t>Transferencias Corrientes</t>
  </si>
  <si>
    <t>Transferencias Corrientes del Sector Público</t>
  </si>
  <si>
    <t>Transferencias Corrientes del Gobierno Central</t>
  </si>
  <si>
    <t>Subvención Estatal-Fondo Educ. Superior</t>
  </si>
  <si>
    <t>Transferencia MEP / Banco Mundial</t>
  </si>
  <si>
    <t>Subvención Estatal-Ley Nº 7386</t>
  </si>
  <si>
    <t>Aporte Poder Judicial Consultorios Jurídicos</t>
  </si>
  <si>
    <t>MAG-UCR CITA Ley 7147</t>
  </si>
  <si>
    <t>Medición y Calculo Gravedad Absoluta CR</t>
  </si>
  <si>
    <t>Convenio MUCIT-UCR-CITA-MAG</t>
  </si>
  <si>
    <t>Convenio UCR-Defensoria Habit y Consult Juríd</t>
  </si>
  <si>
    <t>MAG-UCR Sede Regional de Limón Ley 7277</t>
  </si>
  <si>
    <t>Transferencias Corrientes de Empresas Públicas no Financieras</t>
  </si>
  <si>
    <t>Subvención Estatal-Jpssj-Renta Lot. Nac.</t>
  </si>
  <si>
    <t>Transferencias Corrientes de Organos Desconcentrados</t>
  </si>
  <si>
    <t>Comisión Nacional de Prevención de Riesgo y Atención de Emergen</t>
  </si>
  <si>
    <t>Subvención Estatal-Impuesto Gasolina</t>
  </si>
  <si>
    <t>Transfer Corrientes de Instituc Decentral no Empresariales</t>
  </si>
  <si>
    <t>Transferencia Universidad Nacional</t>
  </si>
  <si>
    <t>Transferencia de CONARE</t>
  </si>
  <si>
    <t>Transferencia CONARE - MEP</t>
  </si>
  <si>
    <t>Transferencia UNED</t>
  </si>
  <si>
    <t>C.C.S.S. Diplomado en Citotecnología</t>
  </si>
  <si>
    <t>Transferencias CONARE</t>
  </si>
  <si>
    <t>Transferencias Incopesca Ley de Pesca No. 8436</t>
  </si>
  <si>
    <t>Transferencia de CONARE F.R. Inventario Infraestructura</t>
  </si>
  <si>
    <t>Transferencias Corrientes Del Sector Privado</t>
  </si>
  <si>
    <t>Aportes Varios para Fondos Restr.</t>
  </si>
  <si>
    <t xml:space="preserve">Transferencias Corrientes del Sector Externo </t>
  </si>
  <si>
    <t>Aporte Varios Transf. Corrientes Sector Externo</t>
  </si>
  <si>
    <t>Ingresos de Capital</t>
  </si>
  <si>
    <t>Venta de Terrenos</t>
  </si>
  <si>
    <t>Tranferencia de Capital</t>
  </si>
  <si>
    <t>Transferencia de Capital del Gobierno</t>
  </si>
  <si>
    <t>Subvención Estatal- Impuesto Gasolina</t>
  </si>
  <si>
    <t>Transferencia de Órganos Desconcentrados</t>
  </si>
  <si>
    <t>Renovación de la Red de Lab. de Ingeniría Sismológica</t>
  </si>
  <si>
    <t>Equipamiento y foetalec. de la Red Sismológica Nacional</t>
  </si>
  <si>
    <t>Recuperación de Prestamos</t>
  </si>
  <si>
    <t>Recup. Prestamos Al Sector Privado</t>
  </si>
  <si>
    <t>20% Reintegro Becas A Profesores</t>
  </si>
  <si>
    <t>Incumplimiento Contrato De Becas</t>
  </si>
  <si>
    <t>Prestamos a Profesores</t>
  </si>
  <si>
    <t>Prestamos Corto Plazo Estudiantes</t>
  </si>
  <si>
    <t>Prestamos Largo Plazo Estudiantes</t>
  </si>
  <si>
    <t>Financiamiento</t>
  </si>
  <si>
    <t>Recursos de Vigencias Anteriores</t>
  </si>
  <si>
    <t>Supervit Libre</t>
  </si>
  <si>
    <t>Superávit  Fondos Corrientes</t>
  </si>
  <si>
    <t>Superávit Específico</t>
  </si>
  <si>
    <t>Superávit Compromisos de Presupuesto</t>
  </si>
  <si>
    <t>Superávit Compromet Fdos Corrientes</t>
  </si>
  <si>
    <t>Superávit Compromet Fdos Restr.</t>
  </si>
  <si>
    <t>Superávit Específico. Fondos Restr.</t>
  </si>
  <si>
    <t>Superávit Compromet Fdos Intraproyectos</t>
  </si>
  <si>
    <t>Superávit Específico. Fdos Intraproyectos</t>
  </si>
  <si>
    <t>Superávit Compromet Fdos del Sistema CONARE</t>
  </si>
  <si>
    <t>Superávit Específico.Fdos del Sistema CONARE</t>
  </si>
  <si>
    <t>Superávit Compromet Cursos Espec.</t>
  </si>
  <si>
    <t>Superávit Compromet Empresas Auxiliares</t>
  </si>
  <si>
    <t>Superávit Específico. Empresa auxiliar</t>
  </si>
  <si>
    <t>Superávit Específico. Cursos Especiales.</t>
  </si>
  <si>
    <t>Superávit Compromet Prog. Posg. Finac. Comp.</t>
  </si>
  <si>
    <t>Superávit Específico Prog. Posg. Finac. Comp.</t>
  </si>
  <si>
    <t>Superávit Compromet P.M.I.</t>
  </si>
  <si>
    <t>Fondo Desarrollo Institucional</t>
  </si>
  <si>
    <t>Fondo Desarrollo Institucional FUNDEVI</t>
  </si>
  <si>
    <t xml:space="preserve">             Oficina de Planificación Universitaria.</t>
  </si>
  <si>
    <t>2015 - 2016</t>
  </si>
  <si>
    <t>2016 - 2017</t>
  </si>
  <si>
    <t>2017 - 2018</t>
  </si>
  <si>
    <t xml:space="preserve">                        Panorama Cuantitativo Universitario </t>
  </si>
  <si>
    <t>De 1 a</t>
  </si>
  <si>
    <t>De 12 a</t>
  </si>
  <si>
    <t xml:space="preserve">De 24 a </t>
  </si>
  <si>
    <t xml:space="preserve">                                  Créditos</t>
  </si>
  <si>
    <r>
      <t xml:space="preserve">Total  </t>
    </r>
    <r>
      <rPr>
        <vertAlign val="superscript"/>
        <sz val="10"/>
        <rFont val="Arial"/>
        <family val="2"/>
      </rPr>
      <t>1/</t>
    </r>
  </si>
  <si>
    <r>
      <t xml:space="preserve">Cero créditos </t>
    </r>
    <r>
      <rPr>
        <vertAlign val="superscript"/>
        <sz val="10"/>
        <rFont val="Arial"/>
        <family val="2"/>
      </rPr>
      <t>2/</t>
    </r>
  </si>
  <si>
    <t>menos de 12</t>
  </si>
  <si>
    <t xml:space="preserve">menos de 24 </t>
  </si>
  <si>
    <t>menos de 36</t>
  </si>
  <si>
    <t>36 y más</t>
  </si>
  <si>
    <t xml:space="preserve">                                       Matriculados</t>
  </si>
  <si>
    <t xml:space="preserve"> Estudios Generales</t>
  </si>
  <si>
    <t>Convenios Universidades Extranjeras</t>
  </si>
  <si>
    <r>
      <t>2/</t>
    </r>
    <r>
      <rPr>
        <sz val="10"/>
        <color theme="1"/>
        <rFont val="Arial"/>
        <family val="2"/>
      </rPr>
      <t xml:space="preserve">  Corresponde a las materias que no tienen créditos, tales como: Seminarios de Graduación y las Deportivas.</t>
    </r>
  </si>
  <si>
    <t>Especialidad</t>
  </si>
  <si>
    <t xml:space="preserve">         De 1 a</t>
  </si>
  <si>
    <t xml:space="preserve">       De 12 a</t>
  </si>
  <si>
    <t xml:space="preserve">      De 24 a </t>
  </si>
  <si>
    <t xml:space="preserve">                                    Créditos</t>
  </si>
  <si>
    <r>
      <t xml:space="preserve">           Total  </t>
    </r>
    <r>
      <rPr>
        <vertAlign val="superscript"/>
        <sz val="10"/>
        <rFont val="Arial"/>
        <family val="2"/>
      </rPr>
      <t>1/</t>
    </r>
  </si>
  <si>
    <t xml:space="preserve">   Cero créditos 2/</t>
  </si>
  <si>
    <t xml:space="preserve">     menos de 12</t>
  </si>
  <si>
    <t xml:space="preserve">    menos de 24 </t>
  </si>
  <si>
    <t xml:space="preserve">    menos de 36</t>
  </si>
  <si>
    <t xml:space="preserve">         36 y más</t>
  </si>
  <si>
    <t xml:space="preserve">                                         Matriculados</t>
  </si>
  <si>
    <t xml:space="preserve">                     Universidad de Costa Rica</t>
  </si>
  <si>
    <t xml:space="preserve">                     Panorama Cuantitativo Universitario</t>
  </si>
  <si>
    <t xml:space="preserve">                                     Créditos</t>
  </si>
  <si>
    <r>
      <t xml:space="preserve">          Total </t>
    </r>
    <r>
      <rPr>
        <vertAlign val="superscript"/>
        <sz val="10"/>
        <rFont val="Arial"/>
        <family val="2"/>
      </rPr>
      <t>1/</t>
    </r>
  </si>
  <si>
    <r>
      <t xml:space="preserve">    Cero créditos </t>
    </r>
    <r>
      <rPr>
        <vertAlign val="superscript"/>
        <sz val="10"/>
        <rFont val="Arial"/>
        <family val="2"/>
      </rPr>
      <t>2/</t>
    </r>
  </si>
  <si>
    <t xml:space="preserve">                                          Aprobados</t>
  </si>
  <si>
    <t xml:space="preserve">  Sedes Regionales</t>
  </si>
  <si>
    <t xml:space="preserve">   Sede Regional deL Caribe</t>
  </si>
  <si>
    <t xml:space="preserve">   Convenios Universidades Extranjeras</t>
  </si>
  <si>
    <t>Nota: No se incluyen los estudiantes físicos que tienen una letra como nota, y esta no tiene ponderación númerica.</t>
  </si>
  <si>
    <r>
      <t>1/</t>
    </r>
    <r>
      <rPr>
        <sz val="10"/>
        <color theme="1"/>
        <rFont val="Arial"/>
        <family val="2"/>
      </rPr>
      <t xml:space="preserve"> La distribución vertical es con respecto al total de la Universidad, y la distribución horizontal es con respecto al total de la Unidad.</t>
    </r>
  </si>
  <si>
    <r>
      <t>2/</t>
    </r>
    <r>
      <rPr>
        <sz val="10"/>
        <color theme="1"/>
        <rFont val="Arial"/>
        <family val="2"/>
      </rPr>
      <t xml:space="preserve"> Corresponde a las materias que no tienen créditos, tales como: Seminarios de Graduación y las Deportivas.</t>
    </r>
  </si>
  <si>
    <r>
      <t xml:space="preserve">            Total</t>
    </r>
    <r>
      <rPr>
        <sz val="10"/>
        <rFont val="Arial"/>
        <family val="2"/>
      </rPr>
      <t xml:space="preserve"> 1/</t>
    </r>
  </si>
  <si>
    <t xml:space="preserve">                                        Aprobados</t>
  </si>
  <si>
    <r>
      <t>1/</t>
    </r>
    <r>
      <rPr>
        <b/>
        <sz val="10"/>
        <rFont val="Arial"/>
        <family val="2"/>
      </rPr>
      <t xml:space="preserve"> </t>
    </r>
    <r>
      <rPr>
        <sz val="10"/>
        <rFont val="Arial"/>
        <family val="2"/>
      </rPr>
      <t xml:space="preserve"> La distribución vertical es con respecto al total de la Universidad, y la distribución horizontal es con respecto al total de la Unidad.</t>
    </r>
  </si>
  <si>
    <r>
      <t>2/</t>
    </r>
    <r>
      <rPr>
        <b/>
        <sz val="10"/>
        <rFont val="Arial"/>
        <family val="2"/>
      </rPr>
      <t xml:space="preserve"> </t>
    </r>
    <r>
      <rPr>
        <sz val="10"/>
        <rFont val="Arial"/>
        <family val="2"/>
      </rPr>
      <t xml:space="preserve"> Corresponde a las materias que no tienen créditos, tales como: Seminarios de Graduación y las Deportivas.</t>
    </r>
  </si>
  <si>
    <t xml:space="preserve">  Materias                     Materias</t>
  </si>
  <si>
    <t xml:space="preserve">        de 15 a 19</t>
  </si>
  <si>
    <t xml:space="preserve">  Matriculadas            Aprobadas  </t>
  </si>
  <si>
    <t xml:space="preserve">     abs.</t>
  </si>
  <si>
    <t xml:space="preserve">    5 a 9</t>
  </si>
  <si>
    <t xml:space="preserve">   10 a 14</t>
  </si>
  <si>
    <t xml:space="preserve">   15 a 19</t>
  </si>
  <si>
    <t xml:space="preserve">   20 y más</t>
  </si>
  <si>
    <t xml:space="preserve"> Menos de 5</t>
  </si>
  <si>
    <t>Nota: para este cuadro en la variable materias matriculadas no se presentan los registros que tienen una nota de letra.</t>
  </si>
  <si>
    <r>
      <t>1/</t>
    </r>
    <r>
      <rPr>
        <sz val="10"/>
        <color theme="1"/>
        <rFont val="Arial"/>
        <family val="2"/>
      </rPr>
      <t xml:space="preserve">  La distribución vertical es con respecto al total de la Universidad, y la distribución horizontal es con respecto al total de las Materias Matriculadas.</t>
    </r>
  </si>
  <si>
    <t xml:space="preserve">        15 y más</t>
  </si>
  <si>
    <t xml:space="preserve">   15 y más</t>
  </si>
  <si>
    <t>Créditos                      Créditos</t>
  </si>
  <si>
    <r>
      <t xml:space="preserve">         Total  </t>
    </r>
    <r>
      <rPr>
        <vertAlign val="superscript"/>
        <sz val="10"/>
        <rFont val="Arial"/>
        <family val="2"/>
      </rPr>
      <t>1/</t>
    </r>
  </si>
  <si>
    <r>
      <t xml:space="preserve">   Cero créditos </t>
    </r>
    <r>
      <rPr>
        <vertAlign val="superscript"/>
        <sz val="10"/>
        <rFont val="Arial"/>
        <family val="2"/>
      </rPr>
      <t>2/</t>
    </r>
  </si>
  <si>
    <t>De 1 a  menos de 12</t>
  </si>
  <si>
    <t xml:space="preserve">De 12 a menos de 24 </t>
  </si>
  <si>
    <t>De 24 a menos de 36</t>
  </si>
  <si>
    <t>Matriculados               Aprobados</t>
  </si>
  <si>
    <t xml:space="preserve">      %</t>
  </si>
  <si>
    <t xml:space="preserve">    cero créditos</t>
  </si>
  <si>
    <t xml:space="preserve">   1 a menos de 12</t>
  </si>
  <si>
    <t xml:space="preserve">   12 a menos de 24</t>
  </si>
  <si>
    <t xml:space="preserve">   24 a menos de 36</t>
  </si>
  <si>
    <t xml:space="preserve">   36 y más</t>
  </si>
  <si>
    <r>
      <t>1/</t>
    </r>
    <r>
      <rPr>
        <sz val="10"/>
        <color theme="1"/>
        <rFont val="Arial"/>
        <family val="2"/>
      </rPr>
      <t xml:space="preserve">  La distribución vertical es con respecto al total de la Universidad, y la distribución horizontal es con respecto al total de los créditos matriculados.</t>
    </r>
  </si>
  <si>
    <r>
      <t xml:space="preserve">2/ </t>
    </r>
    <r>
      <rPr>
        <sz val="10"/>
        <color theme="1"/>
        <rFont val="Arial"/>
        <family val="2"/>
      </rPr>
      <t>Corresponde a las materias que no tienen créditos, tales como: Seminarios de Graduación y las Deportivas.</t>
    </r>
  </si>
  <si>
    <t>Nota: para este cuadro en la variable creditos matriculadas no se presentan los registros que tienen una nota de letra.</t>
  </si>
  <si>
    <t xml:space="preserve">  Unidades</t>
  </si>
  <si>
    <t>Diplomado</t>
  </si>
  <si>
    <t xml:space="preserve">   Lenguas Modernas </t>
  </si>
  <si>
    <t>a/</t>
  </si>
  <si>
    <t>b/</t>
  </si>
  <si>
    <t>c/</t>
  </si>
  <si>
    <t>d/</t>
  </si>
  <si>
    <t>e/</t>
  </si>
  <si>
    <t xml:space="preserve">   Ingeniería Topografía </t>
  </si>
  <si>
    <t>f/</t>
  </si>
  <si>
    <t>g/</t>
  </si>
  <si>
    <t>h/</t>
  </si>
  <si>
    <t>i/</t>
  </si>
  <si>
    <t>Nota: Son estudiantes graduados en el año cronológico.</t>
  </si>
  <si>
    <t>Fuente:  Oficina de Registro.</t>
  </si>
  <si>
    <r>
      <t xml:space="preserve">Total </t>
    </r>
    <r>
      <rPr>
        <vertAlign val="superscript"/>
        <sz val="10"/>
        <rFont val="Arial"/>
        <family val="2"/>
      </rPr>
      <t xml:space="preserve"> 1/</t>
    </r>
  </si>
  <si>
    <r>
      <t>1/</t>
    </r>
    <r>
      <rPr>
        <vertAlign val="superscript"/>
        <sz val="10"/>
        <rFont val="Arial"/>
        <family val="2"/>
      </rPr>
      <t xml:space="preserve"> </t>
    </r>
    <r>
      <rPr>
        <sz val="10"/>
        <rFont val="Arial"/>
        <family val="2"/>
      </rPr>
      <t xml:space="preserve"> La distribución vertical es con respecto al total de la Universidad, y la distribución horizontal es con respecto al total de la Unidad.</t>
    </r>
  </si>
  <si>
    <t xml:space="preserve">     Unidades                  </t>
  </si>
  <si>
    <t>Femenino</t>
  </si>
  <si>
    <t>Masculino</t>
  </si>
  <si>
    <t xml:space="preserve">  Facultad de Ingeniería Arqitectura</t>
  </si>
  <si>
    <t xml:space="preserve">   Ingenieía Topográfíca</t>
  </si>
  <si>
    <t xml:space="preserve">     al total de Especialidades de Posgrado.</t>
  </si>
  <si>
    <r>
      <t xml:space="preserve">1/ </t>
    </r>
    <r>
      <rPr>
        <sz val="10"/>
        <rFont val="Arial"/>
        <family val="2"/>
      </rPr>
      <t xml:space="preserve"> La distribución vertical es con respecto al total de la Universidad, y la distribución horizontal es con respecto </t>
    </r>
  </si>
  <si>
    <t xml:space="preserve">     de Posgrado</t>
  </si>
  <si>
    <t xml:space="preserve">  Ciencias </t>
  </si>
  <si>
    <t xml:space="preserve">  Gobierno y Política</t>
  </si>
  <si>
    <t xml:space="preserve">Maestrías </t>
  </si>
  <si>
    <t xml:space="preserve">   Administración Pública con varios énfasis</t>
  </si>
  <si>
    <t xml:space="preserve">   Administración Universitaria</t>
  </si>
  <si>
    <t xml:space="preserve">   Administración y Dirección de Empresas con varios énfasis</t>
  </si>
  <si>
    <t xml:space="preserve">   Arquitectura Tropical</t>
  </si>
  <si>
    <t xml:space="preserve">   Artes</t>
  </si>
  <si>
    <t xml:space="preserve">   Bibliotecología y Estudios de la Información</t>
  </si>
  <si>
    <t xml:space="preserve">   Ciencias de la Atmosfera</t>
  </si>
  <si>
    <t xml:space="preserve">   Ciencias de la Educación enfasis en Educ. de Adultos </t>
  </si>
  <si>
    <t xml:space="preserve">   Ciencias de la Enfermería</t>
  </si>
  <si>
    <t xml:space="preserve">   Ciencias del Movimiento Humano</t>
  </si>
  <si>
    <t xml:space="preserve">   Computación e Informática</t>
  </si>
  <si>
    <t xml:space="preserve">   Comunicación </t>
  </si>
  <si>
    <t xml:space="preserve">   Cs. Agrícolas y Recursos Naturales con varios énfasis</t>
  </si>
  <si>
    <t xml:space="preserve">   Cs. Biomédicas énf Bioquímica y Fisiología</t>
  </si>
  <si>
    <t xml:space="preserve">   Desarrollo Sostenible con varios enfasis</t>
  </si>
  <si>
    <t xml:space="preserve">   Económia</t>
  </si>
  <si>
    <t xml:space="preserve">   Enseñanaza del Castellano</t>
  </si>
  <si>
    <t xml:space="preserve">   Español como Segunda Lengua</t>
  </si>
  <si>
    <t xml:space="preserve">   Estudios de la Mujer (Convenio UCR-UNA)</t>
  </si>
  <si>
    <t xml:space="preserve">   Estudios Interdisciplinarios</t>
  </si>
  <si>
    <t xml:space="preserve">   Evaluación de Programas y Proyectos de Desarrollo</t>
  </si>
  <si>
    <t xml:space="preserve">   Farmacia</t>
  </si>
  <si>
    <t xml:space="preserve">   Fílosofía</t>
  </si>
  <si>
    <t xml:space="preserve">   Geología</t>
  </si>
  <si>
    <t xml:space="preserve">   Gerontología</t>
  </si>
  <si>
    <t xml:space="preserve">   Gestión Ambiental y Ecoturismo </t>
  </si>
  <si>
    <t xml:space="preserve">   Gestión Integrada</t>
  </si>
  <si>
    <t xml:space="preserve">   Ingeniería Eléctrica con varios enfasis</t>
  </si>
  <si>
    <t xml:space="preserve">   Lingüística</t>
  </si>
  <si>
    <t xml:space="preserve">   Literatura</t>
  </si>
  <si>
    <t xml:space="preserve">   Microbiología</t>
  </si>
  <si>
    <t xml:space="preserve">   Nutrición Humana</t>
  </si>
  <si>
    <t xml:space="preserve">   Odontologia con varios enfasis </t>
  </si>
  <si>
    <t xml:space="preserve">   Salud Pública </t>
  </si>
  <si>
    <t xml:space="preserve">   Trabajo Social con varios enfasis</t>
  </si>
  <si>
    <t xml:space="preserve">   Especialidades Médicas</t>
  </si>
  <si>
    <t xml:space="preserve">   Odontología</t>
  </si>
  <si>
    <t>INVESTIGACIÓN</t>
  </si>
  <si>
    <t>Cuadro I-1</t>
  </si>
  <si>
    <t>Proyectos</t>
  </si>
  <si>
    <t>Cuadro I-2</t>
  </si>
  <si>
    <t>Cuadro I-3</t>
  </si>
  <si>
    <t>Cuadro I-4</t>
  </si>
  <si>
    <t>Cuadro I-5</t>
  </si>
  <si>
    <t>Revistas</t>
  </si>
  <si>
    <t>Cuadro I-6</t>
  </si>
  <si>
    <t>Cuadro I-7</t>
  </si>
  <si>
    <t>Bibliotecas</t>
  </si>
  <si>
    <t>Cuadro I-8</t>
  </si>
  <si>
    <t>Cuadro I-9</t>
  </si>
  <si>
    <t>Cuadro I-10</t>
  </si>
  <si>
    <t>Cuadro I-11</t>
  </si>
  <si>
    <t>Cuadro I-12</t>
  </si>
  <si>
    <t>Cuadro I-13</t>
  </si>
  <si>
    <t>Maestria Profesional</t>
  </si>
  <si>
    <t>Maestria Acádemica</t>
  </si>
  <si>
    <t>Materias Matriculadas</t>
  </si>
  <si>
    <t>Materias aprobadas</t>
  </si>
  <si>
    <t>Créditos  Matriculados</t>
  </si>
  <si>
    <t>Créditos  aprobados</t>
  </si>
  <si>
    <t>Cero créditos</t>
  </si>
  <si>
    <t>de 1 a menos de 12</t>
  </si>
  <si>
    <t>de 12 a menos de 24</t>
  </si>
  <si>
    <t>de 24 a menos de 36</t>
  </si>
  <si>
    <t>0 CRE</t>
  </si>
  <si>
    <t>1 A 12</t>
  </si>
  <si>
    <t>12 A 24</t>
  </si>
  <si>
    <t>24 A 36</t>
  </si>
  <si>
    <t>36 +</t>
  </si>
  <si>
    <t>CM G Y P 8</t>
  </si>
  <si>
    <t>CM POS   9</t>
  </si>
  <si>
    <t>C</t>
  </si>
  <si>
    <t>Cs. Agroalimentarias</t>
  </si>
  <si>
    <t>Cs. Básicas</t>
  </si>
  <si>
    <t>Ing. y Arquitectura</t>
  </si>
  <si>
    <t xml:space="preserve">Artes y Letras </t>
  </si>
  <si>
    <t>Salud</t>
  </si>
  <si>
    <t>Cs. Sociales</t>
  </si>
  <si>
    <t>Otros</t>
  </si>
  <si>
    <t>Básica</t>
  </si>
  <si>
    <t>Tecnológica</t>
  </si>
  <si>
    <t>Mujer</t>
  </si>
  <si>
    <t>Hombre</t>
  </si>
  <si>
    <t>Master</t>
  </si>
  <si>
    <t xml:space="preserve">                    Panorama Cuantitativo Universiatrio</t>
  </si>
  <si>
    <r>
      <t>Activos</t>
    </r>
    <r>
      <rPr>
        <vertAlign val="superscript"/>
        <sz val="10"/>
        <color indexed="8"/>
        <rFont val="Arial"/>
        <family val="2"/>
      </rPr>
      <t xml:space="preserve"> 1/</t>
    </r>
  </si>
  <si>
    <r>
      <t>Nuevos</t>
    </r>
    <r>
      <rPr>
        <vertAlign val="superscript"/>
        <sz val="10"/>
        <color indexed="8"/>
        <rFont val="Arial"/>
        <family val="2"/>
      </rPr>
      <t xml:space="preserve"> 2/</t>
    </r>
  </si>
  <si>
    <r>
      <t xml:space="preserve">Cerrados </t>
    </r>
    <r>
      <rPr>
        <vertAlign val="superscript"/>
        <sz val="10"/>
        <rFont val="Arial"/>
        <family val="2"/>
      </rPr>
      <t>3/</t>
    </r>
  </si>
  <si>
    <r>
      <t xml:space="preserve">Terminados </t>
    </r>
    <r>
      <rPr>
        <vertAlign val="superscript"/>
        <sz val="10"/>
        <rFont val="Arial"/>
        <family val="2"/>
      </rPr>
      <t>4/</t>
    </r>
  </si>
  <si>
    <r>
      <t xml:space="preserve">Ampliaciones </t>
    </r>
    <r>
      <rPr>
        <vertAlign val="superscript"/>
        <sz val="10"/>
        <color theme="1"/>
        <rFont val="Arial"/>
        <family val="2"/>
      </rPr>
      <t>5</t>
    </r>
    <r>
      <rPr>
        <vertAlign val="superscript"/>
        <sz val="10"/>
        <rFont val="Arial"/>
        <family val="2"/>
      </rPr>
      <t>/</t>
    </r>
  </si>
  <si>
    <r>
      <t xml:space="preserve">Reactivaciones </t>
    </r>
    <r>
      <rPr>
        <vertAlign val="superscript"/>
        <sz val="10"/>
        <color theme="1"/>
        <rFont val="Arial"/>
        <family val="2"/>
      </rPr>
      <t>6</t>
    </r>
    <r>
      <rPr>
        <vertAlign val="superscript"/>
        <sz val="10"/>
        <rFont val="Arial"/>
        <family val="2"/>
      </rPr>
      <t>/</t>
    </r>
  </si>
  <si>
    <t xml:space="preserve">                              Proyectos</t>
  </si>
  <si>
    <t xml:space="preserve">      abs.</t>
  </si>
  <si>
    <t>Programa de Docencia</t>
  </si>
  <si>
    <t xml:space="preserve">   Decanato</t>
  </si>
  <si>
    <t xml:space="preserve">   Decanato de Cs. Economicas </t>
  </si>
  <si>
    <t xml:space="preserve">   Decanato Ciencias Sociales</t>
  </si>
  <si>
    <t xml:space="preserve">   Decanato de Educación</t>
  </si>
  <si>
    <t xml:space="preserve">   Educación Especial</t>
  </si>
  <si>
    <t xml:space="preserve">   Bibliotecología</t>
  </si>
  <si>
    <t xml:space="preserve">  Decanato Medicina</t>
  </si>
  <si>
    <t xml:space="preserve">   Tecnologías en Salud </t>
  </si>
  <si>
    <t xml:space="preserve">   Decanato de Ingeniería</t>
  </si>
  <si>
    <t xml:space="preserve">   Ingeniería Topográfica</t>
  </si>
  <si>
    <t xml:space="preserve">   Ingeniería Biosistemas</t>
  </si>
  <si>
    <t xml:space="preserve">   Decanato de Cs. Agroalimentarias</t>
  </si>
  <si>
    <t xml:space="preserve">   Zootecnía</t>
  </si>
  <si>
    <t xml:space="preserve">   Agronomia</t>
  </si>
  <si>
    <t>Escuela de Estudios Generales</t>
  </si>
  <si>
    <t>Programa de Investigación</t>
  </si>
  <si>
    <t xml:space="preserve"> Unidades de apoyo</t>
  </si>
  <si>
    <t xml:space="preserve">   Est. Exp. Fabio Baudrit</t>
  </si>
  <si>
    <t xml:space="preserve">   Est. Exp. Ganado Lechero</t>
  </si>
  <si>
    <t xml:space="preserve">   LEBI</t>
  </si>
  <si>
    <t xml:space="preserve">   SIEDIN</t>
  </si>
  <si>
    <t>Centros e Institutos de investigación</t>
  </si>
  <si>
    <t xml:space="preserve">   CCP</t>
  </si>
  <si>
    <t xml:space="preserve">   C.E.L.E.Q.</t>
  </si>
  <si>
    <t xml:space="preserve">   C.I.A.</t>
  </si>
  <si>
    <t xml:space="preserve">   C.I.A.N</t>
  </si>
  <si>
    <t xml:space="preserve">   C.I.B.C.M.</t>
  </si>
  <si>
    <t xml:space="preserve">   C.I.C.A.</t>
  </si>
  <si>
    <t xml:space="preserve">   C.I.CANUN.</t>
  </si>
  <si>
    <t xml:space="preserve">   C.I.CI.MA</t>
  </si>
  <si>
    <t xml:space="preserve">   C.I.C.AP</t>
  </si>
  <si>
    <t xml:space="preserve">   C.I.C.OM</t>
  </si>
  <si>
    <t xml:space="preserve">   C.I.E.D.A.</t>
  </si>
  <si>
    <t xml:space="preserve">   C.I.DI.CER</t>
  </si>
  <si>
    <t xml:space="preserve">   C.I.DES</t>
  </si>
  <si>
    <t xml:space="preserve">   C.I.E.P.</t>
  </si>
  <si>
    <t xml:space="preserve">   C.I.E.M.</t>
  </si>
  <si>
    <t xml:space="preserve">   C.I.E.M.I.C.</t>
  </si>
  <si>
    <t xml:space="preserve">   C.I.E.T.</t>
  </si>
  <si>
    <t xml:space="preserve">   C.I.GE.FI.</t>
  </si>
  <si>
    <t xml:space="preserve">   C.I.GRA.S.</t>
  </si>
  <si>
    <t xml:space="preserve">   C.I.H.A.C.</t>
  </si>
  <si>
    <t xml:space="preserve">   C.I.H.A.T.A.</t>
  </si>
  <si>
    <t xml:space="preserve">   C.I.I.C.LA.</t>
  </si>
  <si>
    <t xml:space="preserve">   C.I.MAR.</t>
  </si>
  <si>
    <t xml:space="preserve">   C.I.N.A.</t>
  </si>
  <si>
    <t xml:space="preserve">   C.I.NES.PA.</t>
  </si>
  <si>
    <t xml:space="preserve">   C.I.PRO.C.</t>
  </si>
  <si>
    <t xml:space="preserve">   C.I.PRO.NA.</t>
  </si>
  <si>
    <t xml:space="preserve">   C.I.T.A.</t>
  </si>
  <si>
    <t xml:space="preserve">   CITIC</t>
  </si>
  <si>
    <t xml:space="preserve">   CIMM</t>
  </si>
  <si>
    <t xml:space="preserve">   CIMOHU</t>
  </si>
  <si>
    <t xml:space="preserve">   CIN</t>
  </si>
  <si>
    <t xml:space="preserve">   CIMPA</t>
  </si>
  <si>
    <t xml:space="preserve">   I.C.P.</t>
  </si>
  <si>
    <t xml:space="preserve">   I.I.ARTE</t>
  </si>
  <si>
    <t xml:space="preserve">   I.I.C.E.</t>
  </si>
  <si>
    <t xml:space="preserve">   I.I.J.</t>
  </si>
  <si>
    <t xml:space="preserve">   I.I.P.</t>
  </si>
  <si>
    <t xml:space="preserve">   I.I.S.</t>
  </si>
  <si>
    <t xml:space="preserve">   IN.I.F.</t>
  </si>
  <si>
    <t xml:space="preserve">   IN.I.E.</t>
  </si>
  <si>
    <t xml:space="preserve">   IN.I.I.</t>
  </si>
  <si>
    <t xml:space="preserve">   IN.I.SA.</t>
  </si>
  <si>
    <t xml:space="preserve">   INIFAR</t>
  </si>
  <si>
    <t xml:space="preserve">   INIL</t>
  </si>
  <si>
    <t xml:space="preserve">   ODD</t>
  </si>
  <si>
    <t xml:space="preserve">   FEIMA</t>
  </si>
  <si>
    <t>Programa de Estudios de Posgrado</t>
  </si>
  <si>
    <t xml:space="preserve">    Sistemas de Estudios de Posgrado</t>
  </si>
  <si>
    <t>Programa  de Dirección Superior</t>
  </si>
  <si>
    <t xml:space="preserve">   Vicerrectoría de Investigación</t>
  </si>
  <si>
    <t xml:space="preserve">   </t>
  </si>
  <si>
    <r>
      <rPr>
        <vertAlign val="superscript"/>
        <sz val="10"/>
        <rFont val="Arial"/>
        <family val="2"/>
      </rPr>
      <t>1/</t>
    </r>
    <r>
      <rPr>
        <sz val="10"/>
        <rFont val="Arial"/>
        <family val="2"/>
      </rPr>
      <t xml:space="preserve">  Todo proyecto que estuvo vigente en el periodo determinado.</t>
    </r>
  </si>
  <si>
    <r>
      <t>2/</t>
    </r>
    <r>
      <rPr>
        <sz val="10"/>
        <rFont val="Arial"/>
        <family val="2"/>
      </rPr>
      <t xml:space="preserve">  Propuestas aprobadas en la Vicerrectoría de Investigación.</t>
    </r>
  </si>
  <si>
    <r>
      <t>3/</t>
    </r>
    <r>
      <rPr>
        <sz val="10"/>
        <rFont val="Arial"/>
        <family val="2"/>
      </rPr>
      <t xml:space="preserve">  La ejecución del proyecto ha sido paralizada temporalmente, por lo tanto, las actividades registradas para el proyecto se encuentran suspendidas. </t>
    </r>
  </si>
  <si>
    <r>
      <t>3/</t>
    </r>
    <r>
      <rPr>
        <sz val="10"/>
        <rFont val="Arial"/>
        <family val="2"/>
      </rPr>
      <t xml:space="preserve">  La ejecución del proyecto ha sido paralizada indefinidamente sin que éste haya alcanzado los objetivos propuestos.</t>
    </r>
  </si>
  <si>
    <r>
      <t xml:space="preserve">5/  </t>
    </r>
    <r>
      <rPr>
        <sz val="10"/>
        <rFont val="Arial"/>
        <family val="2"/>
      </rPr>
      <t>Ampliación de proyectos en desarrollo y se toman por periodo de vigencia.</t>
    </r>
  </si>
  <si>
    <r>
      <t xml:space="preserve">6/  </t>
    </r>
    <r>
      <rPr>
        <sz val="10"/>
        <rFont val="Arial"/>
        <family val="2"/>
      </rPr>
      <t>Reactivación de proyectos suspendidos.</t>
    </r>
  </si>
  <si>
    <t>Fuente:  Vicerrectoría de Investigación.</t>
  </si>
  <si>
    <t>Proyectos                    Año</t>
  </si>
  <si>
    <r>
      <t xml:space="preserve">Activos  </t>
    </r>
    <r>
      <rPr>
        <vertAlign val="superscript"/>
        <sz val="12"/>
        <rFont val="Arial"/>
        <family val="2"/>
      </rPr>
      <t>1/</t>
    </r>
  </si>
  <si>
    <r>
      <t xml:space="preserve">Nuevos </t>
    </r>
    <r>
      <rPr>
        <vertAlign val="superscript"/>
        <sz val="12"/>
        <rFont val="Arial"/>
        <family val="2"/>
      </rPr>
      <t>2/</t>
    </r>
    <r>
      <rPr>
        <sz val="12"/>
        <rFont val="Arial"/>
        <family val="2"/>
      </rPr>
      <t xml:space="preserve"> </t>
    </r>
  </si>
  <si>
    <r>
      <t xml:space="preserve">Terminados  </t>
    </r>
    <r>
      <rPr>
        <vertAlign val="superscript"/>
        <sz val="12"/>
        <rFont val="Arial"/>
        <family val="2"/>
      </rPr>
      <t>3/</t>
    </r>
  </si>
  <si>
    <r>
      <t xml:space="preserve">Cerrados   </t>
    </r>
    <r>
      <rPr>
        <vertAlign val="superscript"/>
        <sz val="12"/>
        <rFont val="Arial"/>
        <family val="2"/>
      </rPr>
      <t>4/</t>
    </r>
  </si>
  <si>
    <r>
      <t xml:space="preserve">Suspendidos   </t>
    </r>
    <r>
      <rPr>
        <vertAlign val="superscript"/>
        <sz val="12"/>
        <rFont val="Arial"/>
        <family val="2"/>
      </rPr>
      <t>5/</t>
    </r>
  </si>
  <si>
    <r>
      <t xml:space="preserve">Ampliaciones </t>
    </r>
    <r>
      <rPr>
        <vertAlign val="superscript"/>
        <sz val="12"/>
        <rFont val="Arial"/>
        <family val="2"/>
      </rPr>
      <t>6/</t>
    </r>
  </si>
  <si>
    <r>
      <t xml:space="preserve">Reactivaciones </t>
    </r>
    <r>
      <rPr>
        <vertAlign val="superscript"/>
        <sz val="12"/>
        <rFont val="Arial"/>
        <family val="2"/>
      </rPr>
      <t>7/</t>
    </r>
  </si>
  <si>
    <r>
      <t>1/</t>
    </r>
    <r>
      <rPr>
        <sz val="11"/>
        <rFont val="Arial"/>
        <family val="2"/>
      </rPr>
      <t xml:space="preserve">  Propuestas aprobadas en la Vicerrectoría de Investigación.</t>
    </r>
  </si>
  <si>
    <r>
      <t>2/</t>
    </r>
    <r>
      <rPr>
        <sz val="11"/>
        <rFont val="Arial"/>
        <family val="2"/>
      </rPr>
      <t xml:space="preserve">  Todo proyecto que estuvo vigente en el periodo determinado.</t>
    </r>
  </si>
  <si>
    <r>
      <t>4/</t>
    </r>
    <r>
      <rPr>
        <sz val="11"/>
        <rFont val="Arial"/>
        <family val="2"/>
      </rPr>
      <t xml:space="preserve">  La ejecución del proyecto ha sido paralizada indefinidamente sin que éste haya alcanzado los objetivos propuestos.</t>
    </r>
  </si>
  <si>
    <r>
      <t xml:space="preserve">6/  </t>
    </r>
    <r>
      <rPr>
        <sz val="11"/>
        <rFont val="Arial"/>
        <family val="2"/>
      </rPr>
      <t>Ampliación de proyectos en desarrollo y se toman por periodo de vigencia.</t>
    </r>
  </si>
  <si>
    <r>
      <t xml:space="preserve">7/  </t>
    </r>
    <r>
      <rPr>
        <sz val="11"/>
        <rFont val="Arial"/>
        <family val="2"/>
      </rPr>
      <t>Reactivación de proyectos suspendidos.</t>
    </r>
  </si>
  <si>
    <t xml:space="preserve">                    Panorama Cuantitativo Universiatario</t>
  </si>
  <si>
    <r>
      <t xml:space="preserve">Total </t>
    </r>
    <r>
      <rPr>
        <vertAlign val="superscript"/>
        <sz val="10"/>
        <color indexed="8"/>
        <rFont val="Arial"/>
        <family val="2"/>
      </rPr>
      <t>1/</t>
    </r>
  </si>
  <si>
    <t>Aplicada</t>
  </si>
  <si>
    <t xml:space="preserve">                                   Proyectos</t>
  </si>
  <si>
    <t xml:space="preserve">   Decanato de Bellas Artes</t>
  </si>
  <si>
    <t xml:space="preserve">   Decanato de Agronomía</t>
  </si>
  <si>
    <t xml:space="preserve">   Zootécnia</t>
  </si>
  <si>
    <t xml:space="preserve">    Agronomia</t>
  </si>
  <si>
    <t xml:space="preserve">    SIEDIN</t>
  </si>
  <si>
    <t xml:space="preserve">    SEP </t>
  </si>
  <si>
    <t xml:space="preserve">   LANAMME</t>
  </si>
  <si>
    <t>Programa de Dirección Superior</t>
  </si>
  <si>
    <t xml:space="preserve">   Vicerrectoría de Docencia</t>
  </si>
  <si>
    <t>Unidades              Grado</t>
  </si>
  <si>
    <t>Bachillerato</t>
  </si>
  <si>
    <t>Licenciatura</t>
  </si>
  <si>
    <t xml:space="preserve">                                     Género</t>
  </si>
  <si>
    <t xml:space="preserve"> Sede Rodrigo Facio</t>
  </si>
  <si>
    <t xml:space="preserve">  Programa de Docencia</t>
  </si>
  <si>
    <t xml:space="preserve">   Deacanato de Bellas Artes</t>
  </si>
  <si>
    <t xml:space="preserve">   Decanato de Letras</t>
  </si>
  <si>
    <t xml:space="preserve">   Decanato de Ciencias</t>
  </si>
  <si>
    <t xml:space="preserve">   Decanato de Ciencias Económicas</t>
  </si>
  <si>
    <t>Facultas de Derecho</t>
  </si>
  <si>
    <t xml:space="preserve">  Facultad de Cs. Agroalimentarias</t>
  </si>
  <si>
    <t xml:space="preserve">   Decanato de Cs. Agronómicas</t>
  </si>
  <si>
    <t xml:space="preserve">  Programa de Investigación</t>
  </si>
  <si>
    <t xml:space="preserve">    SI.B.D.I</t>
  </si>
  <si>
    <t xml:space="preserve">   PRODUS</t>
  </si>
  <si>
    <t xml:space="preserve">  Otros Programas</t>
  </si>
  <si>
    <t xml:space="preserve"> Vicerrectorías y otras unidades</t>
  </si>
  <si>
    <t xml:space="preserve">   Centro de informática</t>
  </si>
  <si>
    <t xml:space="preserve">   Centro de Evaluación Académica</t>
  </si>
  <si>
    <t xml:space="preserve">   Consejo Universitario</t>
  </si>
  <si>
    <t xml:space="preserve">   Administración</t>
  </si>
  <si>
    <t xml:space="preserve">   Vicerrectoría de Acción Social</t>
  </si>
  <si>
    <t xml:space="preserve">   Vicerrectoría de Vida Estudiantil</t>
  </si>
  <si>
    <t xml:space="preserve">   Oficina de Salud</t>
  </si>
  <si>
    <t xml:space="preserve">   Semanario U</t>
  </si>
  <si>
    <t xml:space="preserve">   Rectoría </t>
  </si>
  <si>
    <t xml:space="preserve">   Deconocida</t>
  </si>
  <si>
    <t xml:space="preserve"> Sedes Regionales</t>
  </si>
  <si>
    <t>Modalidad</t>
  </si>
  <si>
    <t>Clasificación</t>
  </si>
  <si>
    <r>
      <t xml:space="preserve">Temas Generales </t>
    </r>
    <r>
      <rPr>
        <vertAlign val="superscript"/>
        <sz val="10"/>
        <rFont val="Arial"/>
        <family val="2"/>
      </rPr>
      <t>2/</t>
    </r>
  </si>
  <si>
    <r>
      <t xml:space="preserve">Libros de Texto </t>
    </r>
    <r>
      <rPr>
        <vertAlign val="superscript"/>
        <sz val="10"/>
        <rFont val="Arial"/>
        <family val="2"/>
      </rPr>
      <t>3/</t>
    </r>
  </si>
  <si>
    <t>Libros Nuevos</t>
  </si>
  <si>
    <r>
      <t xml:space="preserve">Tirajes bajo demanda </t>
    </r>
    <r>
      <rPr>
        <vertAlign val="superscript"/>
        <sz val="10"/>
        <rFont val="Arial"/>
        <family val="2"/>
      </rPr>
      <t>4/</t>
    </r>
  </si>
  <si>
    <r>
      <t xml:space="preserve">Reimpresiones </t>
    </r>
    <r>
      <rPr>
        <vertAlign val="superscript"/>
        <sz val="10"/>
        <rFont val="Arial"/>
        <family val="2"/>
      </rPr>
      <t>5/</t>
    </r>
  </si>
  <si>
    <r>
      <t>1/</t>
    </r>
    <r>
      <rPr>
        <sz val="10"/>
        <rFont val="Arial"/>
        <family val="2"/>
      </rPr>
      <t xml:space="preserve">  La distribución vertical es con respecto al total de la Universidad y la horizontal es con respecto al total </t>
    </r>
  </si>
  <si>
    <r>
      <t xml:space="preserve">     </t>
    </r>
    <r>
      <rPr>
        <sz val="10"/>
        <rFont val="Arial"/>
        <family val="2"/>
      </rPr>
      <t>de las revistas.</t>
    </r>
  </si>
  <si>
    <r>
      <t xml:space="preserve">2/ </t>
    </r>
    <r>
      <rPr>
        <sz val="10"/>
        <rFont val="Arial"/>
        <family val="2"/>
      </rPr>
      <t>Los Libros nuevos de temas generales corresponden a los géneros de novelas, poesía, cuento e investigación.</t>
    </r>
  </si>
  <si>
    <r>
      <t xml:space="preserve">3/ </t>
    </r>
    <r>
      <rPr>
        <sz val="10"/>
        <rFont val="Arial"/>
        <family val="2"/>
      </rPr>
      <t>Los Libros Texto nuevos son aquellos que se utilizan en cursos universitarios.</t>
    </r>
  </si>
  <si>
    <r>
      <t xml:space="preserve">4/ </t>
    </r>
    <r>
      <rPr>
        <sz val="10"/>
        <rFont val="Arial"/>
        <family val="2"/>
      </rPr>
      <t xml:space="preserve">Se refiere a los tirajes parciales de una edición o una reimpresión, a partir de la solicitud de la Sección de </t>
    </r>
  </si>
  <si>
    <r>
      <t xml:space="preserve">     </t>
    </r>
    <r>
      <rPr>
        <sz val="10"/>
        <rFont val="Arial"/>
        <family val="2"/>
      </rPr>
      <t>Comercialización y Mercadeo.</t>
    </r>
  </si>
  <si>
    <r>
      <t xml:space="preserve">5/ </t>
    </r>
    <r>
      <rPr>
        <sz val="10"/>
        <rFont val="Arial"/>
        <family val="2"/>
      </rPr>
      <t>Las reimpresiones y tiraje bajo demanda son solicitadas por la sección de Comercialización y Mercadeo.</t>
    </r>
  </si>
  <si>
    <t>Fuente:  Vicerrectoría de Investigación.  Dirección Editorial y Difusión de la Investigación.</t>
  </si>
  <si>
    <t>Biblioteca                   Tipo de</t>
  </si>
  <si>
    <r>
      <t xml:space="preserve">              Total </t>
    </r>
    <r>
      <rPr>
        <vertAlign val="superscript"/>
        <sz val="10"/>
        <rFont val="Arial"/>
        <family val="2"/>
      </rPr>
      <t>1/</t>
    </r>
  </si>
  <si>
    <r>
      <t xml:space="preserve">Circulación </t>
    </r>
    <r>
      <rPr>
        <vertAlign val="superscript"/>
        <sz val="10"/>
        <rFont val="Arial"/>
        <family val="2"/>
      </rPr>
      <t>2/</t>
    </r>
  </si>
  <si>
    <r>
      <t xml:space="preserve">Referencia </t>
    </r>
    <r>
      <rPr>
        <vertAlign val="superscript"/>
        <sz val="10"/>
        <rFont val="Arial"/>
        <family val="2"/>
      </rPr>
      <t>3/</t>
    </r>
  </si>
  <si>
    <r>
      <t xml:space="preserve">Audiovisuales </t>
    </r>
    <r>
      <rPr>
        <vertAlign val="superscript"/>
        <sz val="10"/>
        <rFont val="Arial"/>
        <family val="2"/>
      </rPr>
      <t>4/</t>
    </r>
  </si>
  <si>
    <r>
      <t xml:space="preserve">Servicios Administrativos </t>
    </r>
    <r>
      <rPr>
        <vertAlign val="superscript"/>
        <sz val="10"/>
        <rFont val="Arial"/>
        <family val="2"/>
      </rPr>
      <t>5/</t>
    </r>
  </si>
  <si>
    <r>
      <t xml:space="preserve">Otros Servicios </t>
    </r>
    <r>
      <rPr>
        <vertAlign val="superscript"/>
        <sz val="10"/>
        <rFont val="Arial"/>
        <family val="2"/>
      </rPr>
      <t>6/</t>
    </r>
  </si>
  <si>
    <t xml:space="preserve">                          Servicio</t>
  </si>
  <si>
    <t xml:space="preserve">  abs.</t>
  </si>
  <si>
    <t xml:space="preserve">  %</t>
  </si>
  <si>
    <t>Carlos Monge Alfaro</t>
  </si>
  <si>
    <t xml:space="preserve">Luis Demetrio Tinoco </t>
  </si>
  <si>
    <t>Biblioteca de Ciencias de la Salud</t>
  </si>
  <si>
    <t>Biblioteca de Ciencias Agroalimentarias</t>
  </si>
  <si>
    <t>Biblioteca de Derecho</t>
  </si>
  <si>
    <t>Biblioteca de Artes Musicales</t>
  </si>
  <si>
    <t>Centro Centroamericano Población</t>
  </si>
  <si>
    <t>Biblioteca de Educación</t>
  </si>
  <si>
    <t>Biblioteca Eugenio Fonseca Tortós</t>
  </si>
  <si>
    <t>Biblioteca Francisco Amighetti</t>
  </si>
  <si>
    <t>CEDO-CIHAC</t>
  </si>
  <si>
    <t>Biblioteca de LANAMME</t>
  </si>
  <si>
    <t>Biblioteca de Arquitectura</t>
  </si>
  <si>
    <r>
      <t xml:space="preserve">1/ </t>
    </r>
    <r>
      <rPr>
        <sz val="10"/>
        <rFont val="Arial"/>
        <family val="2"/>
      </rPr>
      <t xml:space="preserve"> La distribución vertical es con respecto al total de la Universidad y la horizontal es con respecto a la Unidad.</t>
    </r>
  </si>
  <si>
    <r>
      <t>2/</t>
    </r>
    <r>
      <rPr>
        <sz val="10"/>
        <rFont val="Arial"/>
        <family val="2"/>
      </rPr>
      <t xml:space="preserve">  Incluye servicios como:  información general y colección e inscripción de usuarios y usuarios atendidos en préstamo de libros.</t>
    </r>
  </si>
  <si>
    <r>
      <t xml:space="preserve">4/ </t>
    </r>
    <r>
      <rPr>
        <sz val="10"/>
        <rFont val="Arial"/>
        <family val="2"/>
      </rPr>
      <t xml:space="preserve"> Incluye proyecciones, audiciones, grabaciones y reproducciones, asesorías en módulos A.V., solicitudes de equipo, ediciones de T.V., lecturas de microformas, transferencias</t>
    </r>
  </si>
  <si>
    <r>
      <t xml:space="preserve">6/  </t>
    </r>
    <r>
      <rPr>
        <sz val="10"/>
        <rFont val="Arial"/>
        <family val="2"/>
      </rPr>
      <t>Incluye usuarios atendidos por correo electrónico, en laboratorios y por teléfono y en el Centro de Cómputo.</t>
    </r>
  </si>
  <si>
    <t>Fuente:  Informe Anual. Sistema de Bibliotecas, Documentación e Información.</t>
  </si>
  <si>
    <t xml:space="preserve">                  Oficina de Planificación Universitaria.</t>
  </si>
  <si>
    <t>Tipo de                    Año</t>
  </si>
  <si>
    <t xml:space="preserve"> Servicio                  </t>
  </si>
  <si>
    <t>abs</t>
  </si>
  <si>
    <t>Fuente: Informe anual. Sistema de Bibliotecas, Documentación e Información.</t>
  </si>
  <si>
    <t xml:space="preserve"> Modalidad      Tipo de    </t>
  </si>
  <si>
    <r>
      <t xml:space="preserve">Monografías </t>
    </r>
    <r>
      <rPr>
        <vertAlign val="superscript"/>
        <sz val="10"/>
        <rFont val="Arial"/>
        <family val="2"/>
      </rPr>
      <t>1/</t>
    </r>
  </si>
  <si>
    <r>
      <t>Publ. Periódicas</t>
    </r>
    <r>
      <rPr>
        <vertAlign val="superscript"/>
        <sz val="10"/>
        <rFont val="Arial"/>
        <family val="2"/>
      </rPr>
      <t xml:space="preserve"> </t>
    </r>
  </si>
  <si>
    <t xml:space="preserve">                 Material</t>
  </si>
  <si>
    <t xml:space="preserve">Compra </t>
  </si>
  <si>
    <t>Canje</t>
  </si>
  <si>
    <t>Donación</t>
  </si>
  <si>
    <t>Biblioteca Depositaria</t>
  </si>
  <si>
    <t>Ley de Prop. Intelectual</t>
  </si>
  <si>
    <t>Régimen Académico</t>
  </si>
  <si>
    <r>
      <t>1/</t>
    </r>
    <r>
      <rPr>
        <sz val="10"/>
        <rFont val="Arial"/>
        <family val="2"/>
      </rPr>
      <t xml:space="preserve">  Incluye libros,  trabajos finales de graduación, proyectos de investigación impresos.</t>
    </r>
  </si>
  <si>
    <t>Fuente:  Informe Anual. Sistema de  Bibliotecas, Documentación e Información.</t>
  </si>
  <si>
    <r>
      <t>Publ. Periódicas</t>
    </r>
    <r>
      <rPr>
        <vertAlign val="superscript"/>
        <sz val="10"/>
        <rFont val="Arial"/>
        <family val="2"/>
      </rPr>
      <t xml:space="preserve"> 2/</t>
    </r>
  </si>
  <si>
    <r>
      <t xml:space="preserve">Otros Materiales </t>
    </r>
    <r>
      <rPr>
        <vertAlign val="superscript"/>
        <sz val="10"/>
        <rFont val="Arial"/>
        <family val="2"/>
      </rPr>
      <t>3/</t>
    </r>
  </si>
  <si>
    <t>Conferencias</t>
  </si>
  <si>
    <t>Estándares</t>
  </si>
  <si>
    <t>Protocolos</t>
  </si>
  <si>
    <r>
      <t>3/</t>
    </r>
    <r>
      <rPr>
        <sz val="10"/>
        <rFont val="Arial"/>
        <family val="2"/>
      </rPr>
      <t xml:space="preserve">   Incluye archivos de computador y material electrónico, artículos electrónicos, procedimientos médicos, prácticas y monografías, casos de estudio</t>
    </r>
  </si>
  <si>
    <t xml:space="preserve">    herramientas de investigación, leyes, decretos, perfiles de empresas, periódicos, multimedios, enciclopedias y diccionarios electrónicos.</t>
  </si>
  <si>
    <t xml:space="preserve"> Tipo de                     </t>
  </si>
  <si>
    <t xml:space="preserve">Sede </t>
  </si>
  <si>
    <t>Otras Sedes</t>
  </si>
  <si>
    <t xml:space="preserve">  Material                  Sede</t>
  </si>
  <si>
    <t>Rodrigo Facio</t>
  </si>
  <si>
    <t>Universitarias</t>
  </si>
  <si>
    <t xml:space="preserve">  y Colección </t>
  </si>
  <si>
    <t>Total General</t>
  </si>
  <si>
    <t xml:space="preserve">    Becas (Libros)</t>
  </si>
  <si>
    <t xml:space="preserve">    General</t>
  </si>
  <si>
    <r>
      <t xml:space="preserve">    Libros Especiales </t>
    </r>
    <r>
      <rPr>
        <vertAlign val="superscript"/>
        <sz val="10"/>
        <rFont val="Arial"/>
        <family val="2"/>
      </rPr>
      <t>1/</t>
    </r>
  </si>
  <si>
    <t xml:space="preserve">    Materiales cartográficos</t>
  </si>
  <si>
    <t xml:space="preserve">    Normas</t>
  </si>
  <si>
    <t xml:space="preserve">   Proyectos de investigación</t>
  </si>
  <si>
    <r>
      <t xml:space="preserve">   Publicaciones Periódicas </t>
    </r>
    <r>
      <rPr>
        <vertAlign val="superscript"/>
        <sz val="10"/>
        <rFont val="Arial"/>
        <family val="2"/>
      </rPr>
      <t>2/</t>
    </r>
  </si>
  <si>
    <t xml:space="preserve">   Recursos electrónicos </t>
  </si>
  <si>
    <t xml:space="preserve">   Referencia</t>
  </si>
  <si>
    <t xml:space="preserve">   Reserva</t>
  </si>
  <si>
    <t xml:space="preserve">   Trabajos finales de graduación</t>
  </si>
  <si>
    <r>
      <t xml:space="preserve">   Otras Colecciones </t>
    </r>
    <r>
      <rPr>
        <vertAlign val="superscript"/>
        <sz val="10"/>
        <rFont val="Arial"/>
        <family val="2"/>
      </rPr>
      <t>3/</t>
    </r>
  </si>
  <si>
    <t xml:space="preserve">  Audiolibros</t>
  </si>
  <si>
    <t xml:space="preserve">  Grabación Sonora</t>
  </si>
  <si>
    <t xml:space="preserve">  Microforma</t>
  </si>
  <si>
    <t xml:space="preserve">  Multimedio</t>
  </si>
  <si>
    <t xml:space="preserve">  Película o video</t>
  </si>
  <si>
    <t xml:space="preserve">  Material Gráfico</t>
  </si>
  <si>
    <r>
      <rPr>
        <vertAlign val="superscript"/>
        <sz val="10"/>
        <rFont val="Arial"/>
        <family val="2"/>
      </rPr>
      <t>2/</t>
    </r>
    <r>
      <rPr>
        <sz val="10"/>
        <rFont val="Arial"/>
        <family val="2"/>
      </rPr>
      <t xml:space="preserve"> Las analíticas no poseen ejemplares, se asocian a los ejemplares de la publicaciones periódicas</t>
    </r>
  </si>
  <si>
    <r>
      <t xml:space="preserve">Otros </t>
    </r>
    <r>
      <rPr>
        <vertAlign val="superscript"/>
        <sz val="10"/>
        <rFont val="Arial"/>
        <family val="2"/>
      </rPr>
      <t>5/</t>
    </r>
  </si>
  <si>
    <t>Biblioteca Carlos Monge Alfaro</t>
  </si>
  <si>
    <t xml:space="preserve">Biblioteca Luis Demetrio Tinoco </t>
  </si>
  <si>
    <t>Biblioteca  de Ciencias de la Salud</t>
  </si>
  <si>
    <r>
      <t>2/</t>
    </r>
    <r>
      <rPr>
        <sz val="10"/>
        <rFont val="Arial"/>
        <family val="2"/>
      </rPr>
      <t xml:space="preserve">  Incluye prestamo de libros, trabajos finales de graduación y otros a sala, domilicio, departamento, becas e interbibliotecarios.</t>
    </r>
  </si>
  <si>
    <r>
      <t xml:space="preserve">4/ </t>
    </r>
    <r>
      <rPr>
        <sz val="10"/>
        <rFont val="Arial"/>
        <family val="2"/>
      </rPr>
      <t xml:space="preserve"> Incluye el préstamo de material y equipo audiovisual, salas y auditorios.</t>
    </r>
  </si>
  <si>
    <r>
      <t xml:space="preserve">5/ </t>
    </r>
    <r>
      <rPr>
        <sz val="10"/>
        <rFont val="Arial"/>
        <family val="2"/>
      </rPr>
      <t xml:space="preserve"> Corresponde a Préstamos de Equipo y Ayudas Técnicas.</t>
    </r>
  </si>
  <si>
    <t>ACCIÓN SOCIAL</t>
  </si>
  <si>
    <t>Cuadro AS1</t>
  </si>
  <si>
    <t>Extensión Docente</t>
  </si>
  <si>
    <t>Cuadro AS2</t>
  </si>
  <si>
    <t>Cuadro AS3</t>
  </si>
  <si>
    <t>Trabajo Comunal Universitario</t>
  </si>
  <si>
    <t>Cuadro AS4</t>
  </si>
  <si>
    <t>Cuadro AS5</t>
  </si>
  <si>
    <t>Extensión Cultural</t>
  </si>
  <si>
    <t>Cuadro AS6</t>
  </si>
  <si>
    <t>Cuadro AS7</t>
  </si>
  <si>
    <t>Programa Integral sobre el Envejecimiento</t>
  </si>
  <si>
    <t>Cuadro AS8</t>
  </si>
  <si>
    <t>Cuadro AS9</t>
  </si>
  <si>
    <t>Cuadro AS10</t>
  </si>
  <si>
    <t>VIDA ESTUDIANTIL</t>
  </si>
  <si>
    <t>Cuadro VE1</t>
  </si>
  <si>
    <t>Características Socio-Económicas de los Estudiantes</t>
  </si>
  <si>
    <t>Cuadro VE2</t>
  </si>
  <si>
    <t>Cuadro VE3</t>
  </si>
  <si>
    <t>Cuadro VE4</t>
  </si>
  <si>
    <t>Cuadro VE5</t>
  </si>
  <si>
    <t>Cuadro VE6</t>
  </si>
  <si>
    <t>Cuadro VE7</t>
  </si>
  <si>
    <t>Cuadro VE8</t>
  </si>
  <si>
    <t>Cuadro VE9</t>
  </si>
  <si>
    <t>Cuadro VE10</t>
  </si>
  <si>
    <t>Cuadro VE11</t>
  </si>
  <si>
    <t>Cuadro VE12</t>
  </si>
  <si>
    <t>Cuadro VE13</t>
  </si>
  <si>
    <t>Becas de Asistencia Socioeconómica y Estímulo y beneficios complementarios</t>
  </si>
  <si>
    <t>Cuadro VE14</t>
  </si>
  <si>
    <t>Cuadro VE15</t>
  </si>
  <si>
    <t>Cuadro VE16</t>
  </si>
  <si>
    <t>Cuadro VE17</t>
  </si>
  <si>
    <t>Cuadro VE18</t>
  </si>
  <si>
    <t>Cuadro VE19</t>
  </si>
  <si>
    <t>Cuadro VE20</t>
  </si>
  <si>
    <t>Cuadro VE21</t>
  </si>
  <si>
    <t>Cuadro VE22</t>
  </si>
  <si>
    <t>Cuadro VE23</t>
  </si>
  <si>
    <t>Cuadro VE24</t>
  </si>
  <si>
    <t>Cuadro VE25</t>
  </si>
  <si>
    <t>Cuadro VE26</t>
  </si>
  <si>
    <t>ADMINISTRACIÓN</t>
  </si>
  <si>
    <t>Cuadro AD1</t>
  </si>
  <si>
    <t>DIRECCIÓN SUPERIOR</t>
  </si>
  <si>
    <t>Cuadro DS1</t>
  </si>
  <si>
    <t>Asuntos Internacionales</t>
  </si>
  <si>
    <t>Cuadro AI 1</t>
  </si>
  <si>
    <t>Cuadro AI 2</t>
  </si>
  <si>
    <t xml:space="preserve">Sede Rodrigo Facio </t>
  </si>
  <si>
    <t>Sede                               Año</t>
  </si>
  <si>
    <t xml:space="preserve">     Área</t>
  </si>
  <si>
    <t xml:space="preserve"> Área de Artes y Letras</t>
  </si>
  <si>
    <t xml:space="preserve"> Área de Ciencias Básicas</t>
  </si>
  <si>
    <t xml:space="preserve"> Área de Ciencias Sociales</t>
  </si>
  <si>
    <t xml:space="preserve"> Área de Salud</t>
  </si>
  <si>
    <t xml:space="preserve"> Área de Ciencias Agroalimentarias</t>
  </si>
  <si>
    <t xml:space="preserve"> Área de Ingeniería y Arquitectura</t>
  </si>
  <si>
    <t>1/ Corresponden a proyectos en Oficinas administrativas.</t>
  </si>
  <si>
    <t>Fuente:  Vicerrectoría de Acción Social.</t>
  </si>
  <si>
    <t xml:space="preserve">Grado      </t>
  </si>
  <si>
    <t xml:space="preserve">Total </t>
  </si>
  <si>
    <t xml:space="preserve">    abs.</t>
  </si>
  <si>
    <r>
      <t xml:space="preserve">Otros </t>
    </r>
    <r>
      <rPr>
        <vertAlign val="superscript"/>
        <sz val="12"/>
        <rFont val="Arial"/>
        <family val="2"/>
      </rPr>
      <t>1/</t>
    </r>
  </si>
  <si>
    <t xml:space="preserve">   Unidades</t>
  </si>
  <si>
    <t>Sin área académica especificada</t>
  </si>
  <si>
    <t xml:space="preserve">  Sede Regional de Occidente  </t>
  </si>
  <si>
    <t xml:space="preserve">  Recinto de Golfito</t>
  </si>
  <si>
    <t xml:space="preserve">  Sede Regional del Atlántico</t>
  </si>
  <si>
    <t xml:space="preserve">  Sede Regional de Guanacaste</t>
  </si>
  <si>
    <t xml:space="preserve">  Sede Regional del Caribe</t>
  </si>
  <si>
    <t xml:space="preserve">  Sede Regional del Pacífico</t>
  </si>
  <si>
    <t>Oficinas Administrativas</t>
  </si>
  <si>
    <t>Cuadro AS7 : Número de profesores que participaron en los</t>
  </si>
  <si>
    <t xml:space="preserve">                         proyectos de Extensión Cultural, distribuidos </t>
  </si>
  <si>
    <t xml:space="preserve"> Edad      </t>
  </si>
  <si>
    <t xml:space="preserve">         %</t>
  </si>
  <si>
    <t xml:space="preserve">  80 años y más</t>
  </si>
  <si>
    <t xml:space="preserve">   De 75 a 79</t>
  </si>
  <si>
    <t xml:space="preserve">   De 70 a 74</t>
  </si>
  <si>
    <t xml:space="preserve">   De 65 a 69</t>
  </si>
  <si>
    <t xml:space="preserve">   De 60 a 64</t>
  </si>
  <si>
    <t xml:space="preserve">   De 55 a 59</t>
  </si>
  <si>
    <t xml:space="preserve">   De 50 a 54</t>
  </si>
  <si>
    <t xml:space="preserve">   Menos de 50</t>
  </si>
  <si>
    <t>Fuente: Vicerrectoría de Acción Social.</t>
  </si>
  <si>
    <t xml:space="preserve">Ciclo        </t>
  </si>
  <si>
    <t xml:space="preserve">I ciclo </t>
  </si>
  <si>
    <t xml:space="preserve">                      Unidad</t>
  </si>
  <si>
    <t>Filosofía</t>
  </si>
  <si>
    <t>Filología</t>
  </si>
  <si>
    <t>Biología</t>
  </si>
  <si>
    <t>Geología</t>
  </si>
  <si>
    <t>Educación Física y Deportes</t>
  </si>
  <si>
    <t>Cs de la Comunicación Colectiva</t>
  </si>
  <si>
    <t>Psicología</t>
  </si>
  <si>
    <t>Historia</t>
  </si>
  <si>
    <t>Geografía</t>
  </si>
  <si>
    <t>Antropología</t>
  </si>
  <si>
    <t>Sociología</t>
  </si>
  <si>
    <t>Administración Pública</t>
  </si>
  <si>
    <t>Arquitectura</t>
  </si>
  <si>
    <t>Ingeniería Civil</t>
  </si>
  <si>
    <t>Agronomía</t>
  </si>
  <si>
    <t xml:space="preserve">  Primaria incompleta</t>
  </si>
  <si>
    <t xml:space="preserve">   Primaria completa</t>
  </si>
  <si>
    <t xml:space="preserve">  Secundaria incompleta</t>
  </si>
  <si>
    <t xml:space="preserve">  Secundaria completa</t>
  </si>
  <si>
    <t xml:space="preserve">   Parauniversitaria</t>
  </si>
  <si>
    <t xml:space="preserve">   Universitaria incompleta</t>
  </si>
  <si>
    <t xml:space="preserve">   Universitaria completa</t>
  </si>
  <si>
    <t xml:space="preserve">   No se indica</t>
  </si>
  <si>
    <r>
      <t xml:space="preserve">Total </t>
    </r>
    <r>
      <rPr>
        <vertAlign val="superscript"/>
        <sz val="10"/>
        <rFont val="Arial"/>
        <family val="2"/>
      </rPr>
      <t>2/</t>
    </r>
  </si>
  <si>
    <t xml:space="preserve">Hombre </t>
  </si>
  <si>
    <t xml:space="preserve">                                            Género</t>
  </si>
  <si>
    <t xml:space="preserve">  Facultad de Ciencias Económicas</t>
  </si>
  <si>
    <t xml:space="preserve">   Geografia</t>
  </si>
  <si>
    <t xml:space="preserve">   Tecnología en Salud</t>
  </si>
  <si>
    <t xml:space="preserve">Sedes Regionales </t>
  </si>
  <si>
    <t>2/ La distribución vertical es con respecto al total de la Universidad y la horizontal es con respecto al total de la Unidad.</t>
  </si>
  <si>
    <t>Fuente: Oficina de Becas y Atención Socioeconómica.</t>
  </si>
  <si>
    <t xml:space="preserve">                Oficina de Planificación Universitaria.</t>
  </si>
  <si>
    <t>Especialidad                    Sexo</t>
  </si>
  <si>
    <t xml:space="preserve">  Administración y Dirección de Empresas</t>
  </si>
  <si>
    <t xml:space="preserve">  Ciencias Agrícolas y Recursos Naturales</t>
  </si>
  <si>
    <t xml:space="preserve">  Ciencias del Movimiento Humano y Recreación</t>
  </si>
  <si>
    <t xml:space="preserve">  Desarrollo Sostenible</t>
  </si>
  <si>
    <t xml:space="preserve">  Enseñanza del Castellano</t>
  </si>
  <si>
    <t xml:space="preserve">Unidades                    </t>
  </si>
  <si>
    <t>Menor o igual a 20</t>
  </si>
  <si>
    <t xml:space="preserve"> De 21 a 25 años</t>
  </si>
  <si>
    <t>De 26 a 30 años</t>
  </si>
  <si>
    <t>De 31 a 35 años</t>
  </si>
  <si>
    <t>Más de 35 años</t>
  </si>
  <si>
    <t xml:space="preserve">                                    Edad</t>
  </si>
  <si>
    <t xml:space="preserve">   Economía y Agronegocios</t>
  </si>
  <si>
    <t xml:space="preserve">   Tecnología de  Alimentos</t>
  </si>
  <si>
    <t xml:space="preserve">   Sede Regional del Pacífico </t>
  </si>
  <si>
    <t xml:space="preserve">           Total 2/</t>
  </si>
  <si>
    <t xml:space="preserve">  De 21 a 25 años</t>
  </si>
  <si>
    <t xml:space="preserve">    De 26 a 30 años</t>
  </si>
  <si>
    <t xml:space="preserve">   De 31 a 35 años</t>
  </si>
  <si>
    <t xml:space="preserve"> Más de 35 años</t>
  </si>
  <si>
    <t xml:space="preserve">                                         Edad</t>
  </si>
  <si>
    <t>Unidades                   Estado</t>
  </si>
  <si>
    <t>Soltero</t>
  </si>
  <si>
    <t>Casado</t>
  </si>
  <si>
    <r>
      <t>Otros</t>
    </r>
    <r>
      <rPr>
        <vertAlign val="superscript"/>
        <sz val="10"/>
        <rFont val="Arial"/>
        <family val="2"/>
      </rPr>
      <t xml:space="preserve"> 3/</t>
    </r>
  </si>
  <si>
    <t xml:space="preserve">                                            Civil</t>
  </si>
  <si>
    <t>2/  La distribución vertical es con respecto al total de la Universidad y la horizontal es con respecto al total de la Unidad.</t>
  </si>
  <si>
    <t>Fuente:  Oficina de Becas y Atención Socioeconómica.</t>
  </si>
  <si>
    <t xml:space="preserve">  Especialidad              Estado</t>
  </si>
  <si>
    <t>Total 2/</t>
  </si>
  <si>
    <t>Otros 3/</t>
  </si>
  <si>
    <t xml:space="preserve">                                              Civil</t>
  </si>
  <si>
    <t xml:space="preserve">            %</t>
  </si>
  <si>
    <t xml:space="preserve">          %</t>
  </si>
  <si>
    <t>Fuente:  Oficina de Becas y  Atención Socioeconómica.</t>
  </si>
  <si>
    <r>
      <t>2/</t>
    </r>
    <r>
      <rPr>
        <sz val="10"/>
        <color theme="1"/>
        <rFont val="Arial"/>
        <family val="2"/>
      </rPr>
      <t xml:space="preserve"> La distribución vertical es con respecto al total de la Universidad y la horizontal es con respecto al total de la Unidad.</t>
    </r>
  </si>
  <si>
    <r>
      <t>3/</t>
    </r>
    <r>
      <rPr>
        <sz val="10"/>
        <color theme="1"/>
        <rFont val="Arial"/>
        <family val="2"/>
      </rPr>
      <t xml:space="preserve">  Incluye las categorías de divorciado, separado, viudo , unión libre y no sabe o no responde.</t>
    </r>
  </si>
  <si>
    <t>Costarricense</t>
  </si>
  <si>
    <t>Centroamérica y Panamá</t>
  </si>
  <si>
    <t xml:space="preserve">Otra  </t>
  </si>
  <si>
    <t xml:space="preserve">                                        Nacionalidad</t>
  </si>
  <si>
    <t xml:space="preserve">   Enfermeria</t>
  </si>
  <si>
    <t xml:space="preserve"> Unidades           Número de</t>
  </si>
  <si>
    <t>De 1 a menos de 6</t>
  </si>
  <si>
    <t xml:space="preserve">De 6 y más </t>
  </si>
  <si>
    <t xml:space="preserve">                                Miembros</t>
  </si>
  <si>
    <t xml:space="preserve">         abs.</t>
  </si>
  <si>
    <r>
      <t xml:space="preserve">Sede Rodrigo Facio </t>
    </r>
    <r>
      <rPr>
        <b/>
        <vertAlign val="superscript"/>
        <sz val="10"/>
        <rFont val="Arial"/>
        <family val="2"/>
      </rPr>
      <t xml:space="preserve"> </t>
    </r>
  </si>
  <si>
    <t>2/ La distribución vertical es con respecto al total de la Universidad y el horizontal es con respecto al total de la Unidad.</t>
  </si>
  <si>
    <t>Especialidad         Número de</t>
  </si>
  <si>
    <r>
      <t xml:space="preserve"> Total </t>
    </r>
    <r>
      <rPr>
        <vertAlign val="superscript"/>
        <sz val="10"/>
        <rFont val="Arial"/>
        <family val="2"/>
      </rPr>
      <t>1/</t>
    </r>
  </si>
  <si>
    <t>De 6 a menos de 10</t>
  </si>
  <si>
    <t xml:space="preserve">                                     Miembros</t>
  </si>
  <si>
    <t xml:space="preserve"> %</t>
  </si>
  <si>
    <t xml:space="preserve">Sistema de Estudios de Posgrado  </t>
  </si>
  <si>
    <t>F:\PLANI\PANORAMA\ESTAD95\ESTUD\BECA-AS2,XLS</t>
  </si>
  <si>
    <t>Unidades           Categoría de beca</t>
  </si>
  <si>
    <t xml:space="preserve">                               asignada</t>
  </si>
  <si>
    <t>F:\PLANI\PANORAMA\ESTAD97\VID-EST\BECA-AS2,XLS</t>
  </si>
  <si>
    <t>Especialidad        Categoría  de beca</t>
  </si>
  <si>
    <t xml:space="preserve">                                      asignada</t>
  </si>
  <si>
    <t>Ciencias Políticas</t>
  </si>
  <si>
    <t>Economía</t>
  </si>
  <si>
    <t>Educación</t>
  </si>
  <si>
    <t>Física</t>
  </si>
  <si>
    <t>Ingeniería Eléctrica</t>
  </si>
  <si>
    <t>Matemática</t>
  </si>
  <si>
    <t>Sis Est posgrado</t>
  </si>
  <si>
    <t xml:space="preserve">Categoría        </t>
  </si>
  <si>
    <t>Occidente</t>
  </si>
  <si>
    <t>Atlántico</t>
  </si>
  <si>
    <t>Guanacaste</t>
  </si>
  <si>
    <t>Caribe</t>
  </si>
  <si>
    <t>Pacífico</t>
  </si>
  <si>
    <t>Alajuela</t>
  </si>
  <si>
    <t xml:space="preserve"> de Beca   </t>
  </si>
  <si>
    <t xml:space="preserve">    beca por primera vez, los que actualizan información o reingresan al sistema de becas.</t>
  </si>
  <si>
    <r>
      <t xml:space="preserve">2/ </t>
    </r>
    <r>
      <rPr>
        <sz val="10"/>
        <color theme="1"/>
        <rFont val="Arial"/>
        <family val="2"/>
      </rPr>
      <t xml:space="preserve"> El número de becas y su categoría respectiva, corresponden a las becas asignadas por el modelo matemático de asignación de becas.</t>
    </r>
  </si>
  <si>
    <t>% por Sede</t>
  </si>
  <si>
    <t xml:space="preserve">Matrícula y </t>
  </si>
  <si>
    <r>
      <t xml:space="preserve">% de becas </t>
    </r>
    <r>
      <rPr>
        <vertAlign val="superscript"/>
        <sz val="10"/>
        <rFont val="Arial"/>
        <family val="2"/>
      </rPr>
      <t>1/</t>
    </r>
  </si>
  <si>
    <t xml:space="preserve">Cuadro VE19: Estudiantes físicos becarios 4 o 5 que reciben montos por ayuda económica, reubicación geográfica, programa de residencias, </t>
  </si>
  <si>
    <t>Estudiantes con monto en</t>
  </si>
  <si>
    <t>Sede</t>
  </si>
  <si>
    <t xml:space="preserve">Gastos de </t>
  </si>
  <si>
    <t>Reubicación</t>
  </si>
  <si>
    <t>Programa de</t>
  </si>
  <si>
    <t xml:space="preserve">Exelencia </t>
  </si>
  <si>
    <t>Pobreza</t>
  </si>
  <si>
    <t>carreraas</t>
  </si>
  <si>
    <t>Geográfica</t>
  </si>
  <si>
    <t>Transporte</t>
  </si>
  <si>
    <t>Residencias</t>
  </si>
  <si>
    <t>Académica</t>
  </si>
  <si>
    <t>Extrema</t>
  </si>
  <si>
    <t>1/  Para cada rubro se toma el mes que presentó la mayor cantidad de estudiantes beneficiarios.</t>
  </si>
  <si>
    <t xml:space="preserve">Occidente </t>
  </si>
  <si>
    <t>Alajuela  2/</t>
  </si>
  <si>
    <t>Horario</t>
  </si>
  <si>
    <t>Exclusión</t>
  </si>
  <si>
    <t>Notas:   Para cada rubro se toma el mes que representó la mayor cantidad de estudiantes beneficiarios.</t>
  </si>
  <si>
    <t>1/ Del 1 de febrero al 4 de marzo, se beneficiaron del servicio de alimentación:</t>
  </si>
  <si>
    <r>
      <t xml:space="preserve">1 </t>
    </r>
    <r>
      <rPr>
        <vertAlign val="superscript"/>
        <sz val="10"/>
        <rFont val="Arial"/>
        <family val="2"/>
      </rPr>
      <t>1/</t>
    </r>
  </si>
  <si>
    <r>
      <t xml:space="preserve">2 </t>
    </r>
    <r>
      <rPr>
        <vertAlign val="superscript"/>
        <sz val="10"/>
        <rFont val="Arial"/>
        <family val="2"/>
      </rPr>
      <t>1/</t>
    </r>
  </si>
  <si>
    <t xml:space="preserve">1/ A esos estudiantes en el momento de realizar el trámite de préstamo de libros contaban con beca socioeconómica mayor a 2, sin embargo, a la hora de </t>
  </si>
  <si>
    <t>realizar las estadísticas, esa beca fue rebajada por Rendimiento  Académico.</t>
  </si>
  <si>
    <t xml:space="preserve">Cuadro VE22:  Estudiantes físicos becados, ubicados en </t>
  </si>
  <si>
    <t xml:space="preserve">                        el Programa de Residencias, según Sede.</t>
  </si>
  <si>
    <t>Total de Estudiantes</t>
  </si>
  <si>
    <r>
      <t xml:space="preserve">Rodrigo Facio </t>
    </r>
    <r>
      <rPr>
        <vertAlign val="superscript"/>
        <sz val="10"/>
        <rFont val="Arial"/>
        <family val="2"/>
      </rPr>
      <t>1/</t>
    </r>
  </si>
  <si>
    <t xml:space="preserve">Pacífico </t>
  </si>
  <si>
    <t xml:space="preserve">           Tipo  de</t>
  </si>
  <si>
    <t xml:space="preserve">Número de </t>
  </si>
  <si>
    <t xml:space="preserve">           Servicio</t>
  </si>
  <si>
    <t xml:space="preserve">personas atendidas </t>
  </si>
  <si>
    <t xml:space="preserve">        abs.</t>
  </si>
  <si>
    <t xml:space="preserve">         %       </t>
  </si>
  <si>
    <t>Total de Personas atendidas</t>
  </si>
  <si>
    <t>Total de Consultas</t>
  </si>
  <si>
    <t>Medicina General</t>
  </si>
  <si>
    <t>Medicina Especializada (Ginecología)</t>
  </si>
  <si>
    <t>Servicio de Psocología</t>
  </si>
  <si>
    <t>Consejería en torno al análisis de VIH/sida</t>
  </si>
  <si>
    <t>Servicio de Enfermería</t>
  </si>
  <si>
    <t>Consulta Odontología</t>
  </si>
  <si>
    <t xml:space="preserve">Consulta de nutrición </t>
  </si>
  <si>
    <t>Atención Integral y Promoción de la Salud Oral a estud. becados 4 y 5</t>
  </si>
  <si>
    <t>Personas atendidas en el Laboratorio Clínico otros proyrctos y comunidad en general</t>
  </si>
  <si>
    <t>Personas atendidas en el Laboratorio Clínico (universitarios)</t>
  </si>
  <si>
    <t>Personas atendidas en el Laboratorio Clínico Proyecto del INS</t>
  </si>
  <si>
    <t>Servicio de atención extrahospitalaria de emergencias medicas</t>
  </si>
  <si>
    <t>Servicio de laboratorio al Proyecto de Atención  Integral de Salud PAIS</t>
  </si>
  <si>
    <t>Otros servicios brindados</t>
  </si>
  <si>
    <t>Asesoría en consumo de medicamentos,. Servicio de farmacia</t>
  </si>
  <si>
    <t>Procedimientos efectuados en Enfermería</t>
  </si>
  <si>
    <t>Analisis de laboratorio a comunidad universitaria</t>
  </si>
  <si>
    <t>Análisis de laboratorio a población de PAIS</t>
  </si>
  <si>
    <t xml:space="preserve">Análisis de labo. de venta de servicios de otros proy y comuni general </t>
  </si>
  <si>
    <t>Analisis de laboratorio a  la población del INS</t>
  </si>
  <si>
    <t>Nota: Un usuario puede acceder a más de un servicio.</t>
  </si>
  <si>
    <t>Fuente: Vicerrectoría de Vida Estudiantil, Oficina de Bienenstar y Salud</t>
  </si>
  <si>
    <t>Cuadro VE24:  Número de participantes en diferentes programas y actividades ofrecidos por la Oficina de</t>
  </si>
  <si>
    <t xml:space="preserve">            Programas       </t>
  </si>
  <si>
    <t xml:space="preserve">                              y</t>
  </si>
  <si>
    <r>
      <t xml:space="preserve">participantes </t>
    </r>
    <r>
      <rPr>
        <vertAlign val="superscript"/>
        <sz val="10"/>
        <rFont val="Arial"/>
        <family val="2"/>
      </rPr>
      <t xml:space="preserve"> </t>
    </r>
  </si>
  <si>
    <t xml:space="preserve">                                   Actividades</t>
  </si>
  <si>
    <t>Total de participantes</t>
  </si>
  <si>
    <t>Programas</t>
  </si>
  <si>
    <t>Programa de Detección del Cáncer Cérvico Uterino y de mama</t>
  </si>
  <si>
    <t>Siete cursos de Reanimación Cardiopulmonar</t>
  </si>
  <si>
    <t>Afiliaciones al seguro Social Estudiantil</t>
  </si>
  <si>
    <t>Asesoría farmacéutica en consumo de medicamentos</t>
  </si>
  <si>
    <t>Proyecto grupal para el abordaje de la sakud mental Sede Rodrigo Facio</t>
  </si>
  <si>
    <t>Proyecto para el manejo de la obesidad "Pryecto O"</t>
  </si>
  <si>
    <t>Curso Preparación Integral para el Embarazo, Parto y Posparto</t>
  </si>
  <si>
    <t>Actividades</t>
  </si>
  <si>
    <t>Capacitación a Comites de Salud Ocupacional</t>
  </si>
  <si>
    <t>Documetos de planes de preperativos y de atención de emergencias y desarrollo.</t>
  </si>
  <si>
    <t>Elaborar Mapas de Riesgos, Planes de Emergencia, Simulacros de Emergencia</t>
  </si>
  <si>
    <t>Elaboración y apoyo de Planes de Emerg. y Seguridad en eventos masivos de la U.</t>
  </si>
  <si>
    <t>Capacitación para facilitadores en eventos masivos</t>
  </si>
  <si>
    <t>Estudios técnicos (Puesto de Trabajo, ergonomicos, Condciones y ambiente etc)</t>
  </si>
  <si>
    <t xml:space="preserve">Extintores: Rutina de mantenimiento aplicada a extintores portátiles contra incendios </t>
  </si>
  <si>
    <t xml:space="preserve">Capacitación, autorización y control para la venta y distribución de alimentos en actividades masivas </t>
  </si>
  <si>
    <t>Permisos sanitarios de funcionamiento para los servicios e instalaciones de la OBS</t>
  </si>
  <si>
    <t>Coordinación de actividades varias en salud ambientas y seguridad alimentaria</t>
  </si>
  <si>
    <t>Capacitación de Prevención y control de inicios de incendios</t>
  </si>
  <si>
    <t>Capacitación y entrenamiento para las Brigadas de Emergencia y Puestos de Mando</t>
  </si>
  <si>
    <t xml:space="preserve">Actividades Semana  Salud Ocupacional y Ambiental Exposiciones, Charlas, Talleres, Prácticas, Simulacros ect. </t>
  </si>
  <si>
    <t>Taller de prevención y control de inicios de fuego (funcionarios)</t>
  </si>
  <si>
    <t>Capacitación en actualización o desarrollo de planes de emergencia (funcionarios)</t>
  </si>
  <si>
    <t>Capacitación en actualización o desarrollo evacuación de edificios</t>
  </si>
  <si>
    <t>Procesos dfe reubicación o readaptación de puestos (funcionarios)</t>
  </si>
  <si>
    <t>Asesorías a trabajadores en materia de salud ocupacional (funcionarios)</t>
  </si>
  <si>
    <t xml:space="preserve">Formación de brigadas de estudiantes </t>
  </si>
  <si>
    <t>Capacitación en respuesta de atención de emergencias Residencias Estudiantiles</t>
  </si>
  <si>
    <t>Moronado</t>
  </si>
  <si>
    <t>2 hoas de natacion</t>
  </si>
  <si>
    <t>Fuente: Vicerrectoría de Vida Estudiantil, Oficina de Salud.</t>
  </si>
  <si>
    <t xml:space="preserve">            Actividad</t>
  </si>
  <si>
    <t>participantes</t>
  </si>
  <si>
    <t>Fuente: Vicerrectoría de Vida Estudiantil, Oficina de Bienestar y Salud.</t>
  </si>
  <si>
    <t xml:space="preserve"> Área de Recreación</t>
  </si>
  <si>
    <r>
      <t xml:space="preserve">Programas Recreativos  </t>
    </r>
    <r>
      <rPr>
        <vertAlign val="superscript"/>
        <sz val="10"/>
        <rFont val="Arial"/>
        <family val="2"/>
      </rPr>
      <t>1/</t>
    </r>
  </si>
  <si>
    <t>Actividades Físicas Intercampus</t>
  </si>
  <si>
    <t>Programa torneos internos estudiantiles</t>
  </si>
  <si>
    <t xml:space="preserve">Área de Deporte de Representación </t>
  </si>
  <si>
    <r>
      <t xml:space="preserve">Programas deportivos </t>
    </r>
    <r>
      <rPr>
        <vertAlign val="superscript"/>
        <sz val="10"/>
        <rFont val="Arial"/>
        <family val="2"/>
      </rPr>
      <t>2/</t>
    </r>
  </si>
  <si>
    <t>Juegos Mundiales Universitarios Taipei 2017</t>
  </si>
  <si>
    <r>
      <t>Área de Actividades Artísticas</t>
    </r>
    <r>
      <rPr>
        <b/>
        <vertAlign val="superscript"/>
        <sz val="10"/>
        <rFont val="Arial"/>
        <family val="2"/>
      </rPr>
      <t xml:space="preserve"> </t>
    </r>
  </si>
  <si>
    <r>
      <t xml:space="preserve">Programas Artisticos </t>
    </r>
    <r>
      <rPr>
        <vertAlign val="superscript"/>
        <sz val="10"/>
        <rFont val="Arial"/>
        <family val="2"/>
      </rPr>
      <t>3/</t>
    </r>
  </si>
  <si>
    <t>Espectaculos en teatros nacionales y espacios universitarios</t>
  </si>
  <si>
    <t>Jornadas artisticas en el Campus Universitario.</t>
  </si>
  <si>
    <t xml:space="preserve">Talleres de intercambio e integración </t>
  </si>
  <si>
    <t xml:space="preserve">Investigaciones Artisticas </t>
  </si>
  <si>
    <r>
      <rPr>
        <vertAlign val="superscript"/>
        <sz val="10"/>
        <rFont val="Arial"/>
        <family val="2"/>
      </rPr>
      <t xml:space="preserve">1/  </t>
    </r>
    <r>
      <rPr>
        <sz val="10"/>
        <rFont val="Arial"/>
        <family val="2"/>
      </rPr>
      <t xml:space="preserve">Los  programas  recreativos  son  Montañismo, Kung Fu,  Defensa  Personal,  Gimanasio </t>
    </r>
  </si>
  <si>
    <t xml:space="preserve">Universitario  (pilates, zumba,  aeróbicos, kickboximg, streatching, entrenamiento funcional, estereo, </t>
  </si>
  <si>
    <t>dinámico, baile popular, ciclismo estacionario) Jiu Jitso Montañismo, Natación, entre otros</t>
  </si>
  <si>
    <r>
      <rPr>
        <vertAlign val="superscript"/>
        <sz val="10"/>
        <rFont val="Arial"/>
        <family val="2"/>
      </rPr>
      <t>2/</t>
    </r>
    <r>
      <rPr>
        <sz val="10"/>
        <rFont val="Arial"/>
        <family val="2"/>
      </rPr>
      <t xml:space="preserve"> Ajedrez, Atlétismo, Baloncesto, Balonmano, Esgrima, Futbol,Futbol sala, Karate do, Natación,</t>
    </r>
  </si>
  <si>
    <r>
      <rPr>
        <vertAlign val="superscript"/>
        <sz val="10"/>
        <rFont val="Arial"/>
        <family val="2"/>
      </rPr>
      <t>3/</t>
    </r>
    <r>
      <rPr>
        <sz val="10"/>
        <rFont val="Arial"/>
        <family val="2"/>
      </rPr>
      <t>Arte de Mutación, Compañía Folklorica, Taller formativo musical, Baile popular, Teatro Girasol</t>
    </r>
  </si>
  <si>
    <t>Danza Contemporanea, Baile Popular y Danza Africana total de grupos artisticos 15.</t>
  </si>
  <si>
    <t>Fuente: Vicerrectoría de Vida Estudiantil, Oficina de  Bienestar y Salud.</t>
  </si>
  <si>
    <r>
      <t xml:space="preserve">  Administración (San Ramón)  </t>
    </r>
    <r>
      <rPr>
        <vertAlign val="superscript"/>
        <sz val="10"/>
        <color indexed="8"/>
        <rFont val="Arial"/>
        <family val="2"/>
      </rPr>
      <t>2/</t>
    </r>
  </si>
  <si>
    <r>
      <t xml:space="preserve">  Administración (Guanacaste)  </t>
    </r>
    <r>
      <rPr>
        <vertAlign val="superscript"/>
        <sz val="10"/>
        <color indexed="8"/>
        <rFont val="Arial"/>
        <family val="2"/>
      </rPr>
      <t>3/</t>
    </r>
  </si>
  <si>
    <r>
      <t xml:space="preserve">  Administración (Turrialba)  </t>
    </r>
    <r>
      <rPr>
        <vertAlign val="superscript"/>
        <sz val="10"/>
        <color indexed="8"/>
        <rFont val="Arial"/>
        <family val="2"/>
      </rPr>
      <t>4/</t>
    </r>
  </si>
  <si>
    <t xml:space="preserve">           </t>
  </si>
  <si>
    <t>Becas</t>
  </si>
  <si>
    <t>Monto</t>
  </si>
  <si>
    <t>Costo</t>
  </si>
  <si>
    <t>Prof. Becados</t>
  </si>
  <si>
    <t>Promedio</t>
  </si>
  <si>
    <t>Total de Profesores Becados</t>
  </si>
  <si>
    <t>Becados al Exterior</t>
  </si>
  <si>
    <t>Becas Cortas</t>
  </si>
  <si>
    <t>Fuente:  Oficina de Asuntos Internacionales</t>
  </si>
  <si>
    <r>
      <t xml:space="preserve">Becados al Exterior </t>
    </r>
    <r>
      <rPr>
        <vertAlign val="superscript"/>
        <sz val="12"/>
        <rFont val="Arial"/>
        <family val="2"/>
      </rPr>
      <t>1/</t>
    </r>
  </si>
  <si>
    <r>
      <t xml:space="preserve">Becas Cortas </t>
    </r>
    <r>
      <rPr>
        <vertAlign val="superscript"/>
        <sz val="12"/>
        <rFont val="Arial"/>
        <family val="2"/>
      </rPr>
      <t>2/</t>
    </r>
  </si>
  <si>
    <t xml:space="preserve">  Área de Artes y Letras</t>
  </si>
  <si>
    <t xml:space="preserve">  Área de Ciencias Básicas</t>
  </si>
  <si>
    <t xml:space="preserve">  Área de Ciencias Sociales</t>
  </si>
  <si>
    <t xml:space="preserve">  Área de Salud</t>
  </si>
  <si>
    <t xml:space="preserve">  Área de Ingeniería y Arquitectura</t>
  </si>
  <si>
    <t xml:space="preserve">  Área de Ciencias Agroalimentarias</t>
  </si>
  <si>
    <t xml:space="preserve">  Área  Administrativa</t>
  </si>
  <si>
    <r>
      <t>1/</t>
    </r>
    <r>
      <rPr>
        <sz val="12"/>
        <rFont val="Arial"/>
        <family val="2"/>
      </rPr>
      <t xml:space="preserve">  Becas de 4 años de duración promedio, dependiendo el programa de posgrado.</t>
    </r>
  </si>
  <si>
    <r>
      <t>2/</t>
    </r>
    <r>
      <rPr>
        <sz val="12"/>
        <rFont val="Arial"/>
        <family val="2"/>
      </rPr>
      <t xml:space="preserve">   Becas de 1 a 12 meses de duración en el exterior.</t>
    </r>
  </si>
  <si>
    <t>Fuente:  Oficina de Asuntos Internacionales.</t>
  </si>
  <si>
    <t xml:space="preserve">                                      Grado académico</t>
  </si>
  <si>
    <t xml:space="preserve"> Facultad de Letras</t>
  </si>
  <si>
    <t xml:space="preserve"> Facultad de Ciencias Básicas</t>
  </si>
  <si>
    <t xml:space="preserve"> Facultad de Educación </t>
  </si>
  <si>
    <t xml:space="preserve">   Formación Docente </t>
  </si>
  <si>
    <t xml:space="preserve">   Bibliotecología y Cs. Información</t>
  </si>
  <si>
    <t xml:space="preserve">   Administración de Negocios </t>
  </si>
  <si>
    <t xml:space="preserve">   Economía </t>
  </si>
  <si>
    <t xml:space="preserve">   Estadística </t>
  </si>
  <si>
    <t>Facultad de Ciencias Sociales</t>
  </si>
  <si>
    <t xml:space="preserve"> Facultad de Ingeniería</t>
  </si>
  <si>
    <t xml:space="preserve">   Ingeniería en Biosistemas</t>
  </si>
  <si>
    <t xml:space="preserve"> Facultad de Ciencias Agroalimentarias</t>
  </si>
  <si>
    <t xml:space="preserve"> Facultad de Medicina</t>
  </si>
  <si>
    <t xml:space="preserve">  Facultad de Odontología </t>
  </si>
  <si>
    <t xml:space="preserve">  Sede Interuniversitaria Alajuela</t>
  </si>
  <si>
    <t xml:space="preserve">  Sede Regional de Occidente</t>
  </si>
  <si>
    <t xml:space="preserve">  Sede Regional del Atlántico </t>
  </si>
  <si>
    <t xml:space="preserve"> Revistas                       </t>
  </si>
  <si>
    <t>Publicaciones</t>
  </si>
  <si>
    <t xml:space="preserve">                                          Libros</t>
  </si>
  <si>
    <t>Total Revistas ingresadas</t>
  </si>
  <si>
    <t>Actualidaddes en Psicología</t>
  </si>
  <si>
    <t>Agronomía Costarricense</t>
  </si>
  <si>
    <t>Agronomía Mesoamericana</t>
  </si>
  <si>
    <t xml:space="preserve">Anuario </t>
  </si>
  <si>
    <t xml:space="preserve">Biología </t>
  </si>
  <si>
    <t>Ciencias Económicas</t>
  </si>
  <si>
    <t>Ciencias Sociales</t>
  </si>
  <si>
    <t>Cuadernos de  Intercambio</t>
  </si>
  <si>
    <t>Dialogos</t>
  </si>
  <si>
    <t>Escena</t>
  </si>
  <si>
    <t>Estudios de Lingüística Chibcha</t>
  </si>
  <si>
    <t>Estudios</t>
  </si>
  <si>
    <t>Geológica</t>
  </si>
  <si>
    <t>Girasol</t>
  </si>
  <si>
    <t>Herencia</t>
  </si>
  <si>
    <t xml:space="preserve">Historia </t>
  </si>
  <si>
    <t>Humanidades</t>
  </si>
  <si>
    <t>Ingeniería</t>
  </si>
  <si>
    <t>Lankesteriana</t>
  </si>
  <si>
    <t>Lenguas Modernas</t>
  </si>
  <si>
    <t>Odovtos</t>
  </si>
  <si>
    <t>Káñina de Artes y Letras</t>
  </si>
  <si>
    <t>Reflexiones</t>
  </si>
  <si>
    <t>Revista Filatélica</t>
  </si>
  <si>
    <r>
      <rPr>
        <b/>
        <sz val="12"/>
        <color theme="1"/>
        <rFont val="Times New Roman"/>
        <family val="1"/>
      </rPr>
      <t xml:space="preserve">Beca vigente: </t>
    </r>
    <r>
      <rPr>
        <sz val="12"/>
        <color theme="1"/>
        <rFont val="Times New Roman"/>
        <family val="1"/>
      </rPr>
      <t>se refiere: a la beca que se aplica cada ciclo lectivo y se determina luego de la aplicación  de las disposiciones reglamentarias, a saber: carga académica, rendimiento académico, acuerdos de la Comisión Asesora de Becas, y es la que se utiliza para el cálculo del pago de la matrícula de los estudiantes y la asignación de beneficios complementarios. Esta beca puede ser mayor, menor o igual a la beca permanente.</t>
    </r>
  </si>
  <si>
    <r>
      <rPr>
        <sz val="7"/>
        <color theme="1"/>
        <rFont val="Times New Roman"/>
        <family val="1"/>
      </rPr>
      <t xml:space="preserve"> </t>
    </r>
    <r>
      <rPr>
        <b/>
        <sz val="12"/>
        <color theme="1"/>
        <rFont val="Times New Roman"/>
        <family val="1"/>
      </rPr>
      <t>Beca de asistencia</t>
    </r>
    <r>
      <rPr>
        <sz val="12"/>
        <color theme="1"/>
        <rFont val="Times New Roman"/>
        <family val="1"/>
      </rPr>
      <t xml:space="preserve">: </t>
    </r>
    <r>
      <rPr>
        <b/>
        <sz val="12"/>
        <color theme="1"/>
        <rFont val="Times New Roman"/>
        <family val="1"/>
      </rPr>
      <t>socioeconómica</t>
    </r>
    <r>
      <rPr>
        <sz val="12"/>
        <color theme="1"/>
        <rFont val="Times New Roman"/>
        <family val="1"/>
      </rPr>
      <t>: la beca de asistencia socioeconómica otorga el beneficio de la exoneración total o parcial del costo de matrícula por ciclo lectivo. Se asigna según la situación socioeconómica del estudiante y su grupo familiar. La beca once, además de la exoneración  total del pago de matrícula, otorga una ayuda económica mensual. Es un apoyo que el sistema brinda al estudiante para que culmine sus estudios en una carrera universitaria.</t>
    </r>
  </si>
  <si>
    <r>
      <rPr>
        <b/>
        <sz val="12"/>
        <color theme="1"/>
        <rFont val="Times New Roman"/>
        <family val="1"/>
      </rPr>
      <t>Beca de estímulo</t>
    </r>
    <r>
      <rPr>
        <sz val="12"/>
        <color theme="1"/>
        <rFont val="Times New Roman"/>
        <family val="1"/>
      </rPr>
      <t>: consiste en la exoneración total o parcial de los costos de matrícula y se otorga con el propósito de impulsar la excelencia académica, la participación de los estudiantes  en determinados campos de interés institucional definidos por el Consejo Universitario o en el reglamento, y la participación en grupos culturales y deportivos. Se incluyen en ésta categoría las becas por excelencia académica, horas estudiante y horas asistente, funcionarios universitarios  y sus dependientes y otros convenios.</t>
    </r>
  </si>
  <si>
    <r>
      <rPr>
        <b/>
        <sz val="12"/>
        <color theme="1"/>
        <rFont val="Times New Roman"/>
        <family val="1"/>
      </rPr>
      <t>Extensión Cultural:</t>
    </r>
    <r>
      <rPr>
        <sz val="12"/>
        <color theme="1"/>
        <rFont val="Times New Roman"/>
        <family val="1"/>
      </rPr>
      <t xml:space="preserve"> es la proyección y promoción del quehacer universitario en el ámbito cultural y artístico dentro y fuera de las fronteras costarricenses. Busca responder a las necesidades de la población a la cual va dirigida, enriqueciendo, protegiendo y activando sus propias manifestaciones culturales.</t>
    </r>
  </si>
  <si>
    <r>
      <rPr>
        <b/>
        <sz val="12"/>
        <color theme="1"/>
        <rFont val="Times New Roman"/>
        <family val="1"/>
      </rPr>
      <t xml:space="preserve">Extensión Docente: </t>
    </r>
    <r>
      <rPr>
        <sz val="12"/>
        <color theme="1"/>
        <rFont val="Times New Roman"/>
        <family val="1"/>
      </rPr>
      <t>es el proceso mediante el cual el quehacer académico de la Universidad, se traslada a la comunidad nacional, por medio de las modalidades de: difusión, actualización, capacitación y servicios especiales. La extensión docente utiliza como opciones metodológicas: seminarios, talleres, cursos, planes integrados, asesorías, servicios especializados y otros, bajo la responsabilidad del docente como conductor académico.</t>
    </r>
  </si>
  <si>
    <r>
      <rPr>
        <b/>
        <sz val="12"/>
        <color theme="1"/>
        <rFont val="Times New Roman"/>
        <family val="1"/>
      </rPr>
      <t>Horas Asistente</t>
    </r>
    <r>
      <rPr>
        <sz val="12"/>
        <color theme="1"/>
        <rFont val="Times New Roman"/>
        <family val="1"/>
      </rPr>
      <t>: es una categoría de beca estudiantil, en la que se designa al estudiante, para colaborar en las actividades sustantivas de la Universidad: docencia, investigación y acción social. Debe cumplir con los requisitos de ser estudiante regular, estar matrículado en 9 créditos en el ciclo lectivo ordinario, haber aprobado 4 años del respectivo programa de estudios y tener un rendimiento académico no inferior a 80.</t>
    </r>
  </si>
  <si>
    <r>
      <rPr>
        <b/>
        <sz val="12"/>
        <color theme="1"/>
        <rFont val="Times New Roman"/>
        <family val="1"/>
      </rPr>
      <t>Horas Estudiante</t>
    </r>
    <r>
      <rPr>
        <sz val="12"/>
        <color theme="1"/>
        <rFont val="Times New Roman"/>
        <family val="1"/>
      </rPr>
      <t>: es una categoría de beca estudiantil, en la que se designa al estudiante, para colaborar en actividades propias de docencia, investigación y acción social. Debe cumplir con los requisitos de ser estudiante regular, matrículado en 9 créditos, en el ciclo lectivo en el cual se designa y haber aprobado la asignatura en la que prestará colaboración, cuando se refiera a la docencia.</t>
    </r>
  </si>
  <si>
    <r>
      <rPr>
        <b/>
        <sz val="12"/>
        <color theme="1"/>
        <rFont val="Times New Roman"/>
        <family val="1"/>
      </rPr>
      <t>Investigación Aplicada</t>
    </r>
    <r>
      <rPr>
        <sz val="12"/>
        <color theme="1"/>
        <rFont val="Times New Roman"/>
        <family val="1"/>
      </rPr>
      <t>: actividades cuyo propósito corresponde a la búsqueda científica del conocimiento orientados a aplicaciones prácticas. Este tipo de investigación normalmente diagnostica establece la fase evolutiva del sujeto de estudio para proponer soluciones, sean éstas tratamientos o recomendaciones de manejo racional.</t>
    </r>
  </si>
  <si>
    <r>
      <rPr>
        <b/>
        <sz val="12"/>
        <color theme="1"/>
        <rFont val="Times New Roman"/>
        <family val="1"/>
      </rPr>
      <t>Investigación para el Desarrollo Tecnológico</t>
    </r>
    <r>
      <rPr>
        <sz val="12"/>
        <color theme="1"/>
        <rFont val="Times New Roman"/>
        <family val="1"/>
      </rPr>
      <t>: conjunto de actividades que se llevan a cabo con el propósito de diseñar, desarrollar, innovar o mejorar prototipos, modelos o procesos de producción o materiales, especialmente aquellos de interés económico o aplicado, que podrían tener resultados patentables o susceptibles al régimen de protección intelectual.</t>
    </r>
  </si>
  <si>
    <r>
      <rPr>
        <b/>
        <sz val="12"/>
        <color theme="1"/>
        <rFont val="Times New Roman"/>
        <family val="1"/>
      </rPr>
      <t>Personal de Apoyo:</t>
    </r>
    <r>
      <rPr>
        <sz val="12"/>
        <color theme="1"/>
        <rFont val="Times New Roman"/>
        <family val="1"/>
      </rPr>
      <t xml:space="preserve"> es el recurso humano que coadyuva, en forma directa, con la ejecución de las funciones sustantivas de la academia. Se trata del personal fijo que asiste al profesor en las diferentes actividades requeridas en los laboratorios, en las prácticas de campo, en las investigaciones, en acción social, entre otros.</t>
    </r>
  </si>
  <si>
    <r>
      <rPr>
        <b/>
        <sz val="12"/>
        <color theme="1"/>
        <rFont val="Times New Roman"/>
        <family val="1"/>
      </rPr>
      <t>Trabajo Comunal Universitario</t>
    </r>
    <r>
      <rPr>
        <sz val="12"/>
        <color theme="1"/>
        <rFont val="Times New Roman"/>
        <family val="1"/>
      </rPr>
      <t>: es la actividad interdisciplinaria realizada por la Universidad de Costa Rica por medio de sus estudiantes y profesores, en íntima relación con las comunidades. Implica una interacción dinámica y crítica que contribuye a entender y resolver problemas concretos de esas comunidades y de la sociedad costarricense.</t>
    </r>
  </si>
  <si>
    <t xml:space="preserve">LANAMME </t>
  </si>
  <si>
    <r>
      <t xml:space="preserve">3/ </t>
    </r>
    <r>
      <rPr>
        <sz val="11"/>
        <rFont val="Arial"/>
        <family val="2"/>
      </rPr>
      <t xml:space="preserve"> Son aquellos proyectos que una vez concluída su vigencia de ejecución se dan por terminados.   Generalmente los proyectos que terminan en un determinado año, se vienen ejecutando desde años atrás.   Para efectos estadísticos, se contabilizan a partir del momento en que terminan su ejecución.</t>
    </r>
  </si>
  <si>
    <r>
      <t>5/</t>
    </r>
    <r>
      <rPr>
        <sz val="11"/>
        <rFont val="Arial"/>
        <family val="2"/>
      </rPr>
      <t xml:space="preserve">  La ejecución del proyecto ha sido paralizada temporalmente, por lo tanto, las actividades registradas para el proyecto se encuentran suspendidas.  Para 2014 y 2015 no hubo.</t>
    </r>
  </si>
  <si>
    <r>
      <rPr>
        <sz val="10"/>
        <rFont val="Arial"/>
        <family val="2"/>
      </rPr>
      <t>3/</t>
    </r>
    <r>
      <rPr>
        <vertAlign val="superscript"/>
        <sz val="10"/>
        <rFont val="Arial"/>
        <family val="2"/>
      </rPr>
      <t xml:space="preserve"> </t>
    </r>
    <r>
      <rPr>
        <sz val="10"/>
        <color theme="1"/>
        <rFont val="Arial"/>
        <family val="2"/>
      </rPr>
      <t xml:space="preserve"> Incluye las categorías de divorciado, separado, viudo, unión libre y no responde.</t>
    </r>
  </si>
  <si>
    <t>Cuadro I-3:  Número de Proyectos activos, nuevos en desarrollo, terminados, ampliaciones,</t>
  </si>
  <si>
    <t>Distribución de plazas en la Universidad de Costa Rica, por programa y subprograma. 2019.  (Ver Gráfico RH1)</t>
  </si>
  <si>
    <t>Distribución del personal docente, según tipo de nombramiento y ciclo lectivo, por unidad. 2019.</t>
  </si>
  <si>
    <t>Profesores en régimen académico, según categoría, por unidad. 2019.</t>
  </si>
  <si>
    <t>Distribución del personal docente en régimen académico, según grado académico, por unidad I ciclo 2019.  (Ver Gráfico RH4)</t>
  </si>
  <si>
    <t>Distribución del personal docente en régimen académico, según grado académico, por unidad II ciclo 2019.  (Ver Gráfico RH4)</t>
  </si>
  <si>
    <t>Distribución del personal docente interino, según grado académico, por unidad. I ciclo 2019.  (Ver Gráfico RH5)</t>
  </si>
  <si>
    <t>Distribución del personal docente interino, según grado académico, por unidad. II ciclo    2019.  (Ver Gráfico RH 5)</t>
  </si>
  <si>
    <t>Distribución del personal docente en propiedad, según jornada, por unidad I ciclo  2019.  (Ver Gráfico RH6)</t>
  </si>
  <si>
    <t>Distribución del personal docente en propiedad, según jornada, por unidad. II ciclo   2019. (Ver Gráfico RH6)</t>
  </si>
  <si>
    <t>Distribución del personal docente interino, según jornada, por unidad. I ciclo   2019. (Ver Gráfico RH7)</t>
  </si>
  <si>
    <t>Distribución del personal docente interino, según jornada, por unidad. II ciclo   2019. (Ver Gráfico RH7)</t>
  </si>
  <si>
    <t>Distribución de la carga académica del personal docente, por unidad. I ciclo 2019.</t>
  </si>
  <si>
    <t>Distribución del personal docente, según tipo de nombramiento, por ciclo lectivo. 2015-2019.  (Ver Gráfico RH2)</t>
  </si>
  <si>
    <t>Profesores en régimen académico, según categoría. 2015 – 2019.  (Ver Gráfico RH3)</t>
  </si>
  <si>
    <t>Total   de   cargas   académicas   por   actividad.   I   ciclo  de   2015 – 2019.  (Ver Gráfico RH8)</t>
  </si>
  <si>
    <t>Cuadro RH1  Distribución de Plazas en la Universidad de Costa Rica, por programa y subprograma.  2019</t>
  </si>
  <si>
    <r>
      <t>1/</t>
    </r>
    <r>
      <rPr>
        <sz val="10"/>
        <color indexed="8"/>
        <rFont val="Arial"/>
        <family val="2"/>
      </rPr>
      <t xml:space="preserve">  Incluyen las horas profesor según corresponda, convertidas a equivalentes de tiempo completo, y contemplan plazas en propiedad e interinas.</t>
    </r>
  </si>
  <si>
    <t>Fuente:  Presupuesto por Programas y Actividades, Relacion de Puestos 2019</t>
  </si>
  <si>
    <t>Cuadro RH3:   Distribución del personal docente, según tipo de nombramiento, por ciclo lectivo.  2015 - 2019.</t>
  </si>
  <si>
    <t>I ciclo 2019</t>
  </si>
  <si>
    <t>II ciclo 2019</t>
  </si>
  <si>
    <t>Nota: Se refiere a personas físicas, una misma persona puede tener varios tipos de</t>
  </si>
  <si>
    <t xml:space="preserve">          nombramiento y jornadas.</t>
  </si>
  <si>
    <t>Cuadro RH4:    Profesores en Régimen Académico, según categoría, por unidad.  2019</t>
  </si>
  <si>
    <r>
      <t>1/</t>
    </r>
    <r>
      <rPr>
        <sz val="10"/>
        <color theme="1"/>
        <rFont val="Arial"/>
        <family val="2"/>
      </rPr>
      <t xml:space="preserve">  La distribución vertical  es con respecto al total de la Universidad y la horizontal con respecto a la Unidad.</t>
    </r>
  </si>
  <si>
    <t>Cuadro RH5:   Profesores en régimen académico,  según categoría.  2015 - 2019.</t>
  </si>
  <si>
    <t>Cuadro RH6:   Distribución del personal docente en regimen académico, según grado académico, por unidad. I ciclo 2019.</t>
  </si>
  <si>
    <t>Cuadro RH7:   Distribución del personal docente en régimen académico, según grado académico, por unidad. II ciclo 2019.</t>
  </si>
  <si>
    <t>Sede de Golfito</t>
  </si>
  <si>
    <t>Cuadro RH8:   Distribución del personal docente interino, según grado académico, por unidad. I ciclo 2019.</t>
  </si>
  <si>
    <t>Universidad de Costa Rica 2/</t>
  </si>
  <si>
    <t>Cuadro RH9:   Distribución del personal docente interino, según grado académico, por unidad. II ciclo 2019.</t>
  </si>
  <si>
    <t>Cuadro RH10:   Distribución del personal docente, en propiedad según jornada, por unidad. I ciclo 2019.</t>
  </si>
  <si>
    <t xml:space="preserve">Nota: Un docente puede tener dos tipos de jornada en cada Unidad Académica, tiempo profesor u horas profesor, y se contabililzan ambos tipos si los tuvieren. </t>
  </si>
  <si>
    <t>Cuadro RH11:   Distribución del personal docente, en propiedad según jornada, por unidad. II ciclo 2019.</t>
  </si>
  <si>
    <t>Cuadro RH12:   Distribución del personal docente, interino según jornada, por unidad. I ciclo 2019.</t>
  </si>
  <si>
    <t>Cuadro RH13:   Distribución del personal docente, interino según jornada, por unidad. II ciclo 2019.</t>
  </si>
  <si>
    <t>Cuadro  RH14:  Distribución de la carga académica del personal docente por unidad, (horas reloj por semana), para el I ciclo 2019.</t>
  </si>
  <si>
    <t xml:space="preserve">   Ctro.Inv. en Neurociencia (CIN)</t>
  </si>
  <si>
    <t xml:space="preserve">   Ctro. Inv.  Tecnologia Inf.  Y Comu (CITIC)</t>
  </si>
  <si>
    <t xml:space="preserve">   Unidad de Inv. Jardín Botanico  Lankester (JBL)</t>
  </si>
  <si>
    <t>Cuadro RH15:  Total de carga académica por actividad, para el I ciclo de 2015-2019.</t>
  </si>
  <si>
    <t>Total de egresos, por programa. En colones corrientes. 2019.</t>
  </si>
  <si>
    <t>Ingresos reales de la Universidad de Costa Rica, según clase de ingreso. En miles de colones. 2015-2019.  (Ver Gráfico RF1)</t>
  </si>
  <si>
    <t>Total de ingresos de la Universidad de Costa Rica, según clase de ingreso. En colones. 2015-2019.</t>
  </si>
  <si>
    <t xml:space="preserve">Total de egresos de la Universidad de Costa Rica, según clase de egreso. En colones corrientes. 2015- 2019. </t>
  </si>
  <si>
    <t>Cuadro RF1:  Ingresos Reales de la Universidad de Costa Rica, según clase de Ingreso. En miles de colones corrientes.  2015-2019.</t>
  </si>
  <si>
    <t>2019</t>
  </si>
  <si>
    <t>Impue Específ sobre la Produc y Consumo de Bienes y Servicios</t>
  </si>
  <si>
    <t>0.00%</t>
  </si>
  <si>
    <t>Servicios Radiomisoras UCR</t>
  </si>
  <si>
    <t>Sanciones Administrativas y Judiciales</t>
  </si>
  <si>
    <t>Fortalecimiento del Centro Nacional CITA</t>
  </si>
  <si>
    <t>Ley 8114; Impuestos sobre Combus. CONAVI</t>
  </si>
  <si>
    <t>Fondo Desarrollo Institucional Capital Permanente FUNDEVI-Princp.</t>
  </si>
  <si>
    <r>
      <t>1/</t>
    </r>
    <r>
      <rPr>
        <sz val="11"/>
        <color theme="1"/>
        <rFont val="Calibri"/>
        <family val="2"/>
        <scheme val="minor"/>
      </rPr>
      <t xml:space="preserve">  La tasa de distribución es con respecto al total de ingresos.</t>
    </r>
  </si>
  <si>
    <r>
      <t>2/</t>
    </r>
    <r>
      <rPr>
        <sz val="11"/>
        <color theme="1"/>
        <rFont val="Calibri"/>
        <family val="2"/>
        <scheme val="minor"/>
      </rPr>
      <t xml:space="preserve">  Tasa de crecimiento del año respecto al anterior.</t>
    </r>
  </si>
  <si>
    <t>Fuente:  Informe de Ingresos y Egresos.  Oficina de Administración Financiera. 2015-2019.</t>
  </si>
  <si>
    <t>Cuadro RF2:  Total de Ingresos de la Universidad de Costa Rica, según clase de ingreso. En colones corrientes.  2015-2019.</t>
  </si>
  <si>
    <r>
      <t xml:space="preserve">1/ </t>
    </r>
    <r>
      <rPr>
        <sz val="10"/>
        <rFont val="Arial"/>
        <family val="2"/>
      </rPr>
      <t xml:space="preserve"> Fondo Especial para la Educación Superior, No incluye Fondos del Sistema.</t>
    </r>
  </si>
  <si>
    <t>Cuadro RF3:   Total de gastos, por programa. En colones corrientes. 2019.</t>
  </si>
  <si>
    <t>4,536,197,434.78</t>
  </si>
  <si>
    <t>2,136,287,831.80</t>
  </si>
  <si>
    <t>253,149,571.51</t>
  </si>
  <si>
    <t>51,932,894.77</t>
  </si>
  <si>
    <t>529,415,889.31</t>
  </si>
  <si>
    <t>148,491,448.65</t>
  </si>
  <si>
    <t>1,297,294,999.79</t>
  </si>
  <si>
    <t>119,624,798.95</t>
  </si>
  <si>
    <t>Fuente:  Estados Financieros y Liquidación Presupuestaria al 31 de diciembre de 2019, Oficina de Administración Financiera.</t>
  </si>
  <si>
    <t>Cuadro RF4   Total de Egresos de la Universidad de Costa Rica, según clase de egreso. En colones corrientes. 2015 - 2019</t>
  </si>
  <si>
    <t>Fuente:  Estados Financieros y Liquidación Presupuestaria al 31 de diciembre 2015 - 2019, Oficina de Administración Financiera.</t>
  </si>
  <si>
    <t>2018- 2019</t>
  </si>
  <si>
    <t>Distribución de plazas del Programa de Docencia, por programa y subprograma.  2019. (Ver Gráfico D1)</t>
  </si>
  <si>
    <t>Número de titulaciones ofrecidas, según grado y posgrado, por unidad. 2019.  (Ver Gráfico D2)</t>
  </si>
  <si>
    <t>Número de posgrados ofrecidos, por área 2019 (Ver Gráfico D3)</t>
  </si>
  <si>
    <t>Estudiantes físicos de pregrado y grado, según materias matriculadas en el año, por unidad. 2019.  (Ver Gráfico D4)</t>
  </si>
  <si>
    <t xml:space="preserve">Estudiantes físicos de pregrado y grado, según materias aprobadas en el año, por unidad. 2019. (Ver Gráfico D4) </t>
  </si>
  <si>
    <t>Estudiantes físicos de pregrado y grado, según créditos matriculados en el año, por  unidad. 2019.  (Ver Gráfico D5)</t>
  </si>
  <si>
    <t>Estudiantes físicos de pregrado y grado, según créditos aprobados en el año, por unidad. 2019.  (Ver Gráfico D5)</t>
  </si>
  <si>
    <t>Estudiantes físicos de pregrado y grado, según materias aprobadas, por materias matriculadas. 2019.</t>
  </si>
  <si>
    <t>Estudiantes físicos de posgrado, según materias aprobadas, por materias matriculadas. 2019.</t>
  </si>
  <si>
    <t>Estudiantes físicos de pregrado y grado, según créditos aprobados, por créditos matriculados. 2019.</t>
  </si>
  <si>
    <t>Estudiantes físicos de posgrado, según créditos aprobados, por créditos matriculados. 2019.</t>
  </si>
  <si>
    <t>Títulos otorgados a graduados de pregrado y grado, según grado académico obtenido, por unidad. 2019.  (Ver Gráfico D6)</t>
  </si>
  <si>
    <t>Títulos otorgados a graduados de pregrado y grado, según genero, por unidad. 2019.  (Ver Gráfico D7 y D7.1)</t>
  </si>
  <si>
    <t>Títulos otorgados a graduados de pregrado, grado y posgrado, según género, por área y sede  2019.  (Ver Gráfico D9)</t>
  </si>
  <si>
    <t>Cuadro D-1 Distribución de Plazas del Programa de Docencia, por programa y subprograma.  2019</t>
  </si>
  <si>
    <r>
      <t xml:space="preserve">  Docencia (Guanacaste) </t>
    </r>
    <r>
      <rPr>
        <vertAlign val="superscript"/>
        <sz val="10"/>
        <color indexed="8"/>
        <rFont val="Arial"/>
        <family val="2"/>
      </rPr>
      <t>2/</t>
    </r>
  </si>
  <si>
    <t>1/ En las titulaciones se incluyen los enfaisis de cada carrera cuando los tienen.</t>
  </si>
  <si>
    <t>Fuente:  Resolución VD-111188-2019, Anexo 3.</t>
  </si>
  <si>
    <r>
      <t xml:space="preserve">Cuadro D2:  Número de Titulaciones </t>
    </r>
    <r>
      <rPr>
        <vertAlign val="superscript"/>
        <sz val="10"/>
        <rFont val="Arial"/>
        <family val="2"/>
      </rPr>
      <t>1/</t>
    </r>
    <r>
      <rPr>
        <sz val="10"/>
        <rFont val="Arial"/>
        <family val="2"/>
      </rPr>
      <t xml:space="preserve"> ofrecidas, según pregrado y grado, por unidad.  2019</t>
    </r>
  </si>
  <si>
    <t>Cuadro D3: Número de posgrados ofrecidos, por área 2019</t>
  </si>
  <si>
    <t>Maestria académica</t>
  </si>
  <si>
    <t>Maestria profesional</t>
  </si>
  <si>
    <t>Cuadro D4:  Estudiantes físicos según materias matriculadas de pregrado y grado, por unidad.  2019</t>
  </si>
  <si>
    <t xml:space="preserve">   Ingeniería de Biosistemas</t>
  </si>
  <si>
    <t>Fuente:   Archivo de Notas del 21 de febrero de 2020, Oficina de Registro.</t>
  </si>
  <si>
    <t>Fuente:   Archivo de Notas del  21 febrero de 2020, Oficina de Registro.</t>
  </si>
  <si>
    <t>Cuadro  D6:   Estudiantes físicos de pregrado y grado, según materias aprobadas en el año, por unidad.  2019</t>
  </si>
  <si>
    <t>Nota: No se incluyen estudiantes físicos que tienen una letra como nota, y esta no tiene ponderación númerica.</t>
  </si>
  <si>
    <t>Fuente:   Archivo de Notas del 21 febrero 2020, Oficina de Registro.</t>
  </si>
  <si>
    <t>Cuadro  D8:   Estudiantes físicos de pregrado y grado,  según créditos matriculados en el año,  por unidad. 2019</t>
  </si>
  <si>
    <t>Fuente:   Archivo de 21 febrero de 2020, Oficina de Registro.</t>
  </si>
  <si>
    <t>Fuente:   Archivo de Notas del 21  febrero de 2020, Oficina de Registro.</t>
  </si>
  <si>
    <t>Cuadro D10:   Estudiantes físicos de pregrado y grado, según créditos aprobados en el año, por unidad. 2019</t>
  </si>
  <si>
    <t xml:space="preserve">   Ingeniería de Biosistemas </t>
  </si>
  <si>
    <t>Fuente:   Archivo de Notas de21 febrero 2020, Oficina de Registro.</t>
  </si>
  <si>
    <t>Fuente:   Archivo de Notas de 21 de febrero 2020, Oficina de Registro.</t>
  </si>
  <si>
    <t>Cuadro D12:   Estudiantes físicos de pregrado y grado, según materias aprobadas, por materias matriculadas. 2019</t>
  </si>
  <si>
    <t>Fuente:  Archivo de Notas de 21 de febrero de 2020, Oficina de Registro.</t>
  </si>
  <si>
    <t>Cuadro D13:   Estudiantes físicos de posgrado, según materias aprobadas, por materias matriculadas.  2019</t>
  </si>
  <si>
    <t xml:space="preserve">  Matriculadas            Aprobadas                              </t>
  </si>
  <si>
    <t>Fuente:   Archivo de Notas de 21 de febrero de 2020, Oficina de Registro.</t>
  </si>
  <si>
    <t>Cuadro D14:   Estudiantes físicos de pregrado y grado, según créditos aprobados,  por créditos matriculados.  2019</t>
  </si>
  <si>
    <t>Fuente:   Archivo de Notas del 21 febrero de 2020, Oficina de Registro.</t>
  </si>
  <si>
    <t>Cuadro D15:   Estudiantes físicos de posgrado, según créditos aprobados, por créditos matriculados.  2019</t>
  </si>
  <si>
    <t>Fuente: Archivo de Notas del 21de febrero de 2020, Oficina de Registro.</t>
  </si>
  <si>
    <r>
      <t xml:space="preserve">1/ </t>
    </r>
    <r>
      <rPr>
        <sz val="10"/>
        <color theme="1"/>
        <rFont val="Arial"/>
        <family val="2"/>
      </rPr>
      <t xml:space="preserve"> La distribución vertical es con respecto al total de la Universidad, y la distribución horizontal es con respecto al total de los créditos matriculados.</t>
    </r>
  </si>
  <si>
    <t>Cuadro D16:   Títulos otorgados en pregrado y grado, según grado académico obtenido, por unidad.  2019.</t>
  </si>
  <si>
    <t xml:space="preserve">   Ingeniería de Bisistemas</t>
  </si>
  <si>
    <t>a/ Corresponde a 42 profesorados y 52 diplomados.</t>
  </si>
  <si>
    <t xml:space="preserve">b/ Corresponde a 51 profesorados </t>
  </si>
  <si>
    <t>c/ Corresponde a 9 profesorados.</t>
  </si>
  <si>
    <t>d/ Corresponde a 5 profesorados y 15 diplomado.</t>
  </si>
  <si>
    <t>e/ Corresponde a 23 diplomados.</t>
  </si>
  <si>
    <t>f/ Corresponde a 1 diplomado.</t>
  </si>
  <si>
    <t>g/ Corresponde a 18 profesorado y 9  diplomados.</t>
  </si>
  <si>
    <t>h/ Corresponde a 12 profesorado y 1  diplomados.</t>
  </si>
  <si>
    <t>i/  Corresponde a 22 profesorados.</t>
  </si>
  <si>
    <t>Cuadro D17   Títulos otorgados de pregrado y grado, según genero, por unidad.  2019</t>
  </si>
  <si>
    <t>Cuadro D18:  Títulos otorgados según género, por especialidad de posgrado.  2019</t>
  </si>
  <si>
    <t xml:space="preserve">  Cs. Agrícolas y Recursos Naturales con varios énfasis</t>
  </si>
  <si>
    <t xml:space="preserve">   Ciencias Médicas</t>
  </si>
  <si>
    <t xml:space="preserve">Cuadro D19:   Número de estudiantes graduados de pregrado, grado y posgrado según género, </t>
  </si>
  <si>
    <t xml:space="preserve">                       por sede y área.  2019</t>
  </si>
  <si>
    <t>Distribución de plazas del Programa de Investigación, por programa y subprograma.  2019.  (Ver Gráfico I-1)</t>
  </si>
  <si>
    <t>Proyectos nuevos en desarrollo, terminados, cerrados, ampliaciones y reactivaciones por unidad. 2019.  (Ver Gráfico I-2)</t>
  </si>
  <si>
    <t>Número de Proyectos, según tipo por unidad.  2019 (Ver Gráfico I-3)</t>
  </si>
  <si>
    <t>Número de Investigadores (as) participantes en los proyectos de investigación, según grado y género, por programa y área.  2019 (Ver Gráfico I-4)</t>
  </si>
  <si>
    <t xml:space="preserve">Número de ejemplares de revistas publicadas. 2019. </t>
  </si>
  <si>
    <t xml:space="preserve">Número de libros publicados, según clasificación por modalidad 2019. </t>
  </si>
  <si>
    <t>Número de usuarios atendidos, según tipo de servicio, por biblioteca. 2019. (Ver Gráfico I-5)</t>
  </si>
  <si>
    <t>Número de títulos impresos nuevos, por modalidad de adquisición. 2019.</t>
  </si>
  <si>
    <t>Número de títulos eléctricos nuevos, por modalidad de adquisición. 2019.</t>
  </si>
  <si>
    <t>Material bibliográfico procesado por Sede en el 2019</t>
  </si>
  <si>
    <t xml:space="preserve"> Préstamo de materiales bibliográficos, equipo audiovisual, salas y auditorios, según tipo de servicio, por biblioteca.   2019</t>
  </si>
  <si>
    <t xml:space="preserve">Número de Proyectos activos, nuevos en desarrollo, terminados, ampliaciones, reactivaciones, cerrados y suspendidos. 2015 – 2019. </t>
  </si>
  <si>
    <t>Número de usuarios atendidos, por tipo de servicio. 2015-2019.</t>
  </si>
  <si>
    <t>Cuadro I-1  Distribución de Plazas del Prorama de Investigación, por programa y subprograma.  2019</t>
  </si>
  <si>
    <r>
      <t xml:space="preserve">  Investigación (Turrialba)  </t>
    </r>
    <r>
      <rPr>
        <vertAlign val="superscript"/>
        <sz val="10"/>
        <color indexed="8"/>
        <rFont val="Arial"/>
        <family val="2"/>
      </rPr>
      <t>2/</t>
    </r>
  </si>
  <si>
    <r>
      <t>2/</t>
    </r>
    <r>
      <rPr>
        <sz val="10"/>
        <rFont val="Arial"/>
        <family val="2"/>
      </rPr>
      <t xml:space="preserve"> Incluyen el Recinto de Paraiso y el de Guapiles.</t>
    </r>
  </si>
  <si>
    <t>Cuadro I-2:   Proyectos activos, nuevos, cerrados, terminados, ampliaciones y reactivaciones por unidad. 2019</t>
  </si>
  <si>
    <t xml:space="preserve">   CICG</t>
  </si>
  <si>
    <t xml:space="preserve">    IIA</t>
  </si>
  <si>
    <r>
      <t xml:space="preserve">4/ </t>
    </r>
    <r>
      <rPr>
        <sz val="10"/>
        <rFont val="Arial"/>
        <family val="2"/>
      </rPr>
      <t xml:space="preserve"> Son aquellos proyectos que una vez concluída su vigencia de ejecución se dan por terminados. Generalmente los proyectos que terminan en un determinado </t>
    </r>
  </si>
  <si>
    <t xml:space="preserve">     año se vienen ejecutando de años atrás. Para efectos estadísticos, se contabilizan a partir del momento en que terminan su ejecución.</t>
  </si>
  <si>
    <t xml:space="preserve">                     reactivaciones, cerrados y suspendidos. 2015 – 2019</t>
  </si>
  <si>
    <t>Cuadro I-4:   Proyectos de investigación según tipo, por unidad.  2019</t>
  </si>
  <si>
    <r>
      <t xml:space="preserve">1/ </t>
    </r>
    <r>
      <rPr>
        <sz val="11"/>
        <color theme="1"/>
        <rFont val="Calibri"/>
        <family val="2"/>
        <scheme val="minor"/>
      </rPr>
      <t xml:space="preserve"> La distribución vertical es con respecto al total de la Universidad, y la distribución horizontal es con respecto al total de la Unidad.</t>
    </r>
  </si>
  <si>
    <t>Cuadro I-5:   Número de Investigadores (as) participantes en los proyectos de investigación según grado y género, por programa y área  2019</t>
  </si>
  <si>
    <r>
      <t xml:space="preserve">Maestria  </t>
    </r>
    <r>
      <rPr>
        <vertAlign val="superscript"/>
        <sz val="10"/>
        <color indexed="8"/>
        <rFont val="Arial"/>
        <family val="2"/>
      </rPr>
      <t>2/</t>
    </r>
  </si>
  <si>
    <t xml:space="preserve">   PROSIC</t>
  </si>
  <si>
    <r>
      <t xml:space="preserve">2/ </t>
    </r>
    <r>
      <rPr>
        <sz val="10"/>
        <rFont val="Arial"/>
        <family val="2"/>
      </rPr>
      <t xml:space="preserve"> En la Maestría se incluyen 22 especialidades, 14 en hombres y 8 en mujeres.</t>
    </r>
  </si>
  <si>
    <t>Cuadro I-6   Número de ejemplares de revistas publicadas.  2019.</t>
  </si>
  <si>
    <t>Nota: Por la política institucional de la disminución de material impreso, la Vicerrectoria</t>
  </si>
  <si>
    <t xml:space="preserve">de Investigacón a incentivado el uso del portal de revistas, el cual contiene todas las </t>
  </si>
  <si>
    <t>revistas oficiales (sello Editorial UCR).</t>
  </si>
  <si>
    <t>Fuente:  Vicerrectoría de Investigación. Dirección Editorial y Difusión de la</t>
  </si>
  <si>
    <t xml:space="preserve">               Investigación.</t>
  </si>
  <si>
    <t>Cuadro I-7   Número de  libros publilcados, según clasificación por modalidad.  2019</t>
  </si>
  <si>
    <t>Libros Digitales PDF o PUB</t>
  </si>
  <si>
    <t>Cuadro I-8   Número de usuarios atendidos, según tipo de servicio, por biblioteca.   2019</t>
  </si>
  <si>
    <t xml:space="preserve">     videos, reservación de salas y usuarios atendidos en salas de bibliotecas Luis Demetrio Tinoco, Carlos Monge Alfaro, Cs. De la Salud y Artes Msicales. </t>
  </si>
  <si>
    <r>
      <t xml:space="preserve">5/ </t>
    </r>
    <r>
      <rPr>
        <sz val="10"/>
        <rFont val="Arial"/>
        <family val="2"/>
      </rPr>
      <t xml:space="preserve"> Incluye los servicios administrativos de las bibliotecas Carlos Monge y Luis Demetrio Tinoco,  Ciencias de la Salud.</t>
    </r>
  </si>
  <si>
    <r>
      <rPr>
        <vertAlign val="superscript"/>
        <sz val="10"/>
        <rFont val="Arial"/>
        <family val="2"/>
      </rPr>
      <t xml:space="preserve">3/ </t>
    </r>
    <r>
      <rPr>
        <sz val="10"/>
        <rFont val="Arial"/>
        <family val="2"/>
      </rPr>
      <t>Incluye colecciones y catálogos, archivo vertical, servicio de alerta, acceso bases de datos, educación de usuarios, bibliografías especializadas, préstamo interbibliotecario y publicaciones periódicas, lecturas de      microformas, transferencias de videos, reservación de transferencias de videos, reservación de salas y usuarios atendidos en salas.</t>
    </r>
  </si>
  <si>
    <t>Cuadro I-9    Número de usuarios atendidos por tipo de servicio.  2015 - 2019</t>
  </si>
  <si>
    <r>
      <t xml:space="preserve">Circulación  </t>
    </r>
    <r>
      <rPr>
        <vertAlign val="superscript"/>
        <sz val="11"/>
        <rFont val="Arial"/>
        <family val="2"/>
      </rPr>
      <t>1/</t>
    </r>
  </si>
  <si>
    <r>
      <t xml:space="preserve">Referencia  </t>
    </r>
    <r>
      <rPr>
        <vertAlign val="superscript"/>
        <sz val="11"/>
        <rFont val="Arial"/>
        <family val="2"/>
      </rPr>
      <t>2/</t>
    </r>
  </si>
  <si>
    <r>
      <t xml:space="preserve">Audiovisuales  </t>
    </r>
    <r>
      <rPr>
        <vertAlign val="superscript"/>
        <sz val="11"/>
        <rFont val="Arial"/>
        <family val="2"/>
      </rPr>
      <t>3/</t>
    </r>
  </si>
  <si>
    <r>
      <t xml:space="preserve">Servicios Administrativos  </t>
    </r>
    <r>
      <rPr>
        <vertAlign val="superscript"/>
        <sz val="11"/>
        <rFont val="Arial"/>
        <family val="2"/>
      </rPr>
      <t>4/</t>
    </r>
  </si>
  <si>
    <r>
      <t xml:space="preserve">Otros Servicios   </t>
    </r>
    <r>
      <rPr>
        <vertAlign val="superscript"/>
        <sz val="11"/>
        <rFont val="Arial"/>
        <family val="2"/>
      </rPr>
      <t>5/</t>
    </r>
  </si>
  <si>
    <r>
      <t xml:space="preserve">1/ </t>
    </r>
    <r>
      <rPr>
        <sz val="11"/>
        <rFont val="Arial"/>
        <family val="2"/>
      </rPr>
      <t xml:space="preserve"> Incluye servicios como: información general y colección e inscripción de usuarios así como  usuarios atendidos en préstamos de libros</t>
    </r>
  </si>
  <si>
    <r>
      <t xml:space="preserve">2/ </t>
    </r>
    <r>
      <rPr>
        <sz val="11"/>
        <rFont val="Arial"/>
        <family val="2"/>
      </rPr>
      <t xml:space="preserve"> Incluye colecciones y catálogos, archivo vertical, servicio de alerta, acceso bases de datos, educación de usuarios, bibliografías </t>
    </r>
  </si>
  <si>
    <t xml:space="preserve">   especializadas, préstamo interbibliotecario y publicaciones periódicas, lectura de microformas, transferencia de videos, reservación de salas.</t>
  </si>
  <si>
    <r>
      <t>3/</t>
    </r>
    <r>
      <rPr>
        <sz val="11"/>
        <rFont val="Arial"/>
        <family val="2"/>
      </rPr>
      <t xml:space="preserve">  Incluye videoconferencias, proyecciones, audiciones, grabaciones y reproducciones, asesorías en módulos A.V., solicitudes de equipo </t>
    </r>
  </si>
  <si>
    <t xml:space="preserve">     y auditorio en las Bibliotecas Luis Demetrio  Tinoco, Carlos Monge  Alfaro, Ciencias de la Salud y Artes Musicales</t>
  </si>
  <si>
    <r>
      <t>4/</t>
    </r>
    <r>
      <rPr>
        <sz val="11"/>
        <rFont val="Arial"/>
        <family val="2"/>
      </rPr>
      <t xml:space="preserve"> Incluye los servicios administrativos ( usuarios atendidos en la secretaria ) de las </t>
    </r>
  </si>
  <si>
    <t xml:space="preserve">  Bibliotecas Carlos Monge y Luis Demetrio Tinoco,  Ciencias de la Salud, Ciencias Agroalimentaria y Lanamme.</t>
  </si>
  <si>
    <r>
      <t xml:space="preserve">5/ </t>
    </r>
    <r>
      <rPr>
        <sz val="11"/>
        <rFont val="Arial"/>
        <family val="2"/>
      </rPr>
      <t>Incluye usuarios atendidos por email, en laboratorios y por telefono.</t>
    </r>
  </si>
  <si>
    <t>Cuadro I-10  Número de  títulos impresos nuevos,  por modalidad de adquisición.  2019</t>
  </si>
  <si>
    <r>
      <t xml:space="preserve">Audiovisuales  </t>
    </r>
    <r>
      <rPr>
        <vertAlign val="superscript"/>
        <sz val="10"/>
        <rFont val="Arial"/>
        <family val="2"/>
      </rPr>
      <t>2/</t>
    </r>
  </si>
  <si>
    <r>
      <t xml:space="preserve">Especiales </t>
    </r>
    <r>
      <rPr>
        <vertAlign val="superscript"/>
        <sz val="10"/>
        <rFont val="Arial"/>
        <family val="2"/>
      </rPr>
      <t>3/</t>
    </r>
  </si>
  <si>
    <r>
      <t xml:space="preserve">2/ </t>
    </r>
    <r>
      <rPr>
        <sz val="10"/>
        <rFont val="Arial"/>
        <family val="2"/>
      </rPr>
      <t>Incluye peliculas, videogravaciones, microformas,LP/Acetatos, CD-Rom de audioi.</t>
    </r>
  </si>
  <si>
    <r>
      <t>3/</t>
    </r>
    <r>
      <rPr>
        <sz val="10"/>
        <rFont val="Arial"/>
        <family val="2"/>
      </rPr>
      <t xml:space="preserve">  Incluye material cartográfico y gráfico.</t>
    </r>
  </si>
  <si>
    <t>Cuadro I-11  Número de  títulos eletrónicos nuevos,  por modalidad de adquisición.  2019</t>
  </si>
  <si>
    <r>
      <t>1/</t>
    </r>
    <r>
      <rPr>
        <sz val="10"/>
        <rFont val="Arial"/>
        <family val="2"/>
      </rPr>
      <t xml:space="preserve">  Incluye 337,274 libros electrónicos, contenidas en la bases de datos, 44,705 títulos que la universidad adquirio desde el año 2,009 y forman parte de </t>
    </r>
  </si>
  <si>
    <t xml:space="preserve">     nuestra colección y otros titulos renovados.</t>
  </si>
  <si>
    <r>
      <t>2/</t>
    </r>
    <r>
      <rPr>
        <sz val="10"/>
        <rFont val="Arial"/>
        <family val="2"/>
      </rPr>
      <t xml:space="preserve">  Revistas electrónicassuscritas individualmente.</t>
    </r>
  </si>
  <si>
    <t>Cuadro I-12 Material bibliográfico procesado por Sede en el 2019</t>
  </si>
  <si>
    <t>Colecciones</t>
  </si>
  <si>
    <t>Materiales Audiovisuales</t>
  </si>
  <si>
    <t xml:space="preserve">  Objetos tridimensionales</t>
  </si>
  <si>
    <r>
      <t>3/</t>
    </r>
    <r>
      <rPr>
        <sz val="10"/>
        <rFont val="Arial"/>
        <family val="2"/>
      </rPr>
      <t xml:space="preserve"> Indices y abstracts, colección Ortiz Ortiz; Orientación y Psicología; estante alto; raliasy colecciones especiales.</t>
    </r>
  </si>
  <si>
    <r>
      <rPr>
        <vertAlign val="superscript"/>
        <sz val="10"/>
        <rFont val="Arial"/>
        <family val="2"/>
      </rPr>
      <t>1/</t>
    </r>
    <r>
      <rPr>
        <sz val="10"/>
        <rFont val="Arial"/>
        <family val="2"/>
      </rPr>
      <t xml:space="preserve"> Incluye material de Urna, Braille, Manuscritos.</t>
    </r>
  </si>
  <si>
    <t>Cuadro I-13  Préstamo de Materiales Bibliográficos, equipo audiovisual, salas y auditorios, según tipo de servicio, por biblioteca.   2019</t>
  </si>
  <si>
    <r>
      <t>3/</t>
    </r>
    <r>
      <rPr>
        <sz val="10"/>
        <rFont val="Arial"/>
        <family val="2"/>
      </rPr>
      <t xml:space="preserve">  Incluye carpetas de archivo vertical, diccionarios, enciclopedias, mapas, atlas y publicaciones periódicas a sala y domicilio, departamento, e interbibliotecario. </t>
    </r>
  </si>
  <si>
    <t>Distribución de plazas del Programa de Acción Social, por programa y subprograma.  2019. (Ver Gráfico AS1)</t>
  </si>
  <si>
    <t>Número de proyectos de Extensión Docente, distribuidos por sede y área. 2015-2019. (Ver Gráfico AS2)</t>
  </si>
  <si>
    <t>Número de proyectos de Trabajo Comunal Universitario, por sede y área. 2019. (Ver Gráfico AS3)</t>
  </si>
  <si>
    <t>Número de proyectos de Extensión Cultural, por sede y área.  2019 (Ver Gráfico AS4)</t>
  </si>
  <si>
    <t>Número de profesores que participaron en los proyectos de extensión cultural, según grado académico. 2019</t>
  </si>
  <si>
    <t>Número de estudiantes matriculados en el Programa Integral para la persona Adulta y Adulta Mayor, distribuidos según edad, por ciclo lectivo. 2019.</t>
  </si>
  <si>
    <t>Número de cursos ofrecidos por el Programa Integral para la persona Adulta y Adulta Mayor, distribuidos según unidad, por ciclo lectivo. 2019.</t>
  </si>
  <si>
    <t>Número de estudiantes matriculados en el Programa Integral para la persona Adulta y Adulta Mayor, distribuidos según escolaridad, por ciclo lectivo. 2019. .  (Ver Gráfico AS5)</t>
  </si>
  <si>
    <t>Número de personas que asistio al Cine Universitario, en el campus universitario como en las comunidades. 2019</t>
  </si>
  <si>
    <t>Cuadro AS11</t>
  </si>
  <si>
    <t>Cuadro AS-1  Distribución de Plazas en el Programa de Acción Social, por programa y subprograma.  2019</t>
  </si>
  <si>
    <t>Cuadro AS2:  Número de  proyectos de Extensión Docente, distribuidos por sede y área. 2015 - 2019.</t>
  </si>
  <si>
    <r>
      <t xml:space="preserve"> Otras Unidades </t>
    </r>
    <r>
      <rPr>
        <vertAlign val="superscript"/>
        <sz val="10"/>
        <rFont val="Arial"/>
        <family val="2"/>
      </rPr>
      <t>1/</t>
    </r>
  </si>
  <si>
    <t>Cuadro AS3 : Número de profesores que participaron en los proyectos de Extensión Docente, distribuidos según categoría,</t>
  </si>
  <si>
    <t xml:space="preserve">                        por grado académico.  2019</t>
  </si>
  <si>
    <t xml:space="preserve">Categoría       </t>
  </si>
  <si>
    <r>
      <t xml:space="preserve">Total </t>
    </r>
    <r>
      <rPr>
        <vertAlign val="superscript"/>
        <sz val="12"/>
        <rFont val="Arial"/>
        <family val="2"/>
      </rPr>
      <t>1/</t>
    </r>
  </si>
  <si>
    <r>
      <t xml:space="preserve">Otros </t>
    </r>
    <r>
      <rPr>
        <vertAlign val="superscript"/>
        <sz val="12"/>
        <rFont val="Arial"/>
        <family val="2"/>
      </rPr>
      <t>2/</t>
    </r>
  </si>
  <si>
    <t xml:space="preserve">                             Grado</t>
  </si>
  <si>
    <t>Interino (a)</t>
  </si>
  <si>
    <t>Instructor (a)</t>
  </si>
  <si>
    <t>Adjunto (a)</t>
  </si>
  <si>
    <t>Asociado (a)</t>
  </si>
  <si>
    <t>Catedrático (a)</t>
  </si>
  <si>
    <t>No se indica</t>
  </si>
  <si>
    <r>
      <t xml:space="preserve">1/ </t>
    </r>
    <r>
      <rPr>
        <sz val="12"/>
        <rFont val="Arial"/>
        <family val="2"/>
      </rPr>
      <t xml:space="preserve"> La distribución vertical es con respecto al total de la Universidad y la horizontal es con respecto al total de la Unidad.</t>
    </r>
  </si>
  <si>
    <r>
      <rPr>
        <vertAlign val="superscript"/>
        <sz val="12"/>
        <rFont val="Arial"/>
        <family val="2"/>
      </rPr>
      <t>2/</t>
    </r>
    <r>
      <rPr>
        <sz val="12"/>
        <rFont val="Arial"/>
        <family val="2"/>
      </rPr>
      <t xml:space="preserve"> Incluye Bachiller Enseñanza Media, Universitario sin Titulo, Preparación Equivalente a la Universitaria y no indica titulo.</t>
    </r>
  </si>
  <si>
    <t>Número de profesores que participaron en los proyectos de extensión docente, según categoría por grado académico. 2019</t>
  </si>
  <si>
    <t>Cuadro AS4   Número de proyectos de Trabajo Comunal Universitaria, por sede y área. 2019</t>
  </si>
  <si>
    <t>Cuadro AS5 : Número de profesores (as) que participaron en</t>
  </si>
  <si>
    <t>Interino Licenciado (a)</t>
  </si>
  <si>
    <t>Interino Bachiller</t>
  </si>
  <si>
    <t>Interino em Régimen</t>
  </si>
  <si>
    <t>Sin Datos</t>
  </si>
  <si>
    <t xml:space="preserve">                      los proyectos de Trabajo Comunal Universitario, </t>
  </si>
  <si>
    <t xml:space="preserve">                      según Régimen Académico. 2019</t>
  </si>
  <si>
    <t>Número de responsables y colaboradores que participan en los proyectos de Trabajo Comunal Universitario, según regimen académico.  2019</t>
  </si>
  <si>
    <t>Cuadro AS6   Número de proyectos de Extensión Cultural, por sede y área. 2019</t>
  </si>
  <si>
    <t>Estudios generales</t>
  </si>
  <si>
    <t>Centros e Institutos de Investigación</t>
  </si>
  <si>
    <t xml:space="preserve">                        según  grado académico. 2019</t>
  </si>
  <si>
    <t>Preparación equivalente</t>
  </si>
  <si>
    <t>Secundaria Incompleta</t>
  </si>
  <si>
    <t>Secundaria Completa</t>
  </si>
  <si>
    <t>Universitaria Imcompleta</t>
  </si>
  <si>
    <t>Especialidad Profesional</t>
  </si>
  <si>
    <t>No indica</t>
  </si>
  <si>
    <t xml:space="preserve">Cuadro AS8:   Número de personas que asistio al Cine Universitario en el Campus Universitario </t>
  </si>
  <si>
    <t>como en las Comunidades. 2019</t>
  </si>
  <si>
    <t>Cantidad de personas</t>
  </si>
  <si>
    <t>Mes</t>
  </si>
  <si>
    <t>Campus</t>
  </si>
  <si>
    <t>Comunidad</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</si>
  <si>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</si>
  <si>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</si>
  <si>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</si>
  <si>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</si>
  <si>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</si>
  <si>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</si>
  <si>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</si>
  <si>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</si>
  <si>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Setiembre</t>
  </si>
  <si>
    <t xml:space="preserve">   Octubre</t>
  </si>
  <si>
    <t xml:space="preserve">   Noviembre</t>
  </si>
  <si>
    <t xml:space="preserve">   Diciembre</t>
  </si>
  <si>
    <t>III Ciclo</t>
  </si>
  <si>
    <t xml:space="preserve">Mujer </t>
  </si>
  <si>
    <t>Cuadro AS9:  Número de  estudiantes matriculados en el Programa Integral para la  Persona Adulta y Adulta Mayor, distribuidos según edad y género, por</t>
  </si>
  <si>
    <t xml:space="preserve">                     ciclo lectivo. 2019</t>
  </si>
  <si>
    <t>Cuadro AS10 : Número de cursos ofrecidos por el Programa Integral para la Persona Adulta</t>
  </si>
  <si>
    <t xml:space="preserve">                           y Adulta Mayor, según unidad, por ciclo lectivo.  2019</t>
  </si>
  <si>
    <t>III ciclo</t>
  </si>
  <si>
    <t>Artes Plásticas</t>
  </si>
  <si>
    <t>Informática</t>
  </si>
  <si>
    <t>Facultad de Derecho</t>
  </si>
  <si>
    <t>Administración de negocios</t>
  </si>
  <si>
    <t>Economía Agrícola</t>
  </si>
  <si>
    <t>Zootecnia</t>
  </si>
  <si>
    <t>Programa Institucional para la Persona Adulta y Adulta Mayor</t>
  </si>
  <si>
    <t>Cuadro AS11:  Número de  estudiantes matriculados en el Programa Integral para</t>
  </si>
  <si>
    <t xml:space="preserve">                       la  Persona Adulta y Adulta Mayor, distribuidos según escolaridad, </t>
  </si>
  <si>
    <t xml:space="preserve">                       por ciclo lectivo. 2019</t>
  </si>
  <si>
    <t>Distribución de plazas del Programa de Vida Estudiantil, por programa y subprograma. 2019  (Ver Gráfico VE1)</t>
  </si>
  <si>
    <t>Estudiantes físicos becados de pregrado y grado, según sexo, por unidad. I ciclo  2019  (Ver Gráfico VE2)</t>
  </si>
  <si>
    <t>Estudiantes físicos becadosde pregrado y grado, con beca socioeconómica según edad, por unidad. I ciclo  2019  (Ver Gráfico VE3)</t>
  </si>
  <si>
    <t>Estudiantes físicos becados de pregrado, y grado según estado civil, por unidad. I ciclo 2019  (Ver Gráfico VE4)</t>
  </si>
  <si>
    <t>Estudiantes físicos becados de pregrado y grado, según nacionalidad, por unidad. I ciclo 2019  (Ver Gráfico VE5)</t>
  </si>
  <si>
    <t>Estudiantes físicos becados de pregrado y grado, según número de miembros del grupo familiar, por unidad. I ciclo 2019.  (Ver Gráfico VE6)</t>
  </si>
  <si>
    <t>Estudiantes físicos becados de pregrado y grado, según categoría de beca asignada, por unidad. I ciclo 2019</t>
  </si>
  <si>
    <t>Estudiantes físicos de primer ingreso con beca de socioeconómica, asignada según sede,  por categoría.  I ciclo 2019  (Ver Gráfico VE7)</t>
  </si>
  <si>
    <t>Estudiantes físicos con beca permanente socioeconómica o por actividad universitaria, según sede, por categoría.  I ciclo 2019.  (Ver Gráfico VE8)</t>
  </si>
  <si>
    <t>Estudiantes físicos con beca vigente socioeconómica, según sede por categoría.  I  ciclo 2019  (Ver Gráfico VE8)</t>
  </si>
  <si>
    <t>Estudiantes físicos con beca permanente socioeconómica o por actividad, según sede, por categoría.  I ciclo 2019  (Ver Gráfico VE9)</t>
  </si>
  <si>
    <t>Estudiantes físicos con beca vigente socioeconómica o por actividad, según sede por categoría.  I ciclo 2019  (Ver Gráfico VE9)</t>
  </si>
  <si>
    <t>Estudiantes físicos becarios 4 o 5 que reciben montos por ayuda económica, reubicación geográfica, programa de residencias,  transporte, excelencia académica por promedio ponderado, según sede. Universidad de Costa Rica. I ciclo 2019</t>
  </si>
  <si>
    <t>Estudiantes físicos becados con servicio de almuerzo asignado mediante deposito, según beca vigente, por modalidad de entrega y sede, I ciclo 2019</t>
  </si>
  <si>
    <t xml:space="preserve">  Estudiantes físicos  con beca vigente, beneficiados con prestamo de libros, con solicitudes aprobadas, según sede, por categoría. I ciclo 2019</t>
  </si>
  <si>
    <t>Estudiantes físicos becados, ubicados en el programa de residencias, según sede.  I ciclo 2019.</t>
  </si>
  <si>
    <t>Número de personas atendidas en consultas y otros servicios brindados por la Oficina de Salud, según tipo de servicio. 2019</t>
  </si>
  <si>
    <t>Número de participantes en diferentes programas y actividades ofrecidos por la Oficina de Bienestar y Salud, según tipo de programa y actividad.  2019</t>
  </si>
  <si>
    <t>Número de participantes en el Programa de Promoción de la Salud, de la Oficina de Bienestar y Salud, según tipo de actividad.  2019</t>
  </si>
  <si>
    <t>Número de participantes en los Programas Deportivos, Recreativos y Artísticos, según tipo de actividad.  2019 (Ver Gráfico VE10)</t>
  </si>
  <si>
    <t xml:space="preserve">                      transporte, excelencia académica por promedio ponderado, según sede. Universidad de Costa Rica. I ciclo 2019</t>
  </si>
  <si>
    <t>Cuadro VE-1  Distribución de Plazas en el Programa de Vida Estudiantil, por programa y subprograma.  2019</t>
  </si>
  <si>
    <r>
      <t xml:space="preserve">Cuadro VE2:   Estudiantes físicos becados de pregrado y grado </t>
    </r>
    <r>
      <rPr>
        <vertAlign val="superscript"/>
        <sz val="10"/>
        <rFont val="Arial"/>
        <family val="2"/>
      </rPr>
      <t>1/</t>
    </r>
    <r>
      <rPr>
        <sz val="10"/>
        <color theme="1"/>
        <rFont val="Arial"/>
        <family val="2"/>
      </rPr>
      <t>,</t>
    </r>
    <r>
      <rPr>
        <vertAlign val="superscript"/>
        <sz val="10"/>
        <rFont val="Arial"/>
        <family val="2"/>
      </rPr>
      <t xml:space="preserve"> </t>
    </r>
    <r>
      <rPr>
        <sz val="10"/>
        <color theme="1"/>
        <rFont val="Arial"/>
        <family val="2"/>
      </rPr>
      <t>según sexo, por unidad. I ciclo 2019</t>
    </r>
  </si>
  <si>
    <t>1/ Corresponde al total de estudiantes becados (beca socioeconómica vigente) de la Universidad para el I ciclo 2019.</t>
  </si>
  <si>
    <r>
      <t xml:space="preserve">Total </t>
    </r>
    <r>
      <rPr>
        <vertAlign val="superscript"/>
        <sz val="10"/>
        <rFont val="Arial"/>
        <family val="2"/>
      </rPr>
      <t xml:space="preserve"> </t>
    </r>
    <r>
      <rPr>
        <sz val="10"/>
        <rFont val="Arial"/>
        <family val="2"/>
      </rPr>
      <t>2/</t>
    </r>
  </si>
  <si>
    <t xml:space="preserve">  Ciencias de La Educación</t>
  </si>
  <si>
    <t xml:space="preserve"> Derecho</t>
  </si>
  <si>
    <t xml:space="preserve"> Desarrollo Integrado en Regiones de Bajo Riego</t>
  </si>
  <si>
    <t xml:space="preserve">   Estudios de la Mujer</t>
  </si>
  <si>
    <t xml:space="preserve"> Estudios Interdisciplinarios sobre Discapacidad</t>
  </si>
  <si>
    <t xml:space="preserve">   Ing. en Biosiste</t>
  </si>
  <si>
    <t>1/ Corresponde al total de estudiantes becados de la Universidad para el I ciclo 2019.</t>
  </si>
  <si>
    <t>Cuadro VE4:   Estudiantes físicos 1/ de pregrado y grado con beca socioeconómica, según edad, por unidad. I ciclo 2019</t>
  </si>
  <si>
    <t xml:space="preserve">            Total 2/</t>
  </si>
  <si>
    <r>
      <t>Cuadro VE6:   Estudiantes físicos 1/ becados de pregrado y grado,</t>
    </r>
    <r>
      <rPr>
        <vertAlign val="superscript"/>
        <sz val="10"/>
        <rFont val="Arial"/>
        <family val="2"/>
      </rPr>
      <t xml:space="preserve"> </t>
    </r>
    <r>
      <rPr>
        <sz val="10"/>
        <color theme="1"/>
        <rFont val="Arial"/>
        <family val="2"/>
      </rPr>
      <t>según estado civil, por unidad. I ciclo 2019</t>
    </r>
  </si>
  <si>
    <r>
      <rPr>
        <vertAlign val="superscript"/>
        <sz val="10"/>
        <rFont val="Arial"/>
        <family val="2"/>
      </rPr>
      <t>1/</t>
    </r>
    <r>
      <rPr>
        <sz val="10"/>
        <color theme="1"/>
        <rFont val="Arial"/>
        <family val="2"/>
      </rPr>
      <t xml:space="preserve"> Corresponde al total de estudiantes becados de la Universidad para el I ciclo 2019.</t>
    </r>
  </si>
  <si>
    <t>Cuadro VE8:    Estudiantes físicos 1/  becados de pregrado y grado, según nacionalidad, por unidad. I ciclo  2019</t>
  </si>
  <si>
    <t xml:space="preserve">             Total </t>
  </si>
  <si>
    <t>Extranjero 2/</t>
  </si>
  <si>
    <t>2/ Para este año no hay estudiantes extranjeros becados.</t>
  </si>
  <si>
    <t>Cuadro VE10:  Estudiantes físicos 1/ becados de pregrado y grado, según número de miembros del grupo familiar, por unidad. I ciclo  2019</t>
  </si>
  <si>
    <t xml:space="preserve">                         I ciclo 2019.</t>
  </si>
  <si>
    <t>Cuadro VE12:   Estudiantes físicos becados de pregrado y grado según categoría de beca vigente socioeconómica asignada, por unidad. I ciclo 2019</t>
  </si>
  <si>
    <t>Nota: Un total de 660  estudiantes que no califican para beca por condición socioeconómica.</t>
  </si>
  <si>
    <r>
      <t xml:space="preserve">Cuadro VE14:   Estudiantes físicos de primer ingreso </t>
    </r>
    <r>
      <rPr>
        <vertAlign val="superscript"/>
        <sz val="10"/>
        <rFont val="Arial"/>
        <family val="2"/>
      </rPr>
      <t>1/</t>
    </r>
    <r>
      <rPr>
        <sz val="10"/>
        <color theme="1"/>
        <rFont val="Arial"/>
        <family val="2"/>
      </rPr>
      <t xml:space="preserve"> con beca </t>
    </r>
    <r>
      <rPr>
        <vertAlign val="superscript"/>
        <sz val="10"/>
        <rFont val="Arial"/>
        <family val="2"/>
      </rPr>
      <t>2/</t>
    </r>
    <r>
      <rPr>
        <sz val="10"/>
        <color theme="1"/>
        <rFont val="Arial"/>
        <family val="2"/>
      </rPr>
      <t xml:space="preserve"> socioeconómica asiganada, según sede, por categoría. I ciclo 2019</t>
    </r>
  </si>
  <si>
    <r>
      <t xml:space="preserve">1/ </t>
    </r>
    <r>
      <rPr>
        <sz val="10"/>
        <color theme="1"/>
        <rFont val="Arial"/>
        <family val="2"/>
      </rPr>
      <t xml:space="preserve"> Las becas asiganadas cada ciclo lectivo corresponden a estudiantes en su mayoría de primer ingreso (85,2), el resto (14,8%) a estudiantes regulares que solicitan</t>
    </r>
  </si>
  <si>
    <t>Cuadro VE15:   Estudiantes físicos con beca permanente socioeconómica, según sede, por categoría. I ciclo 2019</t>
  </si>
  <si>
    <t>Cuadro VE16:   Estudiantes físicos con beca vigente socioeconómica, según sede, por categoría. I ciclo 2019</t>
  </si>
  <si>
    <t>1/  Los datos de matrícula fueron suministrados por la Oficina de Registro e Información 08/10/2019</t>
  </si>
  <si>
    <t>Cuadro VE17:   Estudiantes físicos con beca permanente socioeconómica o por actividades universitarias, según sede, por categoría. I ciclo 2019</t>
  </si>
  <si>
    <t>1/ Los datos de matrícula fueron suministrados por la Oficina de Registro e Información el 08/10/19</t>
  </si>
  <si>
    <t>Cuadro VE18:   Estudiantes físicos con beca vigente socioeconómica o por actividades universitarias, según sede, por categoría. I ciclo 2019</t>
  </si>
  <si>
    <r>
      <t>2/</t>
    </r>
    <r>
      <rPr>
        <sz val="10"/>
        <color indexed="8"/>
        <rFont val="Arial"/>
        <family val="2"/>
      </rPr>
      <t xml:space="preserve"> Los estudiantes con excluisión de horario tienen reubicación geográfica o residencias</t>
    </r>
  </si>
  <si>
    <r>
      <t xml:space="preserve">Cuadro VE20:  Estudiantes físicos becados con servicio de almuerzo asignado mediante deposito 1/, según beca vigente, </t>
    </r>
    <r>
      <rPr>
        <sz val="10"/>
        <color theme="1"/>
        <rFont val="Arial"/>
        <family val="2"/>
      </rPr>
      <t>por modalidad de entrega y sede, I ciclo 2019</t>
    </r>
  </si>
  <si>
    <t>Cuadro VE21:   Estudiantes físicos  con beca vigente, beneficiados con prestamo de libros, con solicitudes aprobadas, según sede, por categoría. I ciclo 2019</t>
  </si>
  <si>
    <r>
      <t>0</t>
    </r>
    <r>
      <rPr>
        <vertAlign val="superscript"/>
        <sz val="10"/>
        <rFont val="Arial"/>
        <family val="2"/>
      </rPr>
      <t>1/</t>
    </r>
  </si>
  <si>
    <t xml:space="preserve">                        I ciclo 2019</t>
  </si>
  <si>
    <t>1/ Se incluyen 31 estudiantes del Recinto de Golfito.</t>
  </si>
  <si>
    <t>Cuadro VE23:  Número de personas atendidas en, consultas y otros servicios brindados por la</t>
  </si>
  <si>
    <t xml:space="preserve">                         Oficina de Bienestar y Salud, según tipo de servicio.  2019</t>
  </si>
  <si>
    <t>Medicina Especializada (Psiquiatria) 1/</t>
  </si>
  <si>
    <t>Procedimientos efectuados en Odontología 2/</t>
  </si>
  <si>
    <t>1/ El siquiatra renuncia finalizando el primer semestre 2019</t>
  </si>
  <si>
    <t>2/ Los datos son a partir de mayo 2019.</t>
  </si>
  <si>
    <t xml:space="preserve">                       Bienestar y Salud, según tipo de programa y actividad.  2019</t>
  </si>
  <si>
    <t>Cursos de Reanimación Cardiopulmonar</t>
  </si>
  <si>
    <t>Taller de Primeros Auxilios Básicos</t>
  </si>
  <si>
    <t>Capacitación en prevención y control en prevención de inicio de incendios</t>
  </si>
  <si>
    <t>Primer encuentro de los equipos de primera respuesta ante energencias.</t>
  </si>
  <si>
    <t>Asesoría en compras de mobiliario ergónomico</t>
  </si>
  <si>
    <t>Evaluación de riesgos de puestos de trabajo</t>
  </si>
  <si>
    <t xml:space="preserve">Capacitación en prevención de lesiones musculo esqueleticas </t>
  </si>
  <si>
    <t>Nota: Se preparo y llevo a cabo el primer simulacro a nivel nacional con la participacion de 100 edificios.</t>
  </si>
  <si>
    <t xml:space="preserve">Cuadro VE25:  Número de participantes en el Area de Promoción de la Salud, de la Oficina </t>
  </si>
  <si>
    <t xml:space="preserve">                      de Bienestar y Salud, según tipo de actividad.  2019</t>
  </si>
  <si>
    <t>Actividades dirigidas a funcionarios 40</t>
  </si>
  <si>
    <t>Planes de salud laboral 30</t>
  </si>
  <si>
    <t>Planes de salud integrados 7</t>
  </si>
  <si>
    <t>Capacitación a los enlases OBS 1</t>
  </si>
  <si>
    <t>Curso de parto 2</t>
  </si>
  <si>
    <t>Actividades dirigidas a estudiantes  52</t>
  </si>
  <si>
    <t>Planes de salud estudiantil 16</t>
  </si>
  <si>
    <t>Convivio de REDCUBS  4</t>
  </si>
  <si>
    <t>Actividaades formativas en salud dirigidas a estudiantes de sedes y recintos  10</t>
  </si>
  <si>
    <t>Intervenciones de espacios equipo de trabajo Bonus Vitae  21</t>
  </si>
  <si>
    <t>Festival FRIVE  1</t>
  </si>
  <si>
    <t>Cuadro VE26.  Número  de  participantes  en los  Programas  Deportivos, Recreativos  y</t>
  </si>
  <si>
    <t xml:space="preserve">                         Artísticos, según tipo de actividad.  2019</t>
  </si>
  <si>
    <t>Otras Actividades  proyecto 0, millas, servicios generales.</t>
  </si>
  <si>
    <t>XXXIII Edición de Juegos Universitarios Costarrisences  JUNCOS</t>
  </si>
  <si>
    <t>11 Torneos Universitarios: 3 Atletismo, 2 Natación, 1 ajedrez, 1 de Tenis de mesa, 1 de Karate, 1 de Taewondo, 1 de Voleibol de Playa.</t>
  </si>
  <si>
    <t>Programa de Formación de Talentos 6 niveles en futbol y 2 Ligas Menores en karate y natación.</t>
  </si>
  <si>
    <t xml:space="preserve">Organización XI Festival Interuniversitario Centroamericano de Cultura y Arte </t>
  </si>
  <si>
    <t>Universidades Centroamericanas participantes</t>
  </si>
  <si>
    <t>Presentaciones  realizadas</t>
  </si>
  <si>
    <t>Presentaciones artisticas  realizadas</t>
  </si>
  <si>
    <t>Porrismo, Tenis de mesa y Voleibol, para un total de 10 equipos en ambos generos (20 total).</t>
  </si>
  <si>
    <t>Distribución de plazas del Programa Administración, por programa y subprograma. 2019. (Ver Gráfico AD1).</t>
  </si>
  <si>
    <t>Cuadro AD-1  Distribución de Plazas en el Programa de Administración, por programa y subprograma.  2019</t>
  </si>
  <si>
    <t>Distribución de plazas del Programa Dirección Superior, por programa y subprograma. 2019. (Ver Gráfico DS1)</t>
  </si>
  <si>
    <t xml:space="preserve">Número de profesores becados al exterior y becas cortas según monto y costo promedio por estudiante. 2019. </t>
  </si>
  <si>
    <t>Cuadro DS1  Distribución de Plazas del Programa de Dirección Superior, por programa y subprograma.  2019</t>
  </si>
  <si>
    <t xml:space="preserve">Cuadro AI1:   Número de profesores becados al exterior y Becas cortas, según monto y costo promedio  </t>
  </si>
  <si>
    <t xml:space="preserve">                      por estudiante.  2019</t>
  </si>
  <si>
    <t>Cuadro AI2:   Número de profesores becados al exterior y Becas Cortas por área.  2019</t>
  </si>
  <si>
    <t>Fuente:  Estados Financieros y Liquidación Presupuestaria 2015-2019, Oficina de Administración Financiera.</t>
  </si>
  <si>
    <t xml:space="preserve">Estudiantes físicos de posgrado, según materias matriculadas en el año. 2019. (Ver Gráfico D4) </t>
  </si>
  <si>
    <t>Estudiantes físicos de posgrado, según materias aprobadas en el año. 2019. (Ver Gráfico D4)</t>
  </si>
  <si>
    <t>Estudiantes físicos de posgrado, según créditos aprobados, en el año. 2019. (Ver Gráfico D5)</t>
  </si>
  <si>
    <t>Estudiantes físicos de posgrado, según créditos matriculados en el año. 2019.  (Ver Gráfico D5)</t>
  </si>
  <si>
    <t xml:space="preserve">   Sede Interuniversitaria de Alajuela</t>
  </si>
  <si>
    <t>Cuadro D5:   Estudiantes físicos de posgrado, según materias matriculadas en el año. 2019</t>
  </si>
  <si>
    <t>Cuadro D 7:    Estudiantes físicos de posgrado, según materias aprobadas en el año. 2019</t>
  </si>
  <si>
    <r>
      <t xml:space="preserve">Cuadro RH2   Distribución del personal docente </t>
    </r>
    <r>
      <rPr>
        <vertAlign val="superscript"/>
        <sz val="10"/>
        <rFont val="Arial"/>
        <family val="2"/>
      </rPr>
      <t>1/</t>
    </r>
    <r>
      <rPr>
        <sz val="10"/>
        <rFont val="Arial"/>
        <family val="2"/>
      </rPr>
      <t xml:space="preserve">, </t>
    </r>
    <r>
      <rPr>
        <sz val="10"/>
        <color theme="1"/>
        <rFont val="Arial"/>
        <family val="2"/>
      </rPr>
      <t>según tipo de nombramiento y ciclo lectivo, por unidad.   2019</t>
    </r>
  </si>
  <si>
    <r>
      <t>1/</t>
    </r>
    <r>
      <rPr>
        <sz val="10"/>
        <color theme="1"/>
        <rFont val="Arial"/>
        <family val="2"/>
      </rPr>
      <t xml:space="preserve"> Se refiere a personas físicas.</t>
    </r>
  </si>
  <si>
    <r>
      <t>2/</t>
    </r>
    <r>
      <rPr>
        <sz val="10"/>
        <color theme="1"/>
        <rFont val="Arial"/>
        <family val="2"/>
      </rPr>
      <t xml:space="preserve">  La distribución vertical  es con respecto al total de la Universidad y la horizontal es con respecto a la Unidad.</t>
    </r>
  </si>
  <si>
    <t>Cuadro D9:    Estudiantes físicos de posgrado, según créditos matriculados en el año. 2019</t>
  </si>
  <si>
    <t>Cuadro D11:   Estudiantes físicos de posgrado, según créditos aprobados en el año. 2019</t>
  </si>
  <si>
    <t>Títulos otorgados a graduados, según género, de posgrado. 2019.  (Ver Gráfico D8 y D8.1)</t>
  </si>
  <si>
    <t>Estudiantes físicos becados de posgrado, con beca socioeconómica según sexo, . I ciclo 2019  (Ver Gráfico VE2)</t>
  </si>
  <si>
    <t>Estudiantes físicos becados de posgrado, con beca socioeconómica según edad. I ciclo 2019  (Ver Gráfico VE3)</t>
  </si>
  <si>
    <t>Estudiantes físicos becados de posgrado, según estado civil. I ciclo 2019  (Ver Gráfico VE4)</t>
  </si>
  <si>
    <t>Estudiantes físicos becados de posgrado, según nacionalidad. I ciclo 2019.  (Ver Gráfico VE5)</t>
  </si>
  <si>
    <t>Estudiantes físicos becados de posgrado, según número de miembros del grupo familiar. I ciclo  2019  (Ver Gráfico VE6)</t>
  </si>
  <si>
    <t>Estudiantes físicos becados de posgrado, según categoría de beca socioeconómica asignada. I ciclo 2019</t>
  </si>
  <si>
    <r>
      <t>Cuadro VE3:   Estudiantes físicos  1/ de posgrado con beca socieconómica,</t>
    </r>
    <r>
      <rPr>
        <vertAlign val="superscript"/>
        <sz val="10"/>
        <rFont val="Arial"/>
        <family val="2"/>
      </rPr>
      <t xml:space="preserve"> </t>
    </r>
    <r>
      <rPr>
        <sz val="10"/>
        <color theme="1"/>
        <rFont val="Arial"/>
        <family val="2"/>
      </rPr>
      <t>según sexo. I ciclo 2019</t>
    </r>
  </si>
  <si>
    <t>Cuadro VE5:   Estudiantes físicos  1/ de posgrado con beca socieconómica, según edad. I ciclo  2019</t>
  </si>
  <si>
    <t>Cuadro VE7:   Estudiantes físicos 1/ becados de posgrado, según estado civil. I ciclo  2019</t>
  </si>
  <si>
    <t>Cuadro VE9:  Estudiantes físicos 1/ becados de posgrado, según nacionalidad. I ciclo 2019</t>
  </si>
  <si>
    <t>Cuadro VE11:    Estudiantes físicos becados de posgrado según número de miembros del grupo familiar.</t>
  </si>
  <si>
    <t xml:space="preserve">   Sede Interuniversitaria de  Alajuela</t>
  </si>
  <si>
    <t>Cuadro VE13:   Estudiantes físicos 1/  becados de posgrado según categoría de beca socioeconómica asignada. I ciclo 2019</t>
  </si>
  <si>
    <t>Número de profesores becados al exterior y becas cortas por área,  2019. (Ver Gráfico AI-1)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</si>
</sst>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 ##0"/>
    <numFmt numFmtId="165" formatCode="#,##0.000"/>
    <numFmt numFmtId="166" formatCode="###0"/>
    <numFmt numFmtId="167" formatCode="_([$₡-140A]* #,##0.00_);_([$₡-140A]* \(#,##0.00\);_([$₡-140A]* &quot;-&quot;??_);_(@_)"/>
    <numFmt numFmtId="168" formatCode="#,###;\(#,###\)"/>
    <numFmt numFmtId="169" formatCode="0.0"/>
    <numFmt numFmtId="170" formatCode="[$₡-140A]\ #,##0.00;[Red]\-[$₡-140A]\ #,##0.00"/>
    <numFmt numFmtId="171" formatCode="_-* #,##0.00\ [$€]_-;\-* #,##0.00\ [$€]_-;_-* &quot;-&quot;??\ [$€]_-;_-@_-"/>
    <numFmt numFmtId="172" formatCode="#,##0.0"/>
    <numFmt numFmtId="173" formatCode="###0.0"/>
  </numFmts>
  <fonts count="60">
    <font>
      <sz val="11"/>
      <color theme="1"/>
      <name val="Calibri"/>
      <family val="2"/>
      <scheme val="minor"/>
    </font>
    <font>
      <b/>
      <sz val="14"/>
      <color theme="1"/>
      <name val="Times New Roman"/>
      <family val="1"/>
    </font>
    <font>
      <sz val="12"/>
      <color theme="1"/>
      <name val="Times New Roman"/>
      <family val="1"/>
    </font>
    <font>
      <b/>
      <sz val="12"/>
      <color theme="1"/>
      <name val="Times New Roman"/>
      <family val="1"/>
    </font>
    <font>
      <sz val="7"/>
      <color theme="1"/>
      <name val="Times New Roman"/>
      <family val="1"/>
    </font>
    <font>
      <sz val="10"/>
      <color theme="1"/>
      <name val="Times New Roman"/>
      <family val="1"/>
    </font>
    <font>
      <sz val="10"/>
      <name val="Arial"/>
      <family val="2"/>
    </font>
    <font>
      <b/>
      <sz val="10"/>
      <name val="Arial"/>
      <family val="2"/>
    </font>
    <font>
      <b/>
      <vertAlign val="superscript"/>
      <sz val="10"/>
      <name val="Arial"/>
      <family val="2"/>
    </font>
    <font>
      <sz val="10"/>
      <color indexed="8"/>
      <name val="Arial"/>
      <family val="2"/>
    </font>
    <font>
      <vertAlign val="superscript"/>
      <sz val="10"/>
      <name val="Arial"/>
      <family val="2"/>
    </font>
    <font>
      <sz val="18"/>
      <color rgb="FF000000"/>
      <name val="Times New Roman"/>
      <family val="1"/>
    </font>
    <font>
      <sz val="18"/>
      <name val="Times New Roman"/>
      <family val="1"/>
    </font>
    <font>
      <sz val="11"/>
      <name val="Times New Roman"/>
      <family val="1"/>
    </font>
    <font>
      <sz val="11"/>
      <color theme="1"/>
      <name val="Calibri"/>
      <family val="2"/>
      <scheme val="minor"/>
    </font>
    <font>
      <b/>
      <sz val="8"/>
      <color indexed="81"/>
      <name val="Tahoma"/>
      <family val="2"/>
    </font>
    <font>
      <sz val="8"/>
      <color indexed="81"/>
      <name val="Tahoma"/>
      <family val="2"/>
    </font>
    <font>
      <b/>
      <sz val="9"/>
      <color indexed="81"/>
      <name val="Tahoma"/>
      <family val="2"/>
    </font>
    <font>
      <sz val="9"/>
      <color indexed="81"/>
      <name val="Tahoma"/>
      <family val="2"/>
    </font>
    <font>
      <sz val="10"/>
      <color theme="1"/>
      <name val="Arial"/>
      <family val="2"/>
    </font>
    <font>
      <vertAlign val="superscript"/>
      <sz val="10"/>
      <color indexed="8"/>
      <name val="Arial"/>
      <family val="2"/>
    </font>
    <font>
      <sz val="11"/>
      <name val="Arial"/>
      <family val="2"/>
    </font>
    <font>
      <sz val="11"/>
      <color indexed="8"/>
      <name val="Arial"/>
      <family val="2"/>
    </font>
    <font>
      <b/>
      <sz val="11"/>
      <name val="Arial"/>
      <family val="2"/>
    </font>
    <font>
      <sz val="10"/>
      <color rgb="FF010205"/>
      <name val="Arial"/>
      <family val="2"/>
    </font>
    <font>
      <sz val="10"/>
      <color rgb="FF000000"/>
      <name val="Arial"/>
      <family val="2"/>
    </font>
    <font>
      <sz val="10"/>
      <color indexed="8"/>
      <name val="Times New Roman"/>
      <family val="1"/>
    </font>
    <font>
      <b/>
      <sz val="10"/>
      <color indexed="8"/>
      <name val="Arial"/>
      <family val="2"/>
    </font>
    <font>
      <sz val="12"/>
      <name val="Times New Roman"/>
      <family val="1"/>
    </font>
    <font>
      <sz val="12"/>
      <name val="Arial"/>
      <family val="2"/>
    </font>
    <font>
      <sz val="10"/>
      <color theme="1"/>
      <name val="Calibri"/>
      <family val="2"/>
      <scheme val="minor"/>
    </font>
    <font>
      <sz val="11"/>
      <color rgb="FF000000"/>
      <name val="Times New Roman"/>
      <family val="1"/>
    </font>
    <font>
      <sz val="18"/>
      <color indexed="8"/>
      <name val="Times New Roman"/>
      <family val="1"/>
    </font>
    <font>
      <vertAlign val="superscript"/>
      <sz val="10"/>
      <color theme="1"/>
      <name val="Arial"/>
      <family val="2"/>
    </font>
    <font>
      <vertAlign val="superscript"/>
      <sz val="12"/>
      <name val="Arial"/>
      <family val="2"/>
    </font>
    <font>
      <vertAlign val="superscript"/>
      <sz val="11"/>
      <name val="Arial"/>
      <family val="2"/>
    </font>
    <font>
      <sz val="16"/>
      <color indexed="8"/>
      <name val="Arial"/>
      <family val="2"/>
    </font>
    <font>
      <sz val="16"/>
      <name val="Arial"/>
      <family val="2"/>
    </font>
    <font>
      <sz val="9"/>
      <name val="Arial"/>
      <family val="2"/>
    </font>
    <font>
      <b/>
      <sz val="12"/>
      <name val="Arial"/>
      <family val="2"/>
    </font>
    <font>
      <i/>
      <sz val="11"/>
      <color rgb="FF7F7F7F"/>
      <name val="Calibri"/>
      <family val="2"/>
      <scheme val="minor"/>
    </font>
    <font>
      <sz val="10"/>
      <name val="Arial"/>
      <family val="2"/>
      <charset val="1"/>
    </font>
    <font>
      <sz val="10"/>
      <color indexed="10"/>
      <name val="Arial"/>
      <family val="2"/>
    </font>
    <font>
      <sz val="10"/>
      <name val="MS Sans Serif"/>
      <family val="2"/>
    </font>
    <font>
      <sz val="10"/>
      <name val="Times New Roman"/>
      <family val="1"/>
    </font>
    <font>
      <sz val="11"/>
      <color rgb="FF000000"/>
      <name val="Calibri"/>
      <family val="2"/>
    </font>
    <font>
      <sz val="11"/>
      <color rgb="FF000000"/>
      <name val="Arial"/>
      <family val="2"/>
    </font>
    <font>
      <b/>
      <i/>
      <u/>
      <sz val="11"/>
      <color rgb="FF000000"/>
      <name val="Arial1"/>
    </font>
    <font>
      <b/>
      <sz val="10"/>
      <color rgb="FF000000"/>
      <name val="Arial"/>
      <family val="2"/>
    </font>
    <font>
      <sz val="11"/>
      <color rgb="FF000000"/>
      <name val="Arial1"/>
      <charset val="1"/>
    </font>
    <font>
      <b/>
      <sz val="11"/>
      <name val="Times New Roman"/>
      <family val="1"/>
    </font>
    <font>
      <i/>
      <sz val="11"/>
      <name val="Times New Roman"/>
      <family val="1"/>
    </font>
    <font>
      <sz val="10"/>
      <color rgb="FFFF0000"/>
      <name val="Arial"/>
      <family val="2"/>
    </font>
    <font>
      <b/>
      <sz val="10"/>
      <name val="Arial"/>
      <family val="2"/>
      <charset val="1"/>
    </font>
    <font>
      <sz val="10"/>
      <color rgb="FF000000"/>
      <name val="Arial"/>
      <family val="2"/>
      <charset val="1"/>
    </font>
    <font>
      <b/>
      <sz val="11"/>
      <color theme="1"/>
      <name val="Calibri"/>
      <family val="2"/>
      <scheme val="minor"/>
    </font>
    <font>
      <b/>
      <sz val="10"/>
      <color rgb="FF010205"/>
      <name val="Arial"/>
      <family val="2"/>
    </font>
    <font>
      <sz val="9"/>
      <color rgb="FF000000"/>
      <name val="Arial"/>
      <family val="2"/>
    </font>
    <font>
      <b/>
      <sz val="9"/>
      <color rgb="FF000000"/>
      <name val="Arial"/>
      <family val="2"/>
    </font>
    <font>
      <b/>
      <sz val="10"/>
      <color theme="1"/>
      <name val="Arial"/>
      <family val="2"/>
    </font>
  </fonts>
  <fills count="7">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s>
  <borders count="19">
    <border>
      <left/>
      <right/>
      <top/>
      <bottom/>
      <diagonal/>
    </border>
    <border>
      <left/>
      <right/>
      <top style="medium">
        <color indexed="64"/>
      </top>
      <bottom/>
      <diagonal/>
    </border>
    <border>
      <left/>
      <right/>
      <top/>
      <bottom style="thin">
        <color indexed="64"/>
      </bottom>
      <diagonal/>
    </border>
    <border>
      <left/>
      <right/>
      <top style="thin">
        <color indexed="64"/>
      </top>
      <bottom style="dashed">
        <color indexed="64"/>
      </bottom>
      <diagonal/>
    </border>
    <border>
      <left/>
      <right/>
      <top style="dashed">
        <color indexed="64"/>
      </top>
      <bottom/>
      <diagonal/>
    </border>
    <border>
      <left/>
      <right/>
      <top/>
      <bottom style="medium">
        <color indexed="64"/>
      </bottom>
      <diagonal/>
    </border>
    <border>
      <left/>
      <right/>
      <top/>
      <bottom style="double">
        <color indexed="64"/>
      </bottom>
      <diagonal/>
    </border>
    <border>
      <left/>
      <right/>
      <top style="double">
        <color indexed="64"/>
      </top>
      <bottom style="dotted">
        <color indexed="64"/>
      </bottom>
      <diagonal/>
    </border>
    <border>
      <left/>
      <right/>
      <top style="dotted">
        <color indexed="64"/>
      </top>
      <bottom/>
      <diagonal/>
    </border>
    <border>
      <left/>
      <right/>
      <top/>
      <bottom style="dashed">
        <color indexed="64"/>
      </bottom>
      <diagonal/>
    </border>
    <border>
      <left/>
      <right/>
      <top/>
      <bottom style="dotted">
        <color indexed="64"/>
      </bottom>
      <diagonal/>
    </border>
    <border>
      <left/>
      <right/>
      <top style="dotted">
        <color indexed="64"/>
      </top>
      <bottom style="dashed">
        <color indexed="64"/>
      </bottom>
      <diagonal/>
    </border>
    <border>
      <left style="thin">
        <color indexed="64"/>
      </left>
      <right/>
      <top/>
      <bottom/>
      <diagonal/>
    </border>
    <border>
      <left style="thin">
        <color indexed="64"/>
      </left>
      <right/>
      <top/>
      <bottom style="medium">
        <color indexed="64"/>
      </bottom>
      <diagonal/>
    </border>
    <border>
      <left/>
      <right/>
      <top style="dotted">
        <color indexed="64"/>
      </top>
      <bottom style="dotted">
        <color indexed="64"/>
      </bottom>
      <diagonal/>
    </border>
    <border>
      <left/>
      <right/>
      <top style="thin">
        <color indexed="64"/>
      </top>
      <bottom/>
      <diagonal/>
    </border>
    <border>
      <left style="hair">
        <color indexed="8"/>
      </left>
      <right style="hair">
        <color indexed="8"/>
      </right>
      <top style="hair">
        <color indexed="8"/>
      </top>
      <bottom style="hair">
        <color indexed="8"/>
      </bottom>
      <diagonal/>
    </border>
    <border>
      <left/>
      <right/>
      <top style="thin">
        <color indexed="64"/>
      </top>
      <bottom style="dotted">
        <color indexed="64"/>
      </bottom>
      <diagonal/>
    </border>
    <border>
      <left/>
      <right/>
      <top/>
      <bottom style="hair">
        <color indexed="8"/>
      </bottom>
      <diagonal/>
    </border>
  </borders>
  <cellStyleXfs count="54">
    <xf numFmtId="0" fontId="0" fillId="0" borderId="0"/>
    <xf numFmtId="43" fontId="14"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40" fillId="0" borderId="0" applyNumberFormat="0" applyFill="0" applyBorder="0" applyAlignment="0" applyProtection="0"/>
    <xf numFmtId="0" fontId="6" fillId="0" borderId="0"/>
    <xf numFmtId="0" fontId="45" fillId="0" borderId="0"/>
    <xf numFmtId="0" fontId="46" fillId="0" borderId="0"/>
    <xf numFmtId="170" fontId="47" fillId="0" borderId="0" applyBorder="0" applyProtection="0"/>
    <xf numFmtId="0" fontId="49" fillId="0" borderId="0"/>
    <xf numFmtId="171" fontId="6"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cellStyleXfs>
  <cellXfs count="1084">
    <xf numFmtId="0" fontId="0" fillId="0" borderId="0" xfId="0"/>
    <xf numFmtId="0" fontId="1"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 fillId="0" borderId="0" xfId="0" applyFont="1" applyAlignment="1">
      <alignment horizontal="left"/>
    </xf>
    <xf numFmtId="0" fontId="3" fillId="0" borderId="0" xfId="0" applyFont="1" applyAlignment="1">
      <alignment horizontal="left"/>
    </xf>
    <xf numFmtId="0" fontId="2" fillId="0" borderId="0" xfId="0" applyFont="1" applyFill="1" applyAlignment="1">
      <alignment horizontal="left"/>
    </xf>
    <xf numFmtId="0" fontId="3" fillId="0" borderId="0" xfId="0" applyFont="1"/>
    <xf numFmtId="0" fontId="5" fillId="0" borderId="0" xfId="0" applyFont="1"/>
    <xf numFmtId="0" fontId="2" fillId="0" borderId="0" xfId="0" applyFont="1" applyAlignment="1">
      <alignment vertical="top" wrapText="1"/>
    </xf>
    <xf numFmtId="0" fontId="2" fillId="0" borderId="0" xfId="0" applyFont="1" applyAlignment="1">
      <alignment vertical="top"/>
    </xf>
    <xf numFmtId="0" fontId="2" fillId="0" borderId="0" xfId="0" applyFont="1" applyAlignment="1">
      <alignment horizontal="left" vertical="top"/>
    </xf>
    <xf numFmtId="0" fontId="0" fillId="0" borderId="0" xfId="0" applyFill="1"/>
    <xf numFmtId="4" fontId="0" fillId="0" borderId="0" xfId="0" applyNumberFormat="1" applyFill="1"/>
    <xf numFmtId="0" fontId="6" fillId="0" borderId="0" xfId="0" applyFont="1" applyFill="1"/>
    <xf numFmtId="0" fontId="0" fillId="0" borderId="1" xfId="0" applyBorder="1"/>
    <xf numFmtId="4" fontId="7" fillId="0" borderId="0" xfId="0" applyNumberFormat="1" applyFont="1" applyBorder="1"/>
    <xf numFmtId="0" fontId="7" fillId="0" borderId="0" xfId="0" applyFont="1" applyFill="1"/>
    <xf numFmtId="4" fontId="7" fillId="0" borderId="3" xfId="0" applyNumberFormat="1" applyFont="1" applyFill="1" applyBorder="1" applyAlignment="1">
      <alignment horizontal="left"/>
    </xf>
    <xf numFmtId="4" fontId="7" fillId="0" borderId="0" xfId="0" applyNumberFormat="1" applyFont="1" applyFill="1" applyBorder="1" applyAlignment="1">
      <alignment horizontal="right"/>
    </xf>
    <xf numFmtId="4" fontId="7" fillId="0" borderId="4" xfId="0" applyNumberFormat="1" applyFont="1" applyFill="1" applyBorder="1" applyAlignment="1">
      <alignment horizontal="center"/>
    </xf>
    <xf numFmtId="0" fontId="7" fillId="0" borderId="4" xfId="0" applyFont="1" applyFill="1" applyBorder="1" applyAlignment="1">
      <alignment horizontal="center"/>
    </xf>
    <xf numFmtId="4" fontId="7" fillId="0" borderId="0" xfId="0" applyNumberFormat="1" applyFont="1" applyBorder="1" applyAlignment="1">
      <alignment horizontal="center"/>
    </xf>
    <xf numFmtId="0" fontId="0" fillId="0" borderId="5" xfId="0" applyBorder="1"/>
    <xf numFmtId="2" fontId="0" fillId="0" borderId="0" xfId="0" applyNumberFormat="1" applyFill="1"/>
    <xf numFmtId="4" fontId="6" fillId="0" borderId="0" xfId="0" applyNumberFormat="1" applyFont="1" applyFill="1"/>
    <xf numFmtId="0" fontId="9" fillId="0" borderId="0" xfId="0" applyFont="1" applyFill="1" applyBorder="1" applyAlignment="1" applyProtection="1">
      <alignment horizontal="left"/>
      <protection locked="0"/>
    </xf>
    <xf numFmtId="0" fontId="10" fillId="0" borderId="0" xfId="0" applyFont="1" applyFill="1"/>
    <xf numFmtId="4" fontId="0" fillId="0" borderId="0" xfId="0" applyNumberFormat="1"/>
    <xf numFmtId="0" fontId="11" fillId="0" borderId="0" xfId="0" applyFont="1" applyAlignment="1">
      <alignment horizontal="center" vertical="center" readingOrder="1"/>
    </xf>
    <xf numFmtId="0" fontId="12" fillId="0" borderId="0" xfId="0" applyFont="1" applyAlignment="1">
      <alignment horizontal="center" vertical="center"/>
    </xf>
    <xf numFmtId="0" fontId="13" fillId="0" borderId="0" xfId="0" applyFont="1"/>
    <xf numFmtId="0" fontId="12" fillId="0" borderId="0" xfId="0" applyFont="1"/>
    <xf numFmtId="0" fontId="6" fillId="0" borderId="0" xfId="0" applyFont="1"/>
    <xf numFmtId="164" fontId="0" fillId="0" borderId="0" xfId="0" applyNumberFormat="1" applyFill="1"/>
    <xf numFmtId="164" fontId="0" fillId="0" borderId="0" xfId="0" applyNumberFormat="1"/>
    <xf numFmtId="2" fontId="0" fillId="0" borderId="0" xfId="0" applyNumberFormat="1"/>
    <xf numFmtId="164" fontId="0" fillId="0" borderId="1" xfId="0" applyNumberFormat="1" applyFill="1" applyBorder="1"/>
    <xf numFmtId="2" fontId="0" fillId="0" borderId="1" xfId="0" applyNumberFormat="1" applyFill="1" applyBorder="1"/>
    <xf numFmtId="164" fontId="0" fillId="0" borderId="1" xfId="0" applyNumberFormat="1" applyBorder="1"/>
    <xf numFmtId="2" fontId="0" fillId="0" borderId="1" xfId="0" applyNumberFormat="1" applyBorder="1"/>
    <xf numFmtId="0" fontId="0" fillId="0" borderId="0" xfId="0" applyBorder="1"/>
    <xf numFmtId="2" fontId="0" fillId="0" borderId="0" xfId="0" applyNumberFormat="1" applyBorder="1"/>
    <xf numFmtId="164" fontId="0" fillId="0" borderId="8" xfId="0" applyNumberFormat="1" applyFill="1" applyBorder="1" applyAlignment="1">
      <alignment horizontal="center"/>
    </xf>
    <xf numFmtId="2" fontId="0" fillId="0" borderId="8" xfId="0" applyNumberFormat="1" applyFill="1" applyBorder="1" applyAlignment="1">
      <alignment horizontal="center"/>
    </xf>
    <xf numFmtId="164" fontId="0" fillId="0" borderId="8" xfId="0" applyNumberFormat="1" applyBorder="1" applyAlignment="1">
      <alignment horizontal="center"/>
    </xf>
    <xf numFmtId="2" fontId="0" fillId="0" borderId="8" xfId="0" applyNumberFormat="1" applyBorder="1" applyAlignment="1">
      <alignment horizontal="center"/>
    </xf>
    <xf numFmtId="2" fontId="0" fillId="0" borderId="0" xfId="0" applyNumberFormat="1" applyBorder="1" applyAlignment="1">
      <alignment horizontal="center"/>
    </xf>
    <xf numFmtId="164" fontId="0" fillId="0" borderId="5" xfId="0" applyNumberFormat="1" applyFill="1" applyBorder="1"/>
    <xf numFmtId="2" fontId="0" fillId="0" borderId="5" xfId="0" applyNumberFormat="1" applyFill="1" applyBorder="1"/>
    <xf numFmtId="164" fontId="0" fillId="0" borderId="5" xfId="0" applyNumberFormat="1" applyBorder="1"/>
    <xf numFmtId="2" fontId="0" fillId="0" borderId="5" xfId="0" applyNumberFormat="1" applyBorder="1"/>
    <xf numFmtId="164" fontId="0" fillId="0" borderId="0" xfId="0" applyNumberFormat="1" applyFill="1" applyBorder="1"/>
    <xf numFmtId="2" fontId="0" fillId="0" borderId="0" xfId="0" applyNumberFormat="1" applyFill="1" applyBorder="1"/>
    <xf numFmtId="164" fontId="0" fillId="0" borderId="0" xfId="0" applyNumberFormat="1" applyBorder="1"/>
    <xf numFmtId="0" fontId="7" fillId="0" borderId="0" xfId="0" applyFont="1"/>
    <xf numFmtId="0" fontId="0" fillId="0" borderId="0" xfId="0" applyFill="1" applyBorder="1"/>
    <xf numFmtId="0" fontId="6" fillId="0" borderId="0" xfId="0" applyFont="1" applyBorder="1"/>
    <xf numFmtId="164" fontId="6" fillId="0" borderId="0" xfId="0" applyNumberFormat="1" applyFont="1" applyFill="1"/>
    <xf numFmtId="0" fontId="10" fillId="0" borderId="0" xfId="0" applyFont="1" applyBorder="1"/>
    <xf numFmtId="164" fontId="0" fillId="0" borderId="0" xfId="0" applyNumberFormat="1" applyBorder="1" applyAlignment="1">
      <alignment horizontal="center"/>
    </xf>
    <xf numFmtId="0" fontId="6" fillId="0" borderId="0" xfId="0" applyFont="1" applyAlignment="1">
      <alignment horizontal="center"/>
    </xf>
    <xf numFmtId="164" fontId="0" fillId="0" borderId="0" xfId="0" applyNumberFormat="1" applyAlignment="1">
      <alignment horizontal="center"/>
    </xf>
    <xf numFmtId="4" fontId="0" fillId="0" borderId="0" xfId="0" applyNumberFormat="1" applyAlignment="1">
      <alignment horizontal="center"/>
    </xf>
    <xf numFmtId="0" fontId="6" fillId="0" borderId="0" xfId="0" applyFont="1" applyFill="1" applyAlignment="1">
      <alignment horizontal="center"/>
    </xf>
    <xf numFmtId="164" fontId="7" fillId="0" borderId="1" xfId="0" applyNumberFormat="1" applyFont="1" applyBorder="1"/>
    <xf numFmtId="2" fontId="7" fillId="0" borderId="1" xfId="0" applyNumberFormat="1" applyFont="1" applyBorder="1"/>
    <xf numFmtId="0" fontId="7" fillId="0" borderId="1" xfId="0" applyFont="1" applyBorder="1"/>
    <xf numFmtId="0" fontId="7" fillId="0" borderId="0" xfId="0" applyFont="1" applyBorder="1"/>
    <xf numFmtId="3" fontId="0" fillId="0" borderId="0" xfId="0" applyNumberFormat="1" applyFill="1"/>
    <xf numFmtId="3" fontId="0" fillId="0" borderId="0" xfId="0" applyNumberFormat="1"/>
    <xf numFmtId="0" fontId="9" fillId="0" borderId="0" xfId="0" applyFont="1" applyBorder="1"/>
    <xf numFmtId="164" fontId="6" fillId="0" borderId="0" xfId="0" applyNumberFormat="1" applyFont="1"/>
    <xf numFmtId="2" fontId="6" fillId="0" borderId="0" xfId="0" applyNumberFormat="1" applyFont="1"/>
    <xf numFmtId="2" fontId="7" fillId="0" borderId="0" xfId="0" applyNumberFormat="1" applyFont="1" applyBorder="1"/>
    <xf numFmtId="0" fontId="6" fillId="0" borderId="0" xfId="0" applyFont="1" applyFill="1" applyBorder="1"/>
    <xf numFmtId="4" fontId="6" fillId="0" borderId="0" xfId="0" applyNumberFormat="1" applyFont="1" applyBorder="1"/>
    <xf numFmtId="0" fontId="6" fillId="0" borderId="0" xfId="0" applyFont="1" applyAlignment="1">
      <alignment horizontal="right"/>
    </xf>
    <xf numFmtId="0" fontId="0" fillId="0" borderId="0" xfId="0" applyAlignment="1">
      <alignment horizontal="right"/>
    </xf>
    <xf numFmtId="16" fontId="0" fillId="0" borderId="0" xfId="0" applyNumberFormat="1"/>
    <xf numFmtId="4" fontId="6" fillId="0" borderId="0" xfId="0" applyNumberFormat="1" applyFont="1" applyFill="1" applyBorder="1" applyAlignment="1">
      <alignment horizontal="center"/>
    </xf>
    <xf numFmtId="4" fontId="6" fillId="0" borderId="0" xfId="0" applyNumberFormat="1" applyFont="1" applyFill="1" applyBorder="1" applyAlignment="1">
      <alignment horizontal="right"/>
    </xf>
    <xf numFmtId="4" fontId="6" fillId="0" borderId="0" xfId="0" applyNumberFormat="1" applyFont="1" applyFill="1" applyAlignment="1">
      <alignment horizontal="right"/>
    </xf>
    <xf numFmtId="0" fontId="6" fillId="0" borderId="0" xfId="0" applyFont="1" applyAlignment="1">
      <alignment horizontal="left"/>
    </xf>
    <xf numFmtId="4" fontId="6" fillId="0" borderId="0" xfId="0" applyNumberFormat="1" applyFont="1"/>
    <xf numFmtId="43" fontId="6" fillId="0" borderId="0" xfId="0" applyNumberFormat="1" applyFont="1"/>
    <xf numFmtId="4" fontId="0" fillId="0" borderId="0" xfId="0" applyNumberFormat="1" applyFill="1" applyBorder="1" applyAlignment="1">
      <alignment horizontal="right"/>
    </xf>
    <xf numFmtId="4" fontId="6" fillId="0" borderId="0" xfId="2" applyNumberFormat="1" applyFont="1" applyFill="1" applyAlignment="1" applyProtection="1">
      <alignment vertical="top"/>
      <protection locked="0"/>
    </xf>
    <xf numFmtId="0" fontId="7" fillId="0" borderId="0" xfId="2" applyFont="1" applyFill="1" applyAlignment="1" applyProtection="1">
      <alignment horizontal="justify" vertical="top"/>
      <protection locked="0"/>
    </xf>
    <xf numFmtId="0" fontId="7" fillId="0" borderId="0" xfId="2" applyFont="1" applyFill="1" applyAlignment="1" applyProtection="1">
      <alignment horizontal="right" vertical="top"/>
      <protection locked="0"/>
    </xf>
    <xf numFmtId="4" fontId="7" fillId="0" borderId="0" xfId="2" applyNumberFormat="1" applyFont="1" applyFill="1" applyAlignment="1" applyProtection="1">
      <alignment vertical="top"/>
      <protection locked="0"/>
    </xf>
    <xf numFmtId="0" fontId="6" fillId="0" borderId="0" xfId="2" applyFont="1" applyFill="1" applyAlignment="1" applyProtection="1">
      <alignment horizontal="justify" vertical="top"/>
      <protection locked="0"/>
    </xf>
    <xf numFmtId="0" fontId="6" fillId="0" borderId="0" xfId="2" applyFont="1" applyFill="1" applyAlignment="1" applyProtection="1">
      <alignment horizontal="right" vertical="top"/>
      <protection locked="0"/>
    </xf>
    <xf numFmtId="4" fontId="7" fillId="0" borderId="0" xfId="2" applyNumberFormat="1" applyFont="1" applyFill="1" applyAlignment="1" applyProtection="1">
      <alignment horizontal="justify" vertical="top"/>
      <protection locked="0"/>
    </xf>
    <xf numFmtId="4" fontId="6" fillId="0" borderId="0" xfId="0" applyNumberFormat="1" applyFont="1" applyAlignment="1"/>
    <xf numFmtId="0" fontId="19" fillId="0" borderId="0" xfId="0" applyFont="1"/>
    <xf numFmtId="2" fontId="19" fillId="0" borderId="5" xfId="0" applyNumberFormat="1" applyFont="1" applyBorder="1"/>
    <xf numFmtId="0" fontId="19" fillId="0" borderId="1" xfId="0" applyFont="1" applyBorder="1"/>
    <xf numFmtId="4" fontId="19" fillId="0" borderId="1" xfId="0" applyNumberFormat="1" applyFont="1" applyBorder="1"/>
    <xf numFmtId="2" fontId="19" fillId="0" borderId="1" xfId="0" applyNumberFormat="1" applyFont="1" applyBorder="1"/>
    <xf numFmtId="4" fontId="19" fillId="0" borderId="8" xfId="0" applyNumberFormat="1" applyFont="1" applyBorder="1" applyAlignment="1">
      <alignment horizontal="center"/>
    </xf>
    <xf numFmtId="2" fontId="19" fillId="0" borderId="8" xfId="0" applyNumberFormat="1" applyFont="1" applyBorder="1" applyAlignment="1">
      <alignment horizontal="center"/>
    </xf>
    <xf numFmtId="0" fontId="19" fillId="0" borderId="5" xfId="0" applyFont="1" applyBorder="1"/>
    <xf numFmtId="4" fontId="19" fillId="0" borderId="5" xfId="0" applyNumberFormat="1" applyFont="1" applyBorder="1"/>
    <xf numFmtId="4" fontId="19" fillId="0" borderId="0" xfId="0" applyNumberFormat="1" applyFont="1"/>
    <xf numFmtId="2" fontId="19" fillId="0" borderId="0" xfId="0" applyNumberFormat="1" applyFont="1"/>
    <xf numFmtId="0" fontId="19" fillId="0" borderId="0" xfId="0" applyFont="1" applyAlignment="1">
      <alignment horizontal="left"/>
    </xf>
    <xf numFmtId="0" fontId="19" fillId="0" borderId="0" xfId="0" applyFont="1" applyAlignment="1">
      <alignment horizontal="center"/>
    </xf>
    <xf numFmtId="4" fontId="19" fillId="0" borderId="0" xfId="0" applyNumberFormat="1" applyFont="1" applyAlignment="1">
      <alignment horizontal="left"/>
    </xf>
    <xf numFmtId="0" fontId="19" fillId="0" borderId="5" xfId="0" applyFont="1" applyBorder="1" applyAlignment="1">
      <alignment horizontal="center"/>
    </xf>
    <xf numFmtId="4" fontId="19" fillId="0" borderId="0" xfId="0" applyNumberFormat="1" applyFont="1" applyFill="1" applyAlignment="1">
      <alignment horizontal="right"/>
    </xf>
    <xf numFmtId="0" fontId="19" fillId="0" borderId="0" xfId="0" applyFont="1" applyFill="1"/>
    <xf numFmtId="4" fontId="19" fillId="0" borderId="0" xfId="0" applyNumberFormat="1" applyFont="1" applyFill="1"/>
    <xf numFmtId="4" fontId="19" fillId="0" borderId="1" xfId="0" applyNumberFormat="1" applyFont="1" applyFill="1" applyBorder="1" applyAlignment="1">
      <alignment horizontal="right"/>
    </xf>
    <xf numFmtId="0" fontId="19" fillId="0" borderId="1" xfId="0" applyFont="1" applyFill="1" applyBorder="1"/>
    <xf numFmtId="164" fontId="19" fillId="0" borderId="1" xfId="0" applyNumberFormat="1" applyFont="1" applyFill="1" applyBorder="1"/>
    <xf numFmtId="0" fontId="19" fillId="0" borderId="0" xfId="0" applyFont="1" applyBorder="1"/>
    <xf numFmtId="0" fontId="19" fillId="0" borderId="0" xfId="0" applyFont="1" applyBorder="1" applyAlignment="1">
      <alignment horizontal="center"/>
    </xf>
    <xf numFmtId="4" fontId="19" fillId="0" borderId="8" xfId="0" applyNumberFormat="1" applyFont="1" applyFill="1" applyBorder="1" applyAlignment="1">
      <alignment horizontal="right"/>
    </xf>
    <xf numFmtId="164" fontId="19" fillId="0" borderId="0" xfId="0" applyNumberFormat="1" applyFont="1" applyFill="1" applyBorder="1"/>
    <xf numFmtId="4" fontId="19" fillId="0" borderId="4" xfId="0" applyNumberFormat="1" applyFont="1" applyFill="1" applyBorder="1" applyAlignment="1">
      <alignment horizontal="center"/>
    </xf>
    <xf numFmtId="0" fontId="19" fillId="0" borderId="0" xfId="0" applyFont="1" applyFill="1" applyBorder="1"/>
    <xf numFmtId="4" fontId="19" fillId="0" borderId="0" xfId="0" applyNumberFormat="1" applyFont="1" applyFill="1" applyBorder="1" applyAlignment="1">
      <alignment horizontal="right"/>
    </xf>
    <xf numFmtId="4" fontId="19" fillId="0" borderId="5" xfId="0" applyNumberFormat="1" applyFont="1" applyFill="1" applyBorder="1" applyAlignment="1">
      <alignment horizontal="right"/>
    </xf>
    <xf numFmtId="0" fontId="19" fillId="0" borderId="5" xfId="0" applyFont="1" applyFill="1" applyBorder="1"/>
    <xf numFmtId="164" fontId="19" fillId="0" borderId="5" xfId="0" applyNumberFormat="1" applyFont="1" applyFill="1" applyBorder="1"/>
    <xf numFmtId="4" fontId="19" fillId="0" borderId="0" xfId="0" applyNumberFormat="1" applyFont="1" applyFill="1" applyBorder="1"/>
    <xf numFmtId="0" fontId="19" fillId="0" borderId="0" xfId="0" applyFont="1" applyFill="1" applyAlignment="1">
      <alignment horizontal="left"/>
    </xf>
    <xf numFmtId="4" fontId="19" fillId="0" borderId="5" xfId="0" applyNumberFormat="1" applyFont="1" applyBorder="1" applyAlignment="1">
      <alignment horizontal="right"/>
    </xf>
    <xf numFmtId="4" fontId="19" fillId="0" borderId="0" xfId="0" applyNumberFormat="1" applyFont="1" applyAlignment="1">
      <alignment horizontal="right"/>
    </xf>
    <xf numFmtId="49" fontId="19" fillId="0" borderId="8" xfId="0" applyNumberFormat="1" applyFont="1" applyBorder="1" applyAlignment="1">
      <alignment horizontal="center"/>
    </xf>
    <xf numFmtId="4" fontId="19" fillId="0" borderId="0" xfId="0" applyNumberFormat="1" applyFont="1" applyBorder="1" applyAlignment="1">
      <alignment horizontal="right"/>
    </xf>
    <xf numFmtId="43" fontId="19" fillId="0" borderId="0" xfId="1" applyFont="1" applyAlignment="1">
      <alignment horizontal="center"/>
    </xf>
    <xf numFmtId="4" fontId="19" fillId="0" borderId="1" xfId="0" applyNumberFormat="1" applyFont="1" applyFill="1" applyBorder="1"/>
    <xf numFmtId="4" fontId="19" fillId="0" borderId="0" xfId="0" applyNumberFormat="1" applyFont="1" applyBorder="1"/>
    <xf numFmtId="2" fontId="19" fillId="0" borderId="0" xfId="0" applyNumberFormat="1" applyFont="1" applyBorder="1"/>
    <xf numFmtId="4" fontId="19" fillId="0" borderId="5" xfId="0" applyNumberFormat="1" applyFont="1" applyFill="1" applyBorder="1"/>
    <xf numFmtId="4" fontId="19" fillId="0" borderId="1" xfId="0" applyNumberFormat="1" applyFont="1" applyFill="1" applyBorder="1" applyAlignment="1">
      <alignment horizontal="center"/>
    </xf>
    <xf numFmtId="1" fontId="19" fillId="0" borderId="0" xfId="0" applyNumberFormat="1" applyFont="1" applyFill="1"/>
    <xf numFmtId="2" fontId="19" fillId="0" borderId="0" xfId="0" applyNumberFormat="1" applyFont="1" applyFill="1"/>
    <xf numFmtId="164" fontId="19" fillId="0" borderId="0" xfId="0" applyNumberFormat="1" applyFont="1"/>
    <xf numFmtId="1" fontId="19" fillId="0" borderId="0" xfId="0" applyNumberFormat="1" applyFont="1"/>
    <xf numFmtId="1" fontId="19" fillId="0" borderId="1" xfId="0" applyNumberFormat="1" applyFont="1" applyFill="1" applyBorder="1"/>
    <xf numFmtId="2" fontId="19" fillId="0" borderId="1" xfId="0" applyNumberFormat="1" applyFont="1" applyFill="1" applyBorder="1"/>
    <xf numFmtId="164" fontId="19" fillId="0" borderId="1" xfId="0" applyNumberFormat="1" applyFont="1" applyBorder="1"/>
    <xf numFmtId="1" fontId="19" fillId="0" borderId="0" xfId="0" applyNumberFormat="1" applyFont="1" applyFill="1" applyBorder="1"/>
    <xf numFmtId="2" fontId="19" fillId="0" borderId="0" xfId="0" applyNumberFormat="1" applyFont="1" applyFill="1" applyBorder="1"/>
    <xf numFmtId="1" fontId="19" fillId="0" borderId="8" xfId="0" applyNumberFormat="1" applyFont="1" applyFill="1" applyBorder="1" applyAlignment="1">
      <alignment horizontal="center"/>
    </xf>
    <xf numFmtId="2" fontId="19" fillId="0" borderId="8" xfId="0" applyNumberFormat="1" applyFont="1" applyFill="1" applyBorder="1" applyAlignment="1">
      <alignment horizontal="center"/>
    </xf>
    <xf numFmtId="164" fontId="19" fillId="0" borderId="8" xfId="0" applyNumberFormat="1" applyFont="1" applyBorder="1" applyAlignment="1">
      <alignment horizontal="center"/>
    </xf>
    <xf numFmtId="2" fontId="19" fillId="0" borderId="0" xfId="0" applyNumberFormat="1" applyFont="1" applyBorder="1" applyAlignment="1">
      <alignment horizontal="center"/>
    </xf>
    <xf numFmtId="1" fontId="19" fillId="0" borderId="5" xfId="0" applyNumberFormat="1" applyFont="1" applyFill="1" applyBorder="1"/>
    <xf numFmtId="2" fontId="19" fillId="0" borderId="5" xfId="0" applyNumberFormat="1" applyFont="1" applyFill="1" applyBorder="1"/>
    <xf numFmtId="164" fontId="19" fillId="0" borderId="5" xfId="0" applyNumberFormat="1" applyFont="1" applyBorder="1"/>
    <xf numFmtId="164" fontId="19" fillId="0" borderId="0" xfId="0" applyNumberFormat="1" applyFont="1" applyBorder="1"/>
    <xf numFmtId="164" fontId="19" fillId="0" borderId="0" xfId="0" applyNumberFormat="1" applyFont="1" applyFill="1"/>
    <xf numFmtId="4" fontId="19" fillId="0" borderId="0" xfId="0" applyNumberFormat="1" applyFont="1" applyFill="1" applyBorder="1" applyAlignment="1"/>
    <xf numFmtId="0" fontId="6" fillId="0" borderId="0" xfId="0" applyFont="1" applyFill="1" applyAlignment="1">
      <alignment horizontal="justify"/>
    </xf>
    <xf numFmtId="2" fontId="19" fillId="0" borderId="10" xfId="0" applyNumberFormat="1" applyFont="1" applyBorder="1" applyAlignment="1">
      <alignment horizontal="center"/>
    </xf>
    <xf numFmtId="2" fontId="19" fillId="0" borderId="10" xfId="0" applyNumberFormat="1" applyFont="1" applyBorder="1"/>
    <xf numFmtId="164" fontId="19" fillId="0" borderId="4" xfId="0" applyNumberFormat="1" applyFont="1" applyBorder="1" applyAlignment="1">
      <alignment horizontal="center"/>
    </xf>
    <xf numFmtId="2" fontId="19" fillId="0" borderId="4" xfId="0" applyNumberFormat="1" applyFont="1" applyBorder="1" applyAlignment="1">
      <alignment horizontal="center"/>
    </xf>
    <xf numFmtId="2" fontId="19" fillId="0" borderId="0" xfId="0" applyNumberFormat="1" applyFont="1" applyAlignment="1">
      <alignment horizontal="center"/>
    </xf>
    <xf numFmtId="164" fontId="19" fillId="0" borderId="0" xfId="0" applyNumberFormat="1" applyFont="1" applyAlignment="1">
      <alignment horizontal="center"/>
    </xf>
    <xf numFmtId="4" fontId="19" fillId="0" borderId="0" xfId="0" applyNumberFormat="1" applyFont="1" applyAlignment="1">
      <alignment horizontal="center"/>
    </xf>
    <xf numFmtId="0" fontId="19" fillId="0" borderId="0" xfId="0" applyFont="1" applyFill="1" applyAlignment="1">
      <alignment horizontal="center"/>
    </xf>
    <xf numFmtId="164" fontId="19" fillId="0" borderId="0" xfId="0" applyNumberFormat="1" applyFont="1" applyFill="1" applyAlignment="1">
      <alignment horizontal="center"/>
    </xf>
    <xf numFmtId="4" fontId="19" fillId="0" borderId="0" xfId="0" applyNumberFormat="1" applyFont="1" applyFill="1" applyAlignment="1">
      <alignment horizontal="center"/>
    </xf>
    <xf numFmtId="2" fontId="19" fillId="0" borderId="0" xfId="0" applyNumberFormat="1" applyFont="1" applyFill="1" applyAlignment="1">
      <alignment horizontal="center"/>
    </xf>
    <xf numFmtId="3" fontId="19" fillId="0" borderId="0" xfId="0" applyNumberFormat="1" applyFont="1" applyFill="1"/>
    <xf numFmtId="2" fontId="19" fillId="0" borderId="0" xfId="0" applyNumberFormat="1" applyFont="1" applyFill="1" applyBorder="1" applyAlignment="1">
      <alignment horizontal="center"/>
    </xf>
    <xf numFmtId="1" fontId="19" fillId="0" borderId="1" xfId="0" applyNumberFormat="1" applyFont="1" applyBorder="1"/>
    <xf numFmtId="1" fontId="19" fillId="0" borderId="0" xfId="0" applyNumberFormat="1" applyFont="1" applyBorder="1"/>
    <xf numFmtId="1" fontId="19" fillId="0" borderId="8" xfId="0" applyNumberFormat="1" applyFont="1" applyBorder="1" applyAlignment="1">
      <alignment horizontal="center"/>
    </xf>
    <xf numFmtId="1" fontId="19" fillId="0" borderId="5" xfId="0" applyNumberFormat="1" applyFont="1" applyBorder="1"/>
    <xf numFmtId="3" fontId="19" fillId="0" borderId="0" xfId="0" applyNumberFormat="1" applyFont="1"/>
    <xf numFmtId="164" fontId="19" fillId="2" borderId="0" xfId="0" applyNumberFormat="1" applyFont="1" applyFill="1"/>
    <xf numFmtId="0" fontId="21" fillId="0" borderId="0" xfId="0" applyFont="1"/>
    <xf numFmtId="4" fontId="22" fillId="0" borderId="0" xfId="0" applyNumberFormat="1" applyFont="1" applyFill="1" applyAlignment="1">
      <alignment horizontal="right"/>
    </xf>
    <xf numFmtId="0" fontId="23" fillId="0" borderId="0" xfId="0" applyFont="1"/>
    <xf numFmtId="0" fontId="23" fillId="0" borderId="0" xfId="0" applyFont="1" applyFill="1"/>
    <xf numFmtId="4" fontId="7" fillId="0" borderId="0" xfId="0" applyNumberFormat="1" applyFont="1" applyFill="1"/>
    <xf numFmtId="0" fontId="21" fillId="0" borderId="0" xfId="0" applyFont="1" applyFill="1"/>
    <xf numFmtId="164" fontId="21" fillId="0" borderId="0" xfId="0" applyNumberFormat="1" applyFont="1"/>
    <xf numFmtId="2" fontId="21" fillId="0" borderId="0" xfId="0" applyNumberFormat="1" applyFont="1"/>
    <xf numFmtId="0" fontId="21" fillId="0" borderId="5" xfId="0" applyFont="1" applyBorder="1"/>
    <xf numFmtId="164" fontId="6" fillId="0" borderId="1" xfId="0" applyNumberFormat="1" applyFont="1" applyFill="1" applyBorder="1"/>
    <xf numFmtId="2" fontId="6" fillId="0" borderId="1" xfId="0" applyNumberFormat="1" applyFont="1" applyBorder="1"/>
    <xf numFmtId="0" fontId="6" fillId="0" borderId="1" xfId="0" applyFont="1" applyBorder="1"/>
    <xf numFmtId="164" fontId="6" fillId="0" borderId="1" xfId="0" applyNumberFormat="1" applyFont="1" applyBorder="1"/>
    <xf numFmtId="164" fontId="6" fillId="0" borderId="0" xfId="0" applyNumberFormat="1" applyFont="1" applyFill="1" applyBorder="1"/>
    <xf numFmtId="2" fontId="6" fillId="0" borderId="0" xfId="0" applyNumberFormat="1" applyFont="1" applyBorder="1"/>
    <xf numFmtId="2" fontId="6" fillId="0" borderId="0" xfId="0" applyNumberFormat="1" applyFont="1" applyBorder="1" applyAlignment="1">
      <alignment horizontal="center"/>
    </xf>
    <xf numFmtId="0" fontId="6" fillId="0" borderId="0" xfId="0" applyFont="1" applyBorder="1" applyAlignment="1">
      <alignment horizontal="center"/>
    </xf>
    <xf numFmtId="164" fontId="6" fillId="0" borderId="8" xfId="0" applyNumberFormat="1" applyFont="1" applyFill="1" applyBorder="1" applyAlignment="1">
      <alignment horizontal="center"/>
    </xf>
    <xf numFmtId="2" fontId="6" fillId="0" borderId="8" xfId="0" applyNumberFormat="1" applyFont="1" applyBorder="1" applyAlignment="1">
      <alignment horizontal="center"/>
    </xf>
    <xf numFmtId="164" fontId="6" fillId="0" borderId="8" xfId="0" applyNumberFormat="1" applyFont="1" applyBorder="1" applyAlignment="1">
      <alignment horizontal="center"/>
    </xf>
    <xf numFmtId="164" fontId="6" fillId="0" borderId="5" xfId="0" applyNumberFormat="1" applyFont="1" applyFill="1" applyBorder="1"/>
    <xf numFmtId="2" fontId="6" fillId="0" borderId="5" xfId="0" applyNumberFormat="1" applyFont="1" applyBorder="1"/>
    <xf numFmtId="0" fontId="6" fillId="0" borderId="5" xfId="0" applyFont="1" applyBorder="1"/>
    <xf numFmtId="164" fontId="6" fillId="0" borderId="5" xfId="0" applyNumberFormat="1" applyFont="1" applyBorder="1"/>
    <xf numFmtId="164" fontId="6" fillId="0" borderId="0" xfId="0" applyNumberFormat="1" applyFont="1" applyBorder="1"/>
    <xf numFmtId="3" fontId="6" fillId="0" borderId="0" xfId="0" applyNumberFormat="1" applyFont="1" applyFill="1" applyBorder="1" applyAlignment="1">
      <alignment horizontal="right"/>
    </xf>
    <xf numFmtId="0" fontId="10" fillId="0" borderId="0" xfId="0" applyFont="1"/>
    <xf numFmtId="2" fontId="6" fillId="0" borderId="0" xfId="0" applyNumberFormat="1" applyFont="1" applyFill="1"/>
    <xf numFmtId="0" fontId="6" fillId="2" borderId="0" xfId="0" applyFont="1" applyFill="1"/>
    <xf numFmtId="0" fontId="19" fillId="0" borderId="0" xfId="0" applyFont="1" applyBorder="1" applyAlignment="1">
      <alignment horizontal="right"/>
    </xf>
    <xf numFmtId="3" fontId="19" fillId="0" borderId="0" xfId="0" applyNumberFormat="1" applyFont="1" applyAlignment="1">
      <alignment horizontal="right"/>
    </xf>
    <xf numFmtId="3" fontId="24" fillId="0" borderId="0" xfId="3" applyNumberFormat="1" applyFont="1" applyFill="1" applyBorder="1" applyAlignment="1">
      <alignment horizontal="right" vertical="top"/>
    </xf>
    <xf numFmtId="3" fontId="24" fillId="0" borderId="0" xfId="4" applyNumberFormat="1" applyFont="1" applyFill="1" applyBorder="1" applyAlignment="1">
      <alignment horizontal="right" vertical="top"/>
    </xf>
    <xf numFmtId="3" fontId="24" fillId="0" borderId="0" xfId="5" applyNumberFormat="1" applyFont="1" applyFill="1" applyBorder="1" applyAlignment="1">
      <alignment horizontal="right" vertical="top"/>
    </xf>
    <xf numFmtId="166" fontId="25" fillId="0" borderId="0" xfId="9" applyNumberFormat="1" applyFont="1" applyFill="1" applyBorder="1" applyAlignment="1">
      <alignment horizontal="right" vertical="center"/>
    </xf>
    <xf numFmtId="166" fontId="25" fillId="0" borderId="0" xfId="10" applyNumberFormat="1" applyFont="1" applyFill="1" applyBorder="1" applyAlignment="1">
      <alignment horizontal="right" vertical="center"/>
    </xf>
    <xf numFmtId="3" fontId="24" fillId="0" borderId="0" xfId="8" applyNumberFormat="1" applyFont="1" applyFill="1" applyBorder="1" applyAlignment="1">
      <alignment horizontal="right" vertical="top"/>
    </xf>
    <xf numFmtId="3" fontId="6" fillId="0" borderId="0" xfId="0" applyNumberFormat="1" applyFont="1" applyFill="1" applyBorder="1" applyAlignment="1">
      <alignment horizontal="center"/>
    </xf>
    <xf numFmtId="166" fontId="25" fillId="0" borderId="0" xfId="11" applyNumberFormat="1" applyFont="1" applyFill="1" applyBorder="1" applyAlignment="1">
      <alignment horizontal="right" vertical="center"/>
    </xf>
    <xf numFmtId="166" fontId="25" fillId="0" borderId="0" xfId="12" applyNumberFormat="1" applyFont="1" applyFill="1" applyBorder="1" applyAlignment="1">
      <alignment horizontal="right" vertical="center"/>
    </xf>
    <xf numFmtId="164" fontId="19" fillId="0" borderId="0" xfId="0" applyNumberFormat="1" applyFont="1" applyAlignment="1">
      <alignment horizontal="right"/>
    </xf>
    <xf numFmtId="2" fontId="19" fillId="0" borderId="0" xfId="0" applyNumberFormat="1" applyFont="1" applyAlignment="1">
      <alignment horizontal="right"/>
    </xf>
    <xf numFmtId="0" fontId="19" fillId="0" borderId="0" xfId="0" applyFont="1" applyAlignment="1">
      <alignment horizontal="right"/>
    </xf>
    <xf numFmtId="164" fontId="19" fillId="0" borderId="0" xfId="0" applyNumberFormat="1" applyFont="1" applyBorder="1" applyAlignment="1">
      <alignment horizontal="right"/>
    </xf>
    <xf numFmtId="164" fontId="19" fillId="0" borderId="0" xfId="0" applyNumberFormat="1" applyFont="1" applyFill="1" applyAlignment="1">
      <alignment horizontal="right"/>
    </xf>
    <xf numFmtId="2" fontId="6" fillId="0" borderId="1" xfId="0" applyNumberFormat="1" applyFont="1" applyFill="1" applyBorder="1"/>
    <xf numFmtId="2" fontId="6" fillId="0" borderId="0" xfId="0" applyNumberFormat="1" applyFont="1" applyFill="1" applyBorder="1"/>
    <xf numFmtId="2" fontId="6" fillId="0" borderId="8" xfId="0" applyNumberFormat="1" applyFont="1" applyFill="1" applyBorder="1" applyAlignment="1">
      <alignment horizontal="center"/>
    </xf>
    <xf numFmtId="0" fontId="6" fillId="0" borderId="8" xfId="0" applyFont="1" applyBorder="1" applyAlignment="1">
      <alignment horizontal="center"/>
    </xf>
    <xf numFmtId="2" fontId="6" fillId="0" borderId="5" xfId="0" applyNumberFormat="1" applyFont="1" applyFill="1" applyBorder="1"/>
    <xf numFmtId="3" fontId="24" fillId="0" borderId="0" xfId="14" applyNumberFormat="1" applyFont="1" applyFill="1" applyBorder="1" applyAlignment="1">
      <alignment horizontal="right" vertical="top" wrapText="1"/>
    </xf>
    <xf numFmtId="166" fontId="9" fillId="0" borderId="0" xfId="0" applyNumberFormat="1" applyFont="1" applyBorder="1" applyAlignment="1">
      <alignment horizontal="right" vertical="top"/>
    </xf>
    <xf numFmtId="164" fontId="6" fillId="0" borderId="0" xfId="0" applyNumberFormat="1" applyFont="1" applyFill="1" applyAlignment="1"/>
    <xf numFmtId="2" fontId="6" fillId="0" borderId="0" xfId="0" applyNumberFormat="1" applyFont="1" applyFill="1" applyAlignment="1"/>
    <xf numFmtId="0" fontId="6" fillId="0" borderId="0" xfId="0" applyFont="1" applyAlignment="1"/>
    <xf numFmtId="164" fontId="6" fillId="0" borderId="0" xfId="0" applyNumberFormat="1" applyFont="1" applyAlignment="1"/>
    <xf numFmtId="2" fontId="6" fillId="0" borderId="0" xfId="0" applyNumberFormat="1" applyFont="1" applyAlignment="1"/>
    <xf numFmtId="0" fontId="19" fillId="0" borderId="0" xfId="0" applyFont="1" applyAlignment="1"/>
    <xf numFmtId="164" fontId="6" fillId="0" borderId="0" xfId="0" applyNumberFormat="1" applyFont="1" applyFill="1" applyBorder="1" applyAlignment="1">
      <alignment horizontal="center"/>
    </xf>
    <xf numFmtId="166" fontId="9" fillId="0" borderId="0" xfId="18" applyNumberFormat="1" applyFont="1" applyBorder="1" applyAlignment="1">
      <alignment horizontal="right" vertical="top"/>
    </xf>
    <xf numFmtId="166" fontId="24" fillId="0" borderId="0" xfId="15" applyNumberFormat="1" applyFont="1" applyFill="1" applyBorder="1" applyAlignment="1">
      <alignment horizontal="right" vertical="top"/>
    </xf>
    <xf numFmtId="166" fontId="24" fillId="0" borderId="0" xfId="14" applyNumberFormat="1" applyFont="1" applyFill="1" applyBorder="1" applyAlignment="1">
      <alignment horizontal="right" vertical="top"/>
    </xf>
    <xf numFmtId="166" fontId="19" fillId="0" borderId="0" xfId="0" applyNumberFormat="1" applyFont="1" applyFill="1" applyBorder="1" applyAlignment="1"/>
    <xf numFmtId="166" fontId="19" fillId="0" borderId="0" xfId="0" applyNumberFormat="1" applyFont="1" applyAlignment="1">
      <alignment horizontal="right"/>
    </xf>
    <xf numFmtId="0" fontId="19" fillId="0" borderId="0" xfId="0" applyFont="1" applyFill="1" applyBorder="1" applyAlignment="1"/>
    <xf numFmtId="0" fontId="9" fillId="0" borderId="0" xfId="0" applyFont="1" applyFill="1"/>
    <xf numFmtId="0" fontId="9" fillId="0" borderId="0" xfId="0" applyFont="1" applyFill="1" applyBorder="1"/>
    <xf numFmtId="0" fontId="9" fillId="0" borderId="0" xfId="0" applyFont="1" applyFill="1" applyAlignment="1" applyProtection="1">
      <alignment horizontal="right"/>
      <protection locked="0"/>
    </xf>
    <xf numFmtId="0" fontId="9" fillId="0" borderId="2" xfId="0" applyFont="1" applyFill="1" applyBorder="1" applyAlignment="1" applyProtection="1">
      <alignment horizontal="left"/>
      <protection locked="0"/>
    </xf>
    <xf numFmtId="0" fontId="6" fillId="0" borderId="2" xfId="0" applyFont="1" applyFill="1" applyBorder="1"/>
    <xf numFmtId="0" fontId="9" fillId="0" borderId="12" xfId="0" applyFont="1" applyFill="1" applyBorder="1" applyAlignment="1">
      <alignment horizontal="center"/>
    </xf>
    <xf numFmtId="4" fontId="26" fillId="0" borderId="0" xfId="0" applyNumberFormat="1" applyFont="1" applyFill="1" applyBorder="1" applyAlignment="1">
      <alignment horizontal="center"/>
    </xf>
    <xf numFmtId="0" fontId="6" fillId="0" borderId="0" xfId="0" applyFont="1" applyFill="1" applyBorder="1" applyAlignment="1">
      <alignment horizontal="center"/>
    </xf>
    <xf numFmtId="0" fontId="9" fillId="0" borderId="0" xfId="0" applyFont="1" applyFill="1" applyBorder="1" applyAlignment="1">
      <alignment horizontal="left"/>
    </xf>
    <xf numFmtId="49" fontId="9" fillId="0" borderId="12" xfId="0" applyNumberFormat="1" applyFont="1" applyFill="1" applyBorder="1" applyAlignment="1">
      <alignment horizontal="center"/>
    </xf>
    <xf numFmtId="49" fontId="9" fillId="0" borderId="0" xfId="0" applyNumberFormat="1" applyFont="1" applyFill="1" applyBorder="1" applyAlignment="1">
      <alignment horizontal="left"/>
    </xf>
    <xf numFmtId="49" fontId="9" fillId="0" borderId="8" xfId="0" applyNumberFormat="1" applyFont="1" applyFill="1" applyBorder="1" applyAlignment="1" applyProtection="1">
      <alignment horizontal="center"/>
      <protection locked="0"/>
    </xf>
    <xf numFmtId="1" fontId="9" fillId="0" borderId="0" xfId="0" applyNumberFormat="1" applyFont="1" applyFill="1" applyBorder="1" applyAlignment="1" applyProtection="1">
      <alignment horizontal="center"/>
      <protection locked="0"/>
    </xf>
    <xf numFmtId="49" fontId="6" fillId="0" borderId="0" xfId="0" applyNumberFormat="1" applyFont="1" applyFill="1" applyAlignment="1">
      <alignment horizontal="center"/>
    </xf>
    <xf numFmtId="0" fontId="9" fillId="0" borderId="13" xfId="0" applyFont="1" applyFill="1" applyBorder="1" applyAlignment="1" applyProtection="1">
      <alignment horizontal="center"/>
      <protection locked="0"/>
    </xf>
    <xf numFmtId="0" fontId="9" fillId="0" borderId="2" xfId="0" applyFont="1" applyFill="1" applyBorder="1" applyAlignment="1" applyProtection="1">
      <alignment horizontal="center"/>
      <protection locked="0"/>
    </xf>
    <xf numFmtId="4" fontId="9" fillId="0" borderId="2" xfId="0" applyNumberFormat="1" applyFont="1" applyFill="1" applyBorder="1" applyAlignment="1" applyProtection="1">
      <alignment horizontal="center"/>
      <protection locked="0"/>
    </xf>
    <xf numFmtId="167" fontId="6" fillId="0" borderId="2" xfId="0" applyNumberFormat="1" applyFont="1" applyFill="1" applyBorder="1" applyAlignment="1">
      <alignment horizontal="center"/>
    </xf>
    <xf numFmtId="0" fontId="6" fillId="0" borderId="2" xfId="0" applyFont="1" applyFill="1" applyBorder="1" applyAlignment="1">
      <alignment horizontal="center"/>
    </xf>
    <xf numFmtId="0" fontId="9" fillId="0" borderId="12" xfId="0" applyFont="1" applyFill="1" applyBorder="1"/>
    <xf numFmtId="4" fontId="27" fillId="0" borderId="0" xfId="0" applyNumberFormat="1" applyFont="1" applyFill="1" applyBorder="1" applyProtection="1">
      <protection locked="0"/>
    </xf>
    <xf numFmtId="0" fontId="27" fillId="0" borderId="12" xfId="0" applyFont="1" applyFill="1" applyBorder="1" applyAlignment="1" applyProtection="1">
      <alignment horizontal="right"/>
      <protection locked="0"/>
    </xf>
    <xf numFmtId="0" fontId="27" fillId="0" borderId="0" xfId="0" applyFont="1" applyFill="1" applyBorder="1"/>
    <xf numFmtId="10" fontId="27" fillId="0" borderId="0" xfId="0" applyNumberFormat="1" applyFont="1" applyFill="1" applyBorder="1" applyProtection="1">
      <protection locked="0"/>
    </xf>
    <xf numFmtId="0" fontId="28" fillId="0" borderId="0" xfId="0" applyFont="1" applyFill="1" applyBorder="1"/>
    <xf numFmtId="4" fontId="9" fillId="0" borderId="0" xfId="0" applyNumberFormat="1" applyFont="1" applyFill="1" applyBorder="1"/>
    <xf numFmtId="0" fontId="9" fillId="0" borderId="12" xfId="0" applyFont="1" applyFill="1" applyBorder="1" applyAlignment="1" applyProtection="1">
      <alignment horizontal="right"/>
      <protection locked="0"/>
    </xf>
    <xf numFmtId="0" fontId="27" fillId="0" borderId="0" xfId="0" applyFont="1" applyFill="1" applyBorder="1" applyAlignment="1">
      <alignment wrapText="1"/>
    </xf>
    <xf numFmtId="0" fontId="27" fillId="0" borderId="0" xfId="0" applyFont="1" applyFill="1" applyBorder="1" applyAlignment="1">
      <alignment horizontal="left" wrapText="1"/>
    </xf>
    <xf numFmtId="4" fontId="9" fillId="0" borderId="0" xfId="0" applyNumberFormat="1" applyFont="1" applyFill="1" applyBorder="1" applyProtection="1">
      <protection locked="0"/>
    </xf>
    <xf numFmtId="10" fontId="9" fillId="0" borderId="0" xfId="0" applyNumberFormat="1" applyFont="1" applyFill="1" applyBorder="1" applyProtection="1">
      <protection locked="0"/>
    </xf>
    <xf numFmtId="4" fontId="6" fillId="0" borderId="0" xfId="0" applyNumberFormat="1" applyFont="1" applyFill="1" applyBorder="1"/>
    <xf numFmtId="0" fontId="27" fillId="0" borderId="0" xfId="0" applyFont="1" applyFill="1" applyBorder="1" applyAlignment="1">
      <alignment wrapText="1" shrinkToFit="1"/>
    </xf>
    <xf numFmtId="0" fontId="7" fillId="0" borderId="0" xfId="0" applyFont="1" applyFill="1" applyBorder="1"/>
    <xf numFmtId="4" fontId="7" fillId="0" borderId="0" xfId="0" applyNumberFormat="1" applyFont="1" applyFill="1" applyBorder="1"/>
    <xf numFmtId="4" fontId="27" fillId="0" borderId="0" xfId="0" applyNumberFormat="1" applyFont="1" applyFill="1" applyBorder="1"/>
    <xf numFmtId="0" fontId="6" fillId="0" borderId="12" xfId="0" applyFont="1" applyFill="1" applyBorder="1"/>
    <xf numFmtId="0" fontId="27" fillId="0" borderId="12" xfId="0" applyFont="1" applyFill="1" applyBorder="1"/>
    <xf numFmtId="0" fontId="27" fillId="0" borderId="12" xfId="0" applyFont="1" applyFill="1" applyBorder="1" applyAlignment="1">
      <alignment horizontal="right"/>
    </xf>
    <xf numFmtId="0" fontId="9" fillId="0" borderId="12" xfId="0" applyFont="1" applyFill="1" applyBorder="1" applyAlignment="1" applyProtection="1">
      <alignment horizontal="center"/>
      <protection locked="0"/>
    </xf>
    <xf numFmtId="4" fontId="27" fillId="0" borderId="0" xfId="0" applyNumberFormat="1" applyFont="1" applyFill="1" applyBorder="1" applyAlignment="1" applyProtection="1">
      <alignment horizontal="right"/>
      <protection locked="0"/>
    </xf>
    <xf numFmtId="0" fontId="9" fillId="0" borderId="13" xfId="0" applyFont="1" applyFill="1" applyBorder="1" applyAlignment="1" applyProtection="1">
      <alignment horizontal="fill"/>
      <protection locked="0"/>
    </xf>
    <xf numFmtId="0" fontId="9" fillId="0" borderId="5" xfId="0" applyFont="1" applyFill="1" applyBorder="1" applyAlignment="1" applyProtection="1">
      <alignment horizontal="fill"/>
      <protection locked="0"/>
    </xf>
    <xf numFmtId="0" fontId="6" fillId="0" borderId="5" xfId="0" applyFont="1" applyFill="1" applyBorder="1"/>
    <xf numFmtId="0" fontId="9" fillId="0" borderId="0" xfId="0" applyFont="1" applyFill="1" applyBorder="1" applyAlignment="1" applyProtection="1">
      <alignment horizontal="fill"/>
      <protection locked="0"/>
    </xf>
    <xf numFmtId="4" fontId="9" fillId="0" borderId="0" xfId="0" applyNumberFormat="1" applyFont="1" applyFill="1"/>
    <xf numFmtId="164" fontId="6" fillId="0" borderId="0" xfId="0" applyNumberFormat="1" applyFont="1" applyAlignment="1">
      <alignment horizontal="right"/>
    </xf>
    <xf numFmtId="2" fontId="6" fillId="0" borderId="0" xfId="0" applyNumberFormat="1" applyFont="1" applyAlignment="1">
      <alignment horizontal="right"/>
    </xf>
    <xf numFmtId="164" fontId="6" fillId="0" borderId="0" xfId="0" applyNumberFormat="1" applyFont="1" applyFill="1" applyAlignment="1">
      <alignment horizontal="right"/>
    </xf>
    <xf numFmtId="2" fontId="6" fillId="0" borderId="5" xfId="0" applyNumberFormat="1" applyFont="1" applyBorder="1" applyAlignment="1">
      <alignment horizontal="right"/>
    </xf>
    <xf numFmtId="0" fontId="6" fillId="0" borderId="5" xfId="0" applyFont="1" applyBorder="1" applyAlignment="1">
      <alignment horizontal="right"/>
    </xf>
    <xf numFmtId="164" fontId="6" fillId="0" borderId="5" xfId="0" applyNumberFormat="1" applyFont="1" applyBorder="1" applyAlignment="1">
      <alignment horizontal="right"/>
    </xf>
    <xf numFmtId="164" fontId="19" fillId="0" borderId="8" xfId="0" applyNumberFormat="1" applyFont="1" applyFill="1" applyBorder="1" applyAlignment="1">
      <alignment horizontal="center"/>
    </xf>
    <xf numFmtId="2" fontId="19" fillId="0" borderId="5" xfId="0" applyNumberFormat="1" applyFont="1" applyBorder="1" applyAlignment="1">
      <alignment horizontal="right"/>
    </xf>
    <xf numFmtId="164" fontId="6" fillId="0" borderId="0" xfId="0" applyNumberFormat="1" applyFont="1" applyBorder="1" applyAlignment="1">
      <alignment horizontal="left"/>
    </xf>
    <xf numFmtId="164" fontId="6" fillId="0" borderId="5" xfId="0" applyNumberFormat="1" applyFont="1" applyFill="1" applyBorder="1" applyAlignment="1"/>
    <xf numFmtId="3" fontId="24" fillId="0" borderId="0" xfId="17" applyNumberFormat="1" applyFont="1" applyFill="1" applyBorder="1" applyAlignment="1">
      <alignment vertical="top"/>
    </xf>
    <xf numFmtId="3" fontId="24" fillId="0" borderId="0" xfId="13" applyNumberFormat="1" applyFont="1" applyFill="1" applyBorder="1" applyAlignment="1">
      <alignment vertical="top"/>
    </xf>
    <xf numFmtId="3" fontId="24" fillId="0" borderId="0" xfId="14" applyNumberFormat="1" applyFont="1" applyFill="1" applyBorder="1" applyAlignment="1">
      <alignment vertical="top"/>
    </xf>
    <xf numFmtId="0" fontId="6" fillId="0" borderId="0" xfId="0" applyFont="1" applyBorder="1" applyAlignment="1">
      <alignment horizontal="right"/>
    </xf>
    <xf numFmtId="164" fontId="6" fillId="0" borderId="0" xfId="0" applyNumberFormat="1" applyFont="1" applyFill="1" applyBorder="1" applyAlignment="1"/>
    <xf numFmtId="164" fontId="6" fillId="0" borderId="0" xfId="0" applyNumberFormat="1" applyFont="1" applyBorder="1" applyAlignment="1"/>
    <xf numFmtId="0" fontId="19" fillId="0" borderId="0" xfId="0" applyFont="1" applyBorder="1" applyAlignment="1"/>
    <xf numFmtId="0" fontId="19" fillId="0" borderId="5" xfId="0" applyFont="1" applyBorder="1" applyAlignment="1"/>
    <xf numFmtId="164" fontId="7" fillId="0" borderId="0" xfId="0" applyNumberFormat="1" applyFont="1" applyFill="1"/>
    <xf numFmtId="164" fontId="7" fillId="0" borderId="0" xfId="0" applyNumberFormat="1" applyFont="1"/>
    <xf numFmtId="2" fontId="7" fillId="0" borderId="0" xfId="0" applyNumberFormat="1" applyFont="1"/>
    <xf numFmtId="1" fontId="7" fillId="0" borderId="0" xfId="0" applyNumberFormat="1" applyFont="1"/>
    <xf numFmtId="4" fontId="7" fillId="0" borderId="0" xfId="0" applyNumberFormat="1" applyFont="1"/>
    <xf numFmtId="164" fontId="7" fillId="0" borderId="1" xfId="0" applyNumberFormat="1" applyFont="1" applyFill="1" applyBorder="1"/>
    <xf numFmtId="1" fontId="7" fillId="0" borderId="1" xfId="0" applyNumberFormat="1" applyFont="1" applyBorder="1"/>
    <xf numFmtId="4" fontId="7" fillId="0" borderId="1" xfId="0" applyNumberFormat="1" applyFont="1" applyBorder="1"/>
    <xf numFmtId="164" fontId="7" fillId="0" borderId="0" xfId="0" applyNumberFormat="1" applyFont="1" applyFill="1" applyBorder="1"/>
    <xf numFmtId="164" fontId="7" fillId="0" borderId="0" xfId="0" applyNumberFormat="1" applyFont="1" applyBorder="1"/>
    <xf numFmtId="1" fontId="6" fillId="0" borderId="0" xfId="0" applyNumberFormat="1" applyFont="1" applyBorder="1"/>
    <xf numFmtId="4" fontId="10" fillId="0" borderId="0" xfId="0" applyNumberFormat="1" applyFont="1" applyBorder="1"/>
    <xf numFmtId="164" fontId="9" fillId="0" borderId="0" xfId="0" applyNumberFormat="1" applyFont="1" applyFill="1" applyBorder="1"/>
    <xf numFmtId="164" fontId="9" fillId="0" borderId="0" xfId="0" applyNumberFormat="1" applyFont="1" applyBorder="1"/>
    <xf numFmtId="2" fontId="9" fillId="0" borderId="0" xfId="0" applyNumberFormat="1" applyFont="1" applyBorder="1"/>
    <xf numFmtId="1" fontId="6" fillId="0" borderId="10" xfId="0" applyNumberFormat="1" applyFont="1" applyBorder="1"/>
    <xf numFmtId="4" fontId="6" fillId="0" borderId="10" xfId="0" applyNumberFormat="1" applyFont="1" applyBorder="1"/>
    <xf numFmtId="164" fontId="9" fillId="0" borderId="8" xfId="0" applyNumberFormat="1" applyFont="1" applyFill="1" applyBorder="1" applyAlignment="1">
      <alignment horizontal="center"/>
    </xf>
    <xf numFmtId="164" fontId="9" fillId="0" borderId="8" xfId="0" applyNumberFormat="1" applyFont="1" applyBorder="1" applyAlignment="1">
      <alignment horizontal="center"/>
    </xf>
    <xf numFmtId="2" fontId="9" fillId="0" borderId="8" xfId="0" applyNumberFormat="1" applyFont="1" applyBorder="1" applyAlignment="1">
      <alignment horizontal="center"/>
    </xf>
    <xf numFmtId="4" fontId="10" fillId="0" borderId="8" xfId="0" applyNumberFormat="1" applyFont="1" applyBorder="1" applyAlignment="1">
      <alignment horizontal="center"/>
    </xf>
    <xf numFmtId="164" fontId="9" fillId="0" borderId="5" xfId="0" applyNumberFormat="1" applyFont="1" applyFill="1" applyBorder="1"/>
    <xf numFmtId="164" fontId="9" fillId="0" borderId="5" xfId="0" applyNumberFormat="1" applyFont="1" applyBorder="1"/>
    <xf numFmtId="2" fontId="9" fillId="0" borderId="5" xfId="0" applyNumberFormat="1" applyFont="1" applyBorder="1"/>
    <xf numFmtId="0" fontId="9" fillId="0" borderId="5" xfId="0" applyFont="1" applyBorder="1"/>
    <xf numFmtId="1" fontId="10" fillId="0" borderId="5" xfId="0" applyNumberFormat="1" applyFont="1" applyBorder="1"/>
    <xf numFmtId="4" fontId="10" fillId="0" borderId="5" xfId="0" applyNumberFormat="1" applyFont="1" applyBorder="1"/>
    <xf numFmtId="0" fontId="10" fillId="0" borderId="5" xfId="0" applyFont="1" applyBorder="1"/>
    <xf numFmtId="2" fontId="10" fillId="0" borderId="5" xfId="0" applyNumberFormat="1" applyFont="1" applyBorder="1"/>
    <xf numFmtId="1" fontId="7" fillId="0" borderId="0" xfId="0" applyNumberFormat="1" applyFont="1" applyBorder="1"/>
    <xf numFmtId="1" fontId="27" fillId="0" borderId="0" xfId="0" applyNumberFormat="1" applyFont="1" applyFill="1"/>
    <xf numFmtId="4" fontId="27" fillId="0" borderId="0" xfId="0" applyNumberFormat="1" applyFont="1" applyFill="1"/>
    <xf numFmtId="164" fontId="27" fillId="0" borderId="0" xfId="0" applyNumberFormat="1" applyFont="1" applyFill="1"/>
    <xf numFmtId="164" fontId="9" fillId="0" borderId="0" xfId="0" applyNumberFormat="1" applyFont="1" applyFill="1"/>
    <xf numFmtId="164" fontId="9" fillId="0" borderId="0" xfId="0" applyNumberFormat="1" applyFont="1"/>
    <xf numFmtId="2" fontId="9" fillId="0" borderId="0" xfId="0" applyNumberFormat="1" applyFont="1"/>
    <xf numFmtId="0" fontId="9" fillId="0" borderId="0" xfId="0" applyFont="1"/>
    <xf numFmtId="1" fontId="9" fillId="0" borderId="0" xfId="0" applyNumberFormat="1" applyFont="1" applyFill="1"/>
    <xf numFmtId="164" fontId="27" fillId="0" borderId="0" xfId="0" applyNumberFormat="1" applyFont="1"/>
    <xf numFmtId="2" fontId="27" fillId="0" borderId="0" xfId="0" applyNumberFormat="1" applyFont="1"/>
    <xf numFmtId="0" fontId="27" fillId="0" borderId="0" xfId="0" applyFont="1"/>
    <xf numFmtId="1" fontId="9" fillId="0" borderId="0" xfId="0" applyNumberFormat="1" applyFont="1"/>
    <xf numFmtId="4" fontId="9" fillId="0" borderId="0" xfId="0" applyNumberFormat="1" applyFont="1"/>
    <xf numFmtId="3" fontId="27" fillId="0" borderId="0" xfId="0" applyNumberFormat="1" applyFont="1"/>
    <xf numFmtId="4" fontId="9" fillId="0" borderId="0" xfId="0" applyNumberFormat="1" applyFont="1" applyBorder="1"/>
    <xf numFmtId="166" fontId="27" fillId="0" borderId="0" xfId="0" applyNumberFormat="1" applyFont="1" applyBorder="1" applyAlignment="1">
      <alignment horizontal="right" vertical="top"/>
    </xf>
    <xf numFmtId="1" fontId="9" fillId="0" borderId="0" xfId="0" applyNumberFormat="1" applyFont="1" applyBorder="1" applyAlignment="1">
      <alignment horizontal="right" vertical="top"/>
    </xf>
    <xf numFmtId="1" fontId="27" fillId="0" borderId="0" xfId="0" applyNumberFormat="1" applyFont="1" applyBorder="1" applyAlignment="1">
      <alignment horizontal="right" vertical="top"/>
    </xf>
    <xf numFmtId="4" fontId="27" fillId="0" borderId="0" xfId="0" applyNumberFormat="1" applyFont="1" applyBorder="1"/>
    <xf numFmtId="4" fontId="27" fillId="0" borderId="0" xfId="0" applyNumberFormat="1" applyFont="1"/>
    <xf numFmtId="166" fontId="25" fillId="0" borderId="0" xfId="24" applyNumberFormat="1" applyFont="1" applyFill="1" applyBorder="1" applyAlignment="1">
      <alignment horizontal="right" vertical="center"/>
    </xf>
    <xf numFmtId="1" fontId="9" fillId="0" borderId="5" xfId="0" applyNumberFormat="1" applyFont="1" applyBorder="1"/>
    <xf numFmtId="4" fontId="9" fillId="0" borderId="5" xfId="0" applyNumberFormat="1" applyFont="1" applyBorder="1"/>
    <xf numFmtId="164" fontId="9" fillId="0" borderId="0" xfId="0" applyNumberFormat="1" applyFont="1" applyFill="1" applyAlignment="1"/>
    <xf numFmtId="164" fontId="9" fillId="0" borderId="0" xfId="0" applyNumberFormat="1" applyFont="1" applyAlignment="1"/>
    <xf numFmtId="2" fontId="9" fillId="0" borderId="0" xfId="0" applyNumberFormat="1" applyFont="1" applyAlignment="1"/>
    <xf numFmtId="0" fontId="9" fillId="0" borderId="0" xfId="0" applyFont="1" applyAlignment="1"/>
    <xf numFmtId="1" fontId="9" fillId="0" borderId="0" xfId="0" applyNumberFormat="1" applyFont="1" applyAlignment="1"/>
    <xf numFmtId="4" fontId="9" fillId="0" borderId="0" xfId="0" applyNumberFormat="1" applyFont="1" applyAlignment="1"/>
    <xf numFmtId="3" fontId="24" fillId="0" borderId="0" xfId="15" applyNumberFormat="1" applyFont="1" applyFill="1" applyBorder="1" applyAlignment="1">
      <alignment horizontal="right"/>
    </xf>
    <xf numFmtId="3" fontId="25" fillId="0" borderId="0" xfId="24" applyNumberFormat="1" applyFont="1" applyFill="1" applyBorder="1" applyAlignment="1">
      <alignment horizontal="right"/>
    </xf>
    <xf numFmtId="164" fontId="19" fillId="0" borderId="8" xfId="0" applyNumberFormat="1" applyFont="1" applyBorder="1"/>
    <xf numFmtId="2" fontId="19" fillId="0" borderId="8" xfId="0" applyNumberFormat="1" applyFont="1" applyBorder="1"/>
    <xf numFmtId="166" fontId="25" fillId="0" borderId="0" xfId="27" applyNumberFormat="1" applyFont="1" applyFill="1" applyBorder="1" applyAlignment="1">
      <alignment horizontal="right"/>
    </xf>
    <xf numFmtId="166" fontId="25" fillId="0" borderId="0" xfId="28" applyNumberFormat="1" applyFont="1" applyFill="1" applyBorder="1" applyAlignment="1">
      <alignment horizontal="right"/>
    </xf>
    <xf numFmtId="49" fontId="0" fillId="0" borderId="0" xfId="0" applyNumberFormat="1" applyBorder="1" applyAlignment="1">
      <alignment horizontal="center"/>
    </xf>
    <xf numFmtId="14" fontId="6" fillId="0" borderId="0" xfId="0" applyNumberFormat="1" applyFont="1"/>
    <xf numFmtId="14" fontId="6" fillId="0" borderId="0" xfId="0" applyNumberFormat="1" applyFont="1" applyAlignment="1">
      <alignment horizontal="right"/>
    </xf>
    <xf numFmtId="4" fontId="6" fillId="0" borderId="1" xfId="0" applyNumberFormat="1" applyFont="1" applyBorder="1"/>
    <xf numFmtId="164" fontId="6" fillId="0" borderId="1" xfId="0" applyNumberFormat="1" applyFont="1" applyBorder="1" applyAlignment="1">
      <alignment horizontal="right"/>
    </xf>
    <xf numFmtId="0" fontId="6" fillId="0" borderId="1" xfId="0" applyFont="1" applyFill="1" applyBorder="1"/>
    <xf numFmtId="4" fontId="6" fillId="0" borderId="0" xfId="0" applyNumberFormat="1" applyFont="1" applyBorder="1" applyAlignment="1">
      <alignment horizontal="center"/>
    </xf>
    <xf numFmtId="4" fontId="6" fillId="0" borderId="5" xfId="0" applyNumberFormat="1" applyFont="1" applyBorder="1"/>
    <xf numFmtId="164" fontId="6" fillId="0" borderId="0" xfId="0" applyNumberFormat="1" applyFont="1" applyBorder="1" applyAlignment="1">
      <alignment horizontal="right"/>
    </xf>
    <xf numFmtId="164" fontId="7" fillId="0" borderId="0" xfId="0" applyNumberFormat="1" applyFont="1" applyAlignment="1">
      <alignment horizontal="right"/>
    </xf>
    <xf numFmtId="0" fontId="6" fillId="0" borderId="0" xfId="0" applyFont="1" applyFill="1" applyBorder="1" applyAlignment="1">
      <alignment horizontal="right" vertical="top"/>
    </xf>
    <xf numFmtId="168" fontId="6" fillId="0" borderId="0" xfId="0" applyNumberFormat="1" applyFont="1" applyFill="1" applyBorder="1" applyAlignment="1">
      <alignment horizontal="right"/>
    </xf>
    <xf numFmtId="0" fontId="6" fillId="0" borderId="0" xfId="0" applyFont="1" applyFill="1" applyBorder="1" applyAlignment="1">
      <alignment horizontal="left" vertical="top"/>
    </xf>
    <xf numFmtId="0" fontId="6" fillId="0" borderId="0" xfId="0" applyFont="1" applyFill="1" applyBorder="1" applyAlignment="1">
      <alignment horizontal="right"/>
    </xf>
    <xf numFmtId="0" fontId="6" fillId="0" borderId="0" xfId="0" applyFont="1" applyAlignment="1">
      <alignment horizontal="left" indent="1"/>
    </xf>
    <xf numFmtId="3" fontId="6" fillId="0" borderId="0" xfId="0" applyNumberFormat="1" applyFont="1"/>
    <xf numFmtId="0" fontId="29" fillId="0" borderId="0" xfId="0" applyFont="1"/>
    <xf numFmtId="0" fontId="29" fillId="0" borderId="0" xfId="0" applyFont="1" applyBorder="1"/>
    <xf numFmtId="164" fontId="29" fillId="0" borderId="0" xfId="0" applyNumberFormat="1" applyFont="1" applyBorder="1" applyAlignment="1">
      <alignment horizontal="center"/>
    </xf>
    <xf numFmtId="164" fontId="6" fillId="0" borderId="0" xfId="0" applyNumberFormat="1" applyFont="1" applyFill="1" applyAlignment="1">
      <alignment horizontal="center"/>
    </xf>
    <xf numFmtId="164" fontId="6" fillId="0" borderId="0" xfId="0" applyNumberFormat="1" applyFont="1" applyAlignment="1">
      <alignment horizontal="center"/>
    </xf>
    <xf numFmtId="0" fontId="30" fillId="0" borderId="0" xfId="0" applyFont="1"/>
    <xf numFmtId="14" fontId="6" fillId="0" borderId="0" xfId="0" applyNumberFormat="1" applyFont="1" applyAlignment="1">
      <alignment horizontal="center"/>
    </xf>
    <xf numFmtId="164" fontId="6" fillId="0" borderId="1" xfId="0" applyNumberFormat="1" applyFont="1" applyFill="1" applyBorder="1" applyAlignment="1">
      <alignment horizontal="center"/>
    </xf>
    <xf numFmtId="164" fontId="6" fillId="0" borderId="1" xfId="0" applyNumberFormat="1" applyFont="1" applyBorder="1" applyAlignment="1">
      <alignment horizontal="center"/>
    </xf>
    <xf numFmtId="164" fontId="6" fillId="0" borderId="2" xfId="0" applyNumberFormat="1" applyFont="1" applyFill="1" applyBorder="1" applyAlignment="1">
      <alignment horizontal="left"/>
    </xf>
    <xf numFmtId="164" fontId="6" fillId="0" borderId="2" xfId="0" applyNumberFormat="1" applyFont="1" applyFill="1" applyBorder="1" applyAlignment="1">
      <alignment horizontal="center"/>
    </xf>
    <xf numFmtId="9" fontId="6" fillId="0" borderId="0" xfId="0" applyNumberFormat="1" applyFont="1" applyBorder="1" applyAlignment="1">
      <alignment horizontal="center"/>
    </xf>
    <xf numFmtId="164" fontId="6" fillId="0" borderId="5" xfId="0" applyNumberFormat="1" applyFont="1" applyFill="1" applyBorder="1" applyAlignment="1">
      <alignment horizontal="center"/>
    </xf>
    <xf numFmtId="164" fontId="6" fillId="0" borderId="5" xfId="0" applyNumberFormat="1" applyFont="1" applyBorder="1" applyAlignment="1">
      <alignment horizontal="center"/>
    </xf>
    <xf numFmtId="2" fontId="6" fillId="0" borderId="0" xfId="0" applyNumberFormat="1" applyFont="1" applyAlignment="1">
      <alignment horizontal="center"/>
    </xf>
    <xf numFmtId="168" fontId="6" fillId="0" borderId="0" xfId="0" applyNumberFormat="1" applyFont="1" applyFill="1" applyBorder="1" applyAlignment="1">
      <alignment horizontal="center"/>
    </xf>
    <xf numFmtId="1" fontId="6" fillId="0" borderId="0" xfId="0" applyNumberFormat="1" applyFont="1" applyFill="1" applyAlignment="1">
      <alignment horizontal="center"/>
    </xf>
    <xf numFmtId="4" fontId="6" fillId="0" borderId="0" xfId="0" applyNumberFormat="1" applyFont="1" applyFill="1" applyAlignment="1">
      <alignment horizontal="center"/>
    </xf>
    <xf numFmtId="0" fontId="6" fillId="0" borderId="0" xfId="0" applyFont="1" applyFill="1" applyAlignment="1">
      <alignment horizontal="left"/>
    </xf>
    <xf numFmtId="14" fontId="6" fillId="0" borderId="0" xfId="0" applyNumberFormat="1" applyFont="1" applyFill="1" applyAlignment="1">
      <alignment horizontal="center"/>
    </xf>
    <xf numFmtId="1" fontId="6" fillId="0" borderId="1" xfId="0" applyNumberFormat="1" applyFont="1" applyFill="1" applyBorder="1" applyAlignment="1">
      <alignment horizontal="center"/>
    </xf>
    <xf numFmtId="4" fontId="6" fillId="0" borderId="1" xfId="0" applyNumberFormat="1" applyFont="1" applyFill="1" applyBorder="1" applyAlignment="1">
      <alignment horizontal="center"/>
    </xf>
    <xf numFmtId="4" fontId="6" fillId="0" borderId="10" xfId="0" applyNumberFormat="1" applyFont="1" applyFill="1" applyBorder="1" applyAlignment="1">
      <alignment horizontal="center"/>
    </xf>
    <xf numFmtId="1" fontId="6" fillId="0" borderId="0" xfId="0" applyNumberFormat="1" applyFont="1" applyFill="1" applyBorder="1" applyAlignment="1">
      <alignment horizontal="center"/>
    </xf>
    <xf numFmtId="1" fontId="6" fillId="0" borderId="5" xfId="0" applyNumberFormat="1" applyFont="1" applyFill="1" applyBorder="1" applyAlignment="1">
      <alignment horizontal="center"/>
    </xf>
    <xf numFmtId="4" fontId="6" fillId="0" borderId="5" xfId="0" applyNumberFormat="1" applyFont="1" applyFill="1" applyBorder="1" applyAlignment="1">
      <alignment horizontal="center"/>
    </xf>
    <xf numFmtId="1" fontId="7" fillId="0" borderId="0" xfId="0" applyNumberFormat="1" applyFont="1" applyFill="1" applyAlignment="1">
      <alignment horizontal="center"/>
    </xf>
    <xf numFmtId="4" fontId="7" fillId="0" borderId="0" xfId="0" applyNumberFormat="1"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center"/>
    </xf>
    <xf numFmtId="0" fontId="6" fillId="0" borderId="0" xfId="0" applyFont="1" applyFill="1" applyBorder="1" applyAlignment="1">
      <alignment horizontal="center" vertical="top"/>
    </xf>
    <xf numFmtId="0" fontId="6" fillId="0" borderId="0" xfId="0" applyFont="1" applyBorder="1" applyAlignment="1">
      <alignment horizontal="left" vertical="top"/>
    </xf>
    <xf numFmtId="2" fontId="30" fillId="0" borderId="0" xfId="0" applyNumberFormat="1" applyFont="1"/>
    <xf numFmtId="0" fontId="6" fillId="0" borderId="0" xfId="2" applyFont="1" applyFill="1"/>
    <xf numFmtId="164" fontId="6" fillId="0" borderId="0" xfId="2" applyNumberFormat="1" applyFont="1" applyFill="1" applyAlignment="1">
      <alignment horizontal="center"/>
    </xf>
    <xf numFmtId="0" fontId="0" fillId="0" borderId="0" xfId="0" applyAlignment="1"/>
    <xf numFmtId="0" fontId="3" fillId="0" borderId="0" xfId="0" applyFont="1" applyAlignment="1"/>
    <xf numFmtId="0" fontId="5" fillId="0" borderId="0" xfId="0" applyFont="1" applyAlignment="1"/>
    <xf numFmtId="0" fontId="2" fillId="0" borderId="0" xfId="0" applyFont="1" applyAlignment="1">
      <alignment horizontal="center" vertical="top"/>
    </xf>
    <xf numFmtId="0" fontId="31" fillId="0" borderId="0" xfId="0" applyFont="1" applyAlignment="1">
      <alignment horizontal="center" vertical="center" readingOrder="1"/>
    </xf>
    <xf numFmtId="4" fontId="9" fillId="0" borderId="0" xfId="0" applyNumberFormat="1" applyFont="1" applyFill="1" applyAlignment="1">
      <alignment horizontal="right"/>
    </xf>
    <xf numFmtId="164" fontId="0" fillId="0" borderId="0" xfId="0" applyNumberFormat="1" applyAlignment="1">
      <alignment horizontal="right"/>
    </xf>
    <xf numFmtId="0" fontId="0" fillId="0" borderId="0" xfId="0" applyFill="1" applyAlignment="1">
      <alignment horizontal="center"/>
    </xf>
    <xf numFmtId="0" fontId="2" fillId="0" borderId="0" xfId="0" applyFont="1" applyAlignment="1">
      <alignment horizontal="left" vertical="top" wrapText="1"/>
    </xf>
    <xf numFmtId="0" fontId="32" fillId="0" borderId="0" xfId="0" applyFont="1" applyAlignment="1">
      <alignment horizontal="center" vertical="center" readingOrder="1"/>
    </xf>
    <xf numFmtId="9" fontId="6" fillId="0" borderId="0" xfId="29" applyFont="1"/>
    <xf numFmtId="0" fontId="6" fillId="0" borderId="0" xfId="0" applyFont="1" applyAlignment="1">
      <alignment horizontal="center" vertical="center"/>
    </xf>
    <xf numFmtId="9" fontId="0" fillId="0" borderId="0" xfId="29" applyFont="1"/>
    <xf numFmtId="4" fontId="0" fillId="0" borderId="0" xfId="0" applyNumberFormat="1" applyAlignment="1">
      <alignment horizontal="center" vertical="center"/>
    </xf>
    <xf numFmtId="3" fontId="0" fillId="0" borderId="0" xfId="0" applyNumberFormat="1" applyAlignment="1">
      <alignment vertical="center"/>
    </xf>
    <xf numFmtId="0" fontId="27" fillId="0" borderId="0" xfId="0" applyFont="1" applyFill="1"/>
    <xf numFmtId="1" fontId="27" fillId="0" borderId="0" xfId="0" applyNumberFormat="1" applyFont="1" applyFill="1" applyAlignment="1">
      <alignment horizontal="center"/>
    </xf>
    <xf numFmtId="0" fontId="9" fillId="0" borderId="0" xfId="0" applyFont="1" applyFill="1" applyAlignment="1">
      <alignment horizontal="center"/>
    </xf>
    <xf numFmtId="2" fontId="6" fillId="0" borderId="0" xfId="0" applyNumberFormat="1" applyFont="1" applyFill="1" applyAlignment="1">
      <alignment horizontal="center"/>
    </xf>
    <xf numFmtId="0" fontId="9" fillId="0" borderId="1" xfId="0" applyFont="1" applyFill="1" applyBorder="1"/>
    <xf numFmtId="1" fontId="9" fillId="0" borderId="0" xfId="0" applyNumberFormat="1" applyFont="1" applyFill="1" applyBorder="1" applyAlignment="1">
      <alignment horizontal="center"/>
    </xf>
    <xf numFmtId="0" fontId="9" fillId="0" borderId="8" xfId="0" applyFont="1" applyFill="1" applyBorder="1" applyAlignment="1">
      <alignment horizontal="right"/>
    </xf>
    <xf numFmtId="2" fontId="6" fillId="0" borderId="0" xfId="0" applyNumberFormat="1" applyFont="1" applyFill="1" applyBorder="1" applyAlignment="1">
      <alignment horizontal="center"/>
    </xf>
    <xf numFmtId="0" fontId="6" fillId="0" borderId="8" xfId="0" applyFont="1" applyFill="1" applyBorder="1" applyAlignment="1">
      <alignment horizontal="right"/>
    </xf>
    <xf numFmtId="0" fontId="6" fillId="0" borderId="8" xfId="0" applyFont="1" applyFill="1" applyBorder="1" applyAlignment="1">
      <alignment horizontal="center"/>
    </xf>
    <xf numFmtId="0" fontId="27" fillId="0" borderId="5" xfId="0" applyFont="1" applyFill="1" applyBorder="1" applyAlignment="1">
      <alignment horizontal="center"/>
    </xf>
    <xf numFmtId="2" fontId="7" fillId="0" borderId="5" xfId="0" applyNumberFormat="1" applyFont="1" applyFill="1" applyBorder="1" applyAlignment="1">
      <alignment horizontal="center"/>
    </xf>
    <xf numFmtId="0" fontId="7" fillId="0" borderId="5" xfId="0" applyFont="1" applyFill="1" applyBorder="1" applyAlignment="1">
      <alignment horizontal="center"/>
    </xf>
    <xf numFmtId="0" fontId="7" fillId="0" borderId="5" xfId="0" applyFont="1" applyFill="1" applyBorder="1"/>
    <xf numFmtId="2" fontId="7" fillId="0" borderId="0" xfId="0" applyNumberFormat="1" applyFont="1" applyFill="1"/>
    <xf numFmtId="2" fontId="7" fillId="0" borderId="0" xfId="0" applyNumberFormat="1" applyFont="1" applyFill="1" applyBorder="1"/>
    <xf numFmtId="3" fontId="9" fillId="0" borderId="0" xfId="0" applyNumberFormat="1" applyFont="1" applyFill="1"/>
    <xf numFmtId="0" fontId="19" fillId="0" borderId="0" xfId="0" applyNumberFormat="1" applyFont="1" applyFill="1" applyBorder="1"/>
    <xf numFmtId="1" fontId="6" fillId="0" borderId="0" xfId="0" applyNumberFormat="1" applyFont="1" applyFill="1"/>
    <xf numFmtId="3" fontId="6" fillId="0" borderId="0" xfId="0" applyNumberFormat="1" applyFont="1" applyFill="1"/>
    <xf numFmtId="0" fontId="27" fillId="0" borderId="5" xfId="0" applyFont="1" applyFill="1" applyBorder="1" applyAlignment="1">
      <alignment horizontal="right"/>
    </xf>
    <xf numFmtId="3" fontId="25" fillId="0" borderId="0" xfId="0" applyNumberFormat="1" applyFont="1" applyAlignment="1">
      <alignment horizontal="right"/>
    </xf>
    <xf numFmtId="1" fontId="25" fillId="0" borderId="0" xfId="0" applyNumberFormat="1" applyFont="1" applyAlignment="1">
      <alignment horizontal="right"/>
    </xf>
    <xf numFmtId="0" fontId="7" fillId="0" borderId="5" xfId="0" applyFont="1" applyFill="1" applyBorder="1" applyAlignment="1">
      <alignment horizontal="right"/>
    </xf>
    <xf numFmtId="1" fontId="9" fillId="0" borderId="0" xfId="0" applyNumberFormat="1" applyFont="1" applyFill="1" applyBorder="1"/>
    <xf numFmtId="0" fontId="29" fillId="0" borderId="0" xfId="0" applyFont="1" applyAlignment="1"/>
    <xf numFmtId="0" fontId="29" fillId="0" borderId="5" xfId="0" applyFont="1" applyBorder="1"/>
    <xf numFmtId="0" fontId="29" fillId="0" borderId="1" xfId="0" applyFont="1" applyBorder="1"/>
    <xf numFmtId="0" fontId="0" fillId="0" borderId="1" xfId="0" applyBorder="1" applyAlignment="1">
      <alignment horizontal="center"/>
    </xf>
    <xf numFmtId="0" fontId="29" fillId="0" borderId="0" xfId="0" applyFont="1" applyBorder="1" applyAlignment="1">
      <alignment horizontal="left"/>
    </xf>
    <xf numFmtId="49" fontId="29" fillId="0" borderId="0" xfId="0" applyNumberFormat="1" applyFont="1" applyBorder="1" applyAlignment="1">
      <alignment horizontal="center"/>
    </xf>
    <xf numFmtId="0" fontId="0" fillId="0" borderId="0" xfId="0" applyBorder="1" applyAlignment="1">
      <alignment horizontal="center"/>
    </xf>
    <xf numFmtId="0" fontId="0" fillId="0" borderId="5" xfId="0" applyBorder="1" applyAlignment="1">
      <alignment horizontal="center"/>
    </xf>
    <xf numFmtId="3" fontId="29" fillId="0" borderId="0" xfId="0" applyNumberFormat="1" applyFont="1" applyAlignment="1">
      <alignment horizontal="center"/>
    </xf>
    <xf numFmtId="3" fontId="0" fillId="0" borderId="0" xfId="0" applyNumberFormat="1" applyAlignment="1">
      <alignment horizontal="center"/>
    </xf>
    <xf numFmtId="0" fontId="35" fillId="0" borderId="0" xfId="0" applyFont="1" applyFill="1"/>
    <xf numFmtId="1" fontId="21" fillId="0" borderId="0" xfId="0" applyNumberFormat="1" applyFont="1" applyBorder="1"/>
    <xf numFmtId="0" fontId="35" fillId="0" borderId="0" xfId="0" applyFont="1"/>
    <xf numFmtId="0" fontId="22" fillId="0" borderId="0" xfId="0" applyFont="1"/>
    <xf numFmtId="0" fontId="36" fillId="0" borderId="0" xfId="0" applyFont="1" applyFill="1" applyAlignment="1">
      <alignment horizontal="center"/>
    </xf>
    <xf numFmtId="0" fontId="37" fillId="0" borderId="0" xfId="0" applyFont="1" applyFill="1" applyAlignment="1">
      <alignment horizontal="center"/>
    </xf>
    <xf numFmtId="2" fontId="37" fillId="0" borderId="0" xfId="0" applyNumberFormat="1" applyFont="1" applyFill="1" applyAlignment="1">
      <alignment horizontal="center"/>
    </xf>
    <xf numFmtId="1" fontId="36" fillId="0" borderId="0" xfId="0" applyNumberFormat="1" applyFont="1" applyFill="1" applyAlignment="1">
      <alignment horizontal="center"/>
    </xf>
    <xf numFmtId="1" fontId="9" fillId="0" borderId="1" xfId="0" applyNumberFormat="1" applyFont="1" applyFill="1" applyBorder="1"/>
    <xf numFmtId="1" fontId="9" fillId="0" borderId="8" xfId="0" applyNumberFormat="1" applyFont="1" applyFill="1" applyBorder="1" applyAlignment="1">
      <alignment horizontal="right"/>
    </xf>
    <xf numFmtId="0" fontId="7" fillId="0" borderId="5" xfId="0" applyFont="1" applyBorder="1" applyAlignment="1">
      <alignment horizontal="center"/>
    </xf>
    <xf numFmtId="1" fontId="27" fillId="0" borderId="5" xfId="0" applyNumberFormat="1" applyFont="1" applyFill="1" applyBorder="1" applyAlignment="1">
      <alignment horizontal="right"/>
    </xf>
    <xf numFmtId="0" fontId="0" fillId="0" borderId="0" xfId="0" applyFont="1" applyFill="1" applyBorder="1"/>
    <xf numFmtId="1" fontId="6" fillId="0" borderId="0" xfId="0" applyNumberFormat="1" applyFont="1" applyFill="1" applyBorder="1"/>
    <xf numFmtId="1" fontId="9" fillId="0" borderId="0" xfId="0" applyNumberFormat="1" applyFont="1" applyFill="1" applyAlignment="1">
      <alignment horizontal="center"/>
    </xf>
    <xf numFmtId="0" fontId="9" fillId="0" borderId="0" xfId="0" applyFont="1" applyFill="1" applyBorder="1" applyAlignment="1">
      <alignment horizontal="right"/>
    </xf>
    <xf numFmtId="3" fontId="27" fillId="0" borderId="0" xfId="0" applyNumberFormat="1" applyFont="1" applyFill="1"/>
    <xf numFmtId="49" fontId="25" fillId="0" borderId="0" xfId="0" applyNumberFormat="1" applyFont="1" applyFill="1" applyAlignment="1">
      <alignment horizontal="right"/>
    </xf>
    <xf numFmtId="0" fontId="6" fillId="0" borderId="0" xfId="0" applyFont="1" applyBorder="1" applyAlignment="1">
      <alignment horizontal="left"/>
    </xf>
    <xf numFmtId="3" fontId="0" fillId="0" borderId="0" xfId="0" applyNumberFormat="1" applyFont="1" applyBorder="1" applyAlignment="1">
      <alignment horizontal="right"/>
    </xf>
    <xf numFmtId="2" fontId="21" fillId="0" borderId="0" xfId="0" applyNumberFormat="1" applyFont="1" applyFill="1" applyBorder="1" applyAlignment="1">
      <alignment horizontal="center"/>
    </xf>
    <xf numFmtId="0" fontId="39" fillId="0" borderId="0" xfId="0" applyFont="1" applyBorder="1"/>
    <xf numFmtId="2" fontId="21" fillId="0" borderId="0" xfId="0" applyNumberFormat="1" applyFont="1" applyBorder="1"/>
    <xf numFmtId="3" fontId="21" fillId="0" borderId="0" xfId="0" applyNumberFormat="1" applyFont="1"/>
    <xf numFmtId="164" fontId="0" fillId="0" borderId="5" xfId="0" applyNumberFormat="1" applyBorder="1" applyAlignment="1">
      <alignment horizontal="center"/>
    </xf>
    <xf numFmtId="0" fontId="2" fillId="0" borderId="0" xfId="0" applyFont="1"/>
    <xf numFmtId="0" fontId="5" fillId="0" borderId="0" xfId="0" applyFont="1" applyAlignment="1">
      <alignment horizontal="left"/>
    </xf>
    <xf numFmtId="0" fontId="2" fillId="0" borderId="0" xfId="0" applyFont="1" applyAlignment="1"/>
    <xf numFmtId="0" fontId="29" fillId="0" borderId="0" xfId="0" applyFont="1" applyBorder="1" applyAlignment="1">
      <alignment horizontal="center"/>
    </xf>
    <xf numFmtId="0" fontId="39" fillId="0" borderId="0" xfId="0" applyFont="1"/>
    <xf numFmtId="4" fontId="29" fillId="0" borderId="0" xfId="0" applyNumberFormat="1" applyFont="1"/>
    <xf numFmtId="0" fontId="29" fillId="0" borderId="0" xfId="0" applyFont="1" applyFill="1"/>
    <xf numFmtId="0" fontId="42" fillId="0" borderId="0" xfId="0" applyFont="1"/>
    <xf numFmtId="164" fontId="29" fillId="0" borderId="0" xfId="0" applyNumberFormat="1" applyFont="1"/>
    <xf numFmtId="14" fontId="29" fillId="0" borderId="0" xfId="0" applyNumberFormat="1" applyFont="1"/>
    <xf numFmtId="0" fontId="29" fillId="0" borderId="15" xfId="0" applyFont="1" applyBorder="1"/>
    <xf numFmtId="0" fontId="29" fillId="0" borderId="2" xfId="0" applyFont="1" applyBorder="1" applyAlignment="1">
      <alignment horizontal="left"/>
    </xf>
    <xf numFmtId="0" fontId="29" fillId="0" borderId="2" xfId="0" applyFont="1" applyBorder="1"/>
    <xf numFmtId="3" fontId="29" fillId="0" borderId="0" xfId="0" applyNumberFormat="1" applyFont="1" applyBorder="1"/>
    <xf numFmtId="4" fontId="29" fillId="0" borderId="0" xfId="0" applyNumberFormat="1" applyFont="1" applyBorder="1"/>
    <xf numFmtId="0" fontId="29" fillId="0" borderId="0" xfId="0" applyFont="1" applyFill="1" applyBorder="1" applyAlignment="1">
      <alignment horizontal="left"/>
    </xf>
    <xf numFmtId="0" fontId="0" fillId="0" borderId="2" xfId="0" applyBorder="1"/>
    <xf numFmtId="2" fontId="0" fillId="0" borderId="0" xfId="0" applyNumberFormat="1" applyFill="1" applyAlignment="1">
      <alignment horizontal="right"/>
    </xf>
    <xf numFmtId="0" fontId="0" fillId="0" borderId="0" xfId="0" applyFill="1" applyAlignment="1">
      <alignment horizontal="right"/>
    </xf>
    <xf numFmtId="0" fontId="0" fillId="0" borderId="1" xfId="0" applyBorder="1" applyAlignment="1"/>
    <xf numFmtId="164" fontId="0" fillId="0" borderId="1" xfId="0" applyNumberFormat="1" applyBorder="1" applyAlignment="1">
      <alignment horizontal="center"/>
    </xf>
    <xf numFmtId="0" fontId="6" fillId="0" borderId="0" xfId="0" applyFont="1" applyBorder="1" applyAlignment="1"/>
    <xf numFmtId="0" fontId="0" fillId="0" borderId="5" xfId="0" applyBorder="1" applyAlignment="1"/>
    <xf numFmtId="0" fontId="0" fillId="0" borderId="0" xfId="0" applyBorder="1" applyAlignment="1"/>
    <xf numFmtId="0" fontId="7" fillId="0" borderId="0" xfId="0" applyFont="1" applyFill="1" applyAlignment="1"/>
    <xf numFmtId="0" fontId="0" fillId="0" borderId="0" xfId="0" applyFill="1" applyAlignment="1"/>
    <xf numFmtId="164" fontId="0" fillId="0" borderId="0" xfId="0" applyNumberFormat="1" applyFill="1" applyAlignment="1">
      <alignment horizontal="right"/>
    </xf>
    <xf numFmtId="0" fontId="6" fillId="0" borderId="0" xfId="0" applyFont="1" applyFill="1" applyAlignment="1"/>
    <xf numFmtId="0" fontId="6" fillId="0" borderId="0" xfId="0" applyFont="1" applyFill="1" applyBorder="1" applyAlignment="1"/>
    <xf numFmtId="0" fontId="7" fillId="0" borderId="0" xfId="0" applyFont="1" applyAlignment="1"/>
    <xf numFmtId="2" fontId="0" fillId="0" borderId="0" xfId="0" applyNumberFormat="1" applyAlignment="1">
      <alignment horizontal="right"/>
    </xf>
    <xf numFmtId="164" fontId="0" fillId="0" borderId="1" xfId="0" applyNumberFormat="1" applyBorder="1" applyAlignment="1"/>
    <xf numFmtId="2" fontId="0" fillId="0" borderId="0" xfId="0" applyNumberFormat="1" applyAlignment="1">
      <alignment horizontal="center"/>
    </xf>
    <xf numFmtId="4" fontId="6" fillId="0" borderId="0" xfId="0" applyNumberFormat="1" applyFont="1" applyAlignment="1">
      <alignment horizontal="right" vertical="center"/>
    </xf>
    <xf numFmtId="0" fontId="6" fillId="0" borderId="8" xfId="0" applyFont="1" applyBorder="1" applyAlignment="1">
      <alignment horizontal="left"/>
    </xf>
    <xf numFmtId="2" fontId="6" fillId="0" borderId="8" xfId="0" applyNumberFormat="1" applyFont="1" applyBorder="1" applyAlignment="1">
      <alignment horizontal="left"/>
    </xf>
    <xf numFmtId="2" fontId="6" fillId="0" borderId="0" xfId="0" applyNumberFormat="1" applyFont="1" applyBorder="1" applyAlignment="1">
      <alignment horizontal="left"/>
    </xf>
    <xf numFmtId="0" fontId="6" fillId="0" borderId="5" xfId="0" applyFont="1" applyBorder="1" applyAlignment="1">
      <alignment horizontal="center"/>
    </xf>
    <xf numFmtId="2" fontId="6" fillId="0" borderId="5" xfId="0" applyNumberFormat="1" applyFont="1" applyBorder="1" applyAlignment="1">
      <alignment horizontal="center"/>
    </xf>
    <xf numFmtId="3" fontId="6" fillId="0" borderId="0" xfId="0" applyNumberFormat="1" applyFont="1" applyBorder="1"/>
    <xf numFmtId="2" fontId="6" fillId="0" borderId="0" xfId="0" applyNumberFormat="1" applyFont="1" applyBorder="1" applyAlignment="1">
      <alignment horizontal="right"/>
    </xf>
    <xf numFmtId="0" fontId="7" fillId="0" borderId="0" xfId="0" applyFont="1" applyBorder="1" applyAlignment="1">
      <alignment horizontal="center"/>
    </xf>
    <xf numFmtId="2" fontId="7" fillId="0" borderId="0" xfId="0" applyNumberFormat="1" applyFont="1" applyBorder="1" applyAlignment="1">
      <alignment horizontal="center"/>
    </xf>
    <xf numFmtId="0" fontId="43" fillId="0" borderId="0" xfId="0" applyFont="1"/>
    <xf numFmtId="2" fontId="43" fillId="0" borderId="0" xfId="0" applyNumberFormat="1" applyFont="1"/>
    <xf numFmtId="0" fontId="43" fillId="0" borderId="0" xfId="0" applyFont="1" applyBorder="1"/>
    <xf numFmtId="2" fontId="43" fillId="0" borderId="0" xfId="0" applyNumberFormat="1" applyFont="1" applyBorder="1"/>
    <xf numFmtId="0" fontId="44" fillId="0" borderId="0" xfId="0" applyFont="1" applyBorder="1"/>
    <xf numFmtId="2" fontId="44" fillId="0" borderId="0" xfId="0" applyNumberFormat="1" applyFont="1" applyBorder="1"/>
    <xf numFmtId="4" fontId="0" fillId="0" borderId="0" xfId="0" applyNumberFormat="1" applyAlignment="1">
      <alignment vertical="center"/>
    </xf>
    <xf numFmtId="164" fontId="0" fillId="0" borderId="0" xfId="0" applyNumberFormat="1" applyBorder="1" applyAlignment="1">
      <alignment horizontal="right"/>
    </xf>
    <xf numFmtId="2" fontId="0" fillId="0" borderId="0" xfId="0" applyNumberFormat="1" applyBorder="1" applyAlignment="1">
      <alignment horizontal="right"/>
    </xf>
    <xf numFmtId="1" fontId="25" fillId="0" borderId="0" xfId="31" applyNumberFormat="1" applyFont="1" applyFill="1" applyBorder="1" applyAlignment="1">
      <alignment horizontal="right" vertical="center"/>
    </xf>
    <xf numFmtId="164" fontId="19" fillId="0" borderId="1" xfId="0" applyNumberFormat="1" applyFont="1" applyBorder="1" applyAlignment="1">
      <alignment horizontal="right"/>
    </xf>
    <xf numFmtId="2" fontId="19" fillId="0" borderId="1" xfId="0" applyNumberFormat="1" applyFont="1" applyBorder="1" applyAlignment="1">
      <alignment horizontal="right"/>
    </xf>
    <xf numFmtId="164" fontId="19" fillId="0" borderId="8" xfId="0" applyNumberFormat="1" applyFont="1" applyBorder="1" applyAlignment="1">
      <alignment horizontal="right"/>
    </xf>
    <xf numFmtId="164" fontId="19" fillId="0" borderId="5" xfId="0" applyNumberFormat="1" applyFont="1" applyBorder="1" applyAlignment="1">
      <alignment horizontal="right"/>
    </xf>
    <xf numFmtId="2" fontId="19" fillId="0" borderId="0" xfId="0" applyNumberFormat="1" applyFont="1" applyBorder="1" applyAlignment="1">
      <alignment horizontal="right"/>
    </xf>
    <xf numFmtId="1" fontId="6" fillId="0" borderId="0" xfId="0" applyNumberFormat="1" applyFont="1" applyAlignment="1"/>
    <xf numFmtId="169" fontId="25" fillId="0" borderId="0" xfId="31" applyNumberFormat="1" applyFont="1" applyFill="1" applyBorder="1" applyAlignment="1">
      <alignment horizontal="right" vertical="center"/>
    </xf>
    <xf numFmtId="164" fontId="19" fillId="0" borderId="8" xfId="0" applyNumberFormat="1" applyFont="1" applyFill="1" applyBorder="1" applyAlignment="1">
      <alignment horizontal="right"/>
    </xf>
    <xf numFmtId="2" fontId="19" fillId="0" borderId="0" xfId="0" applyNumberFormat="1" applyFont="1" applyFill="1" applyAlignment="1">
      <alignment horizontal="right"/>
    </xf>
    <xf numFmtId="0" fontId="6" fillId="0" borderId="0" xfId="0" applyFont="1" applyFill="1" applyAlignment="1">
      <alignment horizontal="right"/>
    </xf>
    <xf numFmtId="164" fontId="6" fillId="0" borderId="0" xfId="0" applyNumberFormat="1" applyFont="1" applyFill="1" applyBorder="1" applyAlignment="1">
      <alignment horizontal="right"/>
    </xf>
    <xf numFmtId="2" fontId="6" fillId="0" borderId="0" xfId="0" applyNumberFormat="1" applyFont="1" applyFill="1" applyBorder="1" applyAlignment="1">
      <alignment horizontal="right"/>
    </xf>
    <xf numFmtId="3" fontId="25" fillId="0" borderId="0" xfId="30" applyNumberFormat="1" applyFont="1" applyFill="1" applyBorder="1" applyAlignment="1">
      <alignment horizontal="right" vertical="center"/>
    </xf>
    <xf numFmtId="164" fontId="0" fillId="0" borderId="0" xfId="0" applyNumberFormat="1" applyFill="1" applyBorder="1" applyAlignment="1">
      <alignment horizontal="right"/>
    </xf>
    <xf numFmtId="164" fontId="0" fillId="0" borderId="0" xfId="0" applyNumberFormat="1" applyBorder="1" applyAlignment="1"/>
    <xf numFmtId="49" fontId="6" fillId="0" borderId="0" xfId="0" applyNumberFormat="1" applyFont="1"/>
    <xf numFmtId="49" fontId="10" fillId="0" borderId="0" xfId="0" applyNumberFormat="1" applyFont="1"/>
    <xf numFmtId="3" fontId="0" fillId="0" borderId="0" xfId="0" applyNumberFormat="1" applyBorder="1" applyAlignment="1">
      <alignment horizontal="right"/>
    </xf>
    <xf numFmtId="3" fontId="6" fillId="0" borderId="0" xfId="0" applyNumberFormat="1" applyFont="1" applyAlignment="1">
      <alignment horizontal="right"/>
    </xf>
    <xf numFmtId="49" fontId="6" fillId="0" borderId="0" xfId="2" applyNumberFormat="1" applyFont="1" applyFill="1"/>
    <xf numFmtId="0" fontId="7" fillId="0" borderId="0" xfId="0" applyFont="1" applyFill="1" applyBorder="1" applyAlignment="1">
      <alignment horizontal="right"/>
    </xf>
    <xf numFmtId="4" fontId="7" fillId="0" borderId="0" xfId="0" applyNumberFormat="1" applyFont="1" applyAlignment="1">
      <alignment horizontal="right"/>
    </xf>
    <xf numFmtId="0" fontId="7" fillId="0" borderId="0" xfId="0" applyFont="1" applyBorder="1" applyAlignment="1">
      <alignment horizontal="right"/>
    </xf>
    <xf numFmtId="2" fontId="7" fillId="0" borderId="0" xfId="0" applyNumberFormat="1" applyFont="1" applyAlignment="1">
      <alignment horizontal="right"/>
    </xf>
    <xf numFmtId="2" fontId="7" fillId="0" borderId="0" xfId="0" applyNumberFormat="1" applyFont="1" applyBorder="1" applyAlignment="1">
      <alignment horizontal="right"/>
    </xf>
    <xf numFmtId="2" fontId="7" fillId="0" borderId="0" xfId="0" applyNumberFormat="1" applyFont="1" applyAlignment="1">
      <alignment horizontal="center"/>
    </xf>
    <xf numFmtId="2" fontId="0" fillId="0" borderId="0" xfId="0" applyNumberFormat="1" applyFill="1" applyBorder="1" applyAlignment="1">
      <alignment horizontal="right"/>
    </xf>
    <xf numFmtId="2" fontId="7" fillId="0" borderId="0" xfId="0" applyNumberFormat="1" applyFont="1" applyFill="1" applyAlignment="1">
      <alignment horizontal="right"/>
    </xf>
    <xf numFmtId="2" fontId="6" fillId="0" borderId="0" xfId="0" applyNumberFormat="1" applyFont="1" applyFill="1" applyAlignment="1">
      <alignment horizontal="right"/>
    </xf>
    <xf numFmtId="0" fontId="19" fillId="0" borderId="1" xfId="0" applyFont="1" applyFill="1" applyBorder="1" applyAlignment="1">
      <alignment horizontal="center"/>
    </xf>
    <xf numFmtId="2" fontId="19" fillId="0" borderId="1" xfId="0" applyNumberFormat="1" applyFont="1" applyBorder="1" applyAlignment="1">
      <alignment horizontal="center"/>
    </xf>
    <xf numFmtId="0" fontId="19" fillId="0" borderId="1" xfId="0" applyFont="1" applyBorder="1" applyAlignment="1">
      <alignment horizontal="center"/>
    </xf>
    <xf numFmtId="164" fontId="19" fillId="0" borderId="1" xfId="0" applyNumberFormat="1" applyFont="1" applyBorder="1" applyAlignment="1">
      <alignment horizontal="center"/>
    </xf>
    <xf numFmtId="0" fontId="19" fillId="0" borderId="8" xfId="0" applyFont="1" applyFill="1" applyBorder="1" applyAlignment="1">
      <alignment horizontal="center"/>
    </xf>
    <xf numFmtId="0" fontId="19" fillId="0" borderId="5" xfId="0" applyFont="1" applyFill="1" applyBorder="1" applyAlignment="1">
      <alignment horizontal="center"/>
    </xf>
    <xf numFmtId="2" fontId="19" fillId="0" borderId="5" xfId="0" applyNumberFormat="1" applyFont="1" applyBorder="1" applyAlignment="1">
      <alignment horizontal="center"/>
    </xf>
    <xf numFmtId="164" fontId="19" fillId="0" borderId="5" xfId="0" applyNumberFormat="1" applyFont="1" applyBorder="1" applyAlignment="1">
      <alignment horizontal="center"/>
    </xf>
    <xf numFmtId="0" fontId="19" fillId="0" borderId="0" xfId="0" applyFont="1" applyFill="1" applyBorder="1" applyAlignment="1">
      <alignment horizontal="center"/>
    </xf>
    <xf numFmtId="2" fontId="19" fillId="0" borderId="0" xfId="0" applyNumberFormat="1" applyFont="1" applyFill="1" applyBorder="1" applyAlignment="1">
      <alignment horizontal="right"/>
    </xf>
    <xf numFmtId="0" fontId="19" fillId="0" borderId="0" xfId="0" applyFont="1" applyFill="1" applyBorder="1" applyAlignment="1">
      <alignment horizontal="right"/>
    </xf>
    <xf numFmtId="3" fontId="6" fillId="0" borderId="0" xfId="0" applyNumberFormat="1" applyFont="1" applyFill="1" applyAlignment="1">
      <alignment horizontal="right"/>
    </xf>
    <xf numFmtId="3" fontId="6" fillId="0" borderId="0" xfId="0" applyNumberFormat="1" applyFont="1" applyAlignment="1">
      <alignment horizontal="center"/>
    </xf>
    <xf numFmtId="3" fontId="6" fillId="0" borderId="1" xfId="0" applyNumberFormat="1"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center"/>
    </xf>
    <xf numFmtId="3" fontId="6" fillId="0" borderId="1" xfId="0" applyNumberFormat="1" applyFont="1" applyBorder="1" applyAlignment="1">
      <alignment horizontal="center"/>
    </xf>
    <xf numFmtId="2" fontId="6" fillId="0" borderId="1" xfId="0" applyNumberFormat="1" applyFont="1" applyBorder="1" applyAlignment="1">
      <alignment horizontal="center"/>
    </xf>
    <xf numFmtId="3" fontId="6" fillId="0" borderId="8" xfId="0" applyNumberFormat="1" applyFont="1" applyFill="1" applyBorder="1" applyAlignment="1">
      <alignment horizontal="right"/>
    </xf>
    <xf numFmtId="3" fontId="6" fillId="0" borderId="8" xfId="0" applyNumberFormat="1" applyFont="1" applyBorder="1" applyAlignment="1">
      <alignment horizontal="center"/>
    </xf>
    <xf numFmtId="3" fontId="6" fillId="0" borderId="5" xfId="0" applyNumberFormat="1" applyFont="1" applyFill="1" applyBorder="1" applyAlignment="1">
      <alignment horizontal="right"/>
    </xf>
    <xf numFmtId="3" fontId="6" fillId="0" borderId="5" xfId="0" applyNumberFormat="1" applyFont="1" applyBorder="1" applyAlignment="1">
      <alignment horizontal="center"/>
    </xf>
    <xf numFmtId="3" fontId="6" fillId="0" borderId="0" xfId="0" applyNumberFormat="1" applyFont="1" applyBorder="1" applyAlignment="1">
      <alignment horizontal="center"/>
    </xf>
    <xf numFmtId="3" fontId="7" fillId="0" borderId="0" xfId="0" applyNumberFormat="1" applyFont="1" applyFill="1" applyBorder="1" applyAlignment="1">
      <alignment horizontal="right"/>
    </xf>
    <xf numFmtId="4" fontId="7" fillId="0" borderId="0" xfId="0" applyNumberFormat="1" applyFont="1" applyBorder="1" applyAlignment="1">
      <alignment horizontal="right"/>
    </xf>
    <xf numFmtId="3" fontId="7" fillId="0" borderId="0" xfId="0" applyNumberFormat="1" applyFont="1" applyBorder="1" applyAlignment="1">
      <alignment horizontal="right"/>
    </xf>
    <xf numFmtId="0" fontId="7" fillId="0" borderId="0" xfId="0" applyFont="1" applyAlignment="1">
      <alignment horizontal="right"/>
    </xf>
    <xf numFmtId="4" fontId="6" fillId="0" borderId="0" xfId="0" applyNumberFormat="1" applyFont="1" applyAlignment="1">
      <alignment horizontal="right"/>
    </xf>
    <xf numFmtId="0" fontId="7" fillId="0" borderId="0" xfId="0" applyFont="1" applyAlignment="1">
      <alignment horizontal="center"/>
    </xf>
    <xf numFmtId="3" fontId="7" fillId="0" borderId="0" xfId="0" applyNumberFormat="1" applyFont="1" applyAlignment="1">
      <alignment horizontal="right"/>
    </xf>
    <xf numFmtId="0" fontId="7" fillId="0" borderId="0" xfId="0" applyFont="1" applyAlignment="1">
      <alignment horizontal="left"/>
    </xf>
    <xf numFmtId="3" fontId="7" fillId="0" borderId="0" xfId="0" applyNumberFormat="1" applyFont="1" applyFill="1" applyAlignment="1">
      <alignment horizontal="right"/>
    </xf>
    <xf numFmtId="4" fontId="6" fillId="0" borderId="0" xfId="0" applyNumberFormat="1" applyFont="1" applyBorder="1" applyAlignment="1">
      <alignment horizontal="right"/>
    </xf>
    <xf numFmtId="164" fontId="6" fillId="0" borderId="8" xfId="0" applyNumberFormat="1" applyFont="1" applyBorder="1" applyAlignment="1">
      <alignment horizontal="left"/>
    </xf>
    <xf numFmtId="164" fontId="7" fillId="0" borderId="0" xfId="0" applyNumberFormat="1" applyFont="1" applyFill="1" applyAlignment="1">
      <alignment horizontal="right"/>
    </xf>
    <xf numFmtId="0" fontId="6" fillId="0" borderId="0" xfId="0" applyFont="1" applyAlignment="1">
      <alignment horizontal="right" indent="1"/>
    </xf>
    <xf numFmtId="2" fontId="6" fillId="0" borderId="5" xfId="0" applyNumberFormat="1" applyFont="1" applyFill="1" applyBorder="1" applyAlignment="1">
      <alignment horizontal="right"/>
    </xf>
    <xf numFmtId="0" fontId="6" fillId="0" borderId="5" xfId="0" applyFont="1" applyBorder="1" applyAlignment="1">
      <alignment horizontal="left" indent="2"/>
    </xf>
    <xf numFmtId="2" fontId="7" fillId="0" borderId="5" xfId="0" applyNumberFormat="1" applyFont="1" applyBorder="1"/>
    <xf numFmtId="0" fontId="6" fillId="0" borderId="0" xfId="0" applyFont="1" applyBorder="1" applyAlignment="1">
      <alignment horizontal="left" indent="2"/>
    </xf>
    <xf numFmtId="1" fontId="7" fillId="0" borderId="0" xfId="0" applyNumberFormat="1" applyFont="1" applyAlignment="1">
      <alignment horizontal="right"/>
    </xf>
    <xf numFmtId="0" fontId="19" fillId="0" borderId="8" xfId="0" applyFont="1" applyBorder="1" applyAlignment="1">
      <alignment horizontal="center"/>
    </xf>
    <xf numFmtId="0" fontId="19" fillId="0" borderId="5" xfId="0" applyFont="1" applyBorder="1" applyAlignment="1">
      <alignment horizontal="right"/>
    </xf>
    <xf numFmtId="49" fontId="7" fillId="0" borderId="0" xfId="0" applyNumberFormat="1" applyFont="1" applyBorder="1"/>
    <xf numFmtId="49" fontId="7" fillId="0" borderId="0" xfId="0" applyNumberFormat="1" applyFont="1"/>
    <xf numFmtId="2" fontId="7" fillId="0" borderId="8" xfId="0" applyNumberFormat="1" applyFont="1" applyBorder="1" applyAlignment="1">
      <alignment horizontal="center"/>
    </xf>
    <xf numFmtId="0" fontId="7" fillId="0" borderId="5" xfId="0" applyFont="1" applyBorder="1"/>
    <xf numFmtId="164" fontId="7" fillId="0" borderId="0" xfId="0" applyNumberFormat="1" applyFont="1" applyFill="1" applyBorder="1" applyAlignment="1">
      <alignment horizontal="right"/>
    </xf>
    <xf numFmtId="3" fontId="25" fillId="0" borderId="0" xfId="30" applyNumberFormat="1" applyFont="1" applyFill="1" applyBorder="1" applyAlignment="1">
      <alignment horizontal="right"/>
    </xf>
    <xf numFmtId="14" fontId="19" fillId="0" borderId="0" xfId="0" applyNumberFormat="1" applyFont="1" applyAlignment="1">
      <alignment horizontal="left"/>
    </xf>
    <xf numFmtId="1" fontId="25" fillId="0" borderId="0" xfId="31" applyNumberFormat="1" applyFont="1" applyFill="1" applyBorder="1" applyAlignment="1">
      <alignment horizontal="right"/>
    </xf>
    <xf numFmtId="164" fontId="19" fillId="0" borderId="1" xfId="0" applyNumberFormat="1" applyFont="1" applyFill="1" applyBorder="1" applyAlignment="1">
      <alignment horizontal="center"/>
    </xf>
    <xf numFmtId="2" fontId="19" fillId="0" borderId="1" xfId="0" applyNumberFormat="1" applyFont="1" applyFill="1" applyBorder="1" applyAlignment="1">
      <alignment horizontal="center"/>
    </xf>
    <xf numFmtId="164" fontId="19" fillId="0" borderId="0" xfId="0" applyNumberFormat="1" applyFont="1" applyFill="1" applyBorder="1" applyAlignment="1">
      <alignment horizontal="center"/>
    </xf>
    <xf numFmtId="164" fontId="19" fillId="0" borderId="5" xfId="0" applyNumberFormat="1" applyFont="1" applyFill="1" applyBorder="1" applyAlignment="1">
      <alignment horizontal="center"/>
    </xf>
    <xf numFmtId="2" fontId="19" fillId="0" borderId="5" xfId="0" applyNumberFormat="1" applyFont="1" applyFill="1" applyBorder="1" applyAlignment="1">
      <alignment horizontal="center"/>
    </xf>
    <xf numFmtId="1" fontId="0" fillId="0" borderId="0" xfId="0" applyNumberFormat="1" applyBorder="1"/>
    <xf numFmtId="3" fontId="7" fillId="0" borderId="0" xfId="0" applyNumberFormat="1" applyFont="1"/>
    <xf numFmtId="2" fontId="7" fillId="0" borderId="0" xfId="0" applyNumberFormat="1" applyFont="1" applyAlignment="1">
      <alignment horizontal="right" vertical="center"/>
    </xf>
    <xf numFmtId="0" fontId="0" fillId="0" borderId="0" xfId="0" applyAlignment="1">
      <alignment vertical="center"/>
    </xf>
    <xf numFmtId="164" fontId="7" fillId="0" borderId="0" xfId="0" applyNumberFormat="1" applyFont="1" applyBorder="1" applyAlignment="1">
      <alignment horizontal="right"/>
    </xf>
    <xf numFmtId="3" fontId="25" fillId="0" borderId="0" xfId="33" applyNumberFormat="1" applyFont="1" applyBorder="1" applyAlignment="1">
      <alignment horizontal="right"/>
    </xf>
    <xf numFmtId="0" fontId="7" fillId="0" borderId="0" xfId="30" applyNumberFormat="1" applyFont="1" applyBorder="1" applyAlignment="1">
      <alignment vertical="center"/>
    </xf>
    <xf numFmtId="3" fontId="25" fillId="0" borderId="0" xfId="34" applyNumberFormat="1" applyFont="1" applyBorder="1" applyAlignment="1">
      <alignment horizontal="right"/>
    </xf>
    <xf numFmtId="0" fontId="19" fillId="0" borderId="1" xfId="0" applyFont="1" applyBorder="1" applyAlignment="1">
      <alignment horizontal="right"/>
    </xf>
    <xf numFmtId="3" fontId="48" fillId="0" borderId="0" xfId="33" applyNumberFormat="1" applyFont="1" applyAlignment="1">
      <alignment horizontal="right"/>
    </xf>
    <xf numFmtId="3" fontId="6" fillId="0" borderId="0" xfId="33" applyNumberFormat="1" applyFont="1" applyBorder="1" applyAlignment="1">
      <alignment horizontal="right"/>
    </xf>
    <xf numFmtId="3" fontId="6" fillId="0" borderId="0" xfId="0" applyNumberFormat="1" applyFont="1" applyBorder="1" applyAlignment="1">
      <alignment horizontal="right"/>
    </xf>
    <xf numFmtId="0" fontId="48" fillId="0" borderId="0" xfId="30" applyNumberFormat="1" applyFont="1" applyBorder="1" applyAlignment="1"/>
    <xf numFmtId="0" fontId="6" fillId="0" borderId="0" xfId="30" applyNumberFormat="1" applyFont="1" applyBorder="1" applyAlignment="1">
      <alignment horizontal="center"/>
    </xf>
    <xf numFmtId="3" fontId="6" fillId="0" borderId="0" xfId="30" applyNumberFormat="1" applyFont="1" applyBorder="1" applyAlignment="1">
      <alignment horizontal="right"/>
    </xf>
    <xf numFmtId="3" fontId="25" fillId="0" borderId="0" xfId="30" applyNumberFormat="1" applyFont="1" applyAlignment="1">
      <alignment horizontal="right"/>
    </xf>
    <xf numFmtId="3" fontId="19" fillId="0" borderId="0" xfId="0" applyNumberFormat="1" applyFont="1" applyBorder="1"/>
    <xf numFmtId="1" fontId="6" fillId="0" borderId="0" xfId="37" applyNumberFormat="1" applyFont="1" applyBorder="1" applyAlignment="1">
      <alignment horizontal="right" vertical="center"/>
    </xf>
    <xf numFmtId="0" fontId="6" fillId="0" borderId="0" xfId="0" applyFont="1" applyFill="1" applyAlignment="1">
      <alignment horizontal="center" vertical="center"/>
    </xf>
    <xf numFmtId="0" fontId="25" fillId="0" borderId="0" xfId="30" applyNumberFormat="1" applyFont="1" applyBorder="1" applyAlignment="1">
      <alignment horizontal="left" vertical="top" wrapText="1"/>
    </xf>
    <xf numFmtId="1" fontId="25" fillId="0" borderId="0" xfId="30" applyNumberFormat="1" applyFont="1" applyBorder="1" applyAlignment="1">
      <alignment horizontal="center" vertical="center"/>
    </xf>
    <xf numFmtId="0" fontId="6" fillId="0" borderId="0" xfId="0" applyFont="1" applyFill="1" applyBorder="1" applyAlignment="1">
      <alignment horizontal="center" vertical="center" wrapText="1"/>
    </xf>
    <xf numFmtId="165" fontId="21" fillId="0" borderId="0" xfId="0" applyNumberFormat="1" applyFont="1"/>
    <xf numFmtId="165" fontId="21" fillId="0" borderId="5" xfId="0" applyNumberFormat="1" applyFont="1" applyBorder="1"/>
    <xf numFmtId="0" fontId="21" fillId="0" borderId="0" xfId="0" applyFont="1" applyBorder="1"/>
    <xf numFmtId="165" fontId="21" fillId="0" borderId="0" xfId="0" applyNumberFormat="1" applyFont="1" applyBorder="1"/>
    <xf numFmtId="0" fontId="21" fillId="0" borderId="4" xfId="0" applyFont="1" applyBorder="1" applyAlignment="1">
      <alignment horizontal="left"/>
    </xf>
    <xf numFmtId="0" fontId="21" fillId="0" borderId="4" xfId="0" applyFont="1" applyBorder="1"/>
    <xf numFmtId="165" fontId="21" fillId="0" borderId="4" xfId="0" applyNumberFormat="1" applyFont="1" applyBorder="1" applyAlignment="1">
      <alignment horizontal="left"/>
    </xf>
    <xf numFmtId="0" fontId="21" fillId="0" borderId="0" xfId="0" applyFont="1" applyBorder="1" applyAlignment="1">
      <alignment horizontal="right"/>
    </xf>
    <xf numFmtId="0" fontId="50" fillId="0" borderId="0" xfId="0" applyFont="1" applyBorder="1"/>
    <xf numFmtId="0" fontId="50" fillId="0" borderId="0" xfId="0" applyFont="1" applyBorder="1" applyAlignment="1">
      <alignment horizontal="center"/>
    </xf>
    <xf numFmtId="0" fontId="23" fillId="0" borderId="0" xfId="0" applyFont="1" applyBorder="1"/>
    <xf numFmtId="3" fontId="23" fillId="0" borderId="0" xfId="0" applyNumberFormat="1" applyFont="1" applyBorder="1" applyAlignment="1">
      <alignment horizontal="right"/>
    </xf>
    <xf numFmtId="4" fontId="23" fillId="0" borderId="0" xfId="0" applyNumberFormat="1" applyFont="1" applyBorder="1" applyAlignment="1">
      <alignment horizontal="right"/>
    </xf>
    <xf numFmtId="3" fontId="23" fillId="0" borderId="0" xfId="0" applyNumberFormat="1" applyFont="1" applyAlignment="1">
      <alignment horizontal="right"/>
    </xf>
    <xf numFmtId="4" fontId="23" fillId="0" borderId="0" xfId="0" applyNumberFormat="1" applyFont="1"/>
    <xf numFmtId="3" fontId="21" fillId="0" borderId="0" xfId="0" applyNumberFormat="1" applyFont="1" applyAlignment="1">
      <alignment horizontal="right"/>
    </xf>
    <xf numFmtId="3" fontId="21" fillId="0" borderId="0" xfId="0" applyNumberFormat="1" applyFont="1" applyFill="1" applyAlignment="1">
      <alignment horizontal="right"/>
    </xf>
    <xf numFmtId="4" fontId="21" fillId="0" borderId="0" xfId="0" applyNumberFormat="1" applyFont="1"/>
    <xf numFmtId="3" fontId="21" fillId="0" borderId="0" xfId="0" applyNumberFormat="1" applyFont="1" applyFill="1" applyBorder="1" applyAlignment="1">
      <alignment horizontal="right"/>
    </xf>
    <xf numFmtId="0" fontId="21" fillId="0" borderId="0" xfId="0" applyFont="1" applyFill="1" applyAlignment="1">
      <alignment wrapText="1"/>
    </xf>
    <xf numFmtId="0" fontId="21" fillId="0" borderId="0" xfId="0" applyFont="1" applyFill="1" applyAlignment="1">
      <alignment vertical="top" wrapText="1"/>
    </xf>
    <xf numFmtId="0" fontId="22" fillId="0" borderId="0" xfId="0" applyFont="1" applyFill="1" applyBorder="1" applyAlignment="1">
      <alignment horizontal="justify" vertical="top" wrapText="1"/>
    </xf>
    <xf numFmtId="0" fontId="21" fillId="0" borderId="1" xfId="0" applyFont="1" applyBorder="1"/>
    <xf numFmtId="165" fontId="21" fillId="0" borderId="1" xfId="0" applyNumberFormat="1" applyFont="1" applyBorder="1"/>
    <xf numFmtId="0" fontId="51" fillId="0" borderId="0" xfId="0" applyFont="1" applyAlignment="1">
      <alignment horizontal="centerContinuous"/>
    </xf>
    <xf numFmtId="0" fontId="6" fillId="0" borderId="4" xfId="0" applyFont="1" applyBorder="1" applyAlignment="1">
      <alignment horizontal="left"/>
    </xf>
    <xf numFmtId="2" fontId="6" fillId="0" borderId="4" xfId="0" applyNumberFormat="1" applyFont="1" applyBorder="1" applyAlignment="1">
      <alignment horizontal="left"/>
    </xf>
    <xf numFmtId="0" fontId="6" fillId="0" borderId="0" xfId="0" applyFont="1" applyFill="1" applyAlignment="1">
      <alignment wrapText="1"/>
    </xf>
    <xf numFmtId="0" fontId="6" fillId="0" borderId="0" xfId="0" applyFont="1" applyAlignment="1">
      <alignment wrapText="1"/>
    </xf>
    <xf numFmtId="0" fontId="6" fillId="0" borderId="4" xfId="0" applyFont="1" applyBorder="1"/>
    <xf numFmtId="3" fontId="7" fillId="0" borderId="0" xfId="2" applyNumberFormat="1" applyFont="1"/>
    <xf numFmtId="2" fontId="7" fillId="0" borderId="0" xfId="2" applyNumberFormat="1" applyFont="1"/>
    <xf numFmtId="0" fontId="7" fillId="0" borderId="0" xfId="2" applyFont="1"/>
    <xf numFmtId="164" fontId="7" fillId="0" borderId="0" xfId="2" applyNumberFormat="1" applyFont="1"/>
    <xf numFmtId="0" fontId="7" fillId="0" borderId="0" xfId="2" applyFont="1" applyFill="1"/>
    <xf numFmtId="164" fontId="6" fillId="0" borderId="0" xfId="2" applyNumberFormat="1" applyFont="1"/>
    <xf numFmtId="3" fontId="6" fillId="0" borderId="0" xfId="2" applyNumberFormat="1" applyFont="1" applyFill="1"/>
    <xf numFmtId="3" fontId="6" fillId="0" borderId="0" xfId="2" applyNumberFormat="1" applyFont="1"/>
    <xf numFmtId="0" fontId="6" fillId="0" borderId="0" xfId="2" applyFont="1" applyFill="1" applyAlignment="1">
      <alignment wrapText="1"/>
    </xf>
    <xf numFmtId="3" fontId="7" fillId="0" borderId="0" xfId="2" applyNumberFormat="1" applyFont="1" applyFill="1"/>
    <xf numFmtId="0" fontId="6" fillId="0" borderId="0" xfId="2" applyFont="1"/>
    <xf numFmtId="164" fontId="6" fillId="0" borderId="0" xfId="2" applyNumberFormat="1" applyFont="1" applyFill="1"/>
    <xf numFmtId="0" fontId="6" fillId="0" borderId="0" xfId="2" applyFont="1" applyAlignment="1">
      <alignment wrapText="1"/>
    </xf>
    <xf numFmtId="0" fontId="52" fillId="0" borderId="5" xfId="2" applyFont="1" applyFill="1" applyBorder="1"/>
    <xf numFmtId="2" fontId="6" fillId="0" borderId="0" xfId="2" applyNumberFormat="1" applyFont="1"/>
    <xf numFmtId="2" fontId="6" fillId="0" borderId="0" xfId="2" applyNumberFormat="1" applyFont="1" applyFill="1"/>
    <xf numFmtId="3" fontId="6" fillId="0" borderId="0" xfId="2" applyNumberFormat="1" applyFont="1" applyFill="1" applyAlignment="1">
      <alignment horizontal="left"/>
    </xf>
    <xf numFmtId="0" fontId="6" fillId="0" borderId="5" xfId="2" applyFont="1" applyFill="1" applyBorder="1"/>
    <xf numFmtId="164" fontId="7" fillId="0" borderId="0" xfId="0" applyNumberFormat="1" applyFont="1" applyBorder="1" applyAlignment="1">
      <alignment horizontal="right" vertical="center"/>
    </xf>
    <xf numFmtId="164" fontId="6" fillId="0" borderId="0" xfId="0" applyNumberFormat="1" applyFont="1" applyBorder="1" applyAlignment="1">
      <alignment horizontal="right" vertical="center"/>
    </xf>
    <xf numFmtId="164" fontId="6" fillId="0" borderId="0" xfId="0" applyNumberFormat="1" applyFont="1" applyBorder="1" applyAlignment="1">
      <alignment vertical="center"/>
    </xf>
    <xf numFmtId="164" fontId="29" fillId="0" borderId="1" xfId="0" applyNumberFormat="1" applyFont="1" applyBorder="1"/>
    <xf numFmtId="164" fontId="29" fillId="0" borderId="0" xfId="0" applyNumberFormat="1" applyFont="1" applyBorder="1" applyAlignment="1">
      <alignment horizontal="left"/>
    </xf>
    <xf numFmtId="164" fontId="29" fillId="0" borderId="5" xfId="0" applyNumberFormat="1" applyFont="1" applyBorder="1"/>
    <xf numFmtId="164" fontId="29" fillId="0" borderId="0" xfId="0" applyNumberFormat="1" applyFont="1" applyBorder="1"/>
    <xf numFmtId="4" fontId="29" fillId="0" borderId="0" xfId="0" applyNumberFormat="1" applyFont="1" applyBorder="1" applyAlignment="1">
      <alignment horizontal="right"/>
    </xf>
    <xf numFmtId="164" fontId="29" fillId="0" borderId="0" xfId="0" applyNumberFormat="1" applyFont="1" applyBorder="1" applyAlignment="1">
      <alignment horizontal="right"/>
    </xf>
    <xf numFmtId="164" fontId="29" fillId="0" borderId="0" xfId="0" applyNumberFormat="1" applyFont="1" applyAlignment="1">
      <alignment horizontal="center"/>
    </xf>
    <xf numFmtId="4" fontId="29" fillId="0" borderId="0" xfId="0" applyNumberFormat="1" applyFont="1" applyFill="1" applyAlignment="1">
      <alignment horizontal="right"/>
    </xf>
    <xf numFmtId="4" fontId="29" fillId="0" borderId="0" xfId="0" applyNumberFormat="1" applyFont="1" applyAlignment="1">
      <alignment horizontal="right"/>
    </xf>
    <xf numFmtId="164" fontId="29" fillId="0" borderId="0" xfId="0" applyNumberFormat="1" applyFont="1" applyFill="1" applyAlignment="1">
      <alignment horizontal="center"/>
    </xf>
    <xf numFmtId="3" fontId="29" fillId="0" borderId="0" xfId="0" applyNumberFormat="1" applyFont="1"/>
    <xf numFmtId="0" fontId="29" fillId="0" borderId="0" xfId="0" applyFont="1" applyAlignment="1">
      <alignment horizontal="center"/>
    </xf>
    <xf numFmtId="0" fontId="34" fillId="0" borderId="0" xfId="0" applyFont="1" applyBorder="1"/>
    <xf numFmtId="4" fontId="22" fillId="0" borderId="0" xfId="0" applyNumberFormat="1" applyFont="1" applyFill="1" applyAlignment="1">
      <alignment horizontal="center"/>
    </xf>
    <xf numFmtId="3" fontId="44" fillId="0" borderId="0" xfId="0" applyNumberFormat="1" applyFont="1"/>
    <xf numFmtId="172" fontId="0" fillId="0" borderId="0" xfId="0" applyNumberFormat="1"/>
    <xf numFmtId="4" fontId="6" fillId="0" borderId="0" xfId="0" applyNumberFormat="1" applyFont="1" applyAlignment="1">
      <alignment vertical="center"/>
    </xf>
    <xf numFmtId="0" fontId="29" fillId="0" borderId="0" xfId="0" applyFont="1" applyAlignment="1">
      <alignment horizontal="left"/>
    </xf>
    <xf numFmtId="164" fontId="29" fillId="0" borderId="8" xfId="0" applyNumberFormat="1" applyFont="1" applyBorder="1" applyAlignment="1">
      <alignment horizontal="left"/>
    </xf>
    <xf numFmtId="0" fontId="29" fillId="0" borderId="8" xfId="0" applyFont="1" applyBorder="1" applyAlignment="1">
      <alignment horizontal="left"/>
    </xf>
    <xf numFmtId="164" fontId="39" fillId="0" borderId="0" xfId="0" applyNumberFormat="1" applyFont="1"/>
    <xf numFmtId="2" fontId="29" fillId="0" borderId="0" xfId="0" applyNumberFormat="1" applyFont="1"/>
    <xf numFmtId="2" fontId="29" fillId="0" borderId="5" xfId="0" applyNumberFormat="1" applyFont="1" applyBorder="1"/>
    <xf numFmtId="0" fontId="2" fillId="0" borderId="0" xfId="0" applyFont="1" applyAlignment="1">
      <alignment horizontal="left" wrapText="1"/>
    </xf>
    <xf numFmtId="165" fontId="19" fillId="0" borderId="0" xfId="0" applyNumberFormat="1" applyFont="1"/>
    <xf numFmtId="0" fontId="19" fillId="0" borderId="0" xfId="0" applyFont="1" applyFill="1" applyAlignment="1"/>
    <xf numFmtId="164" fontId="19" fillId="0" borderId="0" xfId="0" applyNumberFormat="1" applyFont="1" applyFill="1" applyBorder="1" applyAlignment="1">
      <alignment horizontal="right"/>
    </xf>
    <xf numFmtId="164" fontId="19" fillId="0" borderId="0" xfId="0" applyNumberFormat="1" applyFont="1" applyBorder="1" applyAlignment="1"/>
    <xf numFmtId="3" fontId="19" fillId="0" borderId="0" xfId="0" applyNumberFormat="1" applyFont="1" applyFill="1" applyAlignment="1">
      <alignment horizontal="center"/>
    </xf>
    <xf numFmtId="3" fontId="19" fillId="0" borderId="0" xfId="0" applyNumberFormat="1" applyFont="1" applyAlignment="1">
      <alignment horizontal="center"/>
    </xf>
    <xf numFmtId="3" fontId="19" fillId="0" borderId="1" xfId="0" applyNumberFormat="1" applyFont="1" applyFill="1" applyBorder="1" applyAlignment="1">
      <alignment horizontal="center"/>
    </xf>
    <xf numFmtId="3" fontId="19" fillId="0" borderId="1" xfId="0" applyNumberFormat="1" applyFont="1" applyBorder="1" applyAlignment="1">
      <alignment horizontal="center"/>
    </xf>
    <xf numFmtId="3" fontId="19" fillId="0" borderId="8" xfId="0" applyNumberFormat="1" applyFont="1" applyFill="1" applyBorder="1" applyAlignment="1">
      <alignment horizontal="center"/>
    </xf>
    <xf numFmtId="3" fontId="19" fillId="0" borderId="8" xfId="0" applyNumberFormat="1" applyFont="1" applyBorder="1" applyAlignment="1">
      <alignment horizontal="center"/>
    </xf>
    <xf numFmtId="3" fontId="19" fillId="0" borderId="5" xfId="0" applyNumberFormat="1" applyFont="1" applyFill="1" applyBorder="1" applyAlignment="1">
      <alignment horizontal="center"/>
    </xf>
    <xf numFmtId="3" fontId="19" fillId="0" borderId="5" xfId="0" applyNumberFormat="1" applyFont="1" applyBorder="1" applyAlignment="1">
      <alignment horizontal="center"/>
    </xf>
    <xf numFmtId="3" fontId="19" fillId="0" borderId="0" xfId="0" applyNumberFormat="1" applyFont="1" applyFill="1" applyBorder="1" applyAlignment="1">
      <alignment horizontal="center"/>
    </xf>
    <xf numFmtId="3" fontId="19" fillId="0" borderId="0" xfId="0" applyNumberFormat="1" applyFont="1" applyBorder="1" applyAlignment="1">
      <alignment horizontal="center"/>
    </xf>
    <xf numFmtId="3" fontId="19" fillId="0" borderId="0" xfId="0" applyNumberFormat="1" applyFont="1" applyFill="1" applyBorder="1" applyAlignment="1">
      <alignment horizontal="right"/>
    </xf>
    <xf numFmtId="3" fontId="19" fillId="0" borderId="0" xfId="0" applyNumberFormat="1" applyFont="1" applyBorder="1" applyAlignment="1">
      <alignment horizontal="right"/>
    </xf>
    <xf numFmtId="3" fontId="19" fillId="0" borderId="0" xfId="0" applyNumberFormat="1" applyFont="1" applyAlignment="1" applyProtection="1">
      <alignment horizontal="right"/>
      <protection locked="0"/>
    </xf>
    <xf numFmtId="0" fontId="19" fillId="0" borderId="0" xfId="0" applyFont="1" applyAlignment="1">
      <alignment horizontal="left" indent="1"/>
    </xf>
    <xf numFmtId="4" fontId="19" fillId="0" borderId="1" xfId="0" applyNumberFormat="1" applyFont="1" applyBorder="1" applyAlignment="1">
      <alignment horizontal="center"/>
    </xf>
    <xf numFmtId="4" fontId="19" fillId="0" borderId="5" xfId="0" applyNumberFormat="1" applyFont="1" applyBorder="1" applyAlignment="1">
      <alignment horizontal="center"/>
    </xf>
    <xf numFmtId="0" fontId="19" fillId="0" borderId="0" xfId="0" applyFont="1" applyAlignment="1">
      <alignment horizontal="left" indent="2"/>
    </xf>
    <xf numFmtId="4" fontId="7" fillId="0" borderId="0" xfId="0" applyNumberFormat="1" applyFont="1" applyFill="1" applyAlignment="1">
      <alignment horizontal="right"/>
    </xf>
    <xf numFmtId="169" fontId="7" fillId="0" borderId="0" xfId="0" applyNumberFormat="1" applyFont="1" applyAlignment="1">
      <alignment horizontal="right"/>
    </xf>
    <xf numFmtId="164" fontId="19" fillId="0" borderId="1" xfId="0" applyNumberFormat="1" applyFont="1" applyFill="1" applyBorder="1" applyAlignment="1">
      <alignment horizontal="right"/>
    </xf>
    <xf numFmtId="3" fontId="29" fillId="0" borderId="0" xfId="0" applyNumberFormat="1" applyFont="1" applyBorder="1" applyAlignment="1">
      <alignment horizontal="center"/>
    </xf>
    <xf numFmtId="0" fontId="2" fillId="0" borderId="0" xfId="0" applyFont="1" applyAlignment="1">
      <alignment horizontal="left" vertical="top"/>
    </xf>
    <xf numFmtId="4" fontId="7" fillId="0" borderId="3" xfId="0" applyNumberFormat="1" applyFont="1" applyFill="1" applyBorder="1" applyAlignment="1">
      <alignment horizontal="center"/>
    </xf>
    <xf numFmtId="164" fontId="19" fillId="0" borderId="10" xfId="0" applyNumberFormat="1" applyFont="1" applyBorder="1" applyAlignment="1">
      <alignment horizontal="center"/>
    </xf>
    <xf numFmtId="164" fontId="19" fillId="0" borderId="0" xfId="0" applyNumberFormat="1" applyFont="1" applyBorder="1" applyAlignment="1">
      <alignment horizontal="center"/>
    </xf>
    <xf numFmtId="3" fontId="6" fillId="0" borderId="0" xfId="0" applyNumberFormat="1" applyFont="1" applyFill="1" applyBorder="1"/>
    <xf numFmtId="0" fontId="10" fillId="0" borderId="0" xfId="0" applyFont="1" applyFill="1" applyBorder="1"/>
    <xf numFmtId="164"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0" fontId="9" fillId="0" borderId="0" xfId="0" applyFont="1" applyFill="1" applyBorder="1" applyAlignment="1">
      <alignment horizontal="center"/>
    </xf>
    <xf numFmtId="164" fontId="19" fillId="0" borderId="0" xfId="0" applyNumberFormat="1" applyFont="1" applyBorder="1" applyAlignment="1">
      <alignment horizontal="center"/>
    </xf>
    <xf numFmtId="0" fontId="25" fillId="0" borderId="0" xfId="0" applyFont="1" applyFill="1" applyBorder="1" applyAlignment="1"/>
    <xf numFmtId="0" fontId="25" fillId="0" borderId="0" xfId="0" applyFont="1" applyBorder="1" applyAlignment="1"/>
    <xf numFmtId="0" fontId="25" fillId="0" borderId="0" xfId="0" applyFont="1" applyBorder="1"/>
    <xf numFmtId="0" fontId="25" fillId="0" borderId="0" xfId="0" applyFont="1" applyFill="1" applyBorder="1"/>
    <xf numFmtId="0" fontId="19" fillId="0" borderId="0" xfId="0" applyFont="1" applyBorder="1" applyAlignment="1">
      <alignment wrapText="1"/>
    </xf>
    <xf numFmtId="4" fontId="7" fillId="0" borderId="3" xfId="0" applyNumberFormat="1" applyFont="1" applyFill="1" applyBorder="1" applyAlignment="1">
      <alignment horizontal="center"/>
    </xf>
    <xf numFmtId="0" fontId="9" fillId="0" borderId="0" xfId="0" applyFont="1" applyFill="1" applyBorder="1" applyAlignment="1">
      <alignment horizontal="center"/>
    </xf>
    <xf numFmtId="4" fontId="25" fillId="0" borderId="0" xfId="0" applyNumberFormat="1" applyFont="1" applyBorder="1"/>
    <xf numFmtId="4" fontId="25" fillId="0" borderId="0" xfId="0" applyNumberFormat="1" applyFont="1" applyFill="1" applyBorder="1"/>
    <xf numFmtId="0" fontId="25" fillId="0" borderId="0" xfId="0" applyFont="1"/>
    <xf numFmtId="4" fontId="53" fillId="0" borderId="0" xfId="0" applyNumberFormat="1" applyFont="1"/>
    <xf numFmtId="10" fontId="27" fillId="0" borderId="0" xfId="0" applyNumberFormat="1" applyFont="1" applyFill="1" applyBorder="1" applyAlignment="1" applyProtection="1">
      <alignment horizontal="right"/>
      <protection locked="0"/>
    </xf>
    <xf numFmtId="4" fontId="41" fillId="0" borderId="0" xfId="0" applyNumberFormat="1" applyFont="1"/>
    <xf numFmtId="0" fontId="0" fillId="0" borderId="0" xfId="0" applyFont="1"/>
    <xf numFmtId="0" fontId="9" fillId="3" borderId="0" xfId="0" applyFont="1" applyFill="1" applyBorder="1"/>
    <xf numFmtId="0" fontId="6" fillId="4" borderId="0" xfId="0" applyFont="1" applyFill="1"/>
    <xf numFmtId="0" fontId="54" fillId="5" borderId="0" xfId="0" applyFont="1" applyFill="1" applyBorder="1" applyAlignment="1" applyProtection="1">
      <alignment horizontal="left" vertical="center" wrapText="1"/>
      <protection locked="0"/>
    </xf>
    <xf numFmtId="43" fontId="19" fillId="0" borderId="0" xfId="1" applyFont="1" applyFill="1" applyBorder="1" applyAlignment="1">
      <alignment horizontal="center"/>
    </xf>
    <xf numFmtId="4" fontId="6" fillId="6" borderId="0" xfId="2" applyNumberFormat="1" applyFont="1" applyFill="1" applyAlignment="1" applyProtection="1">
      <alignment vertical="top"/>
      <protection locked="0"/>
    </xf>
    <xf numFmtId="4" fontId="19" fillId="6" borderId="0" xfId="0" applyNumberFormat="1" applyFont="1" applyFill="1"/>
    <xf numFmtId="4" fontId="19" fillId="0" borderId="1" xfId="0" applyNumberFormat="1" applyFont="1" applyBorder="1" applyAlignment="1">
      <alignment horizontal="right"/>
    </xf>
    <xf numFmtId="49" fontId="19" fillId="0" borderId="0" xfId="0" applyNumberFormat="1" applyFont="1" applyBorder="1" applyAlignment="1">
      <alignment horizontal="right"/>
    </xf>
    <xf numFmtId="4" fontId="7" fillId="0" borderId="3" xfId="0" applyNumberFormat="1" applyFont="1" applyFill="1" applyBorder="1" applyAlignment="1">
      <alignment horizontal="center"/>
    </xf>
    <xf numFmtId="164" fontId="6" fillId="0" borderId="0"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6" fillId="0" borderId="0" xfId="0" applyFont="1" applyBorder="1" applyAlignment="1">
      <alignment horizontal="center"/>
    </xf>
    <xf numFmtId="164" fontId="19" fillId="0" borderId="0" xfId="0" applyNumberFormat="1" applyFont="1" applyBorder="1" applyAlignment="1">
      <alignment horizontal="center"/>
    </xf>
    <xf numFmtId="165" fontId="9" fillId="0" borderId="0" xfId="0" applyNumberFormat="1" applyFont="1" applyFill="1" applyAlignment="1">
      <alignment horizontal="center"/>
    </xf>
    <xf numFmtId="4" fontId="9" fillId="0" borderId="0" xfId="0" applyNumberFormat="1" applyFont="1" applyFill="1" applyAlignment="1">
      <alignment horizontal="center"/>
    </xf>
    <xf numFmtId="0" fontId="6" fillId="0" borderId="1" xfId="0" applyFont="1" applyFill="1" applyBorder="1" applyAlignment="1">
      <alignment horizontal="left"/>
    </xf>
    <xf numFmtId="0" fontId="9" fillId="0" borderId="1" xfId="0" applyFont="1" applyFill="1" applyBorder="1" applyAlignment="1">
      <alignment horizontal="center"/>
    </xf>
    <xf numFmtId="4" fontId="9" fillId="0" borderId="1" xfId="0" applyNumberFormat="1" applyFont="1" applyFill="1" applyBorder="1" applyAlignment="1">
      <alignment horizontal="center"/>
    </xf>
    <xf numFmtId="0" fontId="6" fillId="0" borderId="0" xfId="0" applyFont="1" applyFill="1" applyBorder="1" applyAlignment="1">
      <alignment horizontal="left"/>
    </xf>
    <xf numFmtId="0" fontId="9" fillId="0" borderId="0" xfId="0" applyFont="1" applyFill="1" applyBorder="1" applyAlignment="1"/>
    <xf numFmtId="4" fontId="9" fillId="0" borderId="0" xfId="0" applyNumberFormat="1" applyFont="1" applyFill="1" applyBorder="1" applyAlignment="1">
      <alignment horizontal="center"/>
    </xf>
    <xf numFmtId="0" fontId="6" fillId="0" borderId="5" xfId="0" applyFont="1" applyFill="1" applyBorder="1" applyAlignment="1">
      <alignment horizontal="left"/>
    </xf>
    <xf numFmtId="0" fontId="9" fillId="0" borderId="5" xfId="0" applyFont="1" applyFill="1" applyBorder="1" applyAlignment="1">
      <alignment horizontal="center"/>
    </xf>
    <xf numFmtId="4" fontId="9" fillId="0" borderId="5" xfId="0" applyNumberFormat="1" applyFont="1" applyFill="1" applyBorder="1" applyAlignment="1">
      <alignment horizontal="center"/>
    </xf>
    <xf numFmtId="1" fontId="30" fillId="0" borderId="0" xfId="0" applyNumberFormat="1" applyFont="1" applyAlignment="1">
      <alignment horizontal="center"/>
    </xf>
    <xf numFmtId="165" fontId="9" fillId="0" borderId="0" xfId="0" applyNumberFormat="1" applyFont="1" applyFill="1" applyAlignment="1">
      <alignment horizontal="right"/>
    </xf>
    <xf numFmtId="0" fontId="9" fillId="0" borderId="0" xfId="0" applyFont="1" applyFill="1" applyAlignment="1">
      <alignment horizontal="right"/>
    </xf>
    <xf numFmtId="0" fontId="6" fillId="0" borderId="1" xfId="0" applyFont="1" applyBorder="1" applyAlignment="1">
      <alignment horizontal="left"/>
    </xf>
    <xf numFmtId="0" fontId="9" fillId="0" borderId="1" xfId="0" applyFont="1" applyFill="1" applyBorder="1" applyAlignment="1">
      <alignment horizontal="right"/>
    </xf>
    <xf numFmtId="4" fontId="9" fillId="0" borderId="1" xfId="0" applyNumberFormat="1" applyFont="1" applyFill="1" applyBorder="1" applyAlignment="1">
      <alignment horizontal="right"/>
    </xf>
    <xf numFmtId="0" fontId="9" fillId="0" borderId="0" xfId="0" applyFont="1" applyBorder="1" applyAlignment="1"/>
    <xf numFmtId="0" fontId="9" fillId="0" borderId="0" xfId="0" applyFont="1" applyBorder="1" applyAlignment="1">
      <alignment horizontal="center"/>
    </xf>
    <xf numFmtId="4" fontId="9" fillId="0" borderId="0" xfId="0" applyNumberFormat="1" applyFont="1" applyBorder="1" applyAlignment="1">
      <alignment horizontal="center"/>
    </xf>
    <xf numFmtId="0" fontId="30" fillId="0" borderId="0" xfId="0" applyFont="1" applyAlignment="1">
      <alignment horizontal="center"/>
    </xf>
    <xf numFmtId="0" fontId="6" fillId="0" borderId="5" xfId="0" applyFont="1" applyBorder="1" applyAlignment="1">
      <alignment horizontal="left"/>
    </xf>
    <xf numFmtId="0" fontId="9" fillId="0" borderId="5" xfId="0" applyFont="1" applyFill="1" applyBorder="1" applyAlignment="1">
      <alignment horizontal="right"/>
    </xf>
    <xf numFmtId="4" fontId="9" fillId="0" borderId="5" xfId="0" applyNumberFormat="1" applyFont="1" applyFill="1" applyBorder="1" applyAlignment="1">
      <alignment horizontal="right"/>
    </xf>
    <xf numFmtId="1" fontId="9" fillId="0" borderId="0" xfId="0" applyNumberFormat="1" applyFont="1" applyFill="1" applyAlignment="1">
      <alignment horizontal="right"/>
    </xf>
    <xf numFmtId="4" fontId="27" fillId="0" borderId="0" xfId="0" applyNumberFormat="1" applyFont="1" applyFill="1" applyAlignment="1">
      <alignment horizontal="right"/>
    </xf>
    <xf numFmtId="4" fontId="30" fillId="0" borderId="0" xfId="0" applyNumberFormat="1" applyFont="1"/>
    <xf numFmtId="4" fontId="30" fillId="0" borderId="0" xfId="0" applyNumberFormat="1" applyFont="1" applyFill="1"/>
    <xf numFmtId="3" fontId="25" fillId="0" borderId="0" xfId="38" applyNumberFormat="1" applyFont="1" applyBorder="1" applyAlignment="1">
      <alignment horizontal="right" vertical="top"/>
    </xf>
    <xf numFmtId="3" fontId="6" fillId="0" borderId="0" xfId="0" applyNumberFormat="1" applyFont="1" applyBorder="1" applyAlignment="1"/>
    <xf numFmtId="3" fontId="25" fillId="0" borderId="0" xfId="39" applyNumberFormat="1" applyFont="1" applyBorder="1" applyAlignment="1">
      <alignment horizontal="right" vertical="top"/>
    </xf>
    <xf numFmtId="0" fontId="30" fillId="0" borderId="1" xfId="0" applyFont="1" applyBorder="1"/>
    <xf numFmtId="0" fontId="30" fillId="0" borderId="5" xfId="0" applyFont="1" applyBorder="1"/>
    <xf numFmtId="0" fontId="30" fillId="0" borderId="0" xfId="0" applyFont="1" applyFill="1"/>
    <xf numFmtId="166" fontId="25" fillId="0" borderId="0" xfId="38" applyNumberFormat="1" applyFont="1" applyAlignment="1">
      <alignment horizontal="right" vertical="top"/>
    </xf>
    <xf numFmtId="166" fontId="25" fillId="0" borderId="0" xfId="38" applyNumberFormat="1" applyFont="1" applyBorder="1" applyAlignment="1">
      <alignment horizontal="right" vertical="top"/>
    </xf>
    <xf numFmtId="166" fontId="25" fillId="0" borderId="0" xfId="39" applyNumberFormat="1" applyFont="1" applyBorder="1" applyAlignment="1">
      <alignment horizontal="right" vertical="top"/>
    </xf>
    <xf numFmtId="3" fontId="25" fillId="0" borderId="0" xfId="40" applyNumberFormat="1" applyFont="1" applyBorder="1" applyAlignment="1">
      <alignment horizontal="right" vertical="top"/>
    </xf>
    <xf numFmtId="3" fontId="25" fillId="0" borderId="0" xfId="41" applyNumberFormat="1" applyFont="1" applyBorder="1" applyAlignment="1">
      <alignment horizontal="right" vertical="top"/>
    </xf>
    <xf numFmtId="166" fontId="25" fillId="0" borderId="0" xfId="40" applyNumberFormat="1" applyFont="1" applyBorder="1" applyAlignment="1">
      <alignment horizontal="right" vertical="top"/>
    </xf>
    <xf numFmtId="0" fontId="6" fillId="0" borderId="0" xfId="0" applyFont="1" applyBorder="1" applyAlignment="1">
      <alignment horizontal="center"/>
    </xf>
    <xf numFmtId="164" fontId="19" fillId="0" borderId="0" xfId="0" applyNumberFormat="1" applyFont="1" applyBorder="1" applyAlignment="1">
      <alignment horizontal="center"/>
    </xf>
    <xf numFmtId="166" fontId="25" fillId="0" borderId="0" xfId="41" applyNumberFormat="1" applyFont="1" applyBorder="1" applyAlignment="1">
      <alignment horizontal="right" vertical="top"/>
    </xf>
    <xf numFmtId="166" fontId="7" fillId="0" borderId="0" xfId="0" applyNumberFormat="1" applyFont="1" applyAlignment="1">
      <alignment horizontal="right"/>
    </xf>
    <xf numFmtId="166" fontId="56" fillId="0" borderId="0" xfId="15" applyNumberFormat="1" applyFont="1" applyFill="1" applyBorder="1" applyAlignment="1">
      <alignment horizontal="right" vertical="top"/>
    </xf>
    <xf numFmtId="166" fontId="56" fillId="0" borderId="0" xfId="14" applyNumberFormat="1" applyFont="1" applyFill="1" applyBorder="1" applyAlignment="1">
      <alignment horizontal="right" vertical="top"/>
    </xf>
    <xf numFmtId="3" fontId="56" fillId="0" borderId="0" xfId="17" applyNumberFormat="1" applyFont="1" applyFill="1" applyBorder="1" applyAlignment="1">
      <alignment vertical="top"/>
    </xf>
    <xf numFmtId="3" fontId="56" fillId="0" borderId="0" xfId="13" applyNumberFormat="1" applyFont="1" applyFill="1" applyBorder="1" applyAlignment="1">
      <alignment vertical="top"/>
    </xf>
    <xf numFmtId="3" fontId="56" fillId="0" borderId="0" xfId="14" applyNumberFormat="1" applyFont="1" applyFill="1" applyBorder="1" applyAlignment="1">
      <alignment vertical="top"/>
    </xf>
    <xf numFmtId="3" fontId="25" fillId="0" borderId="0" xfId="41" applyNumberFormat="1" applyFont="1" applyFill="1" applyBorder="1" applyAlignment="1">
      <alignment horizontal="right" vertical="top"/>
    </xf>
    <xf numFmtId="166" fontId="48" fillId="0" borderId="0" xfId="24" applyNumberFormat="1" applyFont="1" applyFill="1" applyBorder="1" applyAlignment="1">
      <alignment horizontal="right" vertical="center"/>
    </xf>
    <xf numFmtId="3" fontId="25" fillId="0" borderId="0" xfId="40" applyNumberFormat="1" applyFont="1" applyFill="1" applyBorder="1" applyAlignment="1">
      <alignment horizontal="right" vertical="top"/>
    </xf>
    <xf numFmtId="3" fontId="25" fillId="0" borderId="0" xfId="40" applyNumberFormat="1" applyFont="1" applyBorder="1" applyAlignment="1">
      <alignment horizontal="right"/>
    </xf>
    <xf numFmtId="3" fontId="25" fillId="0" borderId="0" xfId="41" applyNumberFormat="1" applyFont="1" applyBorder="1" applyAlignment="1">
      <alignment horizontal="right"/>
    </xf>
    <xf numFmtId="2" fontId="19" fillId="0" borderId="0" xfId="0" applyNumberFormat="1" applyFont="1" applyAlignment="1"/>
    <xf numFmtId="166" fontId="25" fillId="0" borderId="0" xfId="40" applyNumberFormat="1" applyFont="1" applyBorder="1" applyAlignment="1">
      <alignment horizontal="right"/>
    </xf>
    <xf numFmtId="166" fontId="25" fillId="0" borderId="0" xfId="41" applyNumberFormat="1" applyFont="1" applyBorder="1" applyAlignment="1">
      <alignment horizontal="right"/>
    </xf>
    <xf numFmtId="0" fontId="6" fillId="0" borderId="0" xfId="0" applyFont="1" applyBorder="1" applyAlignment="1">
      <alignment horizontal="right" vertical="top"/>
    </xf>
    <xf numFmtId="3" fontId="7" fillId="0" borderId="0" xfId="0" applyNumberFormat="1" applyFont="1" applyFill="1" applyAlignment="1">
      <alignment horizontal="center"/>
    </xf>
    <xf numFmtId="168" fontId="7" fillId="0" borderId="0" xfId="0" applyNumberFormat="1" applyFont="1" applyFill="1" applyBorder="1" applyAlignment="1">
      <alignment horizontal="center"/>
    </xf>
    <xf numFmtId="0" fontId="25" fillId="0" borderId="0" xfId="0" applyFont="1" applyAlignment="1">
      <alignment vertical="center"/>
    </xf>
    <xf numFmtId="0" fontId="48" fillId="0" borderId="0" xfId="0" applyFont="1" applyAlignment="1">
      <alignment vertical="center"/>
    </xf>
    <xf numFmtId="1" fontId="7" fillId="0" borderId="0" xfId="0" applyNumberFormat="1" applyFont="1" applyFill="1"/>
    <xf numFmtId="0" fontId="25" fillId="0" borderId="0" xfId="0" applyFont="1" applyFill="1" applyAlignment="1">
      <alignment horizontal="right" vertical="center"/>
    </xf>
    <xf numFmtId="0" fontId="48" fillId="0" borderId="0" xfId="0" applyFont="1" applyFill="1" applyAlignment="1">
      <alignment horizontal="right" vertical="center"/>
    </xf>
    <xf numFmtId="1" fontId="25" fillId="0" borderId="0" xfId="0" applyNumberFormat="1" applyFont="1" applyFill="1" applyAlignment="1"/>
    <xf numFmtId="1" fontId="25" fillId="0" borderId="0" xfId="0" applyNumberFormat="1" applyFont="1" applyFill="1"/>
    <xf numFmtId="1" fontId="25" fillId="0" borderId="0" xfId="0" applyNumberFormat="1" applyFont="1" applyFill="1" applyAlignment="1">
      <alignment horizontal="right" wrapText="1"/>
    </xf>
    <xf numFmtId="0" fontId="57" fillId="0" borderId="0" xfId="0" applyFont="1" applyFill="1" applyAlignment="1">
      <alignment horizontal="center" vertical="center"/>
    </xf>
    <xf numFmtId="0" fontId="58" fillId="0" borderId="0" xfId="0" applyFont="1" applyFill="1" applyAlignment="1">
      <alignment horizontal="center" vertical="center"/>
    </xf>
    <xf numFmtId="0" fontId="57" fillId="0" borderId="0" xfId="0" applyFont="1" applyFill="1" applyAlignment="1">
      <alignment horizontal="right" vertical="center"/>
    </xf>
    <xf numFmtId="0" fontId="57" fillId="0" borderId="0" xfId="0" applyFont="1" applyFill="1" applyAlignment="1">
      <alignment horizontal="right"/>
    </xf>
    <xf numFmtId="0" fontId="19" fillId="0" borderId="0" xfId="0" applyFont="1" applyFill="1" applyAlignment="1">
      <alignment horizontal="right"/>
    </xf>
    <xf numFmtId="0" fontId="0" fillId="0" borderId="0" xfId="0" applyFont="1" applyFill="1" applyAlignment="1">
      <alignment horizontal="right"/>
    </xf>
    <xf numFmtId="0" fontId="57" fillId="0" borderId="0" xfId="0" applyFont="1" applyFill="1" applyAlignment="1">
      <alignment horizontal="left" vertical="center"/>
    </xf>
    <xf numFmtId="3" fontId="39" fillId="0" borderId="0" xfId="0" applyNumberFormat="1" applyFont="1"/>
    <xf numFmtId="2" fontId="39" fillId="0" borderId="0" xfId="0" applyNumberFormat="1" applyFont="1"/>
    <xf numFmtId="0" fontId="19" fillId="0" borderId="0" xfId="0" applyFont="1" applyBorder="1" applyAlignment="1">
      <alignment vertical="center" wrapText="1"/>
    </xf>
    <xf numFmtId="0" fontId="19" fillId="0" borderId="0" xfId="0" applyFont="1" applyAlignment="1">
      <alignment vertical="center"/>
    </xf>
    <xf numFmtId="3" fontId="19" fillId="0" borderId="18" xfId="0" applyNumberFormat="1" applyFont="1" applyBorder="1" applyAlignment="1">
      <alignment horizontal="right"/>
    </xf>
    <xf numFmtId="0" fontId="19" fillId="0" borderId="18" xfId="0" applyFont="1" applyBorder="1" applyAlignment="1">
      <alignment horizontal="right"/>
    </xf>
    <xf numFmtId="0" fontId="21" fillId="0" borderId="0" xfId="0" applyFont="1" applyBorder="1" applyAlignment="1">
      <alignment horizontal="left"/>
    </xf>
    <xf numFmtId="3" fontId="0" fillId="0" borderId="0" xfId="0" applyNumberFormat="1" applyFont="1" applyFill="1" applyBorder="1" applyAlignment="1">
      <alignment horizontal="right"/>
    </xf>
    <xf numFmtId="3" fontId="0" fillId="0" borderId="0" xfId="0" applyNumberFormat="1" applyFont="1" applyFill="1" applyBorder="1" applyAlignment="1">
      <alignment horizontal="right" vertical="top" wrapText="1"/>
    </xf>
    <xf numFmtId="0" fontId="0" fillId="0" borderId="0" xfId="0" applyFont="1" applyFill="1" applyBorder="1" applyAlignment="1">
      <alignment horizontal="right" vertical="top" wrapText="1"/>
    </xf>
    <xf numFmtId="0" fontId="0" fillId="0" borderId="0" xfId="0" applyFont="1" applyAlignment="1">
      <alignment horizontal="right"/>
    </xf>
    <xf numFmtId="0" fontId="0" fillId="0" borderId="0" xfId="0" applyFont="1" applyFill="1" applyBorder="1" applyAlignment="1">
      <alignment horizontal="right" vertical="center" wrapText="1"/>
    </xf>
    <xf numFmtId="0" fontId="38" fillId="0" borderId="0" xfId="0" applyFont="1" applyFill="1" applyBorder="1" applyAlignment="1">
      <alignment vertical="center" wrapText="1"/>
    </xf>
    <xf numFmtId="3" fontId="6" fillId="0" borderId="0" xfId="0" applyNumberFormat="1" applyFont="1" applyFill="1" applyBorder="1" applyAlignment="1" applyProtection="1">
      <alignment horizontal="right"/>
    </xf>
    <xf numFmtId="0" fontId="9" fillId="0" borderId="0" xfId="0" applyFont="1" applyBorder="1" applyAlignment="1">
      <alignment horizontal="right"/>
    </xf>
    <xf numFmtId="3" fontId="6" fillId="0" borderId="0" xfId="0" applyNumberFormat="1" applyFont="1" applyBorder="1" applyAlignment="1" applyProtection="1">
      <alignment horizontal="right"/>
    </xf>
    <xf numFmtId="0" fontId="6" fillId="0" borderId="0" xfId="0" applyFont="1" applyFill="1" applyBorder="1" applyAlignment="1">
      <alignment wrapText="1"/>
    </xf>
    <xf numFmtId="0" fontId="6" fillId="0" borderId="0" xfId="0" applyFont="1" applyBorder="1" applyAlignment="1">
      <alignment wrapText="1"/>
    </xf>
    <xf numFmtId="0" fontId="6" fillId="0" borderId="0" xfId="0" applyFont="1" applyBorder="1" applyAlignment="1">
      <alignment vertical="top" wrapText="1"/>
    </xf>
    <xf numFmtId="0" fontId="6" fillId="0" borderId="0" xfId="0" applyFont="1" applyFill="1" applyAlignment="1">
      <alignment vertical="center"/>
    </xf>
    <xf numFmtId="2" fontId="29" fillId="0" borderId="0" xfId="0" applyNumberFormat="1" applyFont="1" applyBorder="1"/>
    <xf numFmtId="2" fontId="29" fillId="0" borderId="2" xfId="0" applyNumberFormat="1" applyFont="1" applyBorder="1"/>
    <xf numFmtId="0" fontId="29" fillId="0" borderId="0" xfId="0" applyFont="1" applyFill="1" applyBorder="1"/>
    <xf numFmtId="1" fontId="29" fillId="0" borderId="0" xfId="0" applyNumberFormat="1" applyFont="1" applyBorder="1"/>
    <xf numFmtId="0" fontId="7" fillId="0" borderId="0" xfId="0" applyNumberFormat="1" applyFont="1" applyFill="1" applyAlignment="1">
      <alignment horizontal="right"/>
    </xf>
    <xf numFmtId="4" fontId="29" fillId="0" borderId="0" xfId="0" applyNumberFormat="1" applyFont="1" applyBorder="1" applyAlignment="1">
      <alignment horizontal="center"/>
    </xf>
    <xf numFmtId="2" fontId="0" fillId="0" borderId="0" xfId="0" applyNumberFormat="1" applyFill="1" applyAlignment="1">
      <alignment horizontal="center"/>
    </xf>
    <xf numFmtId="164" fontId="0" fillId="0" borderId="0" xfId="0" applyNumberFormat="1" applyFill="1" applyAlignment="1">
      <alignment horizontal="center"/>
    </xf>
    <xf numFmtId="0" fontId="55" fillId="0" borderId="0" xfId="0" applyNumberFormat="1" applyFont="1" applyFill="1" applyAlignment="1">
      <alignment horizontal="center"/>
    </xf>
    <xf numFmtId="2" fontId="55" fillId="0" borderId="0" xfId="0" applyNumberFormat="1" applyFont="1" applyFill="1" applyAlignment="1">
      <alignment horizontal="center"/>
    </xf>
    <xf numFmtId="164" fontId="55" fillId="0" borderId="0" xfId="0" applyNumberFormat="1" applyFont="1" applyFill="1" applyAlignment="1">
      <alignment horizontal="center"/>
    </xf>
    <xf numFmtId="0" fontId="55" fillId="0" borderId="0" xfId="0" applyFont="1" applyFill="1" applyAlignment="1">
      <alignment horizontal="center"/>
    </xf>
    <xf numFmtId="164" fontId="19" fillId="0" borderId="0" xfId="0" applyNumberFormat="1" applyFont="1" applyBorder="1" applyAlignment="1">
      <alignment horizontal="center"/>
    </xf>
    <xf numFmtId="3" fontId="29" fillId="0" borderId="1" xfId="0" applyNumberFormat="1" applyFont="1" applyBorder="1"/>
    <xf numFmtId="4" fontId="29" fillId="0" borderId="1" xfId="0" applyNumberFormat="1" applyFont="1" applyBorder="1"/>
    <xf numFmtId="3" fontId="29" fillId="0" borderId="5" xfId="0" applyNumberFormat="1" applyFont="1" applyBorder="1"/>
    <xf numFmtId="4" fontId="29" fillId="0" borderId="5" xfId="0" applyNumberFormat="1" applyFont="1" applyBorder="1"/>
    <xf numFmtId="3" fontId="29" fillId="0" borderId="0" xfId="0" applyNumberFormat="1" applyFont="1" applyFill="1" applyBorder="1"/>
    <xf numFmtId="4" fontId="29" fillId="0" borderId="0" xfId="0" applyNumberFormat="1" applyFont="1" applyFill="1" applyBorder="1"/>
    <xf numFmtId="4" fontId="39" fillId="0" borderId="0" xfId="0" applyNumberFormat="1" applyFont="1" applyFill="1" applyBorder="1"/>
    <xf numFmtId="0" fontId="39" fillId="0" borderId="0" xfId="0" applyFont="1" applyFill="1" applyBorder="1"/>
    <xf numFmtId="0" fontId="25" fillId="0" borderId="0" xfId="0" applyFont="1" applyBorder="1" applyAlignment="1">
      <alignment vertical="center" wrapText="1"/>
    </xf>
    <xf numFmtId="0" fontId="25" fillId="0" borderId="0" xfId="0" applyFont="1" applyBorder="1" applyAlignment="1">
      <alignment horizontal="right" wrapText="1"/>
    </xf>
    <xf numFmtId="2" fontId="19" fillId="0" borderId="0" xfId="0" applyNumberFormat="1" applyFont="1" applyBorder="1" applyAlignment="1"/>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0" xfId="0" applyNumberFormat="1" applyFont="1" applyBorder="1" applyAlignment="1">
      <alignment horizontal="center"/>
    </xf>
    <xf numFmtId="3" fontId="9" fillId="0" borderId="0" xfId="42" applyNumberFormat="1" applyFont="1" applyFill="1" applyBorder="1" applyAlignment="1">
      <alignment horizontal="right" wrapText="1"/>
    </xf>
    <xf numFmtId="4" fontId="9" fillId="0" borderId="0" xfId="42" applyNumberFormat="1" applyFont="1" applyFill="1" applyBorder="1" applyAlignment="1">
      <alignment horizontal="right" vertical="center"/>
    </xf>
    <xf numFmtId="166" fontId="9" fillId="0" borderId="0" xfId="42" applyNumberFormat="1" applyFont="1" applyFill="1" applyBorder="1" applyAlignment="1">
      <alignment horizontal="right" vertical="center"/>
    </xf>
    <xf numFmtId="4" fontId="9" fillId="0" borderId="0" xfId="42" applyNumberFormat="1" applyFont="1" applyFill="1" applyBorder="1" applyAlignment="1">
      <alignment horizontal="right"/>
    </xf>
    <xf numFmtId="166" fontId="9" fillId="0" borderId="0" xfId="42" applyNumberFormat="1" applyFont="1" applyFill="1" applyBorder="1" applyAlignment="1">
      <alignment horizontal="right"/>
    </xf>
    <xf numFmtId="0" fontId="9" fillId="0" borderId="0" xfId="42" applyFont="1" applyFill="1" applyBorder="1" applyAlignment="1">
      <alignment wrapText="1"/>
    </xf>
    <xf numFmtId="166" fontId="9" fillId="0" borderId="0" xfId="43" applyNumberFormat="1" applyFont="1" applyFill="1" applyBorder="1" applyAlignment="1">
      <alignment horizontal="right"/>
    </xf>
    <xf numFmtId="0" fontId="25" fillId="0" borderId="0" xfId="31" applyFont="1" applyFill="1" applyBorder="1" applyAlignment="1">
      <alignment horizontal="left"/>
    </xf>
    <xf numFmtId="0" fontId="9" fillId="0" borderId="0" xfId="44" applyFont="1" applyFill="1" applyBorder="1" applyAlignment="1">
      <alignment horizontal="left" wrapText="1"/>
    </xf>
    <xf numFmtId="3" fontId="9" fillId="0" borderId="0" xfId="45" applyNumberFormat="1" applyFont="1" applyFill="1" applyBorder="1" applyAlignment="1">
      <alignment horizontal="right" wrapText="1"/>
    </xf>
    <xf numFmtId="169" fontId="9" fillId="0" borderId="0" xfId="45" applyNumberFormat="1" applyFont="1" applyFill="1" applyBorder="1" applyAlignment="1">
      <alignment horizontal="right" vertical="center"/>
    </xf>
    <xf numFmtId="166" fontId="9" fillId="0" borderId="0" xfId="46" applyNumberFormat="1" applyFont="1" applyFill="1" applyBorder="1" applyAlignment="1">
      <alignment horizontal="right" vertical="center" wrapText="1"/>
    </xf>
    <xf numFmtId="173" fontId="9" fillId="0" borderId="0" xfId="46" applyNumberFormat="1" applyFont="1" applyFill="1" applyBorder="1" applyAlignment="1">
      <alignment horizontal="right" vertical="center" wrapText="1"/>
    </xf>
    <xf numFmtId="0" fontId="0" fillId="0" borderId="0" xfId="0" applyBorder="1" applyAlignment="1">
      <alignment horizontal="right"/>
    </xf>
    <xf numFmtId="0" fontId="9" fillId="0" borderId="0" xfId="44" applyFont="1" applyFill="1" applyBorder="1" applyAlignment="1">
      <alignment horizontal="left"/>
    </xf>
    <xf numFmtId="166" fontId="9" fillId="0" borderId="0" xfId="46" applyNumberFormat="1" applyFont="1" applyFill="1" applyBorder="1" applyAlignment="1">
      <alignment horizontal="right" wrapText="1"/>
    </xf>
    <xf numFmtId="173" fontId="9" fillId="0" borderId="0" xfId="46" applyNumberFormat="1" applyFont="1" applyFill="1" applyBorder="1" applyAlignment="1">
      <alignment horizontal="right" wrapText="1"/>
    </xf>
    <xf numFmtId="0" fontId="0" fillId="0" borderId="5" xfId="0" applyFill="1" applyBorder="1" applyAlignment="1">
      <alignment horizontal="right"/>
    </xf>
    <xf numFmtId="0" fontId="0" fillId="0" borderId="5" xfId="0" applyBorder="1" applyAlignment="1">
      <alignment horizontal="right"/>
    </xf>
    <xf numFmtId="49" fontId="0" fillId="0" borderId="0" xfId="0" applyNumberFormat="1"/>
    <xf numFmtId="164" fontId="19" fillId="0" borderId="0" xfId="0" applyNumberFormat="1" applyFont="1" applyBorder="1" applyAlignment="1">
      <alignment horizontal="center"/>
    </xf>
    <xf numFmtId="3" fontId="9" fillId="0" borderId="0" xfId="47" applyNumberFormat="1" applyFont="1" applyFill="1" applyBorder="1" applyAlignment="1">
      <alignment horizontal="right" vertical="center"/>
    </xf>
    <xf numFmtId="4" fontId="9" fillId="0" borderId="0" xfId="47" applyNumberFormat="1" applyFont="1" applyFill="1" applyBorder="1" applyAlignment="1">
      <alignment horizontal="right" vertical="center"/>
    </xf>
    <xf numFmtId="3" fontId="19" fillId="0" borderId="0" xfId="0" applyNumberFormat="1" applyFont="1" applyFill="1" applyAlignment="1">
      <alignment horizontal="right"/>
    </xf>
    <xf numFmtId="0" fontId="27" fillId="0" borderId="0" xfId="47" applyFont="1" applyFill="1" applyBorder="1" applyAlignment="1">
      <alignment horizontal="center"/>
    </xf>
    <xf numFmtId="173" fontId="27" fillId="0" borderId="0" xfId="47" applyNumberFormat="1" applyFont="1" applyFill="1" applyBorder="1" applyAlignment="1">
      <alignment horizontal="center" wrapText="1"/>
    </xf>
    <xf numFmtId="0" fontId="6" fillId="0" borderId="0" xfId="47" applyFont="1" applyFill="1" applyBorder="1" applyAlignment="1">
      <alignment horizontal="center"/>
    </xf>
    <xf numFmtId="169" fontId="7" fillId="0" borderId="0" xfId="47" applyNumberFormat="1" applyFont="1" applyFill="1" applyBorder="1" applyAlignment="1">
      <alignment horizontal="center"/>
    </xf>
    <xf numFmtId="169" fontId="6" fillId="0" borderId="0" xfId="47" applyNumberFormat="1" applyFont="1" applyFill="1" applyBorder="1" applyAlignment="1">
      <alignment horizontal="center"/>
    </xf>
    <xf numFmtId="169" fontId="59" fillId="0" borderId="0" xfId="0" applyNumberFormat="1" applyFont="1" applyFill="1" applyAlignment="1">
      <alignment horizontal="center"/>
    </xf>
    <xf numFmtId="166" fontId="9" fillId="0" borderId="0" xfId="48" applyNumberFormat="1" applyFont="1" applyFill="1" applyBorder="1" applyAlignment="1">
      <alignment horizontal="center" vertical="center"/>
    </xf>
    <xf numFmtId="173" fontId="9" fillId="0" borderId="0" xfId="48" applyNumberFormat="1" applyFont="1" applyFill="1" applyBorder="1" applyAlignment="1">
      <alignment horizontal="center" vertical="center"/>
    </xf>
    <xf numFmtId="2" fontId="6" fillId="0" borderId="1" xfId="0" applyNumberFormat="1" applyFont="1" applyFill="1" applyBorder="1" applyAlignment="1">
      <alignment horizontal="right"/>
    </xf>
    <xf numFmtId="2" fontId="6" fillId="0" borderId="8" xfId="0" applyNumberFormat="1" applyFont="1" applyFill="1" applyBorder="1" applyAlignment="1">
      <alignment horizontal="right"/>
    </xf>
    <xf numFmtId="3" fontId="9" fillId="0" borderId="0" xfId="49" applyNumberFormat="1" applyFont="1" applyFill="1" applyBorder="1" applyAlignment="1">
      <alignment horizontal="right" vertical="center" wrapText="1"/>
    </xf>
    <xf numFmtId="3" fontId="19" fillId="0" borderId="0" xfId="0" applyNumberFormat="1" applyFont="1" applyFill="1" applyBorder="1" applyAlignment="1">
      <alignment horizontal="right" wrapText="1"/>
    </xf>
    <xf numFmtId="166" fontId="9" fillId="0" borderId="0" xfId="50" applyNumberFormat="1" applyFont="1" applyFill="1" applyBorder="1" applyAlignment="1">
      <alignment horizontal="right" wrapText="1"/>
    </xf>
    <xf numFmtId="0" fontId="7" fillId="0" borderId="0" xfId="0" applyFont="1" applyFill="1" applyAlignment="1">
      <alignment horizontal="right"/>
    </xf>
    <xf numFmtId="3" fontId="9" fillId="0" borderId="0" xfId="51" applyNumberFormat="1" applyFont="1" applyFill="1" applyBorder="1" applyAlignment="1">
      <alignment horizontal="right"/>
    </xf>
    <xf numFmtId="173" fontId="9" fillId="0" borderId="0" xfId="51" applyNumberFormat="1" applyFont="1" applyFill="1" applyBorder="1" applyAlignment="1">
      <alignment horizontal="center" vertical="center"/>
    </xf>
    <xf numFmtId="3" fontId="6" fillId="0" borderId="0" xfId="0" applyNumberFormat="1" applyFont="1" applyFill="1" applyBorder="1" applyAlignment="1"/>
    <xf numFmtId="0" fontId="6" fillId="0" borderId="0" xfId="0" applyFont="1" applyFill="1" applyAlignment="1">
      <alignment horizontal="right" indent="1"/>
    </xf>
    <xf numFmtId="2" fontId="19" fillId="0" borderId="1" xfId="0" applyNumberFormat="1" applyFont="1" applyFill="1" applyBorder="1" applyAlignment="1">
      <alignment horizontal="right"/>
    </xf>
    <xf numFmtId="164" fontId="19" fillId="0" borderId="8" xfId="0" applyNumberFormat="1" applyFont="1" applyFill="1" applyBorder="1" applyAlignment="1">
      <alignment horizontal="left"/>
    </xf>
    <xf numFmtId="2" fontId="19" fillId="0" borderId="8" xfId="0" applyNumberFormat="1" applyFont="1" applyFill="1" applyBorder="1" applyAlignment="1">
      <alignment horizontal="left"/>
    </xf>
    <xf numFmtId="2" fontId="19" fillId="0" borderId="8" xfId="0" applyNumberFormat="1" applyFont="1" applyBorder="1" applyAlignment="1">
      <alignment horizontal="left"/>
    </xf>
    <xf numFmtId="164" fontId="19" fillId="0" borderId="5" xfId="0" applyNumberFormat="1" applyFont="1" applyFill="1" applyBorder="1" applyAlignment="1">
      <alignment horizontal="right"/>
    </xf>
    <xf numFmtId="2" fontId="19" fillId="0" borderId="5" xfId="0" applyNumberFormat="1" applyFont="1" applyFill="1" applyBorder="1" applyAlignment="1">
      <alignment horizontal="right"/>
    </xf>
    <xf numFmtId="0" fontId="19" fillId="0" borderId="0" xfId="0" applyFont="1" applyFill="1" applyAlignment="1">
      <alignment horizontal="right" indent="1"/>
    </xf>
    <xf numFmtId="0" fontId="19" fillId="0" borderId="0" xfId="0" applyFont="1" applyFill="1" applyAlignment="1">
      <alignment horizontal="right" indent="2"/>
    </xf>
    <xf numFmtId="0" fontId="19" fillId="0" borderId="0" xfId="0" applyFont="1" applyFill="1" applyBorder="1" applyAlignment="1">
      <alignment horizontal="right" indent="2"/>
    </xf>
    <xf numFmtId="0" fontId="19" fillId="0" borderId="5" xfId="0" applyFont="1" applyFill="1" applyBorder="1" applyAlignment="1">
      <alignment horizontal="left" indent="2"/>
    </xf>
    <xf numFmtId="0" fontId="19" fillId="0" borderId="0" xfId="0" applyFont="1" applyFill="1" applyBorder="1" applyAlignment="1">
      <alignment horizontal="left" indent="2"/>
    </xf>
    <xf numFmtId="4" fontId="7" fillId="0" borderId="3" xfId="0" applyNumberFormat="1" applyFont="1" applyFill="1" applyBorder="1" applyAlignment="1">
      <alignment horizontal="center"/>
    </xf>
    <xf numFmtId="0" fontId="21" fillId="0" borderId="0" xfId="0" applyFont="1" applyBorder="1" applyAlignment="1">
      <alignment horizontal="center"/>
    </xf>
    <xf numFmtId="166" fontId="9" fillId="0" borderId="0" xfId="52" applyNumberFormat="1" applyFont="1" applyFill="1" applyBorder="1" applyAlignment="1">
      <alignment horizontal="right" wrapText="1"/>
    </xf>
    <xf numFmtId="2" fontId="7" fillId="0" borderId="1" xfId="0" applyNumberFormat="1" applyFont="1" applyFill="1" applyBorder="1"/>
    <xf numFmtId="2" fontId="7" fillId="0" borderId="8" xfId="0" applyNumberFormat="1" applyFont="1" applyFill="1" applyBorder="1" applyAlignment="1">
      <alignment horizontal="center"/>
    </xf>
    <xf numFmtId="2" fontId="7" fillId="0" borderId="5" xfId="0" applyNumberFormat="1" applyFont="1" applyFill="1" applyBorder="1"/>
    <xf numFmtId="3" fontId="9" fillId="0" borderId="0" xfId="53" applyNumberFormat="1" applyFont="1" applyFill="1" applyBorder="1" applyAlignment="1">
      <alignment horizontal="right"/>
    </xf>
    <xf numFmtId="1" fontId="7" fillId="0" borderId="0" xfId="0" applyNumberFormat="1" applyFont="1" applyAlignment="1">
      <alignment horizontal="center"/>
    </xf>
    <xf numFmtId="169" fontId="6" fillId="0" borderId="0" xfId="0" applyNumberFormat="1" applyFont="1" applyFill="1" applyAlignment="1">
      <alignment horizontal="right"/>
    </xf>
    <xf numFmtId="166" fontId="9" fillId="0" borderId="0" xfId="44" applyNumberFormat="1" applyFont="1" applyFill="1" applyBorder="1" applyAlignment="1">
      <alignment horizontal="right" vertical="center"/>
    </xf>
    <xf numFmtId="4" fontId="6" fillId="0" borderId="0" xfId="0" applyNumberFormat="1" applyFont="1" applyAlignment="1">
      <alignment horizontal="center"/>
    </xf>
    <xf numFmtId="166" fontId="9" fillId="0" borderId="0" xfId="0" applyNumberFormat="1" applyFont="1" applyBorder="1" applyAlignment="1">
      <alignment horizontal="center" vertical="top"/>
    </xf>
    <xf numFmtId="0" fontId="9" fillId="0" borderId="0" xfId="0" applyFont="1" applyBorder="1" applyAlignment="1">
      <alignment horizontal="center" vertical="top" wrapText="1"/>
    </xf>
    <xf numFmtId="166" fontId="9" fillId="0" borderId="0" xfId="44" applyNumberFormat="1" applyFont="1" applyFill="1" applyBorder="1" applyAlignment="1">
      <alignment horizontal="center" vertical="center"/>
    </xf>
    <xf numFmtId="169" fontId="19" fillId="0" borderId="0" xfId="0" applyNumberFormat="1" applyFont="1" applyAlignment="1">
      <alignment horizontal="center"/>
    </xf>
    <xf numFmtId="3" fontId="6" fillId="0" borderId="0" xfId="33" applyNumberFormat="1" applyFont="1" applyBorder="1" applyAlignment="1">
      <alignment horizontal="right" vertical="center"/>
    </xf>
    <xf numFmtId="3" fontId="25" fillId="0" borderId="0" xfId="33" applyNumberFormat="1" applyFont="1" applyBorder="1" applyAlignment="1">
      <alignment horizontal="right" vertical="center"/>
    </xf>
    <xf numFmtId="0" fontId="6" fillId="0" borderId="0" xfId="33" applyFont="1" applyBorder="1" applyAlignment="1">
      <alignment horizontal="right" vertical="center"/>
    </xf>
    <xf numFmtId="2" fontId="6" fillId="0" borderId="0" xfId="33" applyNumberFormat="1" applyFont="1" applyBorder="1" applyAlignment="1">
      <alignment horizontal="right" vertical="center"/>
    </xf>
    <xf numFmtId="3" fontId="6" fillId="0" borderId="0" xfId="33" applyNumberFormat="1" applyFont="1" applyAlignment="1">
      <alignment horizontal="right"/>
    </xf>
    <xf numFmtId="3" fontId="25" fillId="0" borderId="0" xfId="34" applyNumberFormat="1" applyFont="1" applyBorder="1" applyAlignment="1">
      <alignment horizontal="right" vertical="center"/>
    </xf>
    <xf numFmtId="0" fontId="48" fillId="0" borderId="0" xfId="33" applyFont="1" applyAlignment="1">
      <alignment horizontal="center" vertical="center"/>
    </xf>
    <xf numFmtId="0" fontId="25" fillId="0" borderId="0" xfId="33" applyFont="1" applyAlignment="1">
      <alignment horizontal="center" vertical="center"/>
    </xf>
    <xf numFmtId="0" fontId="48" fillId="0" borderId="0" xfId="33" applyFont="1" applyAlignment="1">
      <alignment vertical="center"/>
    </xf>
    <xf numFmtId="0" fontId="25" fillId="0" borderId="0" xfId="33" applyFont="1" applyAlignment="1">
      <alignment vertical="center"/>
    </xf>
    <xf numFmtId="3" fontId="25" fillId="0" borderId="0" xfId="0" applyNumberFormat="1" applyFont="1" applyFill="1" applyAlignment="1">
      <alignment horizontal="right"/>
    </xf>
    <xf numFmtId="3" fontId="25" fillId="0" borderId="0" xfId="0" applyNumberFormat="1" applyFont="1" applyFill="1" applyBorder="1" applyAlignment="1">
      <alignment horizontal="right"/>
    </xf>
    <xf numFmtId="171" fontId="6" fillId="0" borderId="0" xfId="36" applyFont="1"/>
    <xf numFmtId="3" fontId="25" fillId="0" borderId="0" xfId="0" applyNumberFormat="1" applyFont="1" applyFill="1" applyAlignment="1"/>
    <xf numFmtId="3" fontId="25" fillId="0" borderId="0" xfId="0" applyNumberFormat="1" applyFont="1" applyFill="1" applyBorder="1" applyAlignment="1"/>
    <xf numFmtId="0" fontId="6" fillId="0" borderId="0" xfId="2" applyFont="1" applyFill="1" applyAlignment="1">
      <alignment horizontal="left" wrapText="1"/>
    </xf>
    <xf numFmtId="164" fontId="6" fillId="0" borderId="0" xfId="0" applyNumberFormat="1" applyFont="1" applyBorder="1" applyAlignment="1">
      <alignment horizontal="center"/>
    </xf>
    <xf numFmtId="0" fontId="6" fillId="0" borderId="0" xfId="0" applyFont="1" applyBorder="1" applyAlignment="1">
      <alignment horizontal="center"/>
    </xf>
    <xf numFmtId="164" fontId="19" fillId="0" borderId="6" xfId="0" applyNumberFormat="1" applyFont="1" applyFill="1" applyBorder="1"/>
    <xf numFmtId="2" fontId="19" fillId="0" borderId="6" xfId="0" applyNumberFormat="1" applyFont="1" applyFill="1" applyBorder="1"/>
    <xf numFmtId="0" fontId="19" fillId="0" borderId="6" xfId="0" applyFont="1" applyFill="1" applyBorder="1"/>
    <xf numFmtId="3" fontId="19" fillId="0" borderId="0" xfId="0" applyNumberFormat="1" applyFont="1" applyFill="1" applyBorder="1"/>
    <xf numFmtId="0" fontId="19" fillId="0" borderId="16" xfId="0" applyFont="1" applyFill="1" applyBorder="1"/>
    <xf numFmtId="164" fontId="39" fillId="0" borderId="0" xfId="0" applyNumberFormat="1" applyFont="1" applyBorder="1" applyAlignment="1">
      <alignment horizontal="center"/>
    </xf>
    <xf numFmtId="4" fontId="39" fillId="0" borderId="0" xfId="0" applyNumberFormat="1" applyFont="1" applyBorder="1" applyAlignment="1">
      <alignment horizontal="right"/>
    </xf>
    <xf numFmtId="164" fontId="39" fillId="0" borderId="0" xfId="0" applyNumberFormat="1" applyFont="1" applyAlignment="1">
      <alignment horizontal="center"/>
    </xf>
    <xf numFmtId="0" fontId="7" fillId="0" borderId="2" xfId="0" applyFont="1" applyFill="1" applyBorder="1" applyAlignment="1">
      <alignment horizontal="center"/>
    </xf>
    <xf numFmtId="0" fontId="7" fillId="0" borderId="3" xfId="0" applyFont="1" applyFill="1" applyBorder="1" applyAlignment="1">
      <alignment horizontal="center"/>
    </xf>
    <xf numFmtId="49" fontId="19" fillId="0" borderId="7" xfId="0" applyNumberFormat="1" applyFont="1" applyFill="1" applyBorder="1" applyAlignment="1">
      <alignment horizontal="center"/>
    </xf>
    <xf numFmtId="164" fontId="19" fillId="0" borderId="7" xfId="0" applyNumberFormat="1" applyFont="1" applyFill="1" applyBorder="1" applyAlignment="1">
      <alignment horizontal="center"/>
    </xf>
    <xf numFmtId="164" fontId="19" fillId="0" borderId="9" xfId="0" applyNumberFormat="1" applyFont="1" applyBorder="1" applyAlignment="1">
      <alignment horizontal="center"/>
    </xf>
    <xf numFmtId="1" fontId="19" fillId="0" borderId="10" xfId="0" applyNumberFormat="1" applyFont="1" applyFill="1" applyBorder="1" applyAlignment="1">
      <alignment horizontal="left"/>
    </xf>
    <xf numFmtId="0" fontId="19" fillId="0" borderId="10" xfId="0" applyFont="1" applyFill="1" applyBorder="1" applyAlignment="1"/>
    <xf numFmtId="164" fontId="19" fillId="0" borderId="10" xfId="0" applyNumberFormat="1" applyFont="1" applyBorder="1" applyAlignment="1">
      <alignment horizontal="center"/>
    </xf>
    <xf numFmtId="0" fontId="19" fillId="0" borderId="9" xfId="0" applyFont="1" applyBorder="1" applyAlignment="1">
      <alignment horizontal="center"/>
    </xf>
    <xf numFmtId="164" fontId="6" fillId="0" borderId="10" xfId="0" applyNumberFormat="1" applyFont="1" applyBorder="1" applyAlignment="1">
      <alignment horizontal="center"/>
    </xf>
    <xf numFmtId="1" fontId="19" fillId="0" borderId="10" xfId="0" applyNumberFormat="1" applyFont="1" applyFill="1" applyBorder="1" applyAlignment="1">
      <alignment horizontal="center"/>
    </xf>
    <xf numFmtId="1" fontId="19" fillId="0" borderId="10" xfId="0" applyNumberFormat="1" applyFont="1" applyBorder="1" applyAlignment="1">
      <alignment horizontal="center"/>
    </xf>
    <xf numFmtId="4" fontId="19" fillId="0" borderId="10" xfId="0" applyNumberFormat="1" applyFont="1" applyFill="1" applyBorder="1" applyAlignment="1">
      <alignment horizontal="center"/>
    </xf>
    <xf numFmtId="4" fontId="19" fillId="0" borderId="10" xfId="0" applyNumberFormat="1" applyFont="1" applyBorder="1" applyAlignment="1">
      <alignment horizontal="center"/>
    </xf>
    <xf numFmtId="0" fontId="19" fillId="0" borderId="10" xfId="0" applyFont="1" applyBorder="1" applyAlignment="1">
      <alignment horizontal="center"/>
    </xf>
    <xf numFmtId="49" fontId="9" fillId="0" borderId="10" xfId="0" applyNumberFormat="1" applyFont="1" applyFill="1" applyBorder="1" applyAlignment="1" applyProtection="1">
      <alignment horizontal="center"/>
      <protection locked="0"/>
    </xf>
    <xf numFmtId="49" fontId="19" fillId="0" borderId="0" xfId="0" applyNumberFormat="1" applyFont="1" applyBorder="1" applyAlignment="1">
      <alignment horizontal="center"/>
    </xf>
    <xf numFmtId="4" fontId="19" fillId="0" borderId="8" xfId="0" applyNumberFormat="1" applyFont="1" applyFill="1" applyBorder="1" applyAlignment="1">
      <alignment horizontal="center"/>
    </xf>
    <xf numFmtId="4" fontId="19" fillId="0" borderId="0" xfId="0" applyNumberFormat="1" applyFont="1" applyFill="1" applyBorder="1" applyAlignment="1">
      <alignment horizontal="center"/>
    </xf>
    <xf numFmtId="4" fontId="19" fillId="0" borderId="11" xfId="0" applyNumberFormat="1" applyFont="1" applyFill="1" applyBorder="1" applyAlignment="1">
      <alignment horizontal="center"/>
    </xf>
    <xf numFmtId="49" fontId="6" fillId="0" borderId="0" xfId="0" applyNumberFormat="1" applyFont="1" applyBorder="1" applyAlignment="1">
      <alignment horizontal="center"/>
    </xf>
    <xf numFmtId="0" fontId="6" fillId="0" borderId="10" xfId="0" applyFont="1" applyFill="1" applyBorder="1" applyAlignment="1">
      <alignment horizontal="center"/>
    </xf>
    <xf numFmtId="0" fontId="9" fillId="0" borderId="10" xfId="0" applyFont="1" applyFill="1" applyBorder="1" applyAlignment="1">
      <alignment horizontal="center"/>
    </xf>
    <xf numFmtId="0" fontId="9" fillId="0" borderId="10" xfId="0" applyFont="1" applyBorder="1" applyAlignment="1">
      <alignment horizontal="center"/>
    </xf>
    <xf numFmtId="4" fontId="9" fillId="0" borderId="10" xfId="0" applyNumberFormat="1" applyFont="1" applyBorder="1" applyAlignment="1">
      <alignment horizontal="center"/>
    </xf>
    <xf numFmtId="0" fontId="6" fillId="0" borderId="10" xfId="0" applyFont="1" applyBorder="1" applyAlignment="1">
      <alignment horizontal="center"/>
    </xf>
    <xf numFmtId="2" fontId="6" fillId="0" borderId="10" xfId="0" applyNumberFormat="1" applyFont="1" applyBorder="1" applyAlignment="1">
      <alignment horizontal="center"/>
    </xf>
    <xf numFmtId="164" fontId="6" fillId="0" borderId="0" xfId="0" applyNumberFormat="1" applyFont="1" applyBorder="1" applyAlignment="1">
      <alignment horizontal="center"/>
    </xf>
    <xf numFmtId="164" fontId="6" fillId="0" borderId="10" xfId="0" applyNumberFormat="1" applyFont="1" applyFill="1" applyBorder="1" applyAlignment="1">
      <alignment horizontal="center"/>
    </xf>
    <xf numFmtId="164" fontId="6" fillId="0" borderId="2" xfId="0" applyNumberFormat="1" applyFont="1" applyBorder="1" applyAlignment="1">
      <alignment horizontal="center"/>
    </xf>
    <xf numFmtId="1" fontId="6" fillId="0" borderId="10" xfId="0" applyNumberFormat="1" applyFont="1" applyFill="1" applyBorder="1" applyAlignment="1">
      <alignment horizontal="center"/>
    </xf>
    <xf numFmtId="0" fontId="2" fillId="0" borderId="0" xfId="0" applyFont="1" applyAlignment="1">
      <alignment horizontal="left" vertical="top" wrapText="1"/>
    </xf>
    <xf numFmtId="0" fontId="19" fillId="0" borderId="10" xfId="0" applyFont="1" applyFill="1" applyBorder="1" applyAlignment="1">
      <alignment horizontal="center"/>
    </xf>
    <xf numFmtId="0" fontId="35" fillId="0" borderId="0" xfId="0" applyFont="1" applyFill="1" applyAlignment="1">
      <alignment horizontal="left" wrapText="1"/>
    </xf>
    <xf numFmtId="0" fontId="35" fillId="0" borderId="0" xfId="0" applyFont="1" applyAlignment="1">
      <alignment horizontal="left" wrapText="1"/>
    </xf>
    <xf numFmtId="0" fontId="35" fillId="0" borderId="0" xfId="0" applyFont="1" applyAlignment="1">
      <alignment wrapText="1"/>
    </xf>
    <xf numFmtId="1" fontId="9" fillId="0" borderId="10" xfId="0" applyNumberFormat="1" applyFont="1" applyFill="1" applyBorder="1" applyAlignment="1">
      <alignment horizontal="center"/>
    </xf>
    <xf numFmtId="0" fontId="9" fillId="0" borderId="2" xfId="0" applyFont="1" applyFill="1" applyBorder="1" applyAlignment="1">
      <alignment horizontal="center"/>
    </xf>
    <xf numFmtId="2" fontId="6" fillId="0" borderId="17" xfId="0" applyNumberFormat="1" applyFont="1" applyFill="1" applyBorder="1" applyAlignment="1">
      <alignment horizontal="center"/>
    </xf>
    <xf numFmtId="0" fontId="9" fillId="0" borderId="17" xfId="0" applyFont="1" applyFill="1" applyBorder="1" applyAlignment="1">
      <alignment horizontal="center"/>
    </xf>
    <xf numFmtId="164" fontId="29" fillId="0" borderId="10" xfId="0" applyNumberFormat="1" applyFont="1" applyBorder="1" applyAlignment="1">
      <alignment horizontal="center"/>
    </xf>
    <xf numFmtId="0" fontId="6" fillId="0" borderId="14" xfId="0" applyFont="1" applyBorder="1" applyAlignment="1">
      <alignment horizontal="center"/>
    </xf>
    <xf numFmtId="0" fontId="6" fillId="0" borderId="0" xfId="0" applyFont="1" applyFill="1" applyBorder="1" applyAlignment="1">
      <alignment horizontal="left" vertical="center" wrapText="1"/>
    </xf>
    <xf numFmtId="0" fontId="21" fillId="0" borderId="10" xfId="0" applyFont="1" applyBorder="1" applyAlignment="1">
      <alignment horizontal="center"/>
    </xf>
    <xf numFmtId="0" fontId="6" fillId="0" borderId="0" xfId="0" applyFont="1" applyBorder="1" applyAlignment="1">
      <alignment horizontal="center"/>
    </xf>
    <xf numFmtId="0" fontId="6" fillId="0" borderId="0" xfId="0" applyFont="1" applyFill="1" applyBorder="1" applyAlignment="1">
      <alignment horizontal="left" vertical="center"/>
    </xf>
    <xf numFmtId="164" fontId="19" fillId="0" borderId="0" xfId="0" applyNumberFormat="1" applyFont="1" applyBorder="1" applyAlignment="1">
      <alignment horizontal="center"/>
    </xf>
    <xf numFmtId="4" fontId="7" fillId="0" borderId="3" xfId="0" applyNumberFormat="1" applyFont="1" applyFill="1" applyBorder="1" applyAlignment="1">
      <alignment horizontal="center"/>
    </xf>
    <xf numFmtId="0" fontId="6" fillId="0" borderId="10" xfId="0" applyNumberFormat="1" applyFont="1" applyBorder="1" applyAlignment="1">
      <alignment horizontal="center"/>
    </xf>
    <xf numFmtId="49" fontId="6" fillId="0" borderId="10" xfId="0" applyNumberFormat="1" applyFont="1" applyBorder="1" applyAlignment="1">
      <alignment horizontal="center"/>
    </xf>
    <xf numFmtId="0" fontId="29" fillId="0" borderId="9" xfId="0" applyFont="1" applyBorder="1" applyAlignment="1">
      <alignment horizontal="center"/>
    </xf>
    <xf numFmtId="0" fontId="29" fillId="0" borderId="2" xfId="0" applyFont="1" applyBorder="1" applyAlignment="1">
      <alignment horizontal="center"/>
    </xf>
    <xf numFmtId="0" fontId="6" fillId="0" borderId="2" xfId="0" applyFont="1" applyBorder="1" applyAlignment="1">
      <alignment horizontal="center"/>
    </xf>
    <xf numFmtId="2" fontId="6" fillId="0" borderId="17" xfId="0" applyNumberFormat="1" applyFont="1" applyBorder="1" applyAlignment="1">
      <alignment horizontal="center"/>
    </xf>
    <xf numFmtId="0" fontId="6" fillId="0" borderId="17" xfId="0" applyFont="1" applyBorder="1" applyAlignment="1">
      <alignment horizontal="center"/>
    </xf>
    <xf numFmtId="164" fontId="6" fillId="0" borderId="9" xfId="0" applyNumberFormat="1" applyFont="1" applyBorder="1" applyAlignment="1">
      <alignment horizontal="center"/>
    </xf>
    <xf numFmtId="164" fontId="19" fillId="0" borderId="10" xfId="0" applyNumberFormat="1" applyFont="1" applyFill="1" applyBorder="1" applyAlignment="1">
      <alignment horizontal="center"/>
    </xf>
    <xf numFmtId="164" fontId="0" fillId="0" borderId="10" xfId="0" applyNumberFormat="1" applyFill="1" applyBorder="1" applyAlignment="1">
      <alignment horizontal="left"/>
    </xf>
    <xf numFmtId="0" fontId="0" fillId="0" borderId="10" xfId="0" applyFill="1" applyBorder="1" applyAlignment="1"/>
    <xf numFmtId="164" fontId="0" fillId="0" borderId="10" xfId="0" applyNumberFormat="1" applyBorder="1" applyAlignment="1"/>
    <xf numFmtId="164" fontId="0" fillId="0" borderId="10" xfId="0" applyNumberFormat="1" applyBorder="1" applyAlignment="1">
      <alignment horizontal="center"/>
    </xf>
    <xf numFmtId="3" fontId="6" fillId="0" borderId="10" xfId="0" applyNumberFormat="1" applyFont="1" applyBorder="1" applyAlignment="1">
      <alignment horizontal="center"/>
    </xf>
    <xf numFmtId="2" fontId="6" fillId="0" borderId="10" xfId="0" applyNumberFormat="1" applyFont="1" applyFill="1" applyBorder="1" applyAlignment="1">
      <alignment horizontal="center"/>
    </xf>
    <xf numFmtId="164" fontId="19" fillId="0" borderId="2" xfId="0" applyNumberFormat="1" applyFont="1" applyBorder="1" applyAlignment="1">
      <alignment horizontal="center"/>
    </xf>
    <xf numFmtId="0" fontId="27" fillId="0" borderId="0" xfId="35" applyFont="1" applyFill="1" applyBorder="1"/>
    <xf numFmtId="0" fontId="48" fillId="0" borderId="0" xfId="35" applyFont="1" applyFill="1" applyBorder="1"/>
    <xf numFmtId="0" fontId="6" fillId="0" borderId="0" xfId="30" applyNumberFormat="1" applyFont="1" applyBorder="1" applyAlignment="1">
      <alignment horizontal="left" vertical="center" wrapText="1"/>
    </xf>
    <xf numFmtId="0" fontId="21" fillId="0" borderId="0" xfId="0" applyFont="1" applyBorder="1" applyAlignment="1">
      <alignment horizontal="center"/>
    </xf>
    <xf numFmtId="0" fontId="21" fillId="0" borderId="9" xfId="0" applyFont="1" applyBorder="1" applyAlignment="1">
      <alignment horizontal="center"/>
    </xf>
    <xf numFmtId="0" fontId="0" fillId="0" borderId="9" xfId="0" applyBorder="1" applyAlignment="1">
      <alignment horizontal="center"/>
    </xf>
    <xf numFmtId="0" fontId="2" fillId="0" borderId="0" xfId="0" applyFont="1" applyAlignment="1">
      <alignment horizontal="center"/>
    </xf>
    <xf numFmtId="0" fontId="2" fillId="0" borderId="0" xfId="0" applyFont="1" applyAlignment="1">
      <alignment horizontal="left" vertical="top"/>
    </xf>
  </cellXfs>
  <cellStyles count="54">
    <cellStyle name="Euro" xfId="36" xr:uid="{00000000-0005-0000-0000-000000000000}"/>
    <cellStyle name="Millares" xfId="1" builtinId="3"/>
    <cellStyle name="Normal" xfId="0" builtinId="0"/>
    <cellStyle name="Normal 2" xfId="32" xr:uid="{00000000-0005-0000-0000-000003000000}"/>
    <cellStyle name="Normal 2 3" xfId="2" xr:uid="{00000000-0005-0000-0000-000004000000}"/>
    <cellStyle name="Normal 3" xfId="33" xr:uid="{00000000-0005-0000-0000-000005000000}"/>
    <cellStyle name="Normal 4" xfId="35" xr:uid="{00000000-0005-0000-0000-000006000000}"/>
    <cellStyle name="Normal 5" xfId="37" xr:uid="{00000000-0005-0000-0000-000007000000}"/>
    <cellStyle name="Normal_D8,1" xfId="18" xr:uid="{00000000-0005-0000-0000-000008000000}"/>
    <cellStyle name="Normal_Hoja1" xfId="42" xr:uid="{00000000-0005-0000-0000-000009000000}"/>
    <cellStyle name="Normal_Hoja1_1" xfId="49" xr:uid="{00000000-0005-0000-0000-00000A000000}"/>
    <cellStyle name="Normal_Hoja2" xfId="43" xr:uid="{00000000-0005-0000-0000-00000B000000}"/>
    <cellStyle name="Normal_Hoja2_1" xfId="50" xr:uid="{00000000-0005-0000-0000-00000C000000}"/>
    <cellStyle name="Normal_Hoja3" xfId="45" xr:uid="{00000000-0005-0000-0000-00000D000000}"/>
    <cellStyle name="Normal_Hoja3_1" xfId="51" xr:uid="{00000000-0005-0000-0000-00000E000000}"/>
    <cellStyle name="Normal_Hoja4" xfId="46" xr:uid="{00000000-0005-0000-0000-00000F000000}"/>
    <cellStyle name="Normal_Hoja4_1" xfId="52" xr:uid="{00000000-0005-0000-0000-000010000000}"/>
    <cellStyle name="Normal_Hoja5" xfId="47" xr:uid="{00000000-0005-0000-0000-000011000000}"/>
    <cellStyle name="Normal_Hoja5_1" xfId="53" xr:uid="{00000000-0005-0000-0000-000012000000}"/>
    <cellStyle name="Normal_Hoja6" xfId="48" xr:uid="{00000000-0005-0000-0000-000013000000}"/>
    <cellStyle name="Normal_Hoja6_1" xfId="44" xr:uid="{00000000-0005-0000-0000-000014000000}"/>
    <cellStyle name="Porcentaje" xfId="29" builtinId="5"/>
    <cellStyle name="style1459790871708" xfId="12" xr:uid="{00000000-0005-0000-0000-000016000000}"/>
    <cellStyle name="style1459790871858" xfId="11" xr:uid="{00000000-0005-0000-0000-000017000000}"/>
    <cellStyle name="style1459954280664" xfId="26" xr:uid="{00000000-0005-0000-0000-000018000000}"/>
    <cellStyle name="style1488388455790" xfId="10" xr:uid="{00000000-0005-0000-0000-000019000000}"/>
    <cellStyle name="style1488388455857" xfId="9" xr:uid="{00000000-0005-0000-0000-00001A000000}"/>
    <cellStyle name="style1488389756850" xfId="27" xr:uid="{00000000-0005-0000-0000-00001B000000}"/>
    <cellStyle name="style1488389756878" xfId="28" xr:uid="{00000000-0005-0000-0000-00001C000000}"/>
    <cellStyle name="style1522862456190" xfId="25" xr:uid="{00000000-0005-0000-0000-00001D000000}"/>
    <cellStyle name="style1522862456294" xfId="24" xr:uid="{00000000-0005-0000-0000-00001E000000}"/>
    <cellStyle name="style1554828064357" xfId="21" xr:uid="{00000000-0005-0000-0000-00001F000000}"/>
    <cellStyle name="style1554828064420" xfId="20" xr:uid="{00000000-0005-0000-0000-000020000000}"/>
    <cellStyle name="style1554828065317" xfId="19" xr:uid="{00000000-0005-0000-0000-000021000000}"/>
    <cellStyle name="style1554828065786" xfId="6" xr:uid="{00000000-0005-0000-0000-000022000000}"/>
    <cellStyle name="style1554828065843" xfId="7" xr:uid="{00000000-0005-0000-0000-000023000000}"/>
    <cellStyle name="style1554828065903" xfId="8" xr:uid="{00000000-0005-0000-0000-000024000000}"/>
    <cellStyle name="style1554828066028" xfId="3" xr:uid="{00000000-0005-0000-0000-000025000000}"/>
    <cellStyle name="style1554828066074" xfId="4" xr:uid="{00000000-0005-0000-0000-000026000000}"/>
    <cellStyle name="style1554828066137" xfId="5" xr:uid="{00000000-0005-0000-0000-000027000000}"/>
    <cellStyle name="style1554828066294" xfId="22" xr:uid="{00000000-0005-0000-0000-000028000000}"/>
    <cellStyle name="style1554830305406" xfId="23" xr:uid="{00000000-0005-0000-0000-000029000000}"/>
    <cellStyle name="style1554830305453" xfId="15" xr:uid="{00000000-0005-0000-0000-00002A000000}"/>
    <cellStyle name="style1554830305515" xfId="16" xr:uid="{00000000-0005-0000-0000-00002B000000}"/>
    <cellStyle name="style1554830305655" xfId="17" xr:uid="{00000000-0005-0000-0000-00002C000000}"/>
    <cellStyle name="style1554830305701" xfId="13" xr:uid="{00000000-0005-0000-0000-00002D000000}"/>
    <cellStyle name="style1554830305764" xfId="14" xr:uid="{00000000-0005-0000-0000-00002E000000}"/>
    <cellStyle name="style1584120583682" xfId="39" xr:uid="{00000000-0005-0000-0000-00002F000000}"/>
    <cellStyle name="style1584120583761" xfId="38" xr:uid="{00000000-0005-0000-0000-000030000000}"/>
    <cellStyle name="style1584121248836" xfId="40" xr:uid="{00000000-0005-0000-0000-000031000000}"/>
    <cellStyle name="style1584121248883" xfId="41" xr:uid="{00000000-0005-0000-0000-000032000000}"/>
    <cellStyle name="Texto explicativo" xfId="30" builtinId="53"/>
    <cellStyle name="Texto explicativo 2" xfId="31" xr:uid="{00000000-0005-0000-0000-000034000000}"/>
    <cellStyle name="Texto explicativo 3" xfId="34" xr:uid="{00000000-0005-0000-0000-000035000000}"/>
  </cellStyles>
  <dxfs count="7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externalLink" Target="externalLinks/externalLink14.xml"/><Relationship Id="rId170" Type="http://schemas.openxmlformats.org/officeDocument/2006/relationships/externalLink" Target="externalLinks/externalLink2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15.xml"/><Relationship Id="rId181" Type="http://schemas.openxmlformats.org/officeDocument/2006/relationships/externalLink" Target="externalLinks/externalLink3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externalLink" Target="externalLinks/externalLink5.xml"/><Relationship Id="rId171" Type="http://schemas.openxmlformats.org/officeDocument/2006/relationships/externalLink" Target="externalLinks/externalLink2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externalLink" Target="externalLinks/externalLink16.xml"/><Relationship Id="rId182" Type="http://schemas.openxmlformats.org/officeDocument/2006/relationships/externalLink" Target="externalLinks/externalLink3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externalLink" Target="externalLinks/externalLink6.xml"/><Relationship Id="rId172" Type="http://schemas.openxmlformats.org/officeDocument/2006/relationships/externalLink" Target="externalLinks/externalLink2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167" Type="http://schemas.openxmlformats.org/officeDocument/2006/relationships/externalLink" Target="externalLinks/externalLink22.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17.xml"/><Relationship Id="rId183"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externalLink" Target="externalLinks/externalLink12.xml"/><Relationship Id="rId178"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7.xml"/><Relationship Id="rId173"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168"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8.xml"/><Relationship Id="rId184" Type="http://schemas.openxmlformats.org/officeDocument/2006/relationships/externalLink" Target="externalLinks/externalLink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8.xml"/><Relationship Id="rId174" Type="http://schemas.openxmlformats.org/officeDocument/2006/relationships/externalLink" Target="externalLinks/externalLink29.xml"/><Relationship Id="rId179" Type="http://schemas.openxmlformats.org/officeDocument/2006/relationships/externalLink" Target="externalLinks/externalLink3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externalLink" Target="externalLinks/externalLink3.xml"/><Relationship Id="rId164" Type="http://schemas.openxmlformats.org/officeDocument/2006/relationships/externalLink" Target="externalLinks/externalLink19.xml"/><Relationship Id="rId169" Type="http://schemas.openxmlformats.org/officeDocument/2006/relationships/externalLink" Target="externalLinks/externalLink24.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9.xml"/><Relationship Id="rId175"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externalLink" Target="externalLinks/externalLink20.xml"/><Relationship Id="rId186"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0.xml"/><Relationship Id="rId176" Type="http://schemas.openxmlformats.org/officeDocument/2006/relationships/externalLink" Target="externalLinks/externalLink3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externalLink" Target="externalLinks/externalLink21.xml"/><Relationship Id="rId187" Type="http://schemas.openxmlformats.org/officeDocument/2006/relationships/sharedStrings" Target="sharedString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externalLink" Target="externalLinks/externalLink11.xml"/><Relationship Id="rId177" Type="http://schemas.openxmlformats.org/officeDocument/2006/relationships/externalLink" Target="externalLinks/externalLink3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434466447291104"/>
          <c:y val="4.26964693929387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84C0-4A48-8204-7A2A4CB2BB2B}"/>
              </c:ext>
            </c:extLst>
          </c:dPt>
          <c:dPt>
            <c:idx val="1"/>
            <c:bubble3D val="0"/>
            <c:spPr>
              <a:solidFill>
                <a:schemeClr val="accent3">
                  <a:lumMod val="20000"/>
                  <a:lumOff val="80000"/>
                </a:schemeClr>
              </a:solidFill>
            </c:spPr>
            <c:extLst>
              <c:ext xmlns:c16="http://schemas.microsoft.com/office/drawing/2014/chart" uri="{C3380CC4-5D6E-409C-BE32-E72D297353CC}">
                <c16:uniqueId val="{00000003-84C0-4A48-8204-7A2A4CB2BB2B}"/>
              </c:ext>
            </c:extLst>
          </c:dPt>
          <c:dPt>
            <c:idx val="2"/>
            <c:bubble3D val="0"/>
            <c:spPr>
              <a:solidFill>
                <a:schemeClr val="bg2">
                  <a:lumMod val="90000"/>
                </a:schemeClr>
              </a:solidFill>
            </c:spPr>
            <c:extLst>
              <c:ext xmlns:c16="http://schemas.microsoft.com/office/drawing/2014/chart" uri="{C3380CC4-5D6E-409C-BE32-E72D297353CC}">
                <c16:uniqueId val="{00000005-84C0-4A48-8204-7A2A4CB2BB2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([1]GRH1!$A$1,[1]GRH1!$B$1,[1]GRH1!$C$1)</c:f>
              <c:strCache>
                <c:ptCount val="3"/>
                <c:pt idx="0">
                  <c:v>Docente</c:v>
                </c:pt>
                <c:pt idx="1">
                  <c:v>Administración </c:v>
                </c:pt>
                <c:pt idx="2">
                  <c:v>De Apoyo</c:v>
                </c:pt>
              </c:strCache>
            </c:strRef>
          </c:cat>
          <c:val>
            <c:numRef>
              <c:f>([1]GRH1!$A$2,[1]GRH1!$B$2,[1]GRH1!$C$2)</c:f>
              <c:numCache>
                <c:formatCode>General</c:formatCode>
                <c:ptCount val="3"/>
                <c:pt idx="0">
                  <c:v>46.79</c:v>
                </c:pt>
                <c:pt idx="1">
                  <c:v>40.94</c:v>
                </c:pt>
                <c:pt idx="2">
                  <c:v>12.26</c:v>
                </c:pt>
              </c:numCache>
            </c:numRef>
          </c:val>
          <c:extLst>
            <c:ext xmlns:c16="http://schemas.microsoft.com/office/drawing/2014/chart" uri="{C3380CC4-5D6E-409C-BE32-E72D297353CC}">
              <c16:uniqueId val="{00000006-84C0-4A48-8204-7A2A4CB2BB2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299271469570974"/>
          <c:y val="4.269631561255360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73281723375045"/>
          <c:y val="0.20660060078041576"/>
          <c:w val="0.43745704998656376"/>
          <c:h val="0.73428061036096726"/>
        </c:manualLayout>
      </c:layout>
      <c:pie3DChart>
        <c:varyColors val="1"/>
        <c:ser>
          <c:idx val="3"/>
          <c:order val="0"/>
          <c:dPt>
            <c:idx val="0"/>
            <c:bubble3D val="0"/>
            <c:explosion val="11"/>
            <c:spPr>
              <a:solidFill>
                <a:srgbClr val="F0D2FC"/>
              </a:solidFill>
            </c:spPr>
            <c:extLst>
              <c:ext xmlns:c16="http://schemas.microsoft.com/office/drawing/2014/chart" uri="{C3380CC4-5D6E-409C-BE32-E72D297353CC}">
                <c16:uniqueId val="{00000001-2D2A-4592-A5CD-9147F232A295}"/>
              </c:ext>
            </c:extLst>
          </c:dPt>
          <c:dPt>
            <c:idx val="1"/>
            <c:bubble3D val="0"/>
            <c:spPr>
              <a:solidFill>
                <a:srgbClr val="D6DAFA"/>
              </a:solidFill>
            </c:spPr>
            <c:extLst>
              <c:ext xmlns:c16="http://schemas.microsoft.com/office/drawing/2014/chart" uri="{C3380CC4-5D6E-409C-BE32-E72D297353CC}">
                <c16:uniqueId val="{00000003-2D2A-4592-A5CD-9147F232A295}"/>
              </c:ext>
            </c:extLst>
          </c:dPt>
          <c:dPt>
            <c:idx val="2"/>
            <c:bubble3D val="0"/>
            <c:spPr>
              <a:solidFill>
                <a:schemeClr val="accent4">
                  <a:lumMod val="40000"/>
                  <a:lumOff val="60000"/>
                </a:schemeClr>
              </a:solidFill>
            </c:spPr>
            <c:extLst>
              <c:ext xmlns:c16="http://schemas.microsoft.com/office/drawing/2014/chart" uri="{C3380CC4-5D6E-409C-BE32-E72D297353CC}">
                <c16:uniqueId val="{00000005-2D2A-4592-A5CD-9147F232A295}"/>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([10]GD1!$B$3,[10]GD1!$C$3,[10]GD1!$D$3)</c:f>
              <c:strCache>
                <c:ptCount val="3"/>
                <c:pt idx="0">
                  <c:v>Docente</c:v>
                </c:pt>
                <c:pt idx="1">
                  <c:v>Administración </c:v>
                </c:pt>
                <c:pt idx="2">
                  <c:v>De Apoyo</c:v>
                </c:pt>
              </c:strCache>
            </c:strRef>
          </c:cat>
          <c:val>
            <c:numRef>
              <c:f>([10]GD1!$B$4,[10]GD1!$C$4,[10]GD1!$D$4)</c:f>
              <c:numCache>
                <c:formatCode>General</c:formatCode>
                <c:ptCount val="3"/>
                <c:pt idx="0">
                  <c:v>78.41</c:v>
                </c:pt>
                <c:pt idx="1">
                  <c:v>14.5</c:v>
                </c:pt>
                <c:pt idx="2">
                  <c:v>7.09</c:v>
                </c:pt>
              </c:numCache>
            </c:numRef>
          </c:val>
          <c:extLst>
            <c:ext xmlns:c16="http://schemas.microsoft.com/office/drawing/2014/chart" uri="{C3380CC4-5D6E-409C-BE32-E72D297353CC}">
              <c16:uniqueId val="{00000006-2D2A-4592-A5CD-9147F232A29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63171270257"/>
          <c:y val="4.269651674896569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1868049919"/>
          <c:y val="0.18788506146150569"/>
          <c:w val="0.45124855360821831"/>
          <c:h val="0.75302037145156453"/>
        </c:manualLayout>
      </c:layout>
      <c:pie3DChart>
        <c:varyColors val="1"/>
        <c:ser>
          <c:idx val="3"/>
          <c:order val="0"/>
          <c:dPt>
            <c:idx val="0"/>
            <c:bubble3D val="0"/>
            <c:spPr>
              <a:solidFill>
                <a:srgbClr val="FFFF99"/>
              </a:solidFill>
            </c:spPr>
            <c:extLst>
              <c:ext xmlns:c16="http://schemas.microsoft.com/office/drawing/2014/chart" uri="{C3380CC4-5D6E-409C-BE32-E72D297353CC}">
                <c16:uniqueId val="{00000001-E80E-4ED7-AFBC-A1A33579CB5E}"/>
              </c:ext>
            </c:extLst>
          </c:dPt>
          <c:dPt>
            <c:idx val="1"/>
            <c:bubble3D val="0"/>
            <c:spPr>
              <a:solidFill>
                <a:srgbClr val="85E040"/>
              </a:solidFill>
            </c:spPr>
            <c:extLst>
              <c:ext xmlns:c16="http://schemas.microsoft.com/office/drawing/2014/chart" uri="{C3380CC4-5D6E-409C-BE32-E72D297353CC}">
                <c16:uniqueId val="{00000003-E80E-4ED7-AFBC-A1A33579CB5E}"/>
              </c:ext>
            </c:extLst>
          </c:dPt>
          <c:dPt>
            <c:idx val="2"/>
            <c:bubble3D val="0"/>
            <c:spPr>
              <a:solidFill>
                <a:srgbClr val="FEE4B4"/>
              </a:solidFill>
            </c:spPr>
            <c:extLst>
              <c:ext xmlns:c16="http://schemas.microsoft.com/office/drawing/2014/chart" uri="{C3380CC4-5D6E-409C-BE32-E72D297353CC}">
                <c16:uniqueId val="{00000005-E80E-4ED7-AFBC-A1A33579CB5E}"/>
              </c:ext>
            </c:extLst>
          </c:dPt>
          <c:dLbls>
            <c:dLbl>
              <c:idx val="0"/>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0E-4ED7-AFBC-A1A33579CB5E}"/>
                </c:ext>
              </c:extLst>
            </c:dLbl>
            <c:dLbl>
              <c:idx val="1"/>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E-4ED7-AFBC-A1A33579CB5E}"/>
                </c:ext>
              </c:extLst>
            </c:dLbl>
            <c:dLbl>
              <c:idx val="2"/>
              <c:numFmt formatCode="#,##0.00" sourceLinked="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E-4ED7-AFBC-A1A33579CB5E}"/>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('[11]GD-2'!$B$2,'[11]GD-2'!$C$2,'[11]GD-2'!$D$2)</c:f>
              <c:strCache>
                <c:ptCount val="3"/>
                <c:pt idx="0">
                  <c:v>Bachiller</c:v>
                </c:pt>
                <c:pt idx="1">
                  <c:v>Licenciado</c:v>
                </c:pt>
                <c:pt idx="2">
                  <c:v>Diplomado</c:v>
                </c:pt>
              </c:strCache>
            </c:strRef>
          </c:cat>
          <c:val>
            <c:numRef>
              <c:f>('[11]GD-2'!$B$3,'[11]GD-2'!$C$3,'[11]GD-2'!$D$3)</c:f>
              <c:numCache>
                <c:formatCode>General</c:formatCode>
                <c:ptCount val="3"/>
                <c:pt idx="0">
                  <c:v>50.78</c:v>
                </c:pt>
                <c:pt idx="1">
                  <c:v>46.09</c:v>
                </c:pt>
                <c:pt idx="2">
                  <c:v>3.13</c:v>
                </c:pt>
              </c:numCache>
            </c:numRef>
          </c:val>
          <c:extLst>
            <c:ext xmlns:c16="http://schemas.microsoft.com/office/drawing/2014/chart" uri="{C3380CC4-5D6E-409C-BE32-E72D297353CC}">
              <c16:uniqueId val="{00000006-E80E-4ED7-AFBC-A1A33579CB5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627976888177945"/>
          <c:y val="4.2696627391195049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742184591199307"/>
          <c:y val="0.23197320726258341"/>
          <c:w val="0.42436680799515447"/>
          <c:h val="0.70893213819970613"/>
        </c:manualLayout>
      </c:layout>
      <c:pie3DChart>
        <c:varyColors val="1"/>
        <c:ser>
          <c:idx val="1"/>
          <c:order val="0"/>
          <c:dPt>
            <c:idx val="0"/>
            <c:bubble3D val="0"/>
            <c:spPr>
              <a:solidFill>
                <a:schemeClr val="accent1">
                  <a:lumMod val="20000"/>
                  <a:lumOff val="80000"/>
                </a:schemeClr>
              </a:solidFill>
            </c:spPr>
            <c:extLst>
              <c:ext xmlns:c16="http://schemas.microsoft.com/office/drawing/2014/chart" uri="{C3380CC4-5D6E-409C-BE32-E72D297353CC}">
                <c16:uniqueId val="{00000001-66EF-46DF-B26E-766B37D7939C}"/>
              </c:ext>
            </c:extLst>
          </c:dPt>
          <c:dPt>
            <c:idx val="1"/>
            <c:bubble3D val="0"/>
            <c:spPr>
              <a:solidFill>
                <a:schemeClr val="accent6">
                  <a:lumMod val="20000"/>
                  <a:lumOff val="80000"/>
                </a:schemeClr>
              </a:solidFill>
            </c:spPr>
            <c:extLst>
              <c:ext xmlns:c16="http://schemas.microsoft.com/office/drawing/2014/chart" uri="{C3380CC4-5D6E-409C-BE32-E72D297353CC}">
                <c16:uniqueId val="{00000003-66EF-46DF-B26E-766B37D7939C}"/>
              </c:ext>
            </c:extLst>
          </c:dPt>
          <c:dPt>
            <c:idx val="2"/>
            <c:bubble3D val="0"/>
            <c:spPr>
              <a:solidFill>
                <a:srgbClr val="FFFFCC"/>
              </a:solidFill>
            </c:spPr>
            <c:extLst>
              <c:ext xmlns:c16="http://schemas.microsoft.com/office/drawing/2014/chart" uri="{C3380CC4-5D6E-409C-BE32-E72D297353CC}">
                <c16:uniqueId val="{00000005-66EF-46DF-B26E-766B37D7939C}"/>
              </c:ext>
            </c:extLst>
          </c:dPt>
          <c:dPt>
            <c:idx val="3"/>
            <c:bubble3D val="0"/>
            <c:spPr>
              <a:solidFill>
                <a:schemeClr val="accent3">
                  <a:lumMod val="40000"/>
                  <a:lumOff val="60000"/>
                </a:schemeClr>
              </a:solidFill>
            </c:spPr>
            <c:extLst>
              <c:ext xmlns:c16="http://schemas.microsoft.com/office/drawing/2014/chart" uri="{C3380CC4-5D6E-409C-BE32-E72D297353CC}">
                <c16:uniqueId val="{00000007-66EF-46DF-B26E-766B37D7939C}"/>
              </c:ext>
            </c:extLst>
          </c:dP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8-66EF-46DF-B26E-766B37D7939C}"/>
            </c:ext>
          </c:extLst>
        </c:ser>
        <c:ser>
          <c:idx val="0"/>
          <c:order val="1"/>
          <c:dPt>
            <c:idx val="0"/>
            <c:bubble3D val="0"/>
            <c:extLst>
              <c:ext xmlns:c16="http://schemas.microsoft.com/office/drawing/2014/chart" uri="{C3380CC4-5D6E-409C-BE32-E72D297353CC}">
                <c16:uniqueId val="{00000009-66EF-46DF-B26E-766B37D7939C}"/>
              </c:ext>
            </c:extLst>
          </c:dPt>
          <c:dPt>
            <c:idx val="1"/>
            <c:bubble3D val="0"/>
            <c:extLst>
              <c:ext xmlns:c16="http://schemas.microsoft.com/office/drawing/2014/chart" uri="{C3380CC4-5D6E-409C-BE32-E72D297353CC}">
                <c16:uniqueId val="{0000000A-66EF-46DF-B26E-766B37D7939C}"/>
              </c:ext>
            </c:extLst>
          </c:dPt>
          <c:dPt>
            <c:idx val="2"/>
            <c:bubble3D val="0"/>
            <c:extLst>
              <c:ext xmlns:c16="http://schemas.microsoft.com/office/drawing/2014/chart" uri="{C3380CC4-5D6E-409C-BE32-E72D297353CC}">
                <c16:uniqueId val="{0000000B-66EF-46DF-B26E-766B37D7939C}"/>
              </c:ext>
            </c:extLst>
          </c:dPt>
          <c:dPt>
            <c:idx val="3"/>
            <c:bubble3D val="0"/>
            <c:extLst>
              <c:ext xmlns:c16="http://schemas.microsoft.com/office/drawing/2014/chart" uri="{C3380CC4-5D6E-409C-BE32-E72D297353CC}">
                <c16:uniqueId val="{0000000C-66EF-46DF-B26E-766B37D7939C}"/>
              </c:ext>
            </c:extLst>
          </c:dPt>
          <c:cat>
            <c:strRef>
              <c:f>[12]GD3!$B$2:$E$2</c:f>
              <c:strCache>
                <c:ptCount val="4"/>
                <c:pt idx="0">
                  <c:v>Maestria Profesional</c:v>
                </c:pt>
                <c:pt idx="1">
                  <c:v>Maestria Acádemica</c:v>
                </c:pt>
                <c:pt idx="2">
                  <c:v>Especialidades</c:v>
                </c:pt>
                <c:pt idx="3">
                  <c:v>Doctorado</c:v>
                </c:pt>
              </c:strCache>
            </c:strRef>
          </c:cat>
          <c:val>
            <c:numRef>
              <c:f>[12]GD3!$B$3:$E$3</c:f>
              <c:numCache>
                <c:formatCode>General</c:formatCode>
                <c:ptCount val="4"/>
                <c:pt idx="0">
                  <c:v>35</c:v>
                </c:pt>
                <c:pt idx="1">
                  <c:v>31.15</c:v>
                </c:pt>
                <c:pt idx="2">
                  <c:v>29.23</c:v>
                </c:pt>
                <c:pt idx="3">
                  <c:v>4.62</c:v>
                </c:pt>
              </c:numCache>
            </c:numRef>
          </c:val>
          <c:extLst>
            <c:ext xmlns:c16="http://schemas.microsoft.com/office/drawing/2014/chart" uri="{C3380CC4-5D6E-409C-BE32-E72D297353CC}">
              <c16:uniqueId val="{0000000D-66EF-46DF-B26E-766B37D7939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4419603799525058E-2"/>
          <c:y val="0.23333343486803027"/>
          <c:w val="0.93699478510068135"/>
          <c:h val="0.61719510399691335"/>
        </c:manualLayout>
      </c:layout>
      <c:bar3DChart>
        <c:barDir val="col"/>
        <c:grouping val="clustered"/>
        <c:varyColors val="0"/>
        <c:ser>
          <c:idx val="0"/>
          <c:order val="0"/>
          <c:tx>
            <c:v>Materias matriculadas</c:v>
          </c:tx>
          <c:spPr>
            <a:solidFill>
              <a:srgbClr val="82DB45"/>
            </a:solidFill>
          </c:spPr>
          <c:invertIfNegative val="0"/>
          <c:dLbls>
            <c:dLbl>
              <c:idx val="0"/>
              <c:layout>
                <c:manualLayout>
                  <c:x val="-1.7497812773403325E-3"/>
                  <c:y val="0.1589817736197609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AE-4F60-8AF3-45D43B240475}"/>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AE-4F60-8AF3-45D43B240475}"/>
                </c:ext>
              </c:extLst>
            </c:dLbl>
            <c:dLbl>
              <c:idx val="2"/>
              <c:layout>
                <c:manualLayout>
                  <c:x val="-1.428392879461496E-7"/>
                  <c:y val="0.246960959148399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AE-4F60-8AF3-45D43B240475}"/>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AE-4F60-8AF3-45D43B240475}"/>
                </c:ext>
              </c:extLst>
            </c:dLbl>
            <c:dLbl>
              <c:idx val="4"/>
              <c:layout>
                <c:manualLayout>
                  <c:x val="1.0884353741496598E-2"/>
                  <c:y val="1.472504961270085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AE-4F60-8AF3-45D43B240475}"/>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'[13]GD-4'!$C$4:$C$8</c:f>
              <c:numCache>
                <c:formatCode>General</c:formatCode>
                <c:ptCount val="5"/>
                <c:pt idx="0">
                  <c:v>15136</c:v>
                </c:pt>
                <c:pt idx="1">
                  <c:v>16046</c:v>
                </c:pt>
                <c:pt idx="2">
                  <c:v>13463</c:v>
                </c:pt>
                <c:pt idx="3">
                  <c:v>778</c:v>
                </c:pt>
                <c:pt idx="4">
                  <c:v>68</c:v>
                </c:pt>
              </c:numCache>
            </c:numRef>
          </c:val>
          <c:extLst>
            <c:ext xmlns:c16="http://schemas.microsoft.com/office/drawing/2014/chart" uri="{C3380CC4-5D6E-409C-BE32-E72D297353CC}">
              <c16:uniqueId val="{00000005-51AE-4F60-8AF3-45D43B240475}"/>
            </c:ext>
          </c:extLst>
        </c:ser>
        <c:ser>
          <c:idx val="1"/>
          <c:order val="1"/>
          <c:tx>
            <c:v>Materias aprobadas</c:v>
          </c:tx>
          <c:spPr>
            <a:solidFill>
              <a:srgbClr val="FFFF99"/>
            </a:solidFill>
          </c:spPr>
          <c:invertIfNegative val="0"/>
          <c:dLbls>
            <c:dLbl>
              <c:idx val="0"/>
              <c:layout>
                <c:manualLayout>
                  <c:x val="0"/>
                  <c:y val="0.17620017010068864"/>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AE-4F60-8AF3-45D43B240475}"/>
                </c:ext>
              </c:extLst>
            </c:dLbl>
            <c:dLbl>
              <c:idx val="1"/>
              <c:layout>
                <c:manualLayout>
                  <c:x val="1.8140589569160999E-3"/>
                  <c:y val="0.2543844824275014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AE-4F60-8AF3-45D43B240475}"/>
                </c:ext>
              </c:extLst>
            </c:dLbl>
            <c:dLbl>
              <c:idx val="2"/>
              <c:layout>
                <c:manualLayout>
                  <c:x val="1.8140589569160999E-3"/>
                  <c:y val="0.1359175834727976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AE-4F60-8AF3-45D43B240475}"/>
                </c:ext>
              </c:extLst>
            </c:dLbl>
            <c:dLbl>
              <c:idx val="3"/>
              <c:layout>
                <c:manualLayout>
                  <c:x val="0"/>
                  <c:y val="3.6062809222017982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AE-4F60-8AF3-45D43B240475}"/>
                </c:ext>
              </c:extLst>
            </c:dLbl>
            <c:dLbl>
              <c:idx val="4"/>
              <c:layout>
                <c:manualLayout>
                  <c:x val="1.0884353741496598E-2"/>
                  <c:y val="1.5054276751991367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AE-4F60-8AF3-45D43B24047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'[13]GD-4'!$B$4:$B$8</c:f>
              <c:strCache>
                <c:ptCount val="5"/>
                <c:pt idx="0">
                  <c:v>Menos de 5</c:v>
                </c:pt>
                <c:pt idx="1">
                  <c:v>de 5 a 9</c:v>
                </c:pt>
                <c:pt idx="2">
                  <c:v>de 10 a 14</c:v>
                </c:pt>
                <c:pt idx="3">
                  <c:v>de 15 a 19</c:v>
                </c:pt>
                <c:pt idx="4">
                  <c:v>20 y más</c:v>
                </c:pt>
              </c:strCache>
            </c:strRef>
          </c:cat>
          <c:val>
            <c:numRef>
              <c:f>'[13]GD-4'!$D$4:$D$8</c:f>
              <c:numCache>
                <c:formatCode>General</c:formatCode>
                <c:ptCount val="5"/>
                <c:pt idx="0">
                  <c:v>18596</c:v>
                </c:pt>
                <c:pt idx="1">
                  <c:v>17372</c:v>
                </c:pt>
                <c:pt idx="2">
                  <c:v>8993</c:v>
                </c:pt>
                <c:pt idx="3">
                  <c:v>482</c:v>
                </c:pt>
                <c:pt idx="4">
                  <c:v>48</c:v>
                </c:pt>
              </c:numCache>
            </c:numRef>
          </c:val>
          <c:extLst>
            <c:ext xmlns:c16="http://schemas.microsoft.com/office/drawing/2014/chart" uri="{C3380CC4-5D6E-409C-BE32-E72D297353CC}">
              <c16:uniqueId val="{0000000B-51AE-4F60-8AF3-45D43B240475}"/>
            </c:ext>
          </c:extLst>
        </c:ser>
        <c:dLbls>
          <c:showLegendKey val="0"/>
          <c:showVal val="0"/>
          <c:showCatName val="0"/>
          <c:showSerName val="0"/>
          <c:showPercent val="0"/>
          <c:showBubbleSize val="0"/>
        </c:dLbls>
        <c:gapWidth val="150"/>
        <c:shape val="box"/>
        <c:axId val="128946848"/>
        <c:axId val="128949024"/>
        <c:axId val="0"/>
      </c:bar3DChart>
      <c:catAx>
        <c:axId val="1289468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9024"/>
        <c:crosses val="autoZero"/>
        <c:auto val="1"/>
        <c:lblAlgn val="ctr"/>
        <c:lblOffset val="100"/>
        <c:noMultiLvlLbl val="0"/>
      </c:catAx>
      <c:valAx>
        <c:axId val="12894902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46848"/>
        <c:crosses val="autoZero"/>
        <c:crossBetween val="between"/>
      </c:valAx>
      <c:spPr>
        <a:noFill/>
        <a:ln w="25400">
          <a:noFill/>
        </a:ln>
      </c:spPr>
    </c:plotArea>
    <c:legend>
      <c:legendPos val="r"/>
      <c:layout>
        <c:manualLayout>
          <c:xMode val="edge"/>
          <c:yMode val="edge"/>
          <c:x val="0.6415481194135747"/>
          <c:y val="0.92239743058433477"/>
          <c:w val="0.33889409024655459"/>
          <c:h val="5.3949026108578546E-2"/>
        </c:manualLayout>
      </c:layout>
      <c:overlay val="0"/>
      <c:spPr>
        <a:ln cap="rnd">
          <a:solidFill>
            <a:schemeClr val="bg1">
              <a:lumMod val="65000"/>
            </a:schemeClr>
          </a:solidFill>
          <a:round/>
        </a:ln>
        <a:effectLst/>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20190803794576873"/>
          <c:w val="0.93699478510068135"/>
          <c:h val="0.67355049595703254"/>
        </c:manualLayout>
      </c:layout>
      <c:bar3DChart>
        <c:barDir val="col"/>
        <c:grouping val="clustered"/>
        <c:varyColors val="0"/>
        <c:ser>
          <c:idx val="0"/>
          <c:order val="0"/>
          <c:tx>
            <c:v>Créditos  matriculados</c:v>
          </c:tx>
          <c:spPr>
            <a:solidFill>
              <a:srgbClr val="3599EB"/>
            </a:solidFill>
          </c:spPr>
          <c:invertIfNegative val="0"/>
          <c:dLbls>
            <c:dLbl>
              <c:idx val="0"/>
              <c:layout>
                <c:manualLayout>
                  <c:x val="-1.7497369708856995E-3"/>
                  <c:y val="4.899300069690795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A-40DA-A371-9ABFE60F10AA}"/>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5A-40DA-A371-9ABFE60F10AA}"/>
                </c:ext>
              </c:extLst>
            </c:dLbl>
            <c:dLbl>
              <c:idx val="2"/>
              <c:layout>
                <c:manualLayout>
                  <c:x val="-1.3222526789623897E-7"/>
                  <c:y val="0.193088928318871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5A-40DA-A371-9ABFE60F10AA}"/>
                </c:ext>
              </c:extLst>
            </c:dLbl>
            <c:dLbl>
              <c:idx val="3"/>
              <c:layout>
                <c:manualLayout>
                  <c:x val="0"/>
                  <c:y val="0.3126262295087762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5A-40DA-A371-9ABFE60F10AA}"/>
                </c:ext>
              </c:extLst>
            </c:dLbl>
            <c:dLbl>
              <c:idx val="4"/>
              <c:layout>
                <c:manualLayout>
                  <c:x val="8.0879763447290606E-4"/>
                  <c:y val="6.97852128345548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5A-40DA-A371-9ABFE60F10AA}"/>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'[14]GD-5'!$D$4:$D$8</c:f>
              <c:numCache>
                <c:formatCode>General</c:formatCode>
                <c:ptCount val="5"/>
                <c:pt idx="0">
                  <c:v>2412</c:v>
                </c:pt>
                <c:pt idx="1">
                  <c:v>9133</c:v>
                </c:pt>
                <c:pt idx="2">
                  <c:v>11626</c:v>
                </c:pt>
                <c:pt idx="3">
                  <c:v>19679</c:v>
                </c:pt>
                <c:pt idx="4">
                  <c:v>2641</c:v>
                </c:pt>
              </c:numCache>
            </c:numRef>
          </c:val>
          <c:extLst>
            <c:ext xmlns:c16="http://schemas.microsoft.com/office/drawing/2014/chart" uri="{C3380CC4-5D6E-409C-BE32-E72D297353CC}">
              <c16:uniqueId val="{00000005-C35A-40DA-A371-9ABFE60F10AA}"/>
            </c:ext>
          </c:extLst>
        </c:ser>
        <c:ser>
          <c:idx val="1"/>
          <c:order val="1"/>
          <c:tx>
            <c:v>Créditos aprobados</c:v>
          </c:tx>
          <c:spPr>
            <a:solidFill>
              <a:srgbClr val="CCFFFF"/>
            </a:solidFill>
          </c:spPr>
          <c:invertIfNegative val="0"/>
          <c:dLbls>
            <c:dLbl>
              <c:idx val="0"/>
              <c:layout>
                <c:manualLayout>
                  <c:x val="0"/>
                  <c:y val="8.64134055185990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5A-40DA-A371-9ABFE60F10AA}"/>
                </c:ext>
              </c:extLst>
            </c:dLbl>
            <c:dLbl>
              <c:idx val="1"/>
              <c:layout>
                <c:manualLayout>
                  <c:x val="-3.2237842580793937E-3"/>
                  <c:y val="0.2274484525833050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5A-40DA-A371-9ABFE60F10AA}"/>
                </c:ext>
              </c:extLst>
            </c:dLbl>
            <c:dLbl>
              <c:idx val="2"/>
              <c:layout>
                <c:manualLayout>
                  <c:x val="1.8139984511132111E-3"/>
                  <c:y val="0.203257633775662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5A-40DA-A371-9ABFE60F10AA}"/>
                </c:ext>
              </c:extLst>
            </c:dLbl>
            <c:dLbl>
              <c:idx val="3"/>
              <c:layout>
                <c:manualLayout>
                  <c:x val="0"/>
                  <c:y val="0.21339169709195147"/>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5A-40DA-A371-9ABFE60F10AA}"/>
                </c:ext>
              </c:extLst>
            </c:dLbl>
            <c:dLbl>
              <c:idx val="4"/>
              <c:layout>
                <c:manualLayout>
                  <c:x val="4.167211544958499E-3"/>
                  <c:y val="5.096901667046964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5A-40DA-A371-9ABFE60F1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'[14]GD-5'!$C$4:$C$8</c:f>
              <c:strCache>
                <c:ptCount val="5"/>
                <c:pt idx="0">
                  <c:v>Cero créditos</c:v>
                </c:pt>
                <c:pt idx="1">
                  <c:v>de 1 a menos de 12</c:v>
                </c:pt>
                <c:pt idx="2">
                  <c:v>de 12 a menos de 24</c:v>
                </c:pt>
                <c:pt idx="3">
                  <c:v>de 24 a menos de 36</c:v>
                </c:pt>
                <c:pt idx="4">
                  <c:v>36 y más</c:v>
                </c:pt>
              </c:strCache>
            </c:strRef>
          </c:cat>
          <c:val>
            <c:numRef>
              <c:f>'[14]GD-5'!$E$4:$E$8</c:f>
              <c:numCache>
                <c:formatCode>General</c:formatCode>
                <c:ptCount val="5"/>
                <c:pt idx="0">
                  <c:v>6190</c:v>
                </c:pt>
                <c:pt idx="1">
                  <c:v>11291</c:v>
                </c:pt>
                <c:pt idx="2">
                  <c:v>12519</c:v>
                </c:pt>
                <c:pt idx="3">
                  <c:v>13963</c:v>
                </c:pt>
                <c:pt idx="4">
                  <c:v>1528</c:v>
                </c:pt>
              </c:numCache>
            </c:numRef>
          </c:val>
          <c:extLst>
            <c:ext xmlns:c16="http://schemas.microsoft.com/office/drawing/2014/chart" uri="{C3380CC4-5D6E-409C-BE32-E72D297353CC}">
              <c16:uniqueId val="{0000000B-C35A-40DA-A371-9ABFE60F10AA}"/>
            </c:ext>
          </c:extLst>
        </c:ser>
        <c:dLbls>
          <c:showLegendKey val="0"/>
          <c:showVal val="0"/>
          <c:showCatName val="0"/>
          <c:showSerName val="0"/>
          <c:showPercent val="0"/>
          <c:showBubbleSize val="0"/>
        </c:dLbls>
        <c:gapWidth val="150"/>
        <c:shape val="box"/>
        <c:axId val="128951744"/>
        <c:axId val="1994232048"/>
        <c:axId val="0"/>
      </c:bar3DChart>
      <c:catAx>
        <c:axId val="1289517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994232048"/>
        <c:crosses val="autoZero"/>
        <c:auto val="1"/>
        <c:lblAlgn val="ctr"/>
        <c:lblOffset val="100"/>
        <c:noMultiLvlLbl val="0"/>
      </c:catAx>
      <c:valAx>
        <c:axId val="19942320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28951744"/>
        <c:crosses val="autoZero"/>
        <c:crossBetween val="between"/>
      </c:valAx>
      <c:spPr>
        <a:noFill/>
        <a:ln w="25400">
          <a:noFill/>
        </a:ln>
      </c:spPr>
    </c:plotArea>
    <c:legend>
      <c:legendPos val="r"/>
      <c:layout>
        <c:manualLayout>
          <c:xMode val="edge"/>
          <c:yMode val="edge"/>
          <c:x val="0.66078035815143366"/>
          <c:y val="0.94005285671470995"/>
          <c:w val="0.31393401774145324"/>
          <c:h val="3.5756568491222329E-2"/>
        </c:manualLayout>
      </c:layout>
      <c:overlay val="0"/>
      <c:spPr>
        <a:ln cap="rnd">
          <a:solidFill>
            <a:schemeClr val="bg1">
              <a:lumMod val="65000"/>
            </a:schemeClr>
          </a:solidFill>
          <a:round/>
        </a:ln>
        <a:effectLst/>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
</a:t>
            </a:r>
          </a:p>
        </c:rich>
      </c:tx>
      <c:layout>
        <c:manualLayout>
          <c:xMode val="edge"/>
          <c:yMode val="edge"/>
          <c:x val="0.24699467734131"/>
          <c:y val="4.2696469392938786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0057713497109928"/>
          <c:y val="0.24721129858767668"/>
          <c:w val="0.44668196810126781"/>
          <c:h val="0.74702742157230362"/>
        </c:manualLayout>
      </c:layout>
      <c:pie3DChart>
        <c:varyColors val="1"/>
        <c:ser>
          <c:idx val="3"/>
          <c:order val="0"/>
          <c:dPt>
            <c:idx val="0"/>
            <c:bubble3D val="0"/>
            <c:spPr>
              <a:solidFill>
                <a:schemeClr val="accent4">
                  <a:lumMod val="75000"/>
                </a:schemeClr>
              </a:solidFill>
            </c:spPr>
            <c:extLst>
              <c:ext xmlns:c16="http://schemas.microsoft.com/office/drawing/2014/chart" uri="{C3380CC4-5D6E-409C-BE32-E72D297353CC}">
                <c16:uniqueId val="{00000001-E8F0-4E26-A139-966C969BF153}"/>
              </c:ext>
            </c:extLst>
          </c:dPt>
          <c:dPt>
            <c:idx val="1"/>
            <c:bubble3D val="0"/>
            <c:spPr>
              <a:solidFill>
                <a:schemeClr val="accent2">
                  <a:lumMod val="20000"/>
                  <a:lumOff val="80000"/>
                </a:schemeClr>
              </a:solidFill>
            </c:spPr>
            <c:extLst>
              <c:ext xmlns:c16="http://schemas.microsoft.com/office/drawing/2014/chart" uri="{C3380CC4-5D6E-409C-BE32-E72D297353CC}">
                <c16:uniqueId val="{00000003-E8F0-4E26-A139-966C969BF153}"/>
              </c:ext>
            </c:extLst>
          </c:dPt>
          <c:dPt>
            <c:idx val="2"/>
            <c:bubble3D val="0"/>
            <c:spPr>
              <a:solidFill>
                <a:schemeClr val="accent4">
                  <a:lumMod val="60000"/>
                  <a:lumOff val="40000"/>
                </a:schemeClr>
              </a:solidFill>
            </c:spPr>
            <c:extLst>
              <c:ext xmlns:c16="http://schemas.microsoft.com/office/drawing/2014/chart" uri="{C3380CC4-5D6E-409C-BE32-E72D297353CC}">
                <c16:uniqueId val="{00000005-E8F0-4E26-A139-966C969BF153}"/>
              </c:ext>
            </c:extLst>
          </c:dPt>
          <c:dLbls>
            <c:dLbl>
              <c:idx val="0"/>
              <c:tx>
                <c:rich>
                  <a:bodyPr/>
                  <a:lstStyle/>
                  <a:p>
                    <a:pPr>
                      <a:defRPr sz="1000" b="0" i="0" u="none" strike="noStrike" baseline="0">
                        <a:solidFill>
                          <a:srgbClr val="000000"/>
                        </a:solidFill>
                        <a:latin typeface="Times New Roman"/>
                        <a:ea typeface="Times New Roman"/>
                        <a:cs typeface="Times New Roman"/>
                      </a:defRPr>
                    </a:pPr>
                    <a:r>
                      <a:rPr lang="en-US"/>
                      <a:t>Bachiller 62,76</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F0-4E26-A139-966C969BF153}"/>
                </c:ext>
              </c:extLst>
            </c:dLbl>
            <c:dLbl>
              <c:idx val="1"/>
              <c:tx>
                <c:rich>
                  <a:bodyPr/>
                  <a:lstStyle/>
                  <a:p>
                    <a:pPr>
                      <a:defRPr sz="1000" b="0" i="0" u="none" strike="noStrike" baseline="0">
                        <a:solidFill>
                          <a:srgbClr val="000000"/>
                        </a:solidFill>
                        <a:latin typeface="Times New Roman"/>
                        <a:ea typeface="Times New Roman"/>
                        <a:cs typeface="Times New Roman"/>
                      </a:defRPr>
                    </a:pPr>
                    <a:r>
                      <a:rPr lang="en-US"/>
                      <a:t>Licenciado 32,31 </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8F0-4E26-A139-966C969BF153}"/>
                </c:ext>
              </c:extLst>
            </c:dLbl>
            <c:dLbl>
              <c:idx val="2"/>
              <c:tx>
                <c:rich>
                  <a:bodyPr/>
                  <a:lstStyle/>
                  <a:p>
                    <a:pPr>
                      <a:defRPr sz="1000" b="0" i="0" u="none" strike="noStrike" baseline="0">
                        <a:solidFill>
                          <a:srgbClr val="000000"/>
                        </a:solidFill>
                        <a:latin typeface="Times New Roman"/>
                        <a:ea typeface="Times New Roman"/>
                        <a:cs typeface="Times New Roman"/>
                      </a:defRPr>
                    </a:pPr>
                    <a:r>
                      <a:rPr lang="en-US"/>
                      <a:t>Diplomado 4,93</a:t>
                    </a:r>
                  </a:p>
                </c:rich>
              </c:tx>
              <c:numFmt formatCode="#,##0" sourceLinked="0"/>
              <c:spPr>
                <a:noFill/>
                <a:ln w="25400">
                  <a:noFill/>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8F0-4E26-A139-966C969BF153}"/>
                </c:ext>
              </c:extLst>
            </c:dLbl>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[15]GD6!$B$4:$D$4</c:f>
              <c:strCache>
                <c:ptCount val="3"/>
                <c:pt idx="0">
                  <c:v>Bachiller</c:v>
                </c:pt>
                <c:pt idx="1">
                  <c:v>Licenciado</c:v>
                </c:pt>
                <c:pt idx="2">
                  <c:v>Diplomado</c:v>
                </c:pt>
              </c:strCache>
            </c:strRef>
          </c:cat>
          <c:val>
            <c:numRef>
              <c:f>[15]GD6!$B$5:$D$5</c:f>
              <c:numCache>
                <c:formatCode>General</c:formatCode>
                <c:ptCount val="3"/>
                <c:pt idx="0">
                  <c:v>62.76</c:v>
                </c:pt>
                <c:pt idx="1">
                  <c:v>32.309442548350397</c:v>
                </c:pt>
                <c:pt idx="2">
                  <c:v>4.93</c:v>
                </c:pt>
              </c:numCache>
            </c:numRef>
          </c:val>
          <c:extLst>
            <c:ext xmlns:c16="http://schemas.microsoft.com/office/drawing/2014/chart" uri="{C3380CC4-5D6E-409C-BE32-E72D297353CC}">
              <c16:uniqueId val="{00000006-E8F0-4E26-A139-966C969BF15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000000000000022" l="0.70000000000000018" r="0.70000000000000018" t="0.75000000000000022" header="0.3000000000000001" footer="0.3000000000000001"/>
    <c:pageSetup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en la U.C.R., por área</a:t>
            </a:r>
          </a:p>
        </c:rich>
      </c:tx>
      <c:layout>
        <c:manualLayout>
          <c:xMode val="edge"/>
          <c:yMode val="edge"/>
          <c:x val="0.16359147116919662"/>
          <c:y val="8.3840325744405919E-2"/>
        </c:manualLayout>
      </c:layout>
      <c:overlay val="1"/>
      <c:spPr>
        <a:noFill/>
        <a:ln w="25400">
          <a:noFill/>
        </a:ln>
      </c:spPr>
    </c:title>
    <c:autoTitleDeleted val="0"/>
    <c:plotArea>
      <c:layout>
        <c:manualLayout>
          <c:layoutTarget val="inner"/>
          <c:xMode val="edge"/>
          <c:yMode val="edge"/>
          <c:x val="0.11341632088520055"/>
          <c:y val="0.22743055555555555"/>
          <c:w val="0.85477178423236511"/>
          <c:h val="0.65972222222222221"/>
        </c:manualLayout>
      </c:layout>
      <c:barChart>
        <c:barDir val="bar"/>
        <c:grouping val="stacked"/>
        <c:varyColors val="0"/>
        <c:ser>
          <c:idx val="1"/>
          <c:order val="0"/>
          <c:spPr>
            <a:solidFill>
              <a:srgbClr val="9999FF"/>
            </a:solidFill>
          </c:spPr>
          <c:invertIfNegative val="0"/>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([16]GD7!$B$2,[16]GD7!$B$3,[16]GD7!$B$4,[16]GD7!$B$5,[16]GD7!$B$6,[16]GD7!$B$7,[16]GD7!$B$8)</c:f>
              <c:strCache>
                <c:ptCount val="7"/>
                <c:pt idx="0">
                  <c:v>Cs. Básicas</c:v>
                </c:pt>
                <c:pt idx="1">
                  <c:v>Cs. Agroalimentarias</c:v>
                </c:pt>
                <c:pt idx="2">
                  <c:v>Artes y Letras </c:v>
                </c:pt>
                <c:pt idx="3">
                  <c:v>Ing. y Arquitectura</c:v>
                </c:pt>
                <c:pt idx="4">
                  <c:v>Salud</c:v>
                </c:pt>
                <c:pt idx="5">
                  <c:v>Sedes Regionales</c:v>
                </c:pt>
                <c:pt idx="6">
                  <c:v>Cs. Sociales</c:v>
                </c:pt>
              </c:strCache>
            </c:strRef>
          </c:cat>
          <c:val>
            <c:numRef>
              <c:f>([16]GD7!$C$2,[16]GD7!$C$3,[16]GD7!$C$4,[16]GD7!$C$5,[16]GD7!$C$6,[16]GD7!$C$7,[16]GD7!$C$8)</c:f>
              <c:numCache>
                <c:formatCode>General</c:formatCode>
                <c:ptCount val="7"/>
                <c:pt idx="0">
                  <c:v>157</c:v>
                </c:pt>
                <c:pt idx="1">
                  <c:v>183</c:v>
                </c:pt>
                <c:pt idx="2">
                  <c:v>302</c:v>
                </c:pt>
                <c:pt idx="3">
                  <c:v>580</c:v>
                </c:pt>
                <c:pt idx="4">
                  <c:v>653</c:v>
                </c:pt>
                <c:pt idx="5">
                  <c:v>1326</c:v>
                </c:pt>
                <c:pt idx="6">
                  <c:v>2073</c:v>
                </c:pt>
              </c:numCache>
            </c:numRef>
          </c:val>
          <c:extLst>
            <c:ext xmlns:c16="http://schemas.microsoft.com/office/drawing/2014/chart" uri="{C3380CC4-5D6E-409C-BE32-E72D297353CC}">
              <c16:uniqueId val="{00000000-31ED-4E7D-95B2-AAA309DF91CE}"/>
            </c:ext>
          </c:extLst>
        </c:ser>
        <c:dLbls>
          <c:showLegendKey val="0"/>
          <c:showVal val="0"/>
          <c:showCatName val="0"/>
          <c:showSerName val="0"/>
          <c:showPercent val="0"/>
          <c:showBubbleSize val="0"/>
        </c:dLbls>
        <c:gapWidth val="87"/>
        <c:overlap val="100"/>
        <c:axId val="1994227696"/>
        <c:axId val="1994225520"/>
      </c:barChart>
      <c:catAx>
        <c:axId val="1994227696"/>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5520"/>
        <c:crosses val="autoZero"/>
        <c:auto val="1"/>
        <c:lblAlgn val="ctr"/>
        <c:lblOffset val="100"/>
        <c:noMultiLvlLbl val="0"/>
      </c:catAx>
      <c:valAx>
        <c:axId val="1994225520"/>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994227696"/>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títulaciones otorgados en pregrado y grado, por área y genero en la U.C.R</a:t>
            </a:r>
          </a:p>
        </c:rich>
      </c:tx>
      <c:layout>
        <c:manualLayout>
          <c:xMode val="edge"/>
          <c:yMode val="edge"/>
          <c:x val="0.16359149778408846"/>
          <c:y val="8.3840419947506559E-2"/>
        </c:manualLayout>
      </c:layout>
      <c:overlay val="1"/>
      <c:spPr>
        <a:noFill/>
        <a:ln w="25400">
          <a:noFill/>
        </a:ln>
      </c:spPr>
    </c:title>
    <c:autoTitleDeleted val="0"/>
    <c:plotArea>
      <c:layout>
        <c:manualLayout>
          <c:layoutTarget val="inner"/>
          <c:xMode val="edge"/>
          <c:yMode val="edge"/>
          <c:x val="0.1475334255417243"/>
          <c:y val="0.21490467937608318"/>
          <c:w val="0.82342093130474869"/>
          <c:h val="0.65337954939341425"/>
        </c:manualLayout>
      </c:layout>
      <c:barChart>
        <c:barDir val="bar"/>
        <c:grouping val="clustered"/>
        <c:varyColors val="0"/>
        <c:ser>
          <c:idx val="0"/>
          <c:order val="0"/>
          <c:tx>
            <c:strRef>
              <c:f>'[17]GD7.1'!$D$2</c:f>
              <c:strCache>
                <c:ptCount val="1"/>
                <c:pt idx="0">
                  <c:v>Masculino</c:v>
                </c:pt>
              </c:strCache>
            </c:strRef>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'[17]GD7.1'!$D$3:$D$9</c:f>
              <c:numCache>
                <c:formatCode>General</c:formatCode>
                <c:ptCount val="7"/>
                <c:pt idx="0">
                  <c:v>80</c:v>
                </c:pt>
                <c:pt idx="1">
                  <c:v>73</c:v>
                </c:pt>
                <c:pt idx="2">
                  <c:v>411</c:v>
                </c:pt>
                <c:pt idx="3">
                  <c:v>117</c:v>
                </c:pt>
                <c:pt idx="4">
                  <c:v>206</c:v>
                </c:pt>
                <c:pt idx="5">
                  <c:v>515</c:v>
                </c:pt>
                <c:pt idx="6">
                  <c:v>754</c:v>
                </c:pt>
              </c:numCache>
            </c:numRef>
          </c:val>
          <c:extLst>
            <c:ext xmlns:c16="http://schemas.microsoft.com/office/drawing/2014/chart" uri="{C3380CC4-5D6E-409C-BE32-E72D297353CC}">
              <c16:uniqueId val="{00000000-76E5-48D9-87CA-792F5E4AD3AC}"/>
            </c:ext>
          </c:extLst>
        </c:ser>
        <c:ser>
          <c:idx val="2"/>
          <c:order val="1"/>
          <c:tx>
            <c:strRef>
              <c:f>'[17]GD7.1'!$C$2</c:f>
              <c:strCache>
                <c:ptCount val="1"/>
                <c:pt idx="0">
                  <c:v>Femenino</c:v>
                </c:pt>
              </c:strCache>
            </c:strRef>
          </c:tx>
          <c:spPr>
            <a:solidFill>
              <a:schemeClr val="accent6"/>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('[17]GD7.1'!$B$3,'[17]GD7.1'!$B$4,'[17]GD7.1'!$B$5,'[17]GD7.1'!$B$6,'[17]GD7.1'!$B$7,'[17]GD7.1'!$B$8,'[17]GD7.1'!$B$9)</c:f>
              <c:strCache>
                <c:ptCount val="7"/>
                <c:pt idx="0">
                  <c:v>Cs. Básicas</c:v>
                </c:pt>
                <c:pt idx="1">
                  <c:v>Cs. Agroalimentarias</c:v>
                </c:pt>
                <c:pt idx="2">
                  <c:v>Ing. y Arquitectura</c:v>
                </c:pt>
                <c:pt idx="3">
                  <c:v>Artes y Letras </c:v>
                </c:pt>
                <c:pt idx="4">
                  <c:v>Salud</c:v>
                </c:pt>
                <c:pt idx="5">
                  <c:v>Sedes Regionales</c:v>
                </c:pt>
                <c:pt idx="6">
                  <c:v>Cs. Sociales</c:v>
                </c:pt>
              </c:strCache>
            </c:strRef>
          </c:cat>
          <c:val>
            <c:numRef>
              <c:f>'[17]GD7.1'!$C$3:$C$9</c:f>
              <c:numCache>
                <c:formatCode>General</c:formatCode>
                <c:ptCount val="7"/>
                <c:pt idx="0">
                  <c:v>77</c:v>
                </c:pt>
                <c:pt idx="1">
                  <c:v>110</c:v>
                </c:pt>
                <c:pt idx="2">
                  <c:v>169</c:v>
                </c:pt>
                <c:pt idx="3">
                  <c:v>185</c:v>
                </c:pt>
                <c:pt idx="4">
                  <c:v>447</c:v>
                </c:pt>
                <c:pt idx="5">
                  <c:v>811</c:v>
                </c:pt>
                <c:pt idx="6">
                  <c:v>1319</c:v>
                </c:pt>
              </c:numCache>
            </c:numRef>
          </c:val>
          <c:extLst>
            <c:ext xmlns:c16="http://schemas.microsoft.com/office/drawing/2014/chart" uri="{C3380CC4-5D6E-409C-BE32-E72D297353CC}">
              <c16:uniqueId val="{00000001-76E5-48D9-87CA-792F5E4AD3AC}"/>
            </c:ext>
          </c:extLst>
        </c:ser>
        <c:dLbls>
          <c:showLegendKey val="0"/>
          <c:showVal val="0"/>
          <c:showCatName val="0"/>
          <c:showSerName val="0"/>
          <c:showPercent val="0"/>
          <c:showBubbleSize val="0"/>
        </c:dLbls>
        <c:gapWidth val="97"/>
        <c:axId val="1437973296"/>
        <c:axId val="1437976016"/>
      </c:barChart>
      <c:catAx>
        <c:axId val="1437973296"/>
        <c:scaling>
          <c:orientation val="minMax"/>
        </c:scaling>
        <c:delete val="0"/>
        <c:axPos val="l"/>
        <c:numFmt formatCode="General" sourceLinked="1"/>
        <c:majorTickMark val="out"/>
        <c:minorTickMark val="none"/>
        <c:tickLblPos val="nextTo"/>
        <c:txPr>
          <a:bodyPr rot="-2520000" vert="horz"/>
          <a:lstStyle/>
          <a:p>
            <a:pPr>
              <a:defRPr sz="900" b="0" i="0" u="none" strike="noStrike" baseline="0">
                <a:solidFill>
                  <a:srgbClr val="000000"/>
                </a:solidFill>
                <a:latin typeface="Times New Roman"/>
                <a:ea typeface="Times New Roman"/>
                <a:cs typeface="Times New Roman"/>
              </a:defRPr>
            </a:pPr>
            <a:endParaRPr lang="es-CR"/>
          </a:p>
        </c:txPr>
        <c:crossAx val="1437976016"/>
        <c:crosses val="autoZero"/>
        <c:auto val="1"/>
        <c:lblAlgn val="ctr"/>
        <c:lblOffset val="100"/>
        <c:noMultiLvlLbl val="0"/>
      </c:catAx>
      <c:valAx>
        <c:axId val="14379760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973296"/>
        <c:crosses val="autoZero"/>
        <c:crossBetween val="between"/>
        <c:majorUnit val="100"/>
      </c:valAx>
      <c:spPr>
        <a:ln>
          <a:solidFill>
            <a:schemeClr val="bg1">
              <a:lumMod val="75000"/>
            </a:schemeClr>
          </a:solidFill>
        </a:ln>
      </c:spPr>
    </c:plotArea>
    <c:legend>
      <c:legendPos val="r"/>
      <c:layout>
        <c:manualLayout>
          <c:xMode val="edge"/>
          <c:yMode val="edge"/>
          <c:x val="0.74707628759519817"/>
          <c:y val="0.93871443569553803"/>
          <c:w val="0.18314243506446937"/>
          <c:h val="3.456080489938762E-2"/>
        </c:manualLayout>
      </c:layout>
      <c:overlay val="0"/>
      <c:spPr>
        <a:ln>
          <a:solidFill>
            <a:schemeClr val="bg1">
              <a:lumMod val="65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4699466551852475"/>
          <c:y val="2.807621741457075E-2"/>
        </c:manualLayout>
      </c:layout>
      <c:overlay val="0"/>
      <c:spPr>
        <a:noFill/>
        <a:ln w="25400">
          <a:noFill/>
        </a:ln>
      </c:spPr>
    </c:title>
    <c:autoTitleDeleted val="0"/>
    <c:view3D>
      <c:rotX val="80"/>
      <c:rotY val="0"/>
      <c:rAngAx val="0"/>
      <c:perspective val="0"/>
    </c:view3D>
    <c:floor>
      <c:thickness val="0"/>
    </c:floor>
    <c:sideWall>
      <c:thickness val="0"/>
    </c:sideWall>
    <c:backWall>
      <c:thickness val="0"/>
    </c:backWall>
    <c:plotArea>
      <c:layout>
        <c:manualLayout>
          <c:layoutTarget val="inner"/>
          <c:xMode val="edge"/>
          <c:yMode val="edge"/>
          <c:x val="0.28740076721179081"/>
          <c:y val="0.20899775028121484"/>
          <c:w val="0.43992834462125802"/>
          <c:h val="0.73627465316835394"/>
        </c:manualLayout>
      </c:layout>
      <c:pie3DChart>
        <c:varyColors val="1"/>
        <c:ser>
          <c:idx val="3"/>
          <c:order val="0"/>
          <c:dPt>
            <c:idx val="0"/>
            <c:bubble3D val="0"/>
            <c:explosion val="7"/>
            <c:spPr>
              <a:solidFill>
                <a:schemeClr val="accent3">
                  <a:lumMod val="60000"/>
                  <a:lumOff val="40000"/>
                </a:schemeClr>
              </a:solidFill>
            </c:spPr>
            <c:extLst>
              <c:ext xmlns:c16="http://schemas.microsoft.com/office/drawing/2014/chart" uri="{C3380CC4-5D6E-409C-BE32-E72D297353CC}">
                <c16:uniqueId val="{00000001-1800-42BD-B3DF-0F9BCCC4D18D}"/>
              </c:ext>
            </c:extLst>
          </c:dPt>
          <c:dPt>
            <c:idx val="1"/>
            <c:bubble3D val="0"/>
            <c:explosion val="3"/>
            <c:spPr>
              <a:solidFill>
                <a:srgbClr val="FFFF99"/>
              </a:solidFill>
            </c:spPr>
            <c:extLst>
              <c:ext xmlns:c16="http://schemas.microsoft.com/office/drawing/2014/chart" uri="{C3380CC4-5D6E-409C-BE32-E72D297353CC}">
                <c16:uniqueId val="{00000003-1800-42BD-B3DF-0F9BCCC4D18D}"/>
              </c:ext>
            </c:extLst>
          </c:dPt>
          <c:dPt>
            <c:idx val="2"/>
            <c:bubble3D val="0"/>
            <c:explosion val="4"/>
            <c:spPr>
              <a:solidFill>
                <a:schemeClr val="accent2">
                  <a:lumMod val="40000"/>
                  <a:lumOff val="60000"/>
                </a:schemeClr>
              </a:solidFill>
            </c:spPr>
            <c:extLst>
              <c:ext xmlns:c16="http://schemas.microsoft.com/office/drawing/2014/chart" uri="{C3380CC4-5D6E-409C-BE32-E72D297353CC}">
                <c16:uniqueId val="{00000005-1800-42BD-B3DF-0F9BCCC4D18D}"/>
              </c:ext>
            </c:extLst>
          </c:dPt>
          <c:dPt>
            <c:idx val="3"/>
            <c:bubble3D val="0"/>
            <c:explosion val="7"/>
            <c:spPr>
              <a:solidFill>
                <a:schemeClr val="accent6">
                  <a:lumMod val="40000"/>
                  <a:lumOff val="60000"/>
                </a:schemeClr>
              </a:solidFill>
            </c:spPr>
            <c:extLst>
              <c:ext xmlns:c16="http://schemas.microsoft.com/office/drawing/2014/chart" uri="{C3380CC4-5D6E-409C-BE32-E72D297353CC}">
                <c16:uniqueId val="{00000007-1800-42BD-B3DF-0F9BCCC4D18D}"/>
              </c:ext>
            </c:extLst>
          </c:dPt>
          <c:dLbls>
            <c:dLbl>
              <c:idx val="0"/>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00-42BD-B3DF-0F9BCCC4D18D}"/>
                </c:ext>
              </c:extLst>
            </c:dLbl>
            <c:dLbl>
              <c:idx val="1"/>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00-42BD-B3DF-0F9BCCC4D18D}"/>
                </c:ext>
              </c:extLst>
            </c:dLbl>
            <c:dLbl>
              <c:idx val="2"/>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00-42BD-B3DF-0F9BCCC4D18D}"/>
                </c:ext>
              </c:extLst>
            </c:dLbl>
            <c:dLbl>
              <c:idx val="3"/>
              <c:numFmt formatCode="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00-42BD-B3DF-0F9BCCC4D18D}"/>
                </c:ext>
              </c:extLst>
            </c:dLbl>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[18]Hoja1!$G$2:$G$5</c:f>
              <c:strCache>
                <c:ptCount val="4"/>
                <c:pt idx="0">
                  <c:v>Maestría Profesional</c:v>
                </c:pt>
                <c:pt idx="1">
                  <c:v>Especialidades</c:v>
                </c:pt>
                <c:pt idx="2">
                  <c:v>Maestría</c:v>
                </c:pt>
                <c:pt idx="3">
                  <c:v>Doctorado</c:v>
                </c:pt>
              </c:strCache>
            </c:strRef>
          </c:cat>
          <c:val>
            <c:numRef>
              <c:f>[18]Hoja1!$H$2:$H$5</c:f>
              <c:numCache>
                <c:formatCode>General</c:formatCode>
                <c:ptCount val="4"/>
                <c:pt idx="1">
                  <c:v>254</c:v>
                </c:pt>
                <c:pt idx="2">
                  <c:v>339</c:v>
                </c:pt>
                <c:pt idx="3">
                  <c:v>21</c:v>
                </c:pt>
              </c:numCache>
            </c:numRef>
          </c:val>
          <c:extLst>
            <c:ext xmlns:c16="http://schemas.microsoft.com/office/drawing/2014/chart" uri="{C3380CC4-5D6E-409C-BE32-E72D297353CC}">
              <c16:uniqueId val="{00000008-1800-42BD-B3DF-0F9BCCC4D18D}"/>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las especialidades, maestrias y doctorados otorgados del Sistema de Estudios de Posgrado, por genero en la U.C.R.</a:t>
            </a:r>
          </a:p>
        </c:rich>
      </c:tx>
      <c:layout>
        <c:manualLayout>
          <c:xMode val="edge"/>
          <c:yMode val="edge"/>
          <c:x val="0.16359151534629601"/>
          <c:y val="7.6920055581287644E-2"/>
        </c:manualLayout>
      </c:layout>
      <c:overlay val="1"/>
      <c:spPr>
        <a:noFill/>
        <a:ln w="25400">
          <a:noFill/>
        </a:ln>
      </c:spPr>
    </c:title>
    <c:autoTitleDeleted val="0"/>
    <c:plotArea>
      <c:layout>
        <c:manualLayout>
          <c:layoutTarget val="inner"/>
          <c:xMode val="edge"/>
          <c:yMode val="edge"/>
          <c:x val="0.11497450162262401"/>
          <c:y val="0.23702422145328719"/>
          <c:w val="0.83727399165507654"/>
          <c:h val="0.63148788927335642"/>
        </c:manualLayout>
      </c:layout>
      <c:barChart>
        <c:barDir val="bar"/>
        <c:grouping val="clustered"/>
        <c:varyColors val="0"/>
        <c:ser>
          <c:idx val="1"/>
          <c:order val="0"/>
          <c:tx>
            <c:strRef>
              <c:f>'[19]GD8.1'!$C$2</c:f>
              <c:strCache>
                <c:ptCount val="1"/>
                <c:pt idx="0">
                  <c:v>Femenino</c:v>
                </c:pt>
              </c:strCache>
            </c:strRef>
          </c:tx>
          <c:spPr>
            <a:solidFill>
              <a:schemeClr val="accent4">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'[19]GD8.1'!$C$3:$C$5</c:f>
              <c:numCache>
                <c:formatCode>General</c:formatCode>
                <c:ptCount val="3"/>
                <c:pt idx="0">
                  <c:v>192</c:v>
                </c:pt>
                <c:pt idx="1">
                  <c:v>127</c:v>
                </c:pt>
                <c:pt idx="2">
                  <c:v>12</c:v>
                </c:pt>
              </c:numCache>
            </c:numRef>
          </c:val>
          <c:extLst>
            <c:ext xmlns:c16="http://schemas.microsoft.com/office/drawing/2014/chart" uri="{C3380CC4-5D6E-409C-BE32-E72D297353CC}">
              <c16:uniqueId val="{00000000-1034-4468-BEA4-9410023C170B}"/>
            </c:ext>
          </c:extLst>
        </c:ser>
        <c:ser>
          <c:idx val="0"/>
          <c:order val="1"/>
          <c:tx>
            <c:strRef>
              <c:f>'[19]GD8.1'!$D$2</c:f>
              <c:strCache>
                <c:ptCount val="1"/>
                <c:pt idx="0">
                  <c:v>Masculino</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'[19]GD8.1'!$B$3:$B$5</c:f>
              <c:strCache>
                <c:ptCount val="3"/>
                <c:pt idx="0">
                  <c:v>Maestrias</c:v>
                </c:pt>
                <c:pt idx="1">
                  <c:v>Especialidades</c:v>
                </c:pt>
                <c:pt idx="2">
                  <c:v>Doctorado</c:v>
                </c:pt>
              </c:strCache>
            </c:strRef>
          </c:cat>
          <c:val>
            <c:numRef>
              <c:f>'[19]GD8.1'!$D$3:$D$5</c:f>
              <c:numCache>
                <c:formatCode>General</c:formatCode>
                <c:ptCount val="3"/>
                <c:pt idx="0">
                  <c:v>146</c:v>
                </c:pt>
                <c:pt idx="1">
                  <c:v>127</c:v>
                </c:pt>
                <c:pt idx="2">
                  <c:v>9</c:v>
                </c:pt>
              </c:numCache>
            </c:numRef>
          </c:val>
          <c:extLst>
            <c:ext xmlns:c16="http://schemas.microsoft.com/office/drawing/2014/chart" uri="{C3380CC4-5D6E-409C-BE32-E72D297353CC}">
              <c16:uniqueId val="{00000001-1034-4468-BEA4-9410023C170B}"/>
            </c:ext>
          </c:extLst>
        </c:ser>
        <c:dLbls>
          <c:showLegendKey val="0"/>
          <c:showVal val="0"/>
          <c:showCatName val="0"/>
          <c:showSerName val="0"/>
          <c:showPercent val="0"/>
          <c:showBubbleSize val="0"/>
        </c:dLbls>
        <c:gapWidth val="97"/>
        <c:axId val="126682320"/>
        <c:axId val="126684496"/>
      </c:barChart>
      <c:catAx>
        <c:axId val="126682320"/>
        <c:scaling>
          <c:orientation val="minMax"/>
        </c:scaling>
        <c:delete val="0"/>
        <c:axPos val="l"/>
        <c:numFmt formatCode="General" sourceLinked="1"/>
        <c:majorTickMark val="out"/>
        <c:minorTickMark val="none"/>
        <c:tickLblPos val="nextTo"/>
        <c:txPr>
          <a:bodyPr rot="-2940000" vert="horz"/>
          <a:lstStyle/>
          <a:p>
            <a:pPr>
              <a:defRPr sz="900" b="0" i="0" u="none" strike="noStrike" baseline="0">
                <a:solidFill>
                  <a:srgbClr val="000000"/>
                </a:solidFill>
                <a:latin typeface="Times New Roman"/>
                <a:ea typeface="Times New Roman"/>
                <a:cs typeface="Times New Roman"/>
              </a:defRPr>
            </a:pPr>
            <a:endParaRPr lang="es-CR"/>
          </a:p>
        </c:txPr>
        <c:crossAx val="126684496"/>
        <c:crosses val="autoZero"/>
        <c:auto val="1"/>
        <c:lblAlgn val="ctr"/>
        <c:lblOffset val="100"/>
        <c:noMultiLvlLbl val="0"/>
      </c:catAx>
      <c:valAx>
        <c:axId val="12668449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26682320"/>
        <c:crosses val="autoZero"/>
        <c:crossBetween val="between"/>
        <c:majorUnit val="20"/>
      </c:valAx>
    </c:plotArea>
    <c:legend>
      <c:legendPos val="r"/>
      <c:layout>
        <c:manualLayout>
          <c:xMode val="edge"/>
          <c:yMode val="edge"/>
          <c:x val="0.74584897667012406"/>
          <c:y val="0.93767725798981005"/>
          <c:w val="0.20408806042101879"/>
          <c:h val="3.6471699861046813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653128060484976"/>
          <c:y val="0.02"/>
        </c:manualLayout>
      </c:layout>
      <c:overlay val="0"/>
    </c:title>
    <c:autoTitleDeleted val="0"/>
    <c:plotArea>
      <c:layout>
        <c:manualLayout>
          <c:layoutTarget val="inner"/>
          <c:xMode val="edge"/>
          <c:yMode val="edge"/>
          <c:x val="6.7954390947033261E-2"/>
          <c:y val="0.24704145852736151"/>
          <c:w val="0.89707293145733835"/>
          <c:h val="0.57099382577177848"/>
        </c:manualLayout>
      </c:layout>
      <c:lineChart>
        <c:grouping val="standard"/>
        <c:varyColors val="0"/>
        <c:ser>
          <c:idx val="0"/>
          <c:order val="0"/>
          <c:tx>
            <c:strRef>
              <c:f>'[2]GRH-2'!$B$1</c:f>
              <c:strCache>
                <c:ptCount val="1"/>
                <c:pt idx="0">
                  <c:v>Propiedad</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'[2]GRH-2'!$B$2:$B$11</c:f>
              <c:numCache>
                <c:formatCode>General</c:formatCode>
                <c:ptCount val="10"/>
                <c:pt idx="0">
                  <c:v>1920</c:v>
                </c:pt>
                <c:pt idx="1">
                  <c:v>1867</c:v>
                </c:pt>
                <c:pt idx="2">
                  <c:v>1875</c:v>
                </c:pt>
                <c:pt idx="3">
                  <c:v>1877</c:v>
                </c:pt>
                <c:pt idx="4">
                  <c:v>1950</c:v>
                </c:pt>
                <c:pt idx="5">
                  <c:v>1867</c:v>
                </c:pt>
                <c:pt idx="6">
                  <c:v>1871</c:v>
                </c:pt>
                <c:pt idx="7">
                  <c:v>1890</c:v>
                </c:pt>
                <c:pt idx="8">
                  <c:v>1878</c:v>
                </c:pt>
                <c:pt idx="9">
                  <c:v>1890</c:v>
                </c:pt>
              </c:numCache>
            </c:numRef>
          </c:val>
          <c:smooth val="0"/>
          <c:extLst>
            <c:ext xmlns:c16="http://schemas.microsoft.com/office/drawing/2014/chart" uri="{C3380CC4-5D6E-409C-BE32-E72D297353CC}">
              <c16:uniqueId val="{00000000-E2A1-438E-A069-CBCDF23DEB41}"/>
            </c:ext>
          </c:extLst>
        </c:ser>
        <c:ser>
          <c:idx val="1"/>
          <c:order val="1"/>
          <c:tx>
            <c:strRef>
              <c:f>'[2]GRH-2'!$C$1</c:f>
              <c:strCache>
                <c:ptCount val="1"/>
                <c:pt idx="0">
                  <c:v>Interino</c:v>
                </c:pt>
              </c:strCache>
            </c:strRef>
          </c:tx>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'[2]GRH-2'!$A$2:$A$11</c:f>
              <c:strCache>
                <c:ptCount val="10"/>
                <c:pt idx="0">
                  <c:v>I ciclo 2015</c:v>
                </c:pt>
                <c:pt idx="1">
                  <c:v>II ciclo 2015</c:v>
                </c:pt>
                <c:pt idx="2">
                  <c:v>I ciclo 2016</c:v>
                </c:pt>
                <c:pt idx="3">
                  <c:v>II ciclo 2016</c:v>
                </c:pt>
                <c:pt idx="4">
                  <c:v>I ciclo 2017</c:v>
                </c:pt>
                <c:pt idx="5">
                  <c:v>II ciclo 2017</c:v>
                </c:pt>
                <c:pt idx="6">
                  <c:v>I ciclo 2018</c:v>
                </c:pt>
                <c:pt idx="7">
                  <c:v>II ciclo 2018</c:v>
                </c:pt>
                <c:pt idx="8">
                  <c:v>I ciclo 2019</c:v>
                </c:pt>
                <c:pt idx="9">
                  <c:v>II ciclo 2019</c:v>
                </c:pt>
              </c:strCache>
            </c:strRef>
          </c:cat>
          <c:val>
            <c:numRef>
              <c:f>'[2]GRH-2'!$C$2:$C$11</c:f>
              <c:numCache>
                <c:formatCode>General</c:formatCode>
                <c:ptCount val="10"/>
                <c:pt idx="0">
                  <c:v>4132</c:v>
                </c:pt>
                <c:pt idx="1">
                  <c:v>4152</c:v>
                </c:pt>
                <c:pt idx="2">
                  <c:v>4225</c:v>
                </c:pt>
                <c:pt idx="3">
                  <c:v>4256</c:v>
                </c:pt>
                <c:pt idx="4">
                  <c:v>4350</c:v>
                </c:pt>
                <c:pt idx="5">
                  <c:v>4093</c:v>
                </c:pt>
                <c:pt idx="6">
                  <c:v>4326</c:v>
                </c:pt>
                <c:pt idx="7">
                  <c:v>4399</c:v>
                </c:pt>
                <c:pt idx="8">
                  <c:v>4283</c:v>
                </c:pt>
                <c:pt idx="9">
                  <c:v>4399</c:v>
                </c:pt>
              </c:numCache>
            </c:numRef>
          </c:val>
          <c:smooth val="0"/>
          <c:extLst>
            <c:ext xmlns:c16="http://schemas.microsoft.com/office/drawing/2014/chart" uri="{C3380CC4-5D6E-409C-BE32-E72D297353CC}">
              <c16:uniqueId val="{00000001-E2A1-438E-A069-CBCDF23DEB41}"/>
            </c:ext>
          </c:extLst>
        </c:ser>
        <c:dLbls>
          <c:showLegendKey val="0"/>
          <c:showVal val="0"/>
          <c:showCatName val="0"/>
          <c:showSerName val="0"/>
          <c:showPercent val="0"/>
          <c:showBubbleSize val="0"/>
        </c:dLbls>
        <c:marker val="1"/>
        <c:smooth val="0"/>
        <c:axId val="1553124544"/>
        <c:axId val="1553109856"/>
      </c:lineChart>
      <c:catAx>
        <c:axId val="1553124544"/>
        <c:scaling>
          <c:orientation val="minMax"/>
        </c:scaling>
        <c:delete val="0"/>
        <c:axPos val="b"/>
        <c:numFmt formatCode="General" sourceLinked="1"/>
        <c:majorTickMark val="out"/>
        <c:minorTickMark val="out"/>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09856"/>
        <c:crossesAt val="0"/>
        <c:auto val="1"/>
        <c:lblAlgn val="ctr"/>
        <c:lblOffset val="100"/>
        <c:noMultiLvlLbl val="0"/>
      </c:catAx>
      <c:valAx>
        <c:axId val="1553109856"/>
        <c:scaling>
          <c:orientation val="minMax"/>
          <c:max val="5000"/>
          <c:min val="0"/>
        </c:scaling>
        <c:delete val="0"/>
        <c:axPos val="l"/>
        <c:majorGridlines/>
        <c:numFmt formatCode="General" sourceLinked="0"/>
        <c:majorTickMark val="out"/>
        <c:minorTickMark val="out"/>
        <c:tickLblPos val="nextTo"/>
        <c:spPr>
          <a:ln w="9525">
            <a:noFill/>
          </a:ln>
        </c:spPr>
        <c:txPr>
          <a:bodyPr rot="0" vert="horz"/>
          <a:lstStyle/>
          <a:p>
            <a:pPr>
              <a:defRPr sz="900" b="0" i="0" u="none" strike="noStrike" baseline="0">
                <a:solidFill>
                  <a:srgbClr val="000000"/>
                </a:solidFill>
                <a:latin typeface="Calibri"/>
                <a:ea typeface="Calibri"/>
                <a:cs typeface="Calibri"/>
              </a:defRPr>
            </a:pPr>
            <a:endParaRPr lang="es-CR"/>
          </a:p>
        </c:txPr>
        <c:crossAx val="1553124544"/>
        <c:crosses val="autoZero"/>
        <c:crossBetween val="between"/>
      </c:valAx>
      <c:spPr>
        <a:ln>
          <a:solidFill>
            <a:schemeClr val="tx1"/>
          </a:solidFill>
        </a:ln>
      </c:spPr>
    </c:plotArea>
    <c:legend>
      <c:legendPos val="r"/>
      <c:layout>
        <c:manualLayout>
          <c:xMode val="edge"/>
          <c:yMode val="edge"/>
          <c:x val="0.66569310925686531"/>
          <c:y val="0.93605094564848368"/>
          <c:w val="0.27065554119167945"/>
          <c:h val="4.0335111101376553E-2"/>
        </c:manualLayout>
      </c:layout>
      <c:overlay val="0"/>
      <c:spPr>
        <a:ln w="3175" cap="rnd" cmpd="dbl">
          <a:solidFill>
            <a:schemeClr val="tx1"/>
          </a:solidFill>
        </a:ln>
      </c:spPr>
      <c:txPr>
        <a:bodyPr/>
        <a:lstStyle/>
        <a:p>
          <a:pPr>
            <a:defRPr sz="690" b="0" i="0" u="none" strike="noStrike" baseline="0">
              <a:solidFill>
                <a:srgbClr val="000000"/>
              </a:solidFill>
              <a:latin typeface="Arial"/>
              <a:ea typeface="Arial"/>
              <a:cs typeface="Arial"/>
            </a:defRPr>
          </a:pPr>
          <a:endParaRPr lang="es-CR"/>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77777615610837"/>
          <c:y val="4.236220472440945E-2"/>
        </c:manualLayout>
      </c:layout>
      <c:overlay val="0"/>
      <c:spPr>
        <a:noFill/>
        <a:ln w="25400">
          <a:noFill/>
        </a:ln>
      </c:spPr>
    </c:title>
    <c:autoTitleDeleted val="0"/>
    <c:view3D>
      <c:rotX val="75"/>
      <c:rotY val="7"/>
      <c:rAngAx val="0"/>
      <c:perspective val="0"/>
    </c:view3D>
    <c:floor>
      <c:thickness val="0"/>
    </c:floor>
    <c:sideWall>
      <c:thickness val="0"/>
    </c:sideWall>
    <c:backWall>
      <c:thickness val="0"/>
    </c:backWall>
    <c:plotArea>
      <c:layout>
        <c:manualLayout>
          <c:layoutTarget val="inner"/>
          <c:xMode val="edge"/>
          <c:yMode val="edge"/>
          <c:x val="0.28190742375924049"/>
          <c:y val="0.19989175623120101"/>
          <c:w val="0.48078535827136537"/>
          <c:h val="0.79037588367147538"/>
        </c:manualLayout>
      </c:layout>
      <c:pie3DChart>
        <c:varyColors val="1"/>
        <c:ser>
          <c:idx val="3"/>
          <c:order val="0"/>
          <c:dPt>
            <c:idx val="0"/>
            <c:bubble3D val="0"/>
            <c:spPr>
              <a:solidFill>
                <a:schemeClr val="accent2">
                  <a:lumMod val="20000"/>
                  <a:lumOff val="80000"/>
                </a:schemeClr>
              </a:solidFill>
            </c:spPr>
            <c:extLst>
              <c:ext xmlns:c16="http://schemas.microsoft.com/office/drawing/2014/chart" uri="{C3380CC4-5D6E-409C-BE32-E72D297353CC}">
                <c16:uniqueId val="{00000001-D23D-4DD1-B8A1-195C8B989A8C}"/>
              </c:ext>
            </c:extLst>
          </c:dPt>
          <c:dPt>
            <c:idx val="1"/>
            <c:bubble3D val="0"/>
            <c:spPr>
              <a:solidFill>
                <a:schemeClr val="tx2">
                  <a:lumMod val="20000"/>
                  <a:lumOff val="80000"/>
                </a:schemeClr>
              </a:solidFill>
            </c:spPr>
            <c:extLst>
              <c:ext xmlns:c16="http://schemas.microsoft.com/office/drawing/2014/chart" uri="{C3380CC4-5D6E-409C-BE32-E72D297353CC}">
                <c16:uniqueId val="{00000003-D23D-4DD1-B8A1-195C8B989A8C}"/>
              </c:ext>
            </c:extLst>
          </c:dPt>
          <c:dLbls>
            <c:numFmt formatCode="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[20]GD9!$B$2:$C$2</c:f>
              <c:strCache>
                <c:ptCount val="2"/>
                <c:pt idx="0">
                  <c:v>Femenino</c:v>
                </c:pt>
                <c:pt idx="1">
                  <c:v>Masculino</c:v>
                </c:pt>
              </c:strCache>
            </c:strRef>
          </c:cat>
          <c:val>
            <c:numRef>
              <c:f>[20]GD9!$B$3:$C$3</c:f>
              <c:numCache>
                <c:formatCode>General</c:formatCode>
                <c:ptCount val="2"/>
                <c:pt idx="0">
                  <c:v>58.59</c:v>
                </c:pt>
                <c:pt idx="1">
                  <c:v>41.41</c:v>
                </c:pt>
              </c:numCache>
            </c:numRef>
          </c:val>
          <c:extLst>
            <c:ext xmlns:c16="http://schemas.microsoft.com/office/drawing/2014/chart" uri="{C3380CC4-5D6E-409C-BE32-E72D297353CC}">
              <c16:uniqueId val="{00000004-D23D-4DD1-B8A1-195C8B989A8C}"/>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03257076941816"/>
          <c:y val="4.269629528413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0913545502629663"/>
          <c:w val="0.43745704998656376"/>
          <c:h val="0.73428061036096726"/>
        </c:manualLayout>
      </c:layout>
      <c:pie3DChart>
        <c:varyColors val="1"/>
        <c:ser>
          <c:idx val="3"/>
          <c:order val="0"/>
          <c:dPt>
            <c:idx val="0"/>
            <c:bubble3D val="0"/>
            <c:spPr>
              <a:solidFill>
                <a:schemeClr val="accent4">
                  <a:lumMod val="40000"/>
                  <a:lumOff val="60000"/>
                </a:schemeClr>
              </a:solidFill>
            </c:spPr>
            <c:extLst>
              <c:ext xmlns:c16="http://schemas.microsoft.com/office/drawing/2014/chart" uri="{C3380CC4-5D6E-409C-BE32-E72D297353CC}">
                <c16:uniqueId val="{00000001-9491-4A39-AEC4-0ECB5E832253}"/>
              </c:ext>
            </c:extLst>
          </c:dPt>
          <c:dPt>
            <c:idx val="1"/>
            <c:bubble3D val="0"/>
            <c:spPr>
              <a:solidFill>
                <a:schemeClr val="accent6">
                  <a:lumMod val="60000"/>
                  <a:lumOff val="40000"/>
                </a:schemeClr>
              </a:solidFill>
            </c:spPr>
            <c:extLst>
              <c:ext xmlns:c16="http://schemas.microsoft.com/office/drawing/2014/chart" uri="{C3380CC4-5D6E-409C-BE32-E72D297353CC}">
                <c16:uniqueId val="{00000003-9491-4A39-AEC4-0ECB5E832253}"/>
              </c:ext>
            </c:extLst>
          </c:dPt>
          <c:dPt>
            <c:idx val="2"/>
            <c:bubble3D val="0"/>
            <c:spPr>
              <a:solidFill>
                <a:schemeClr val="accent5">
                  <a:lumMod val="60000"/>
                  <a:lumOff val="40000"/>
                </a:schemeClr>
              </a:solidFill>
            </c:spPr>
            <c:extLst>
              <c:ext xmlns:c16="http://schemas.microsoft.com/office/drawing/2014/chart" uri="{C3380CC4-5D6E-409C-BE32-E72D297353CC}">
                <c16:uniqueId val="{00000005-9491-4A39-AEC4-0ECB5E832253}"/>
              </c:ext>
            </c:extLst>
          </c:dPt>
          <c:dLbls>
            <c:dLbl>
              <c:idx val="0"/>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491-4A39-AEC4-0ECB5E832253}"/>
                </c:ext>
              </c:extLst>
            </c:dLbl>
            <c:dLbl>
              <c:idx val="1"/>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491-4A39-AEC4-0ECB5E832253}"/>
                </c:ext>
              </c:extLst>
            </c:dLbl>
            <c:dLbl>
              <c:idx val="2"/>
              <c:spPr/>
              <c:txPr>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491-4A39-AEC4-0ECB5E83225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'[21]I-1'!$B$3:$D$3</c:f>
              <c:strCache>
                <c:ptCount val="3"/>
                <c:pt idx="0">
                  <c:v>De Apoyo</c:v>
                </c:pt>
                <c:pt idx="1">
                  <c:v>Docente</c:v>
                </c:pt>
                <c:pt idx="2">
                  <c:v>Administración </c:v>
                </c:pt>
              </c:strCache>
            </c:strRef>
          </c:cat>
          <c:val>
            <c:numRef>
              <c:f>'[21]I-1'!$B$4:$D$4</c:f>
              <c:numCache>
                <c:formatCode>General</c:formatCode>
                <c:ptCount val="3"/>
                <c:pt idx="0">
                  <c:v>35.08</c:v>
                </c:pt>
                <c:pt idx="1">
                  <c:v>32.58</c:v>
                </c:pt>
                <c:pt idx="2">
                  <c:v>32.340000000000003</c:v>
                </c:pt>
              </c:numCache>
            </c:numRef>
          </c:val>
          <c:extLst>
            <c:ext xmlns:c16="http://schemas.microsoft.com/office/drawing/2014/chart" uri="{C3380CC4-5D6E-409C-BE32-E72D297353CC}">
              <c16:uniqueId val="{00000006-9491-4A39-AEC4-0ECB5E832253}"/>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2951582867783984"/>
          <c:y val="3.053441047141834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3"/>
          <c:dPt>
            <c:idx val="0"/>
            <c:bubble3D val="0"/>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path path="circle">
                  <a:fillToRect l="50000" t="50000" r="50000" b="50000"/>
                </a:path>
                <a:tileRect/>
              </a:gradFill>
            </c:spPr>
            <c:extLst>
              <c:ext xmlns:c16="http://schemas.microsoft.com/office/drawing/2014/chart" uri="{C3380CC4-5D6E-409C-BE32-E72D297353CC}">
                <c16:uniqueId val="{00000001-3BA5-4C0F-813C-F75393012C8B}"/>
              </c:ext>
            </c:extLst>
          </c:dPt>
          <c:dPt>
            <c:idx val="1"/>
            <c:bubble3D val="0"/>
            <c:spPr>
              <a:gradFill flip="none" rotWithShape="1">
                <a:gsLst>
                  <a:gs pos="0">
                    <a:srgbClr val="92D050">
                      <a:tint val="66000"/>
                      <a:satMod val="160000"/>
                    </a:srgbClr>
                  </a:gs>
                  <a:gs pos="50000">
                    <a:srgbClr val="92D050">
                      <a:tint val="44500"/>
                      <a:satMod val="160000"/>
                    </a:srgbClr>
                  </a:gs>
                  <a:gs pos="100000">
                    <a:srgbClr val="92D050">
                      <a:tint val="23500"/>
                      <a:satMod val="160000"/>
                    </a:srgbClr>
                  </a:gs>
                </a:gsLst>
                <a:path path="circle">
                  <a:fillToRect l="50000" t="50000" r="50000" b="50000"/>
                </a:path>
                <a:tileRect/>
              </a:gradFill>
            </c:spPr>
            <c:extLst>
              <c:ext xmlns:c16="http://schemas.microsoft.com/office/drawing/2014/chart" uri="{C3380CC4-5D6E-409C-BE32-E72D297353CC}">
                <c16:uniqueId val="{00000003-3BA5-4C0F-813C-F75393012C8B}"/>
              </c:ext>
            </c:extLst>
          </c:dPt>
          <c:dPt>
            <c:idx val="2"/>
            <c:bubble3D val="0"/>
            <c:spPr>
              <a:gradFill flip="none" rotWithShape="1">
                <a:gsLst>
                  <a:gs pos="0">
                    <a:srgbClr val="FFC000">
                      <a:tint val="66000"/>
                      <a:satMod val="160000"/>
                    </a:srgbClr>
                  </a:gs>
                  <a:gs pos="50000">
                    <a:srgbClr val="FFC000">
                      <a:tint val="44500"/>
                      <a:satMod val="160000"/>
                    </a:srgbClr>
                  </a:gs>
                  <a:gs pos="100000">
                    <a:srgbClr val="FFC000">
                      <a:tint val="23500"/>
                      <a:satMod val="160000"/>
                    </a:srgbClr>
                  </a:gs>
                </a:gsLst>
                <a:lin ang="10800000" scaled="1"/>
                <a:tileRect/>
              </a:gradFill>
            </c:spPr>
            <c:extLst>
              <c:ext xmlns:c16="http://schemas.microsoft.com/office/drawing/2014/chart" uri="{C3380CC4-5D6E-409C-BE32-E72D297353CC}">
                <c16:uniqueId val="{00000005-3BA5-4C0F-813C-F75393012C8B}"/>
              </c:ext>
            </c:extLst>
          </c:dPt>
          <c:dPt>
            <c:idx val="3"/>
            <c:bubble3D val="0"/>
            <c:spPr>
              <a:gradFill flip="none" rotWithShape="1">
                <a:gsLst>
                  <a:gs pos="0">
                    <a:srgbClr val="0070C0">
                      <a:tint val="66000"/>
                      <a:satMod val="160000"/>
                    </a:srgbClr>
                  </a:gs>
                  <a:gs pos="50000">
                    <a:srgbClr val="0070C0">
                      <a:tint val="44500"/>
                      <a:satMod val="160000"/>
                    </a:srgbClr>
                  </a:gs>
                  <a:gs pos="100000">
                    <a:srgbClr val="0070C0">
                      <a:tint val="23500"/>
                      <a:satMod val="160000"/>
                    </a:srgbClr>
                  </a:gs>
                </a:gsLst>
                <a:lin ang="0" scaled="1"/>
                <a:tileRect/>
              </a:gradFill>
              <a:ln>
                <a:solidFill>
                  <a:schemeClr val="bg2">
                    <a:lumMod val="75000"/>
                  </a:schemeClr>
                </a:solidFill>
              </a:ln>
            </c:spPr>
            <c:extLst>
              <c:ext xmlns:c16="http://schemas.microsoft.com/office/drawing/2014/chart" uri="{C3380CC4-5D6E-409C-BE32-E72D297353CC}">
                <c16:uniqueId val="{00000007-3BA5-4C0F-813C-F75393012C8B}"/>
              </c:ext>
            </c:extLst>
          </c:dPt>
          <c:dPt>
            <c:idx val="4"/>
            <c:bubble3D val="0"/>
            <c:spPr>
              <a:solidFill>
                <a:srgbClr val="FFCC99"/>
              </a:solidFill>
            </c:spPr>
            <c:extLst>
              <c:ext xmlns:c16="http://schemas.microsoft.com/office/drawing/2014/chart" uri="{C3380CC4-5D6E-409C-BE32-E72D297353CC}">
                <c16:uniqueId val="{00000009-3BA5-4C0F-813C-F75393012C8B}"/>
              </c:ext>
            </c:extLst>
          </c:dPt>
          <c:dLbls>
            <c:numFmt formatCode="0.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('[22]GI-2'!$B$3,'[22]GI-2'!$C$3,'[22]GI-2'!$D$3,'[22]GI-2'!$E$3,'[22]GI-2'!$F$3)</c:f>
              <c:strCache>
                <c:ptCount val="5"/>
                <c:pt idx="0">
                  <c:v>Activos</c:v>
                </c:pt>
                <c:pt idx="1">
                  <c:v>Nuevos</c:v>
                </c:pt>
                <c:pt idx="2">
                  <c:v>Terminados</c:v>
                </c:pt>
                <c:pt idx="3">
                  <c:v>Ampliaciones</c:v>
                </c:pt>
                <c:pt idx="4">
                  <c:v>Otros</c:v>
                </c:pt>
              </c:strCache>
            </c:strRef>
          </c:cat>
          <c:val>
            <c:numRef>
              <c:f>('[22]GI-2'!$B$4,'[22]GI-2'!$C$4,'[22]GI-2'!$D$4,'[22]GI-2'!$E$4,'[22]GI-2'!$F$4)</c:f>
              <c:numCache>
                <c:formatCode>General</c:formatCode>
                <c:ptCount val="5"/>
                <c:pt idx="0">
                  <c:v>1865</c:v>
                </c:pt>
                <c:pt idx="1">
                  <c:v>506</c:v>
                </c:pt>
                <c:pt idx="2">
                  <c:v>471</c:v>
                </c:pt>
                <c:pt idx="3">
                  <c:v>602</c:v>
                </c:pt>
                <c:pt idx="4">
                  <c:v>59</c:v>
                </c:pt>
              </c:numCache>
            </c:numRef>
          </c:val>
          <c:extLst>
            <c:ext xmlns:c16="http://schemas.microsoft.com/office/drawing/2014/chart" uri="{C3380CC4-5D6E-409C-BE32-E72D297353CC}">
              <c16:uniqueId val="{0000000A-3BA5-4C0F-813C-F75393012C8B}"/>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837988826815644"/>
          <c:y val="2.890176031660964E-2"/>
        </c:manualLayout>
      </c:layout>
      <c:overlay val="0"/>
      <c:spPr>
        <a:noFill/>
        <a:ln w="25400">
          <a:noFill/>
        </a:ln>
      </c:spPr>
    </c:title>
    <c:autoTitleDeleted val="0"/>
    <c:view3D>
      <c:rotX val="75"/>
      <c:rotY val="70"/>
      <c:rAngAx val="0"/>
      <c:perspective val="0"/>
    </c:view3D>
    <c:floor>
      <c:thickness val="0"/>
    </c:floor>
    <c:sideWall>
      <c:thickness val="0"/>
    </c:sideWall>
    <c:backWall>
      <c:thickness val="0"/>
    </c:backWall>
    <c:plotArea>
      <c:layout>
        <c:manualLayout>
          <c:layoutTarget val="inner"/>
          <c:xMode val="edge"/>
          <c:yMode val="edge"/>
          <c:x val="0.24646138506429716"/>
          <c:y val="0.15878406233252254"/>
          <c:w val="0.48587413305180427"/>
          <c:h val="0.81294615987137719"/>
        </c:manualLayout>
      </c:layout>
      <c:pie3DChart>
        <c:varyColors val="1"/>
        <c:ser>
          <c:idx val="3"/>
          <c:order val="0"/>
          <c:spPr>
            <a:solidFill>
              <a:schemeClr val="accent4">
                <a:lumMod val="40000"/>
                <a:lumOff val="60000"/>
              </a:schemeClr>
            </a:solidFill>
          </c:spPr>
          <c:dPt>
            <c:idx val="0"/>
            <c:bubble3D val="0"/>
            <c:spPr>
              <a:solidFill>
                <a:schemeClr val="accent2">
                  <a:lumMod val="60000"/>
                  <a:lumOff val="40000"/>
                </a:schemeClr>
              </a:solidFill>
            </c:spPr>
            <c:extLst>
              <c:ext xmlns:c16="http://schemas.microsoft.com/office/drawing/2014/chart" uri="{C3380CC4-5D6E-409C-BE32-E72D297353CC}">
                <c16:uniqueId val="{00000001-9F1D-4BAB-8D6C-2A61D680E06C}"/>
              </c:ext>
            </c:extLst>
          </c:dPt>
          <c:dPt>
            <c:idx val="1"/>
            <c:bubble3D val="0"/>
            <c:extLst>
              <c:ext xmlns:c16="http://schemas.microsoft.com/office/drawing/2014/chart" uri="{C3380CC4-5D6E-409C-BE32-E72D297353CC}">
                <c16:uniqueId val="{00000002-9F1D-4BAB-8D6C-2A61D680E06C}"/>
              </c:ext>
            </c:extLst>
          </c:dPt>
          <c:dPt>
            <c:idx val="2"/>
            <c:bubble3D val="0"/>
            <c:explosion val="25"/>
            <c:spPr>
              <a:solidFill>
                <a:schemeClr val="accent5"/>
              </a:solidFill>
            </c:spPr>
            <c:extLst>
              <c:ext xmlns:c16="http://schemas.microsoft.com/office/drawing/2014/chart" uri="{C3380CC4-5D6E-409C-BE32-E72D297353CC}">
                <c16:uniqueId val="{00000004-9F1D-4BAB-8D6C-2A61D680E06C}"/>
              </c:ext>
            </c:extLst>
          </c:dPt>
          <c:dLbls>
            <c:dLbl>
              <c:idx val="1"/>
              <c:layout>
                <c:manualLayout>
                  <c:x val="-1.86219739292365E-2"/>
                  <c:y val="-7.853403141361256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9F1D-4BAB-8D6C-2A61D680E06C}"/>
                </c:ext>
              </c:extLst>
            </c:dLbl>
            <c:dLbl>
              <c:idx val="2"/>
              <c:layout>
                <c:manualLayout>
                  <c:x val="0"/>
                  <c:y val="2.0942408376963303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9F1D-4BAB-8D6C-2A61D680E06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('[23]GI-3'!$B$3,'[23]GI-3'!$C$3,'[23]GI-3'!$D$3)</c:f>
              <c:strCache>
                <c:ptCount val="3"/>
                <c:pt idx="0">
                  <c:v>Básica</c:v>
                </c:pt>
                <c:pt idx="1">
                  <c:v>Apliacada</c:v>
                </c:pt>
                <c:pt idx="2">
                  <c:v>Tecnológica</c:v>
                </c:pt>
              </c:strCache>
            </c:strRef>
          </c:cat>
          <c:val>
            <c:numRef>
              <c:f>('[23]GI-3'!$B$4,'[23]GI-3'!$C$4,'[23]GI-3'!$D$4)</c:f>
              <c:numCache>
                <c:formatCode>General</c:formatCode>
                <c:ptCount val="3"/>
                <c:pt idx="0">
                  <c:v>1335</c:v>
                </c:pt>
                <c:pt idx="1">
                  <c:v>49</c:v>
                </c:pt>
                <c:pt idx="2">
                  <c:v>12</c:v>
                </c:pt>
              </c:numCache>
            </c:numRef>
          </c:val>
          <c:extLst>
            <c:ext xmlns:c16="http://schemas.microsoft.com/office/drawing/2014/chart" uri="{C3380CC4-5D6E-409C-BE32-E72D297353CC}">
              <c16:uniqueId val="{00000005-9F1D-4BAB-8D6C-2A61D680E06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Investigadores (as) que participan en los Proyectos de Investigación según grado académico y género.  </a:t>
            </a:r>
          </a:p>
        </c:rich>
      </c:tx>
      <c:layout>
        <c:manualLayout>
          <c:xMode val="edge"/>
          <c:yMode val="edge"/>
          <c:x val="0.17610271309669179"/>
          <c:y val="7.4532596932492437E-2"/>
        </c:manualLayout>
      </c:layout>
      <c:overlay val="1"/>
      <c:spPr>
        <a:noFill/>
        <a:ln w="25400">
          <a:noFill/>
        </a:ln>
      </c:spPr>
    </c:title>
    <c:autoTitleDeleted val="0"/>
    <c:plotArea>
      <c:layout>
        <c:manualLayout>
          <c:layoutTarget val="inner"/>
          <c:xMode val="edge"/>
          <c:yMode val="edge"/>
          <c:x val="9.0082389433941076E-2"/>
          <c:y val="0.2143033439278508"/>
          <c:w val="0.87162055946215278"/>
          <c:h val="0.66240037699992638"/>
        </c:manualLayout>
      </c:layout>
      <c:barChart>
        <c:barDir val="bar"/>
        <c:grouping val="clustered"/>
        <c:varyColors val="0"/>
        <c:ser>
          <c:idx val="1"/>
          <c:order val="0"/>
          <c:tx>
            <c:strRef>
              <c:f>'[24]GI-4'!$D$2</c:f>
              <c:strCache>
                <c:ptCount val="1"/>
                <c:pt idx="0">
                  <c:v>Hombre</c:v>
                </c:pt>
              </c:strCache>
            </c:strRef>
          </c:tx>
          <c:spPr>
            <a:solidFill>
              <a:schemeClr val="accent1">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'[24]GI-4'!$D$3:$D$6</c:f>
              <c:numCache>
                <c:formatCode>General</c:formatCode>
                <c:ptCount val="4"/>
                <c:pt idx="0">
                  <c:v>100</c:v>
                </c:pt>
                <c:pt idx="1">
                  <c:v>233</c:v>
                </c:pt>
                <c:pt idx="2">
                  <c:v>384</c:v>
                </c:pt>
                <c:pt idx="3">
                  <c:v>309</c:v>
                </c:pt>
              </c:numCache>
            </c:numRef>
          </c:val>
          <c:extLst>
            <c:ext xmlns:c16="http://schemas.microsoft.com/office/drawing/2014/chart" uri="{C3380CC4-5D6E-409C-BE32-E72D297353CC}">
              <c16:uniqueId val="{00000000-BB86-4A22-BE43-54C38C441EEA}"/>
            </c:ext>
          </c:extLst>
        </c:ser>
        <c:ser>
          <c:idx val="0"/>
          <c:order val="1"/>
          <c:tx>
            <c:strRef>
              <c:f>'[24]GI-4'!$C$2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'[24]GI-4'!$B$3:$B$6</c:f>
              <c:strCache>
                <c:ptCount val="4"/>
                <c:pt idx="0">
                  <c:v>Bachiller</c:v>
                </c:pt>
                <c:pt idx="1">
                  <c:v>Licenciado</c:v>
                </c:pt>
                <c:pt idx="2">
                  <c:v>Doctor</c:v>
                </c:pt>
                <c:pt idx="3">
                  <c:v>Master</c:v>
                </c:pt>
              </c:strCache>
            </c:strRef>
          </c:cat>
          <c:val>
            <c:numRef>
              <c:f>'[24]GI-4'!$C$3:$C$6</c:f>
              <c:numCache>
                <c:formatCode>General</c:formatCode>
                <c:ptCount val="4"/>
                <c:pt idx="0">
                  <c:v>58</c:v>
                </c:pt>
                <c:pt idx="1">
                  <c:v>217</c:v>
                </c:pt>
                <c:pt idx="2">
                  <c:v>214</c:v>
                </c:pt>
                <c:pt idx="3">
                  <c:v>352</c:v>
                </c:pt>
              </c:numCache>
            </c:numRef>
          </c:val>
          <c:extLst>
            <c:ext xmlns:c16="http://schemas.microsoft.com/office/drawing/2014/chart" uri="{C3380CC4-5D6E-409C-BE32-E72D297353CC}">
              <c16:uniqueId val="{00000001-BB86-4A22-BE43-54C38C441EEA}"/>
            </c:ext>
          </c:extLst>
        </c:ser>
        <c:dLbls>
          <c:showLegendKey val="0"/>
          <c:showVal val="0"/>
          <c:showCatName val="0"/>
          <c:showSerName val="0"/>
          <c:showPercent val="0"/>
          <c:showBubbleSize val="0"/>
        </c:dLbls>
        <c:gapWidth val="87"/>
        <c:axId val="84865568"/>
        <c:axId val="84853056"/>
      </c:barChart>
      <c:catAx>
        <c:axId val="84865568"/>
        <c:scaling>
          <c:orientation val="minMax"/>
        </c:scaling>
        <c:delete val="0"/>
        <c:axPos val="l"/>
        <c:numFmt formatCode="General" sourceLinked="1"/>
        <c:majorTickMark val="out"/>
        <c:minorTickMark val="none"/>
        <c:tickLblPos val="nextTo"/>
        <c:txPr>
          <a:bodyPr rot="-2580000" vert="horz"/>
          <a:lstStyle/>
          <a:p>
            <a:pPr>
              <a:defRPr sz="900" b="0" i="0" u="none" strike="noStrike" baseline="0">
                <a:solidFill>
                  <a:srgbClr val="000000"/>
                </a:solidFill>
                <a:latin typeface="Times New Roman"/>
                <a:ea typeface="Times New Roman"/>
                <a:cs typeface="Times New Roman"/>
              </a:defRPr>
            </a:pPr>
            <a:endParaRPr lang="es-CR"/>
          </a:p>
        </c:txPr>
        <c:crossAx val="84853056"/>
        <c:crosses val="autoZero"/>
        <c:auto val="1"/>
        <c:lblAlgn val="ctr"/>
        <c:lblOffset val="100"/>
        <c:noMultiLvlLbl val="0"/>
      </c:catAx>
      <c:valAx>
        <c:axId val="84853056"/>
        <c:scaling>
          <c:orientation val="minMax"/>
          <c:max val="390"/>
          <c:min val="0"/>
        </c:scaling>
        <c:delete val="0"/>
        <c:axPos val="b"/>
        <c:majorGridlines>
          <c:spPr>
            <a:ln>
              <a:solidFill>
                <a:schemeClr val="bg1">
                  <a:lumMod val="65000"/>
                </a:schemeClr>
              </a:solidFill>
            </a:ln>
          </c:spPr>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5568"/>
        <c:crosses val="autoZero"/>
        <c:crossBetween val="between"/>
        <c:majorUnit val="20"/>
      </c:valAx>
      <c:spPr>
        <a:ln>
          <a:solidFill>
            <a:schemeClr val="bg1">
              <a:lumMod val="65000"/>
            </a:schemeClr>
          </a:solidFill>
        </a:ln>
      </c:spPr>
    </c:plotArea>
    <c:legend>
      <c:legendPos val="r"/>
      <c:layout>
        <c:manualLayout>
          <c:xMode val="edge"/>
          <c:yMode val="edge"/>
          <c:x val="0.78790433281401318"/>
          <c:y val="0.93841736015225585"/>
          <c:w val="0.13547672182688397"/>
          <c:h val="3.4361309101765158E-2"/>
        </c:manualLayout>
      </c:layout>
      <c:overlay val="0"/>
      <c:spPr>
        <a:ln cap="rnd">
          <a:solidFill>
            <a:schemeClr val="bg1">
              <a:lumMod val="65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5173848723455022"/>
          <c:y val="2.851706036745406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860284995932312"/>
          <c:y val="0.21077818516960189"/>
          <c:w val="0.43737333939989431"/>
          <c:h val="0.73263789545390789"/>
        </c:manualLayout>
      </c:layout>
      <c:pie3DChart>
        <c:varyColors val="1"/>
        <c:ser>
          <c:idx val="3"/>
          <c:order val="0"/>
          <c:explosion val="1"/>
          <c:dPt>
            <c:idx val="0"/>
            <c:bubble3D val="0"/>
            <c:spPr>
              <a:solidFill>
                <a:srgbClr val="CCCCFF"/>
              </a:solidFill>
            </c:spPr>
            <c:extLst>
              <c:ext xmlns:c16="http://schemas.microsoft.com/office/drawing/2014/chart" uri="{C3380CC4-5D6E-409C-BE32-E72D297353CC}">
                <c16:uniqueId val="{00000001-513F-4265-90EB-C21587DF18C7}"/>
              </c:ext>
            </c:extLst>
          </c:dPt>
          <c:dPt>
            <c:idx val="1"/>
            <c:bubble3D val="0"/>
            <c:spPr>
              <a:solidFill>
                <a:srgbClr val="CCECFF"/>
              </a:solidFill>
            </c:spPr>
            <c:extLst>
              <c:ext xmlns:c16="http://schemas.microsoft.com/office/drawing/2014/chart" uri="{C3380CC4-5D6E-409C-BE32-E72D297353CC}">
                <c16:uniqueId val="{00000003-513F-4265-90EB-C21587DF18C7}"/>
              </c:ext>
            </c:extLst>
          </c:dPt>
          <c:dPt>
            <c:idx val="2"/>
            <c:bubble3D val="0"/>
            <c:spPr>
              <a:solidFill>
                <a:srgbClr val="FFFFCC"/>
              </a:solidFill>
            </c:spPr>
            <c:extLst>
              <c:ext xmlns:c16="http://schemas.microsoft.com/office/drawing/2014/chart" uri="{C3380CC4-5D6E-409C-BE32-E72D297353CC}">
                <c16:uniqueId val="{00000005-513F-4265-90EB-C21587DF18C7}"/>
              </c:ext>
            </c:extLst>
          </c:dPt>
          <c:dPt>
            <c:idx val="3"/>
            <c:bubble3D val="0"/>
            <c:spPr>
              <a:solidFill>
                <a:srgbClr val="99FF99"/>
              </a:solidFill>
              <a:ln>
                <a:solidFill>
                  <a:schemeClr val="bg2">
                    <a:lumMod val="75000"/>
                  </a:schemeClr>
                </a:solidFill>
              </a:ln>
            </c:spPr>
            <c:extLst>
              <c:ext xmlns:c16="http://schemas.microsoft.com/office/drawing/2014/chart" uri="{C3380CC4-5D6E-409C-BE32-E72D297353CC}">
                <c16:uniqueId val="{00000007-513F-4265-90EB-C21587DF18C7}"/>
              </c:ext>
            </c:extLst>
          </c:dPt>
          <c:dPt>
            <c:idx val="4"/>
            <c:bubble3D val="0"/>
            <c:spPr>
              <a:solidFill>
                <a:srgbClr val="FFCC99"/>
              </a:solidFill>
            </c:spPr>
            <c:extLst>
              <c:ext xmlns:c16="http://schemas.microsoft.com/office/drawing/2014/chart" uri="{C3380CC4-5D6E-409C-BE32-E72D297353CC}">
                <c16:uniqueId val="{00000009-513F-4265-90EB-C21587DF18C7}"/>
              </c:ext>
            </c:extLst>
          </c:dPt>
          <c:dLbls>
            <c:dLbl>
              <c:idx val="1"/>
              <c:layout>
                <c:manualLayout>
                  <c:x val="5.5631363186694847E-3"/>
                  <c:y val="-7.6045627376425855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13F-4265-90EB-C21587DF18C7}"/>
                </c:ext>
              </c:extLst>
            </c:dLbl>
            <c:dLbl>
              <c:idx val="2"/>
              <c:layout>
                <c:manualLayout>
                  <c:x val="1.1126564673157162E-2"/>
                  <c:y val="1.520912547528517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513F-4265-90EB-C21587DF18C7}"/>
                </c:ext>
              </c:extLst>
            </c:dLbl>
            <c:dLbl>
              <c:idx val="3"/>
              <c:layout>
                <c:manualLayout>
                  <c:x val="1.668955497391755E-2"/>
                  <c:y val="2.5348542458808618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513F-4265-90EB-C21587DF18C7}"/>
                </c:ext>
              </c:extLst>
            </c:dLbl>
            <c:dLbl>
              <c:idx val="4"/>
              <c:layout>
                <c:manualLayout>
                  <c:x val="6.64486619283855E-2"/>
                  <c:y val="-4.5371895053042286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s-CR"/>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513F-4265-90EB-C21587DF18C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('[25]GI-5'!$B$3,'[25]GI-5'!$C$3,'[25]GI-5'!$D$3,'[25]GI-5'!$E$3,'[25]GI-5'!$F$3)</c:f>
              <c:strCache>
                <c:ptCount val="5"/>
                <c:pt idx="0">
                  <c:v>Circulación </c:v>
                </c:pt>
                <c:pt idx="1">
                  <c:v>Referencia</c:v>
                </c:pt>
                <c:pt idx="2">
                  <c:v>Audiovisuales</c:v>
                </c:pt>
                <c:pt idx="3">
                  <c:v>Otros Servicios</c:v>
                </c:pt>
                <c:pt idx="4">
                  <c:v>Serv. Administrativos</c:v>
                </c:pt>
              </c:strCache>
            </c:strRef>
          </c:cat>
          <c:val>
            <c:numRef>
              <c:f>('[25]GI-5'!$B$4,'[25]GI-5'!$C$4,'[25]GI-5'!$D$4,'[25]GI-5'!$E$4,'[25]GI-5'!$F$4)</c:f>
              <c:numCache>
                <c:formatCode>General</c:formatCode>
                <c:ptCount val="5"/>
                <c:pt idx="0">
                  <c:v>200944</c:v>
                </c:pt>
                <c:pt idx="1">
                  <c:v>83106</c:v>
                </c:pt>
                <c:pt idx="2">
                  <c:v>199209</c:v>
                </c:pt>
                <c:pt idx="3">
                  <c:v>97074</c:v>
                </c:pt>
                <c:pt idx="4">
                  <c:v>12080</c:v>
                </c:pt>
              </c:numCache>
            </c:numRef>
          </c:val>
          <c:extLst>
            <c:ext xmlns:c16="http://schemas.microsoft.com/office/drawing/2014/chart" uri="{C3380CC4-5D6E-409C-BE32-E72D297353CC}">
              <c16:uniqueId val="{0000000A-513F-4265-90EB-C21587DF18C7}"/>
            </c:ext>
          </c:extLst>
        </c:ser>
        <c:dLbls>
          <c:showLegendKey val="0"/>
          <c:showVal val="0"/>
          <c:showCatName val="0"/>
          <c:showSerName val="0"/>
          <c:showPercent val="0"/>
          <c:showBubbleSize val="0"/>
          <c:showLeaderLines val="0"/>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9216053873"/>
          <c:y val="3.257613068636691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917318796688871"/>
          <c:y val="0.21927488623670469"/>
          <c:w val="0.42436680799515447"/>
          <c:h val="0.70893213819970613"/>
        </c:manualLayout>
      </c:layout>
      <c:pie3DChart>
        <c:varyColors val="1"/>
        <c:ser>
          <c:idx val="3"/>
          <c:order val="0"/>
          <c:dPt>
            <c:idx val="0"/>
            <c:bubble3D val="0"/>
            <c:explosion val="2"/>
            <c:spPr>
              <a:solidFill>
                <a:srgbClr val="FFCCCC"/>
              </a:solidFill>
              <a:ln>
                <a:solidFill>
                  <a:srgbClr val="FF99FF"/>
                </a:solidFill>
              </a:ln>
            </c:spPr>
            <c:extLst>
              <c:ext xmlns:c16="http://schemas.microsoft.com/office/drawing/2014/chart" uri="{C3380CC4-5D6E-409C-BE32-E72D297353CC}">
                <c16:uniqueId val="{00000001-0733-4BCA-982C-1E3EC82D5616}"/>
              </c:ext>
            </c:extLst>
          </c:dPt>
          <c:dPt>
            <c:idx val="1"/>
            <c:bubble3D val="0"/>
            <c:spPr>
              <a:solidFill>
                <a:srgbClr val="FFFF99"/>
              </a:solidFill>
            </c:spPr>
            <c:extLst>
              <c:ext xmlns:c16="http://schemas.microsoft.com/office/drawing/2014/chart" uri="{C3380CC4-5D6E-409C-BE32-E72D297353CC}">
                <c16:uniqueId val="{00000003-0733-4BCA-982C-1E3EC82D5616}"/>
              </c:ext>
            </c:extLst>
          </c:dPt>
          <c:dPt>
            <c:idx val="2"/>
            <c:bubble3D val="0"/>
            <c:spPr>
              <a:solidFill>
                <a:srgbClr val="FF9966"/>
              </a:solidFill>
            </c:spPr>
            <c:extLst>
              <c:ext xmlns:c16="http://schemas.microsoft.com/office/drawing/2014/chart" uri="{C3380CC4-5D6E-409C-BE32-E72D297353CC}">
                <c16:uniqueId val="{00000005-0733-4BCA-982C-1E3EC82D5616}"/>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('[26]GAS-1'!$B$3,'[26]GAS-1'!$C$3,'[26]GAS-1'!$D$3)</c:f>
              <c:strCache>
                <c:ptCount val="3"/>
                <c:pt idx="0">
                  <c:v>De Apoyo</c:v>
                </c:pt>
                <c:pt idx="1">
                  <c:v>Administración </c:v>
                </c:pt>
                <c:pt idx="2">
                  <c:v>Docente</c:v>
                </c:pt>
              </c:strCache>
            </c:strRef>
          </c:cat>
          <c:val>
            <c:numRef>
              <c:f>('[26]GAS-1'!$B$4,'[26]GAS-1'!$C$4,'[26]GAS-1'!$D$4)</c:f>
              <c:numCache>
                <c:formatCode>General</c:formatCode>
                <c:ptCount val="3"/>
                <c:pt idx="0">
                  <c:v>96.38</c:v>
                </c:pt>
                <c:pt idx="1">
                  <c:v>48.75</c:v>
                </c:pt>
                <c:pt idx="2">
                  <c:v>48.5</c:v>
                </c:pt>
              </c:numCache>
            </c:numRef>
          </c:val>
          <c:extLst>
            <c:ext xmlns:c16="http://schemas.microsoft.com/office/drawing/2014/chart" uri="{C3380CC4-5D6E-409C-BE32-E72D297353CC}">
              <c16:uniqueId val="{00000006-0733-4BCA-982C-1E3EC82D561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0195632762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23442639672838558"/>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8AFC-4C6C-AA15-DAC635E7DA3E}"/>
              </c:ext>
            </c:extLst>
          </c:dPt>
          <c:dPt>
            <c:idx val="1"/>
            <c:bubble3D val="0"/>
            <c:spPr>
              <a:solidFill>
                <a:srgbClr val="FFFF99"/>
              </a:solidFill>
            </c:spPr>
            <c:extLst>
              <c:ext xmlns:c16="http://schemas.microsoft.com/office/drawing/2014/chart" uri="{C3380CC4-5D6E-409C-BE32-E72D297353CC}">
                <c16:uniqueId val="{00000003-8AFC-4C6C-AA15-DAC635E7DA3E}"/>
              </c:ext>
            </c:extLst>
          </c:dPt>
          <c:dPt>
            <c:idx val="2"/>
            <c:bubble3D val="0"/>
            <c:spPr>
              <a:solidFill>
                <a:srgbClr val="FF9966"/>
              </a:solidFill>
            </c:spPr>
            <c:extLst>
              <c:ext xmlns:c16="http://schemas.microsoft.com/office/drawing/2014/chart" uri="{C3380CC4-5D6E-409C-BE32-E72D297353CC}">
                <c16:uniqueId val="{00000005-8AFC-4C6C-AA15-DAC635E7DA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('[27]GVE-1'!$B$3,'[27]GVE-1'!$C$3,'[27]GVE-1'!$D$3)</c:f>
              <c:strCache>
                <c:ptCount val="3"/>
                <c:pt idx="0">
                  <c:v>Administración </c:v>
                </c:pt>
                <c:pt idx="1">
                  <c:v>Apoyo </c:v>
                </c:pt>
                <c:pt idx="2">
                  <c:v>Docente</c:v>
                </c:pt>
              </c:strCache>
            </c:strRef>
          </c:cat>
          <c:val>
            <c:numRef>
              <c:f>('[27]GVE-1'!$B$4,'[27]GVE-1'!$C$4,'[27]GVE-1'!$D$4)</c:f>
              <c:numCache>
                <c:formatCode>General</c:formatCode>
                <c:ptCount val="3"/>
                <c:pt idx="0">
                  <c:v>80.42</c:v>
                </c:pt>
                <c:pt idx="1">
                  <c:v>19.21</c:v>
                </c:pt>
                <c:pt idx="2">
                  <c:v>0.37</c:v>
                </c:pt>
              </c:numCache>
            </c:numRef>
          </c:val>
          <c:extLst>
            <c:ext xmlns:c16="http://schemas.microsoft.com/office/drawing/2014/chart" uri="{C3380CC4-5D6E-409C-BE32-E72D297353CC}">
              <c16:uniqueId val="{00000006-8AFC-4C6C-AA15-DAC635E7DA3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9363395225463"/>
          <c:y val="0.20030816640986132"/>
          <c:w val="0.81962864721485407"/>
          <c:h val="0.68053415511042625"/>
        </c:manualLayout>
      </c:layout>
      <c:barChart>
        <c:barDir val="bar"/>
        <c:grouping val="clustered"/>
        <c:varyColors val="0"/>
        <c:ser>
          <c:idx val="1"/>
          <c:order val="0"/>
          <c:tx>
            <c:strRef>
              <c:f>[28]Hoja2!$D$2</c:f>
              <c:strCache>
                <c:ptCount val="1"/>
                <c:pt idx="0">
                  <c:v>Hombre</c:v>
                </c:pt>
              </c:strCache>
            </c:strRef>
          </c:tx>
          <c:spPr>
            <a:solidFill>
              <a:schemeClr val="accent1"/>
            </a:solidFill>
            <a:ln>
              <a:solidFill>
                <a:schemeClr val="accent1">
                  <a:lumMod val="40000"/>
                  <a:lumOff val="60000"/>
                </a:schemeClr>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[28]Hoja2!$D$3:$D$11</c:f>
              <c:numCache>
                <c:formatCode>General</c:formatCode>
                <c:ptCount val="9"/>
                <c:pt idx="0">
                  <c:v>90</c:v>
                </c:pt>
                <c:pt idx="1">
                  <c:v>364</c:v>
                </c:pt>
                <c:pt idx="2">
                  <c:v>578</c:v>
                </c:pt>
                <c:pt idx="3">
                  <c:v>417</c:v>
                </c:pt>
                <c:pt idx="4">
                  <c:v>596</c:v>
                </c:pt>
                <c:pt idx="5">
                  <c:v>1810</c:v>
                </c:pt>
                <c:pt idx="6">
                  <c:v>570</c:v>
                </c:pt>
                <c:pt idx="7">
                  <c:v>2839</c:v>
                </c:pt>
                <c:pt idx="8">
                  <c:v>3611</c:v>
                </c:pt>
              </c:numCache>
            </c:numRef>
          </c:val>
          <c:extLst>
            <c:ext xmlns:c16="http://schemas.microsoft.com/office/drawing/2014/chart" uri="{C3380CC4-5D6E-409C-BE32-E72D297353CC}">
              <c16:uniqueId val="{00000000-49B0-423D-9062-6B944C01CDB8}"/>
            </c:ext>
          </c:extLst>
        </c:ser>
        <c:ser>
          <c:idx val="0"/>
          <c:order val="1"/>
          <c:tx>
            <c:strRef>
              <c:f>[28]Hoja2!$C$2</c:f>
              <c:strCache>
                <c:ptCount val="1"/>
                <c:pt idx="0">
                  <c:v>Mujer</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[28]Hoja2!$B$3:$B$11</c:f>
              <c:strCache>
                <c:ptCount val="9"/>
                <c:pt idx="0">
                  <c:v>Sis Est posgrado</c:v>
                </c:pt>
                <c:pt idx="1">
                  <c:v>Cs. Agroalimentarias</c:v>
                </c:pt>
                <c:pt idx="2">
                  <c:v>Cs. Básicas</c:v>
                </c:pt>
                <c:pt idx="3">
                  <c:v>Otros</c:v>
                </c:pt>
                <c:pt idx="4">
                  <c:v>Artes y Letras </c:v>
                </c:pt>
                <c:pt idx="5">
                  <c:v>Ing. y Arquitectura</c:v>
                </c:pt>
                <c:pt idx="6">
                  <c:v>Salud</c:v>
                </c:pt>
                <c:pt idx="7">
                  <c:v>Cs. Sociales</c:v>
                </c:pt>
                <c:pt idx="8">
                  <c:v>Sedes Regionales</c:v>
                </c:pt>
              </c:strCache>
            </c:strRef>
          </c:cat>
          <c:val>
            <c:numRef>
              <c:f>[28]Hoja2!$C$3:$C$11</c:f>
              <c:numCache>
                <c:formatCode>General</c:formatCode>
                <c:ptCount val="9"/>
                <c:pt idx="0">
                  <c:v>74</c:v>
                </c:pt>
                <c:pt idx="1">
                  <c:v>375</c:v>
                </c:pt>
                <c:pt idx="2">
                  <c:v>408</c:v>
                </c:pt>
                <c:pt idx="3">
                  <c:v>432</c:v>
                </c:pt>
                <c:pt idx="4">
                  <c:v>821</c:v>
                </c:pt>
                <c:pt idx="5">
                  <c:v>874</c:v>
                </c:pt>
                <c:pt idx="6">
                  <c:v>1282</c:v>
                </c:pt>
                <c:pt idx="7">
                  <c:v>3843</c:v>
                </c:pt>
                <c:pt idx="8">
                  <c:v>4311</c:v>
                </c:pt>
              </c:numCache>
            </c:numRef>
          </c:val>
          <c:extLst>
            <c:ext xmlns:c16="http://schemas.microsoft.com/office/drawing/2014/chart" uri="{C3380CC4-5D6E-409C-BE32-E72D297353CC}">
              <c16:uniqueId val="{00000001-49B0-423D-9062-6B944C01CDB8}"/>
            </c:ext>
          </c:extLst>
        </c:ser>
        <c:dLbls>
          <c:showLegendKey val="0"/>
          <c:showVal val="0"/>
          <c:showCatName val="0"/>
          <c:showSerName val="0"/>
          <c:showPercent val="0"/>
          <c:showBubbleSize val="0"/>
        </c:dLbls>
        <c:gapWidth val="30"/>
        <c:axId val="1733360160"/>
        <c:axId val="1733356896"/>
      </c:barChart>
      <c:catAx>
        <c:axId val="1733360160"/>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56896"/>
        <c:crosses val="autoZero"/>
        <c:auto val="1"/>
        <c:lblAlgn val="ctr"/>
        <c:lblOffset val="100"/>
        <c:noMultiLvlLbl val="0"/>
      </c:catAx>
      <c:valAx>
        <c:axId val="1733356896"/>
        <c:scaling>
          <c:orientation val="minMax"/>
          <c:max val="45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733360160"/>
        <c:crosses val="autoZero"/>
        <c:crossBetween val="between"/>
        <c:majorUnit val="500"/>
      </c:valAx>
      <c:spPr>
        <a:ln>
          <a:solidFill>
            <a:schemeClr val="tx1"/>
          </a:solidFill>
        </a:ln>
      </c:spPr>
    </c:plotArea>
    <c:legend>
      <c:legendPos val="r"/>
      <c:layout>
        <c:manualLayout>
          <c:xMode val="edge"/>
          <c:yMode val="edge"/>
          <c:x val="0.75952936917368097"/>
          <c:y val="0.94866730443741265"/>
          <c:w val="0.20336640280707619"/>
          <c:h val="3.6688825111814261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3303764244659291E-2"/>
          <c:y val="0.19964040209259556"/>
          <c:w val="0.93699478510068135"/>
          <c:h val="0.67355049595703254"/>
        </c:manualLayout>
      </c:layout>
      <c:bar3DChart>
        <c:barDir val="col"/>
        <c:grouping val="clustered"/>
        <c:varyColors val="0"/>
        <c:ser>
          <c:idx val="0"/>
          <c:order val="0"/>
          <c:spPr>
            <a:solidFill>
              <a:schemeClr val="accent5">
                <a:lumMod val="40000"/>
                <a:lumOff val="60000"/>
              </a:schemeClr>
            </a:solidFill>
          </c:spPr>
          <c:invertIfNegative val="0"/>
          <c:dLbls>
            <c:dLbl>
              <c:idx val="0"/>
              <c:layout>
                <c:manualLayout>
                  <c:x val="3.3135984584205455E-3"/>
                  <c:y val="0.2076506381858263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A5-4AD6-80C0-2694BCA5F414}"/>
                </c:ext>
              </c:extLst>
            </c:dLbl>
            <c:dLbl>
              <c:idx val="1"/>
              <c:layout>
                <c:manualLayout>
                  <c:x val="0"/>
                  <c:y val="0.27878202701118387"/>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A5-4AD6-80C0-2694BCA5F414}"/>
                </c:ext>
              </c:extLst>
            </c:dLbl>
            <c:dLbl>
              <c:idx val="2"/>
              <c:layout>
                <c:manualLayout>
                  <c:x val="1.6876308182996113E-3"/>
                  <c:y val="6.4942446997230577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A5-4AD6-80C0-2694BCA5F414}"/>
                </c:ext>
              </c:extLst>
            </c:dLbl>
            <c:dLbl>
              <c:idx val="3"/>
              <c:layout>
                <c:manualLayout>
                  <c:x val="1.5189873417721518E-2"/>
                  <c:y val="1.6267924651597241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A5-4AD6-80C0-2694BCA5F414}"/>
                </c:ext>
              </c:extLst>
            </c:dLbl>
            <c:dLbl>
              <c:idx val="4"/>
              <c:layout>
                <c:manualLayout>
                  <c:x val="1.0935379912953919E-2"/>
                  <c:y val="1.7467706317280618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A5-4AD6-80C0-2694BCA5F41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'[29]GRH-6'!$B$4:$B$8</c:f>
              <c:strCache>
                <c:ptCount val="5"/>
                <c:pt idx="0">
                  <c:v>Menor o igual a 20</c:v>
                </c:pt>
                <c:pt idx="1">
                  <c:v>de 21 a 25 años</c:v>
                </c:pt>
                <c:pt idx="2">
                  <c:v>de 26 a 30 años</c:v>
                </c:pt>
                <c:pt idx="3">
                  <c:v>de 31 a 35 años</c:v>
                </c:pt>
                <c:pt idx="4">
                  <c:v>más de 35 años</c:v>
                </c:pt>
              </c:strCache>
            </c:strRef>
          </c:cat>
          <c:val>
            <c:numRef>
              <c:f>'[29]GRH-6'!$C$4:$C$8</c:f>
              <c:numCache>
                <c:formatCode>General</c:formatCode>
                <c:ptCount val="5"/>
                <c:pt idx="0">
                  <c:v>8689</c:v>
                </c:pt>
                <c:pt idx="1">
                  <c:v>11542</c:v>
                </c:pt>
                <c:pt idx="2">
                  <c:v>2474</c:v>
                </c:pt>
                <c:pt idx="3">
                  <c:v>401</c:v>
                </c:pt>
                <c:pt idx="4">
                  <c:v>189</c:v>
                </c:pt>
              </c:numCache>
            </c:numRef>
          </c:val>
          <c:extLst>
            <c:ext xmlns:c16="http://schemas.microsoft.com/office/drawing/2014/chart" uri="{C3380CC4-5D6E-409C-BE32-E72D297353CC}">
              <c16:uniqueId val="{00000005-FBA5-4AD6-80C0-2694BCA5F414}"/>
            </c:ext>
          </c:extLst>
        </c:ser>
        <c:dLbls>
          <c:showLegendKey val="0"/>
          <c:showVal val="0"/>
          <c:showCatName val="0"/>
          <c:showSerName val="0"/>
          <c:showPercent val="0"/>
          <c:showBubbleSize val="0"/>
        </c:dLbls>
        <c:gapWidth val="150"/>
        <c:shape val="box"/>
        <c:axId val="1733359072"/>
        <c:axId val="1733355264"/>
        <c:axId val="0"/>
      </c:bar3DChart>
      <c:catAx>
        <c:axId val="17333590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5264"/>
        <c:crosses val="autoZero"/>
        <c:auto val="1"/>
        <c:lblAlgn val="ctr"/>
        <c:lblOffset val="100"/>
        <c:noMultiLvlLbl val="0"/>
      </c:catAx>
      <c:valAx>
        <c:axId val="173335526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73335907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los profesores en Régimen Académico.  2015 - 2019</a:t>
            </a:r>
          </a:p>
        </c:rich>
      </c:tx>
      <c:layout>
        <c:manualLayout>
          <c:xMode val="edge"/>
          <c:yMode val="edge"/>
          <c:x val="0.18935011748414515"/>
          <c:y val="7.7876159663210417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4405502874225318"/>
        </c:manualLayout>
      </c:layout>
      <c:bar3DChart>
        <c:barDir val="col"/>
        <c:grouping val="percentStacked"/>
        <c:varyColors val="0"/>
        <c:ser>
          <c:idx val="3"/>
          <c:order val="0"/>
          <c:tx>
            <c:strRef>
              <c:f>[3]Hoja1!$B$2</c:f>
              <c:strCache>
                <c:ptCount val="1"/>
                <c:pt idx="0">
                  <c:v>Catedrático</c:v>
                </c:pt>
              </c:strCache>
            </c:strRef>
          </c:tx>
          <c:spPr>
            <a:solidFill>
              <a:schemeClr val="accent2">
                <a:lumMod val="40000"/>
                <a:lumOff val="6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[3]Hoja1!$B$3:$B$7</c:f>
              <c:numCache>
                <c:formatCode>General</c:formatCode>
                <c:ptCount val="5"/>
                <c:pt idx="0">
                  <c:v>24.78</c:v>
                </c:pt>
                <c:pt idx="1">
                  <c:v>24.89</c:v>
                </c:pt>
                <c:pt idx="2">
                  <c:v>24.82</c:v>
                </c:pt>
                <c:pt idx="3">
                  <c:v>24.03560830860534</c:v>
                </c:pt>
                <c:pt idx="4">
                  <c:v>24.83</c:v>
                </c:pt>
              </c:numCache>
            </c:numRef>
          </c:val>
          <c:extLst>
            <c:ext xmlns:c16="http://schemas.microsoft.com/office/drawing/2014/chart" uri="{C3380CC4-5D6E-409C-BE32-E72D297353CC}">
              <c16:uniqueId val="{00000000-28E4-4905-9E53-A81AC8EF50C8}"/>
            </c:ext>
          </c:extLst>
        </c:ser>
        <c:ser>
          <c:idx val="2"/>
          <c:order val="1"/>
          <c:tx>
            <c:strRef>
              <c:f>[3]Hoja1!$C$2</c:f>
              <c:strCache>
                <c:ptCount val="1"/>
                <c:pt idx="0">
                  <c:v>Asociado </c:v>
                </c:pt>
              </c:strCache>
            </c:strRef>
          </c:tx>
          <c:spPr>
            <a:solidFill>
              <a:schemeClr val="accent3">
                <a:lumMod val="40000"/>
                <a:lumOff val="60000"/>
              </a:schemeClr>
            </a:solidFill>
          </c:spPr>
          <c:invertIfNegative val="0"/>
          <c:dLbls>
            <c:spPr>
              <a:solidFill>
                <a:schemeClr val="accent3">
                  <a:lumMod val="60000"/>
                  <a:lumOff val="40000"/>
                </a:schemeClr>
              </a:solidFill>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[3]Hoja1!$C$3:$C$7</c:f>
              <c:numCache>
                <c:formatCode>General</c:formatCode>
                <c:ptCount val="5"/>
                <c:pt idx="0">
                  <c:v>25.49</c:v>
                </c:pt>
                <c:pt idx="1">
                  <c:v>25.39</c:v>
                </c:pt>
                <c:pt idx="2">
                  <c:v>24.92</c:v>
                </c:pt>
                <c:pt idx="3">
                  <c:v>24.233432245301682</c:v>
                </c:pt>
                <c:pt idx="4">
                  <c:v>23.09</c:v>
                </c:pt>
              </c:numCache>
            </c:numRef>
          </c:val>
          <c:extLst>
            <c:ext xmlns:c16="http://schemas.microsoft.com/office/drawing/2014/chart" uri="{C3380CC4-5D6E-409C-BE32-E72D297353CC}">
              <c16:uniqueId val="{00000001-28E4-4905-9E53-A81AC8EF50C8}"/>
            </c:ext>
          </c:extLst>
        </c:ser>
        <c:ser>
          <c:idx val="1"/>
          <c:order val="2"/>
          <c:tx>
            <c:strRef>
              <c:f>[3]Hoja1!$D$2</c:f>
              <c:strCache>
                <c:ptCount val="1"/>
                <c:pt idx="0">
                  <c:v>Adjunto</c:v>
                </c:pt>
              </c:strCache>
            </c:strRef>
          </c:tx>
          <c:spPr>
            <a:gradFill flip="none" rotWithShape="1">
              <a:gsLst>
                <a:gs pos="0">
                  <a:srgbClr val="FFFF00">
                    <a:tint val="66000"/>
                    <a:satMod val="160000"/>
                  </a:srgbClr>
                </a:gs>
                <a:gs pos="50000">
                  <a:srgbClr val="FFFF00">
                    <a:tint val="44500"/>
                    <a:satMod val="160000"/>
                  </a:srgbClr>
                </a:gs>
                <a:gs pos="100000">
                  <a:srgbClr val="FFFF00">
                    <a:tint val="23500"/>
                    <a:satMod val="160000"/>
                  </a:srgbClr>
                </a:gs>
              </a:gsLst>
              <a:lin ang="2700000" scaled="1"/>
              <a:tileRect/>
            </a:gra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[3]Hoja1!$D$3:$D$7</c:f>
              <c:numCache>
                <c:formatCode>General</c:formatCode>
                <c:ptCount val="5"/>
                <c:pt idx="0">
                  <c:v>9.99</c:v>
                </c:pt>
                <c:pt idx="1">
                  <c:v>9.67</c:v>
                </c:pt>
                <c:pt idx="2">
                  <c:v>9.64</c:v>
                </c:pt>
                <c:pt idx="3">
                  <c:v>9.792284866468842</c:v>
                </c:pt>
                <c:pt idx="4">
                  <c:v>10.26</c:v>
                </c:pt>
              </c:numCache>
            </c:numRef>
          </c:val>
          <c:extLst>
            <c:ext xmlns:c16="http://schemas.microsoft.com/office/drawing/2014/chart" uri="{C3380CC4-5D6E-409C-BE32-E72D297353CC}">
              <c16:uniqueId val="{00000002-28E4-4905-9E53-A81AC8EF50C8}"/>
            </c:ext>
          </c:extLst>
        </c:ser>
        <c:ser>
          <c:idx val="0"/>
          <c:order val="3"/>
          <c:tx>
            <c:strRef>
              <c:f>[3]Hoja1!$E$2</c:f>
              <c:strCache>
                <c:ptCount val="1"/>
                <c:pt idx="0">
                  <c:v>Instructor</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[3]Hoja1!$A$3:$A$7</c:f>
              <c:numCache>
                <c:formatCode>General</c:formatCode>
                <c:ptCount val="5"/>
                <c:pt idx="0">
                  <c:v>2015</c:v>
                </c:pt>
                <c:pt idx="1">
                  <c:v>2016</c:v>
                </c:pt>
                <c:pt idx="2">
                  <c:v>2017</c:v>
                </c:pt>
                <c:pt idx="3">
                  <c:v>2018</c:v>
                </c:pt>
                <c:pt idx="4">
                  <c:v>2019</c:v>
                </c:pt>
              </c:numCache>
            </c:numRef>
          </c:cat>
          <c:val>
            <c:numRef>
              <c:f>[3]Hoja1!$E$3:$E$7</c:f>
              <c:numCache>
                <c:formatCode>General</c:formatCode>
                <c:ptCount val="5"/>
                <c:pt idx="0">
                  <c:v>39.74</c:v>
                </c:pt>
                <c:pt idx="1">
                  <c:v>40.049999999999997</c:v>
                </c:pt>
                <c:pt idx="2">
                  <c:v>40.619999999999997</c:v>
                </c:pt>
                <c:pt idx="3">
                  <c:v>41.938674579624134</c:v>
                </c:pt>
                <c:pt idx="4">
                  <c:v>41.82</c:v>
                </c:pt>
              </c:numCache>
            </c:numRef>
          </c:val>
          <c:extLst>
            <c:ext xmlns:c16="http://schemas.microsoft.com/office/drawing/2014/chart" uri="{C3380CC4-5D6E-409C-BE32-E72D297353CC}">
              <c16:uniqueId val="{00000003-28E4-4905-9E53-A81AC8EF50C8}"/>
            </c:ext>
          </c:extLst>
        </c:ser>
        <c:dLbls>
          <c:showLegendKey val="0"/>
          <c:showVal val="0"/>
          <c:showCatName val="0"/>
          <c:showSerName val="0"/>
          <c:showPercent val="0"/>
          <c:showBubbleSize val="0"/>
        </c:dLbls>
        <c:gapWidth val="150"/>
        <c:shape val="box"/>
        <c:axId val="1553123456"/>
        <c:axId val="1553110400"/>
        <c:axId val="0"/>
      </c:bar3DChart>
      <c:catAx>
        <c:axId val="15531234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0400"/>
        <c:crosses val="autoZero"/>
        <c:auto val="1"/>
        <c:lblAlgn val="ctr"/>
        <c:lblOffset val="100"/>
        <c:noMultiLvlLbl val="0"/>
      </c:catAx>
      <c:valAx>
        <c:axId val="15531104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23456"/>
        <c:crosses val="autoZero"/>
        <c:crossBetween val="between"/>
      </c:valAx>
      <c:spPr>
        <a:noFill/>
        <a:ln w="25400">
          <a:noFill/>
        </a:ln>
      </c:spPr>
    </c:plotArea>
    <c:legend>
      <c:legendPos val="b"/>
      <c:layout>
        <c:manualLayout>
          <c:xMode val="edge"/>
          <c:yMode val="edge"/>
          <c:x val="0.53790281593659539"/>
          <c:y val="0.92700923832540727"/>
          <c:w val="0.26006437689208395"/>
          <c:h val="2.8466321041553E-2"/>
        </c:manualLayout>
      </c:layout>
      <c:overlay val="0"/>
      <c:spPr>
        <a:ln>
          <a:solidFill>
            <a:schemeClr val="tx1">
              <a:lumMod val="50000"/>
              <a:lumOff val="50000"/>
            </a:schemeClr>
          </a:solidFill>
        </a:ln>
      </c:spPr>
      <c:txPr>
        <a:bodyPr/>
        <a:lstStyle/>
        <a:p>
          <a:pPr>
            <a:defRPr sz="58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72110744221"/>
          <c:y val="3.2576159342550044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335290917682182"/>
          <c:y val="0.20294818261353695"/>
          <c:w val="0.47012043313042751"/>
          <c:h val="0.75159727193191761"/>
        </c:manualLayout>
      </c:layout>
      <c:pie3DChart>
        <c:varyColors val="1"/>
        <c:ser>
          <c:idx val="3"/>
          <c:order val="0"/>
          <c:dPt>
            <c:idx val="0"/>
            <c:bubble3D val="0"/>
            <c:explosion val="8"/>
            <c:spPr>
              <a:solidFill>
                <a:srgbClr val="FFCCCC"/>
              </a:solidFill>
              <a:ln>
                <a:solidFill>
                  <a:srgbClr val="FF99FF"/>
                </a:solidFill>
              </a:ln>
            </c:spPr>
            <c:extLst>
              <c:ext xmlns:c16="http://schemas.microsoft.com/office/drawing/2014/chart" uri="{C3380CC4-5D6E-409C-BE32-E72D297353CC}">
                <c16:uniqueId val="{00000001-9F6E-456A-BA37-0AAC3C7D631F}"/>
              </c:ext>
            </c:extLst>
          </c:dPt>
          <c:dPt>
            <c:idx val="1"/>
            <c:bubble3D val="0"/>
            <c:spPr>
              <a:solidFill>
                <a:srgbClr val="FFFF99"/>
              </a:solidFill>
            </c:spPr>
            <c:extLst>
              <c:ext xmlns:c16="http://schemas.microsoft.com/office/drawing/2014/chart" uri="{C3380CC4-5D6E-409C-BE32-E72D297353CC}">
                <c16:uniqueId val="{00000003-9F6E-456A-BA37-0AAC3C7D631F}"/>
              </c:ext>
            </c:extLst>
          </c:dPt>
          <c:dPt>
            <c:idx val="2"/>
            <c:bubble3D val="0"/>
            <c:spPr>
              <a:solidFill>
                <a:srgbClr val="FF9966"/>
              </a:solidFill>
            </c:spPr>
            <c:extLst>
              <c:ext xmlns:c16="http://schemas.microsoft.com/office/drawing/2014/chart" uri="{C3380CC4-5D6E-409C-BE32-E72D297353CC}">
                <c16:uniqueId val="{00000005-9F6E-456A-BA37-0AAC3C7D631F}"/>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F6E-456A-BA37-0AAC3C7D631F}"/>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F6E-456A-BA37-0AAC3C7D631F}"/>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('[30]GVE-4'!$B$2,'[30]GVE-4'!$C$2,'[30]GVE-4'!$D$2)</c:f>
              <c:strCache>
                <c:ptCount val="3"/>
                <c:pt idx="0">
                  <c:v>Soltero </c:v>
                </c:pt>
                <c:pt idx="1">
                  <c:v>Casado</c:v>
                </c:pt>
                <c:pt idx="2">
                  <c:v>Otros</c:v>
                </c:pt>
              </c:strCache>
            </c:strRef>
          </c:cat>
          <c:val>
            <c:numRef>
              <c:f>('[30]GVE-4'!$B$3,'[30]GVE-4'!$C$3,'[30]GVE-4'!$D$3)</c:f>
              <c:numCache>
                <c:formatCode>General</c:formatCode>
                <c:ptCount val="3"/>
                <c:pt idx="0">
                  <c:v>97.74</c:v>
                </c:pt>
                <c:pt idx="1">
                  <c:v>1.05</c:v>
                </c:pt>
                <c:pt idx="2">
                  <c:v>1.2</c:v>
                </c:pt>
              </c:numCache>
            </c:numRef>
          </c:val>
          <c:extLst>
            <c:ext xmlns:c16="http://schemas.microsoft.com/office/drawing/2014/chart" uri="{C3380CC4-5D6E-409C-BE32-E72D297353CC}">
              <c16:uniqueId val="{00000006-9F6E-456A-BA37-0AAC3C7D631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45316318216"/>
          <c:y val="4.2677165354330707E-2"/>
        </c:manualLayout>
      </c:layout>
      <c:overlay val="0"/>
    </c:title>
    <c:autoTitleDeleted val="0"/>
    <c:view3D>
      <c:rotX val="75"/>
      <c:rotY val="2"/>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explosion val="8"/>
            <c:spPr>
              <a:solidFill>
                <a:srgbClr val="CCCCFF"/>
              </a:solidFill>
              <a:ln>
                <a:solidFill>
                  <a:srgbClr val="FF99FF"/>
                </a:solidFill>
              </a:ln>
            </c:spPr>
            <c:extLst>
              <c:ext xmlns:c16="http://schemas.microsoft.com/office/drawing/2014/chart" uri="{C3380CC4-5D6E-409C-BE32-E72D297353CC}">
                <c16:uniqueId val="{00000001-92E1-4074-A57F-BDC9245C4D5A}"/>
              </c:ext>
            </c:extLst>
          </c:dPt>
          <c:dPt>
            <c:idx val="1"/>
            <c:bubble3D val="0"/>
            <c:spPr>
              <a:solidFill>
                <a:srgbClr val="FFCCFF"/>
              </a:solidFill>
            </c:spPr>
            <c:extLst>
              <c:ext xmlns:c16="http://schemas.microsoft.com/office/drawing/2014/chart" uri="{C3380CC4-5D6E-409C-BE32-E72D297353CC}">
                <c16:uniqueId val="{00000003-92E1-4074-A57F-BDC9245C4D5A}"/>
              </c:ext>
            </c:extLst>
          </c:dPt>
          <c:dPt>
            <c:idx val="2"/>
            <c:bubble3D val="0"/>
            <c:spPr>
              <a:solidFill>
                <a:srgbClr val="CC66FF"/>
              </a:solidFill>
            </c:spPr>
            <c:extLst>
              <c:ext xmlns:c16="http://schemas.microsoft.com/office/drawing/2014/chart" uri="{C3380CC4-5D6E-409C-BE32-E72D297353CC}">
                <c16:uniqueId val="{00000005-92E1-4074-A57F-BDC9245C4D5A}"/>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2E1-4074-A57F-BDC9245C4D5A}"/>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2E1-4074-A57F-BDC9245C4D5A}"/>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('[31]GVE-5'!$A$1,'[31]GVE-5'!$B$1,'[31]GVE-5'!$C$1)</c:f>
              <c:strCache>
                <c:ptCount val="3"/>
                <c:pt idx="0">
                  <c:v>Costarricense</c:v>
                </c:pt>
                <c:pt idx="1">
                  <c:v>Centroamérica y Panamá</c:v>
                </c:pt>
                <c:pt idx="2">
                  <c:v>Otros</c:v>
                </c:pt>
              </c:strCache>
            </c:strRef>
          </c:cat>
          <c:val>
            <c:numRef>
              <c:f>('[31]GVE-5'!$A$2,'[31]GVE-5'!$B$2,'[31]GVE-5'!$C$2)</c:f>
              <c:numCache>
                <c:formatCode>General</c:formatCode>
                <c:ptCount val="3"/>
                <c:pt idx="0">
                  <c:v>98.11</c:v>
                </c:pt>
                <c:pt idx="1">
                  <c:v>0.84</c:v>
                </c:pt>
                <c:pt idx="2">
                  <c:v>1.05</c:v>
                </c:pt>
              </c:numCache>
            </c:numRef>
          </c:val>
          <c:extLst>
            <c:ext xmlns:c16="http://schemas.microsoft.com/office/drawing/2014/chart" uri="{C3380CC4-5D6E-409C-BE32-E72D297353CC}">
              <c16:uniqueId val="{00000006-92E1-4074-A57F-BDC9245C4D5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ln>
          <a:solidFill>
            <a:sysClr val="windowText" lastClr="000000"/>
          </a:solidFill>
        </a:ln>
      </c:spPr>
    </c:floor>
    <c:sideWall>
      <c:thickness val="0"/>
    </c:sideWall>
    <c:backWall>
      <c:thickness val="0"/>
    </c:backWall>
    <c:plotArea>
      <c:layout>
        <c:manualLayout>
          <c:layoutTarget val="inner"/>
          <c:xMode val="edge"/>
          <c:yMode val="edge"/>
          <c:x val="4.3757620848575034E-2"/>
          <c:y val="0.20190800426098329"/>
          <c:w val="0.93699478510068135"/>
          <c:h val="0.67355049595703254"/>
        </c:manualLayout>
      </c:layout>
      <c:bar3DChart>
        <c:barDir val="col"/>
        <c:grouping val="clustered"/>
        <c:varyColors val="0"/>
        <c:ser>
          <c:idx val="0"/>
          <c:order val="0"/>
          <c:spPr>
            <a:solidFill>
              <a:schemeClr val="accent1">
                <a:lumMod val="40000"/>
                <a:lumOff val="60000"/>
              </a:schemeClr>
            </a:solidFill>
          </c:spPr>
          <c:invertIfNegative val="0"/>
          <c:dLbls>
            <c:dLbl>
              <c:idx val="0"/>
              <c:layout>
                <c:manualLayout>
                  <c:x val="3.3135984584205455E-3"/>
                  <c:y val="0.20765063818582633"/>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62-49BF-BEF3-4ACBEA1B2D10}"/>
                </c:ext>
              </c:extLst>
            </c:dLbl>
            <c:dLbl>
              <c:idx val="1"/>
              <c:layout>
                <c:manualLayout>
                  <c:x val="3.5398230088495575E-3"/>
                  <c:y val="4.887096774193548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62-49BF-BEF3-4ACBEA1B2D10}"/>
                </c:ext>
              </c:extLst>
            </c:dLbl>
            <c:dLbl>
              <c:idx val="2"/>
              <c:layout>
                <c:manualLayout>
                  <c:x val="1.6876308182996113E-3"/>
                  <c:y val="6.4942446997230577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62-49BF-BEF3-4ACBEA1B2D10}"/>
                </c:ext>
              </c:extLst>
            </c:dLbl>
            <c:dLbl>
              <c:idx val="3"/>
              <c:layout>
                <c:manualLayout>
                  <c:x val="1.5189873417721518E-2"/>
                  <c:y val="1.6267924651597241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62-49BF-BEF3-4ACBEA1B2D10}"/>
                </c:ext>
              </c:extLst>
            </c:dLbl>
            <c:dLbl>
              <c:idx val="4"/>
              <c:layout>
                <c:manualLayout>
                  <c:x val="1.0935379912953919E-2"/>
                  <c:y val="1.7467706317280618E-2"/>
                </c:manualLayout>
              </c:layout>
              <c:spPr>
                <a:effectLst/>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62-49BF-BEF3-4ACBEA1B2D10}"/>
                </c:ext>
              </c:extLst>
            </c:dLbl>
            <c:spPr>
              <a:effectLst/>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'[32]GRH-6'!$B$4:$B$5</c:f>
              <c:strCache>
                <c:ptCount val="2"/>
                <c:pt idx="0">
                  <c:v>de 1 a menos de 6</c:v>
                </c:pt>
                <c:pt idx="1">
                  <c:v>de 6 y más</c:v>
                </c:pt>
              </c:strCache>
            </c:strRef>
          </c:cat>
          <c:val>
            <c:numRef>
              <c:f>'[32]GRH-6'!$C$4:$C$5</c:f>
              <c:numCache>
                <c:formatCode>General</c:formatCode>
                <c:ptCount val="2"/>
                <c:pt idx="0">
                  <c:v>21458</c:v>
                </c:pt>
                <c:pt idx="1">
                  <c:v>1837</c:v>
                </c:pt>
              </c:numCache>
            </c:numRef>
          </c:val>
          <c:extLst>
            <c:ext xmlns:c16="http://schemas.microsoft.com/office/drawing/2014/chart" uri="{C3380CC4-5D6E-409C-BE32-E72D297353CC}">
              <c16:uniqueId val="{00000005-D962-49BF-BEF3-4ACBEA1B2D10}"/>
            </c:ext>
          </c:extLst>
        </c:ser>
        <c:dLbls>
          <c:showLegendKey val="0"/>
          <c:showVal val="0"/>
          <c:showCatName val="0"/>
          <c:showSerName val="0"/>
          <c:showPercent val="0"/>
          <c:showBubbleSize val="0"/>
        </c:dLbls>
        <c:gapWidth val="138"/>
        <c:gapDepth val="41"/>
        <c:shape val="box"/>
        <c:axId val="309813888"/>
        <c:axId val="309817696"/>
        <c:axId val="0"/>
      </c:bar3DChart>
      <c:catAx>
        <c:axId val="309813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7696"/>
        <c:crosses val="autoZero"/>
        <c:auto val="1"/>
        <c:lblAlgn val="ctr"/>
        <c:lblOffset val="100"/>
        <c:noMultiLvlLbl val="0"/>
      </c:catAx>
      <c:valAx>
        <c:axId val="3098176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30981388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Times New Roman"/>
                <a:ea typeface="Times New Roman"/>
                <a:cs typeface="Times New Roman"/>
              </a:defRPr>
            </a:pPr>
            <a:r>
              <a:rPr lang="es-CR"/>
              <a:t>Distribución absoluta de los estudiantes físicos de primer ingreso con beca de Asistencia Socioeconómica según Sede.  I ciclo</a:t>
            </a:r>
          </a:p>
        </c:rich>
      </c:tx>
      <c:layout>
        <c:manualLayout>
          <c:xMode val="edge"/>
          <c:yMode val="edge"/>
          <c:x val="0.1635913371272214"/>
          <c:y val="7.45811281786498E-2"/>
        </c:manualLayout>
      </c:layout>
      <c:overlay val="1"/>
    </c:title>
    <c:autoTitleDeleted val="0"/>
    <c:plotArea>
      <c:layout>
        <c:manualLayout>
          <c:layoutTarget val="inner"/>
          <c:xMode val="edge"/>
          <c:yMode val="edge"/>
          <c:x val="0.1111111111111111"/>
          <c:y val="0.21541155866900175"/>
          <c:w val="0.85322359396433467"/>
          <c:h val="0.65849387040280205"/>
        </c:manualLayout>
      </c:layout>
      <c:barChart>
        <c:barDir val="bar"/>
        <c:grouping val="stacked"/>
        <c:varyColors val="0"/>
        <c:ser>
          <c:idx val="1"/>
          <c:order val="0"/>
          <c:spPr>
            <a:solidFill>
              <a:srgbClr val="9999FF"/>
            </a:solidFill>
          </c:spPr>
          <c:invertIfNegative val="0"/>
          <c:dLbls>
            <c:dLbl>
              <c:idx val="0"/>
              <c:layout>
                <c:manualLayout>
                  <c:x val="2.5369668297635633E-3"/>
                  <c:y val="-3.1821797931583136E-3"/>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B9-44B4-A446-752EBFFAE9B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[33]Hoja1!$B$2:$B$8</c:f>
              <c:strCache>
                <c:ptCount val="7"/>
                <c:pt idx="0">
                  <c:v>Alajuela</c:v>
                </c:pt>
                <c:pt idx="1">
                  <c:v>Pacífico</c:v>
                </c:pt>
                <c:pt idx="2">
                  <c:v>Caribe</c:v>
                </c:pt>
                <c:pt idx="3">
                  <c:v>Guanacaste</c:v>
                </c:pt>
                <c:pt idx="4">
                  <c:v>Atlántico</c:v>
                </c:pt>
                <c:pt idx="5">
                  <c:v>Occidente</c:v>
                </c:pt>
                <c:pt idx="6">
                  <c:v>Rodrigo Facio </c:v>
                </c:pt>
              </c:strCache>
            </c:strRef>
          </c:cat>
          <c:val>
            <c:numRef>
              <c:f>([33]Hoja1!$C$2,[33]Hoja1!$C$3,[33]Hoja1!$C$4,[33]Hoja1!$C$5,[33]Hoja1!$C$6,[33]Hoja1!$C$7,[33]Hoja1!$C$8)</c:f>
              <c:numCache>
                <c:formatCode>General</c:formatCode>
                <c:ptCount val="7"/>
                <c:pt idx="0">
                  <c:v>90</c:v>
                </c:pt>
                <c:pt idx="1">
                  <c:v>272</c:v>
                </c:pt>
                <c:pt idx="2">
                  <c:v>280</c:v>
                </c:pt>
                <c:pt idx="3">
                  <c:v>381</c:v>
                </c:pt>
                <c:pt idx="4">
                  <c:v>438</c:v>
                </c:pt>
                <c:pt idx="5">
                  <c:v>530</c:v>
                </c:pt>
                <c:pt idx="6">
                  <c:v>2800</c:v>
                </c:pt>
              </c:numCache>
            </c:numRef>
          </c:val>
          <c:extLst>
            <c:ext xmlns:c16="http://schemas.microsoft.com/office/drawing/2014/chart" uri="{C3380CC4-5D6E-409C-BE32-E72D297353CC}">
              <c16:uniqueId val="{00000001-71B9-44B4-A446-752EBFFAE9B2}"/>
            </c:ext>
          </c:extLst>
        </c:ser>
        <c:dLbls>
          <c:showLegendKey val="0"/>
          <c:showVal val="0"/>
          <c:showCatName val="0"/>
          <c:showSerName val="0"/>
          <c:showPercent val="0"/>
          <c:showBubbleSize val="0"/>
        </c:dLbls>
        <c:gapWidth val="87"/>
        <c:overlap val="100"/>
        <c:axId val="309818784"/>
        <c:axId val="309819872"/>
      </c:barChart>
      <c:catAx>
        <c:axId val="30981878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9872"/>
        <c:crosses val="autoZero"/>
        <c:auto val="1"/>
        <c:lblAlgn val="ctr"/>
        <c:lblOffset val="100"/>
        <c:noMultiLvlLbl val="0"/>
      </c:catAx>
      <c:valAx>
        <c:axId val="309819872"/>
        <c:scaling>
          <c:orientation val="minMax"/>
          <c:max val="3000"/>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8784"/>
        <c:crosses val="autoZero"/>
        <c:crossBetween val="between"/>
        <c:majorUnit val="200"/>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10079575596817"/>
          <c:y val="0.17563291139240506"/>
          <c:w val="0.86383731211317416"/>
          <c:h val="0.67668776371308015"/>
        </c:manualLayout>
      </c:layout>
      <c:barChart>
        <c:barDir val="bar"/>
        <c:grouping val="clustered"/>
        <c:varyColors val="0"/>
        <c:ser>
          <c:idx val="1"/>
          <c:order val="0"/>
          <c:tx>
            <c:strRef>
              <c:f>'[34]GVE-8'!$D$1</c:f>
              <c:strCache>
                <c:ptCount val="1"/>
                <c:pt idx="0">
                  <c:v>Beca vigente</c:v>
                </c:pt>
              </c:strCache>
            </c:strRef>
          </c:tx>
          <c:spPr>
            <a:solidFill>
              <a:schemeClr val="accent1"/>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'[34]GVE-8'!$D$2:$D$8</c:f>
              <c:numCache>
                <c:formatCode>General</c:formatCode>
                <c:ptCount val="7"/>
                <c:pt idx="0">
                  <c:v>431</c:v>
                </c:pt>
                <c:pt idx="1">
                  <c:v>1054</c:v>
                </c:pt>
                <c:pt idx="2">
                  <c:v>1182</c:v>
                </c:pt>
                <c:pt idx="3">
                  <c:v>1684</c:v>
                </c:pt>
                <c:pt idx="4">
                  <c:v>1660</c:v>
                </c:pt>
                <c:pt idx="5">
                  <c:v>2356</c:v>
                </c:pt>
                <c:pt idx="6">
                  <c:v>14928</c:v>
                </c:pt>
              </c:numCache>
            </c:numRef>
          </c:val>
          <c:extLst>
            <c:ext xmlns:c16="http://schemas.microsoft.com/office/drawing/2014/chart" uri="{C3380CC4-5D6E-409C-BE32-E72D297353CC}">
              <c16:uniqueId val="{00000001-713F-492B-8AB5-229F7450C697}"/>
            </c:ext>
          </c:extLst>
        </c:ser>
        <c:ser>
          <c:idx val="0"/>
          <c:order val="1"/>
          <c:tx>
            <c:strRef>
              <c:f>'[34]GVE-8'!$C$1</c:f>
              <c:strCache>
                <c:ptCount val="1"/>
                <c:pt idx="0">
                  <c:v>Beca permanente</c:v>
                </c:pt>
              </c:strCache>
            </c:strRef>
          </c:tx>
          <c:spPr>
            <a:solidFill>
              <a:schemeClr val="accent2">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3F-492B-8AB5-229F7450C69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'[34]GVE-8'!$B$2:$B$8</c:f>
              <c:strCache>
                <c:ptCount val="7"/>
                <c:pt idx="0">
                  <c:v>Alajuela</c:v>
                </c:pt>
                <c:pt idx="1">
                  <c:v>Pacífico </c:v>
                </c:pt>
                <c:pt idx="2">
                  <c:v>Caribe</c:v>
                </c:pt>
                <c:pt idx="3">
                  <c:v>Guanacaste</c:v>
                </c:pt>
                <c:pt idx="4">
                  <c:v>Atlántico</c:v>
                </c:pt>
                <c:pt idx="5">
                  <c:v>Occidente</c:v>
                </c:pt>
                <c:pt idx="6">
                  <c:v>Rodrigo Facio </c:v>
                </c:pt>
              </c:strCache>
            </c:strRef>
          </c:cat>
          <c:val>
            <c:numRef>
              <c:f>'[34]GVE-8'!$C$2:$C$8</c:f>
              <c:numCache>
                <c:formatCode>General</c:formatCode>
                <c:ptCount val="7"/>
                <c:pt idx="0">
                  <c:v>466</c:v>
                </c:pt>
                <c:pt idx="1">
                  <c:v>1222</c:v>
                </c:pt>
                <c:pt idx="2">
                  <c:v>1363</c:v>
                </c:pt>
                <c:pt idx="3">
                  <c:v>1900</c:v>
                </c:pt>
                <c:pt idx="4">
                  <c:v>1926</c:v>
                </c:pt>
                <c:pt idx="5">
                  <c:v>2713</c:v>
                </c:pt>
                <c:pt idx="6">
                  <c:v>16673</c:v>
                </c:pt>
              </c:numCache>
            </c:numRef>
          </c:val>
          <c:extLst>
            <c:ext xmlns:c16="http://schemas.microsoft.com/office/drawing/2014/chart" uri="{C3380CC4-5D6E-409C-BE32-E72D297353CC}">
              <c16:uniqueId val="{00000003-713F-492B-8AB5-229F7450C697}"/>
            </c:ext>
          </c:extLst>
        </c:ser>
        <c:dLbls>
          <c:showLegendKey val="0"/>
          <c:showVal val="0"/>
          <c:showCatName val="0"/>
          <c:showSerName val="0"/>
          <c:showPercent val="0"/>
          <c:showBubbleSize val="0"/>
        </c:dLbls>
        <c:gapWidth val="114"/>
        <c:axId val="309816064"/>
        <c:axId val="309816608"/>
      </c:barChart>
      <c:catAx>
        <c:axId val="3098160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309816608"/>
        <c:crosses val="autoZero"/>
        <c:auto val="1"/>
        <c:lblAlgn val="ctr"/>
        <c:lblOffset val="100"/>
        <c:noMultiLvlLbl val="0"/>
      </c:catAx>
      <c:valAx>
        <c:axId val="309816608"/>
        <c:scaling>
          <c:orientation val="minMax"/>
        </c:scaling>
        <c:delete val="0"/>
        <c:axPos val="b"/>
        <c:majorGridlines/>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309816064"/>
        <c:crosses val="autoZero"/>
        <c:crossBetween val="between"/>
        <c:majorUnit val="1000"/>
      </c:valAx>
      <c:spPr>
        <a:ln>
          <a:solidFill>
            <a:schemeClr val="tx1"/>
          </a:solidFill>
        </a:ln>
      </c:spPr>
    </c:plotArea>
    <c:legend>
      <c:legendPos val="r"/>
      <c:layout>
        <c:manualLayout>
          <c:xMode val="edge"/>
          <c:yMode val="edge"/>
          <c:x val="0.72681398246969797"/>
          <c:y val="0.94874823339390268"/>
          <c:w val="0.23519775545298216"/>
          <c:h val="3.7394340130560644E-2"/>
        </c:manualLayout>
      </c:layout>
      <c:overlay val="0"/>
      <c:spPr>
        <a:ln>
          <a:solidFill>
            <a:schemeClr val="bg1">
              <a:lumMod val="50000"/>
            </a:schemeClr>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37234042553191"/>
          <c:y val="0.17721518987341772"/>
          <c:w val="0.85372340425531912"/>
          <c:h val="0.67246835443037978"/>
        </c:manualLayout>
      </c:layout>
      <c:barChart>
        <c:barDir val="bar"/>
        <c:grouping val="clustered"/>
        <c:varyColors val="0"/>
        <c:ser>
          <c:idx val="1"/>
          <c:order val="0"/>
          <c:tx>
            <c:strRef>
              <c:f>'[35]GVE-9'!$D$2</c:f>
              <c:strCache>
                <c:ptCount val="1"/>
                <c:pt idx="0">
                  <c:v>Beca permanente</c:v>
                </c:pt>
              </c:strCache>
            </c:strRef>
          </c:tx>
          <c:spPr>
            <a:solidFill>
              <a:schemeClr val="accent2">
                <a:lumMod val="40000"/>
                <a:lumOff val="60000"/>
              </a:schemeClr>
            </a:solidFill>
            <a:ln>
              <a:solidFill>
                <a:schemeClr val="accent1">
                  <a:lumMod val="40000"/>
                  <a:lumOff val="60000"/>
                </a:schemeClr>
              </a:solidFill>
            </a:ln>
          </c:spPr>
          <c:invertIfNegative val="0"/>
          <c:dLbls>
            <c:dLbl>
              <c:idx val="0"/>
              <c:layout>
                <c:manualLayout>
                  <c:x val="-1.4341708612683362E-3"/>
                  <c:y val="1.0270656329158986E-1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'[35]GVE-9'!$D$3:$D$9</c:f>
              <c:numCache>
                <c:formatCode>General</c:formatCode>
                <c:ptCount val="7"/>
                <c:pt idx="0">
                  <c:v>519</c:v>
                </c:pt>
                <c:pt idx="1">
                  <c:v>1246</c:v>
                </c:pt>
                <c:pt idx="2">
                  <c:v>1375</c:v>
                </c:pt>
                <c:pt idx="3">
                  <c:v>1936</c:v>
                </c:pt>
                <c:pt idx="4">
                  <c:v>1949</c:v>
                </c:pt>
                <c:pt idx="5">
                  <c:v>2819</c:v>
                </c:pt>
                <c:pt idx="6">
                  <c:v>19491</c:v>
                </c:pt>
              </c:numCache>
            </c:numRef>
          </c:val>
          <c:extLst>
            <c:ext xmlns:c16="http://schemas.microsoft.com/office/drawing/2014/chart" uri="{C3380CC4-5D6E-409C-BE32-E72D297353CC}">
              <c16:uniqueId val="{00000001-80E8-4DA3-AE43-36DEF323A913}"/>
            </c:ext>
          </c:extLst>
        </c:ser>
        <c:ser>
          <c:idx val="0"/>
          <c:order val="1"/>
          <c:tx>
            <c:strRef>
              <c:f>'[35]GVE-9'!$C$2</c:f>
              <c:strCache>
                <c:ptCount val="1"/>
                <c:pt idx="0">
                  <c:v>Beca vigente</c:v>
                </c:pt>
              </c:strCache>
            </c:strRef>
          </c:tx>
          <c:spPr>
            <a:solidFill>
              <a:schemeClr val="accent6">
                <a:lumMod val="40000"/>
                <a:lumOff val="60000"/>
              </a:schemeClr>
            </a:solidFill>
          </c:spPr>
          <c:invertIfNegative val="0"/>
          <c:dLbls>
            <c:dLbl>
              <c:idx val="0"/>
              <c:layout>
                <c:manualLayout>
                  <c:x val="7.187563093074904E-4"/>
                  <c:y val="0"/>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E8-4DA3-AE43-36DEF323A91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'[35]GVE-9'!$B$3:$B$9</c:f>
              <c:strCache>
                <c:ptCount val="7"/>
                <c:pt idx="0">
                  <c:v>Alajuela</c:v>
                </c:pt>
                <c:pt idx="1">
                  <c:v>Pacífico</c:v>
                </c:pt>
                <c:pt idx="2">
                  <c:v>Caribe</c:v>
                </c:pt>
                <c:pt idx="3">
                  <c:v>Guanacaste</c:v>
                </c:pt>
                <c:pt idx="4">
                  <c:v>Atlántico</c:v>
                </c:pt>
                <c:pt idx="5">
                  <c:v>Occidente</c:v>
                </c:pt>
                <c:pt idx="6">
                  <c:v>Rodrigo Facio </c:v>
                </c:pt>
              </c:strCache>
            </c:strRef>
          </c:cat>
          <c:val>
            <c:numRef>
              <c:f>'[35]GVE-9'!$C$3:$C$9</c:f>
              <c:numCache>
                <c:formatCode>General</c:formatCode>
                <c:ptCount val="7"/>
                <c:pt idx="0">
                  <c:v>485</c:v>
                </c:pt>
                <c:pt idx="1">
                  <c:v>1086</c:v>
                </c:pt>
                <c:pt idx="2">
                  <c:v>1195</c:v>
                </c:pt>
                <c:pt idx="3">
                  <c:v>1723</c:v>
                </c:pt>
                <c:pt idx="4">
                  <c:v>1685</c:v>
                </c:pt>
                <c:pt idx="5">
                  <c:v>2466</c:v>
                </c:pt>
                <c:pt idx="6">
                  <c:v>17828</c:v>
                </c:pt>
              </c:numCache>
            </c:numRef>
          </c:val>
          <c:extLst>
            <c:ext xmlns:c16="http://schemas.microsoft.com/office/drawing/2014/chart" uri="{C3380CC4-5D6E-409C-BE32-E72D297353CC}">
              <c16:uniqueId val="{00000003-80E8-4DA3-AE43-36DEF323A913}"/>
            </c:ext>
          </c:extLst>
        </c:ser>
        <c:dLbls>
          <c:showLegendKey val="0"/>
          <c:showVal val="0"/>
          <c:showCatName val="0"/>
          <c:showSerName val="0"/>
          <c:showPercent val="0"/>
          <c:showBubbleSize val="0"/>
        </c:dLbls>
        <c:gapWidth val="83"/>
        <c:axId val="1554028464"/>
        <c:axId val="1554024656"/>
      </c:barChart>
      <c:catAx>
        <c:axId val="1554028464"/>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4656"/>
        <c:crosses val="autoZero"/>
        <c:auto val="1"/>
        <c:lblAlgn val="ctr"/>
        <c:lblOffset val="100"/>
        <c:noMultiLvlLbl val="0"/>
      </c:catAx>
      <c:valAx>
        <c:axId val="1554024656"/>
        <c:scaling>
          <c:orientation val="minMax"/>
        </c:scaling>
        <c:delete val="0"/>
        <c:axPos val="b"/>
        <c:majorGridlines/>
        <c:numFmt formatCode="General" sourceLinked="1"/>
        <c:majorTickMark val="out"/>
        <c:minorTickMark val="none"/>
        <c:tickLblPos val="low"/>
        <c:txPr>
          <a:bodyPr rot="-5400000" vert="horz"/>
          <a:lstStyle/>
          <a:p>
            <a:pPr>
              <a:defRPr sz="1000" b="0" i="0" u="none" strike="noStrike" baseline="0">
                <a:solidFill>
                  <a:srgbClr val="000000"/>
                </a:solidFill>
                <a:latin typeface="Calibri"/>
                <a:ea typeface="Calibri"/>
                <a:cs typeface="Calibri"/>
              </a:defRPr>
            </a:pPr>
            <a:endParaRPr lang="es-CR"/>
          </a:p>
        </c:txPr>
        <c:crossAx val="1554028464"/>
        <c:crosses val="autoZero"/>
        <c:crossBetween val="between"/>
        <c:majorUnit val="1000"/>
      </c:valAx>
      <c:spPr>
        <a:ln>
          <a:solidFill>
            <a:schemeClr val="tx1"/>
          </a:solidFill>
        </a:ln>
      </c:spPr>
    </c:plotArea>
    <c:legend>
      <c:legendPos val="r"/>
      <c:layout>
        <c:manualLayout>
          <c:xMode val="edge"/>
          <c:yMode val="edge"/>
          <c:x val="0.72785991511699333"/>
          <c:y val="0.94836239119195143"/>
          <c:w val="0.23582314178812758"/>
          <c:h val="3.7676105879660637E-2"/>
        </c:manualLayout>
      </c:layout>
      <c:overlay val="0"/>
      <c:spPr>
        <a:ln>
          <a:solidFill>
            <a:schemeClr val="bg1">
              <a:lumMod val="50000"/>
            </a:schemeClr>
          </a:solidFill>
        </a:ln>
      </c:spPr>
      <c:txPr>
        <a:bodyPr/>
        <a:lstStyle/>
        <a:p>
          <a:pPr>
            <a:defRPr sz="63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7485735691620639"/>
          <c:y val="4.2677165354330707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31361004349980726"/>
          <c:y val="0.24840269180188954"/>
          <c:w val="0.43179472496007931"/>
          <c:h val="0.71633316275717096"/>
        </c:manualLayout>
      </c:layout>
      <c:pie3DChart>
        <c:varyColors val="1"/>
        <c:ser>
          <c:idx val="3"/>
          <c:order val="0"/>
          <c:dPt>
            <c:idx val="0"/>
            <c:bubble3D val="0"/>
            <c:spPr>
              <a:solidFill>
                <a:schemeClr val="accent2">
                  <a:lumMod val="40000"/>
                  <a:lumOff val="60000"/>
                </a:schemeClr>
              </a:solidFill>
              <a:ln>
                <a:solidFill>
                  <a:srgbClr val="FF99FF"/>
                </a:solidFill>
              </a:ln>
            </c:spPr>
            <c:extLst>
              <c:ext xmlns:c16="http://schemas.microsoft.com/office/drawing/2014/chart" uri="{C3380CC4-5D6E-409C-BE32-E72D297353CC}">
                <c16:uniqueId val="{00000001-8199-46B9-A3B9-0CF36E518DD0}"/>
              </c:ext>
            </c:extLst>
          </c:dPt>
          <c:dPt>
            <c:idx val="1"/>
            <c:bubble3D val="0"/>
            <c:spPr>
              <a:solidFill>
                <a:schemeClr val="accent4">
                  <a:lumMod val="40000"/>
                  <a:lumOff val="60000"/>
                </a:schemeClr>
              </a:solidFill>
            </c:spPr>
            <c:extLst>
              <c:ext xmlns:c16="http://schemas.microsoft.com/office/drawing/2014/chart" uri="{C3380CC4-5D6E-409C-BE32-E72D297353CC}">
                <c16:uniqueId val="{00000003-8199-46B9-A3B9-0CF36E518DD0}"/>
              </c:ext>
            </c:extLst>
          </c:dPt>
          <c:dPt>
            <c:idx val="2"/>
            <c:bubble3D val="0"/>
            <c:spPr>
              <a:solidFill>
                <a:srgbClr val="99FFCC"/>
              </a:solidFill>
            </c:spPr>
            <c:extLst>
              <c:ext xmlns:c16="http://schemas.microsoft.com/office/drawing/2014/chart" uri="{C3380CC4-5D6E-409C-BE32-E72D297353CC}">
                <c16:uniqueId val="{00000005-8199-46B9-A3B9-0CF36E518DD0}"/>
              </c:ext>
            </c:extLst>
          </c:dPt>
          <c:dLbls>
            <c:dLbl>
              <c:idx val="1"/>
              <c:layout>
                <c:manualLayout>
                  <c:x val="-3.9160839160839164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99-46B9-A3B9-0CF36E518DD0}"/>
                </c:ext>
              </c:extLst>
            </c:dLbl>
            <c:dLbl>
              <c:idx val="2"/>
              <c:layout>
                <c:manualLayout>
                  <c:x val="6.7132867132867133E-2"/>
                  <c:y val="-2.795248078266946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99-46B9-A3B9-0CF36E518DD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('[36]GVE-5'!$A$1,'[36]GVE-5'!$B$1,'[36]GVE-5'!$C$1)</c:f>
              <c:strCache>
                <c:ptCount val="3"/>
                <c:pt idx="0">
                  <c:v>Recreación</c:v>
                </c:pt>
                <c:pt idx="1">
                  <c:v>Deporte Representación</c:v>
                </c:pt>
                <c:pt idx="2">
                  <c:v>Actividades Artistísticas</c:v>
                </c:pt>
              </c:strCache>
            </c:strRef>
          </c:cat>
          <c:val>
            <c:numRef>
              <c:f>('[36]GVE-5'!$A$2,'[36]GVE-5'!$B$2,'[36]GVE-5'!$C$2)</c:f>
              <c:numCache>
                <c:formatCode>General</c:formatCode>
                <c:ptCount val="3"/>
                <c:pt idx="0">
                  <c:v>67.75</c:v>
                </c:pt>
                <c:pt idx="1">
                  <c:v>11.87</c:v>
                </c:pt>
                <c:pt idx="2">
                  <c:v>20.38</c:v>
                </c:pt>
              </c:numCache>
            </c:numRef>
          </c:val>
          <c:extLst>
            <c:ext xmlns:c16="http://schemas.microsoft.com/office/drawing/2014/chart" uri="{C3380CC4-5D6E-409C-BE32-E72D297353CC}">
              <c16:uniqueId val="{00000006-8199-46B9-A3B9-0CF36E518DD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18038387659643"/>
          <c:y val="3.257613068636691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78631651493"/>
          <c:y val="0.17634554203451841"/>
          <c:w val="0.49326808310972292"/>
          <c:h val="0.82256859937962312"/>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7EC0-4173-A863-5D1BDEEBA48B}"/>
              </c:ext>
            </c:extLst>
          </c:dPt>
          <c:dPt>
            <c:idx val="1"/>
            <c:bubble3D val="0"/>
            <c:explosion val="18"/>
            <c:spPr>
              <a:solidFill>
                <a:srgbClr val="FFFF99"/>
              </a:solidFill>
            </c:spPr>
            <c:extLst>
              <c:ext xmlns:c16="http://schemas.microsoft.com/office/drawing/2014/chart" uri="{C3380CC4-5D6E-409C-BE32-E72D297353CC}">
                <c16:uniqueId val="{00000003-7EC0-4173-A863-5D1BDEEBA48B}"/>
              </c:ext>
            </c:extLst>
          </c:dPt>
          <c:dPt>
            <c:idx val="2"/>
            <c:bubble3D val="0"/>
            <c:explosion val="34"/>
            <c:spPr>
              <a:solidFill>
                <a:srgbClr val="FF9966"/>
              </a:solidFill>
            </c:spPr>
            <c:extLst>
              <c:ext xmlns:c16="http://schemas.microsoft.com/office/drawing/2014/chart" uri="{C3380CC4-5D6E-409C-BE32-E72D297353CC}">
                <c16:uniqueId val="{00000005-7EC0-4173-A863-5D1BDEEBA48B}"/>
              </c:ext>
            </c:extLst>
          </c:dPt>
          <c:dLbls>
            <c:dLbl>
              <c:idx val="1"/>
              <c:layout>
                <c:manualLayout>
                  <c:x val="-6.5176908752327747E-2"/>
                  <c:y val="3.3462033462033414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EC0-4173-A863-5D1BDEEBA48B}"/>
                </c:ext>
              </c:extLst>
            </c:dLbl>
            <c:dLbl>
              <c:idx val="2"/>
              <c:layout>
                <c:manualLayout>
                  <c:x val="8.1936685288640454E-2"/>
                  <c:y val="3.6036036036036036E-2"/>
                </c:manualLayout>
              </c:layout>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EC0-4173-A863-5D1BDEEBA4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('[37]GAD-1'!$B$2,'[37]GAD-1'!$C$2,'[37]GAD-1'!$D$2)</c:f>
              <c:strCache>
                <c:ptCount val="3"/>
                <c:pt idx="0">
                  <c:v>Administración </c:v>
                </c:pt>
                <c:pt idx="1">
                  <c:v>Apoyo </c:v>
                </c:pt>
                <c:pt idx="2">
                  <c:v>Docente</c:v>
                </c:pt>
              </c:strCache>
            </c:strRef>
          </c:cat>
          <c:val>
            <c:numRef>
              <c:f>('[37]GAD-1'!$B$3,'[37]GAD-1'!$C$3,'[37]GAD-1'!$D$3)</c:f>
              <c:numCache>
                <c:formatCode>General</c:formatCode>
                <c:ptCount val="3"/>
                <c:pt idx="0">
                  <c:v>99.19</c:v>
                </c:pt>
                <c:pt idx="1">
                  <c:v>0.41</c:v>
                </c:pt>
                <c:pt idx="2">
                  <c:v>0.41</c:v>
                </c:pt>
              </c:numCache>
            </c:numRef>
          </c:val>
          <c:extLst>
            <c:ext xmlns:c16="http://schemas.microsoft.com/office/drawing/2014/chart" uri="{C3380CC4-5D6E-409C-BE32-E72D297353CC}">
              <c16:uniqueId val="{00000006-7EC0-4173-A863-5D1BDEEBA4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Panorama Cuantitativo Universitario.  2019</a:t>
            </a:r>
          </a:p>
        </c:rich>
      </c:tx>
      <c:layout>
        <c:manualLayout>
          <c:xMode val="edge"/>
          <c:yMode val="edge"/>
          <c:x val="0.26365900690985056"/>
          <c:y val="2.7228725420017686E-2"/>
        </c:manualLayout>
      </c:layout>
      <c:overlay val="0"/>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682685207524545"/>
          <c:y val="0.19907285434519492"/>
          <c:w val="0.44671314828663178"/>
          <c:h val="0.74428572025087891"/>
        </c:manualLayout>
      </c:layout>
      <c:pie3DChart>
        <c:varyColors val="1"/>
        <c:ser>
          <c:idx val="3"/>
          <c:order val="0"/>
          <c:dPt>
            <c:idx val="0"/>
            <c:bubble3D val="0"/>
            <c:spPr>
              <a:solidFill>
                <a:srgbClr val="FFCCCC"/>
              </a:solidFill>
              <a:ln>
                <a:solidFill>
                  <a:srgbClr val="FF99FF"/>
                </a:solidFill>
              </a:ln>
            </c:spPr>
            <c:extLst>
              <c:ext xmlns:c16="http://schemas.microsoft.com/office/drawing/2014/chart" uri="{C3380CC4-5D6E-409C-BE32-E72D297353CC}">
                <c16:uniqueId val="{00000001-9C89-4B5B-AA41-AAFCD2B61F8B}"/>
              </c:ext>
            </c:extLst>
          </c:dPt>
          <c:dPt>
            <c:idx val="1"/>
            <c:bubble3D val="0"/>
            <c:spPr>
              <a:solidFill>
                <a:srgbClr val="FFFF99"/>
              </a:solidFill>
            </c:spPr>
            <c:extLst>
              <c:ext xmlns:c16="http://schemas.microsoft.com/office/drawing/2014/chart" uri="{C3380CC4-5D6E-409C-BE32-E72D297353CC}">
                <c16:uniqueId val="{00000003-9C89-4B5B-AA41-AAFCD2B61F8B}"/>
              </c:ext>
            </c:extLst>
          </c:dPt>
          <c:dPt>
            <c:idx val="2"/>
            <c:bubble3D val="0"/>
            <c:spPr>
              <a:solidFill>
                <a:srgbClr val="FF9966"/>
              </a:solidFill>
            </c:spPr>
            <c:extLst>
              <c:ext xmlns:c16="http://schemas.microsoft.com/office/drawing/2014/chart" uri="{C3380CC4-5D6E-409C-BE32-E72D297353CC}">
                <c16:uniqueId val="{00000005-9C89-4B5B-AA41-AAFCD2B61F8B}"/>
              </c:ext>
            </c:extLst>
          </c:dPt>
          <c:dLbls>
            <c:dLbl>
              <c:idx val="1"/>
              <c:layout>
                <c:manualLayout>
                  <c:x val="-1.4680616176459802E-2"/>
                  <c:y val="8.988764044943821E-3"/>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C89-4B5B-AA41-AAFCD2B61F8B}"/>
                </c:ext>
              </c:extLst>
            </c:dLbl>
            <c:dLbl>
              <c:idx val="2"/>
              <c:layout>
                <c:manualLayout>
                  <c:x val="8.5247004291594472E-2"/>
                  <c:y val="0"/>
                </c:manualLayout>
              </c:layout>
              <c:spPr/>
              <c:txPr>
                <a:bodyPr/>
                <a:lstStyle/>
                <a:p>
                  <a:pPr>
                    <a:defRPr sz="1000" b="0" i="0" u="none" strike="noStrike" baseline="0">
                      <a:solidFill>
                        <a:srgbClr val="000000"/>
                      </a:solidFill>
                      <a:latin typeface="Times New Roman"/>
                      <a:ea typeface="Times New Roman"/>
                      <a:cs typeface="Times New Roman"/>
                    </a:defRPr>
                  </a:pPr>
                  <a:endParaRPr lang="es-CR"/>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89-4B5B-AA41-AAFCD2B61F8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s-CR"/>
              </a:p>
            </c:txPr>
            <c:dLblPos val="outEnd"/>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('[38]GDS-1'!$B$3,'[38]GDS-1'!$C$3,'[38]GDS-1'!$D$3)</c:f>
              <c:strCache>
                <c:ptCount val="3"/>
                <c:pt idx="0">
                  <c:v>Administración </c:v>
                </c:pt>
                <c:pt idx="1">
                  <c:v>Docente</c:v>
                </c:pt>
                <c:pt idx="2">
                  <c:v>Apoyo</c:v>
                </c:pt>
              </c:strCache>
            </c:strRef>
          </c:cat>
          <c:val>
            <c:numRef>
              <c:f>('[38]GDS-1'!$B$4,'[38]GDS-1'!$C$4,'[38]GDS-1'!$D$4)</c:f>
              <c:numCache>
                <c:formatCode>General</c:formatCode>
                <c:ptCount val="3"/>
                <c:pt idx="0">
                  <c:v>84.74</c:v>
                </c:pt>
                <c:pt idx="1">
                  <c:v>9.73</c:v>
                </c:pt>
                <c:pt idx="2">
                  <c:v>5.53</c:v>
                </c:pt>
              </c:numCache>
            </c:numRef>
          </c:val>
          <c:extLst>
            <c:ext xmlns:c16="http://schemas.microsoft.com/office/drawing/2014/chart" uri="{C3380CC4-5D6E-409C-BE32-E72D297353CC}">
              <c16:uniqueId val="{00000006-9C89-4B5B-AA41-AAFCD2B61F8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chemeClr val="bg1"/>
    </a:solidFill>
    <a:ln>
      <a:solidFill>
        <a:schemeClr val="tx1"/>
      </a:solidFill>
    </a:ln>
    <a:scene3d>
      <a:camera prst="orthographicFront"/>
      <a:lightRig rig="threePt" dir="t"/>
    </a:scene3d>
  </c:spPr>
  <c:txPr>
    <a:bodyPr/>
    <a:lstStyle/>
    <a:p>
      <a:pPr>
        <a:defRPr sz="1000" b="0" i="0" u="none" strike="noStrike" baseline="0">
          <a:solidFill>
            <a:srgbClr val="000000"/>
          </a:solidFill>
          <a:latin typeface="Times New Roman"/>
          <a:ea typeface="Times New Roman"/>
          <a:cs typeface="Times New Roman"/>
        </a:defRPr>
      </a:pPr>
      <a:endParaRPr lang="es-CR"/>
    </a:p>
  </c:txPr>
  <c:printSettings>
    <c:headerFooter/>
    <c:pageMargins b="0.75" l="0.7" r="0.7" t="0.75" header="0.3" footer="0.3"/>
    <c:pageSetup orientation="landscape"/>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absoluta de los profesores becados al exterior y becas cortas por área, según condición.</a:t>
            </a:r>
          </a:p>
        </c:rich>
      </c:tx>
      <c:layout>
        <c:manualLayout>
          <c:xMode val="edge"/>
          <c:yMode val="edge"/>
          <c:x val="0.1635915194631414"/>
          <c:y val="8.3840248809024256E-2"/>
        </c:manualLayout>
      </c:layout>
      <c:overlay val="1"/>
    </c:title>
    <c:autoTitleDeleted val="0"/>
    <c:plotArea>
      <c:layout>
        <c:manualLayout>
          <c:layoutTarget val="inner"/>
          <c:xMode val="edge"/>
          <c:yMode val="edge"/>
          <c:x val="0.15133205724974985"/>
          <c:y val="0.20335066435586366"/>
          <c:w val="0.82196444367106047"/>
          <c:h val="0.69823951382160421"/>
        </c:manualLayout>
      </c:layout>
      <c:barChart>
        <c:barDir val="bar"/>
        <c:grouping val="clustered"/>
        <c:varyColors val="0"/>
        <c:ser>
          <c:idx val="0"/>
          <c:order val="0"/>
          <c:tx>
            <c:strRef>
              <c:f>'[39]GAS-1'!$D$1</c:f>
              <c:strCache>
                <c:ptCount val="1"/>
                <c:pt idx="0">
                  <c:v>Becas Cortas</c:v>
                </c:pt>
              </c:strCache>
            </c:strRef>
          </c:tx>
          <c:spPr>
            <a:solidFill>
              <a:schemeClr val="accent4">
                <a:lumMod val="40000"/>
                <a:lumOff val="60000"/>
              </a:schemeClr>
            </a:solidFill>
            <a:ln>
              <a:solidFill>
                <a:sysClr val="windowText" lastClr="000000"/>
              </a:solidFill>
            </a:ln>
          </c:spPr>
          <c:invertIfNegative val="0"/>
          <c:dLbls>
            <c:dLbl>
              <c:idx val="3"/>
              <c:layout>
                <c:manualLayout>
                  <c:x val="-1.8360644714457662E-2"/>
                  <c:y val="-7.662746728338052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89-4F57-AB30-7E1B7F46F0A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'[39]GAS-1'!$D$2:$D$9</c:f>
              <c:numCache>
                <c:formatCode>General</c:formatCode>
                <c:ptCount val="8"/>
                <c:pt idx="0">
                  <c:v>4</c:v>
                </c:pt>
                <c:pt idx="1">
                  <c:v>2</c:v>
                </c:pt>
                <c:pt idx="2">
                  <c:v>2</c:v>
                </c:pt>
                <c:pt idx="3">
                  <c:v>1</c:v>
                </c:pt>
                <c:pt idx="4">
                  <c:v>8</c:v>
                </c:pt>
                <c:pt idx="5">
                  <c:v>3</c:v>
                </c:pt>
                <c:pt idx="6">
                  <c:v>8</c:v>
                </c:pt>
                <c:pt idx="7">
                  <c:v>11</c:v>
                </c:pt>
              </c:numCache>
            </c:numRef>
          </c:val>
          <c:extLst>
            <c:ext xmlns:c16="http://schemas.microsoft.com/office/drawing/2014/chart" uri="{C3380CC4-5D6E-409C-BE32-E72D297353CC}">
              <c16:uniqueId val="{00000001-8589-4F57-AB30-7E1B7F46F0AA}"/>
            </c:ext>
          </c:extLst>
        </c:ser>
        <c:ser>
          <c:idx val="1"/>
          <c:order val="1"/>
          <c:tx>
            <c:strRef>
              <c:f>'[39]GAS-1'!$C$1</c:f>
              <c:strCache>
                <c:ptCount val="1"/>
                <c:pt idx="0">
                  <c:v>Becas Exterior</c:v>
                </c:pt>
              </c:strCache>
            </c:strRef>
          </c:tx>
          <c:spPr>
            <a:solidFill>
              <a:schemeClr val="accent2">
                <a:lumMod val="40000"/>
                <a:lumOff val="6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'[39]GAS-1'!$B$2:$B$9</c:f>
              <c:strCache>
                <c:ptCount val="8"/>
                <c:pt idx="0">
                  <c:v>Admimistrativa</c:v>
                </c:pt>
                <c:pt idx="1">
                  <c:v>Cs. Agroalimentarias</c:v>
                </c:pt>
                <c:pt idx="2">
                  <c:v>Artes y Letras </c:v>
                </c:pt>
                <c:pt idx="3">
                  <c:v>Salud</c:v>
                </c:pt>
                <c:pt idx="4">
                  <c:v>Sedes Regionales</c:v>
                </c:pt>
                <c:pt idx="5">
                  <c:v>Cs. Básicas</c:v>
                </c:pt>
                <c:pt idx="6">
                  <c:v>Cs. Sociales</c:v>
                </c:pt>
                <c:pt idx="7">
                  <c:v>Ing. y Arquitectura</c:v>
                </c:pt>
              </c:strCache>
            </c:strRef>
          </c:cat>
          <c:val>
            <c:numRef>
              <c:f>'[39]GAS-1'!$C$2:$C$9</c:f>
              <c:numCache>
                <c:formatCode>General</c:formatCode>
                <c:ptCount val="8"/>
                <c:pt idx="0">
                  <c:v>4</c:v>
                </c:pt>
                <c:pt idx="1">
                  <c:v>17</c:v>
                </c:pt>
                <c:pt idx="2">
                  <c:v>23</c:v>
                </c:pt>
                <c:pt idx="3">
                  <c:v>37</c:v>
                </c:pt>
                <c:pt idx="4">
                  <c:v>38</c:v>
                </c:pt>
                <c:pt idx="5">
                  <c:v>40</c:v>
                </c:pt>
                <c:pt idx="6">
                  <c:v>42</c:v>
                </c:pt>
                <c:pt idx="7">
                  <c:v>51</c:v>
                </c:pt>
              </c:numCache>
            </c:numRef>
          </c:val>
          <c:extLst>
            <c:ext xmlns:c16="http://schemas.microsoft.com/office/drawing/2014/chart" uri="{C3380CC4-5D6E-409C-BE32-E72D297353CC}">
              <c16:uniqueId val="{00000002-8589-4F57-AB30-7E1B7F46F0AA}"/>
            </c:ext>
          </c:extLst>
        </c:ser>
        <c:dLbls>
          <c:showLegendKey val="0"/>
          <c:showVal val="0"/>
          <c:showCatName val="0"/>
          <c:showSerName val="0"/>
          <c:showPercent val="0"/>
          <c:showBubbleSize val="0"/>
        </c:dLbls>
        <c:gapWidth val="97"/>
        <c:axId val="1554026832"/>
        <c:axId val="1554027376"/>
      </c:barChart>
      <c:catAx>
        <c:axId val="1554026832"/>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7376"/>
        <c:crosses val="autoZero"/>
        <c:auto val="1"/>
        <c:lblAlgn val="ctr"/>
        <c:lblOffset val="100"/>
        <c:noMultiLvlLbl val="0"/>
      </c:catAx>
      <c:valAx>
        <c:axId val="1554027376"/>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4026832"/>
        <c:crosses val="autoZero"/>
        <c:crossBetween val="between"/>
        <c:majorUnit val="5"/>
      </c:valAx>
      <c:spPr>
        <a:noFill/>
        <a:ln w="25400">
          <a:noFill/>
        </a:ln>
      </c:spPr>
    </c:plotArea>
    <c:legend>
      <c:legendPos val="r"/>
      <c:layout>
        <c:manualLayout>
          <c:xMode val="edge"/>
          <c:yMode val="edge"/>
          <c:x val="0.74724759106221883"/>
          <c:y val="0.95256567850648766"/>
          <c:w val="0.21862329121754742"/>
          <c:h val="3.1284772788981341E-2"/>
        </c:manualLayout>
      </c:layout>
      <c:overlay val="0"/>
      <c:spPr>
        <a:ln>
          <a:solidFill>
            <a:schemeClr val="bg1">
              <a:lumMod val="65000"/>
            </a:schemeClr>
          </a:solidFill>
        </a:ln>
      </c:spPr>
      <c:txPr>
        <a:bodyPr/>
        <a:lstStyle/>
        <a:p>
          <a:pPr>
            <a:defRPr sz="57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Times New Roman"/>
                <a:ea typeface="Times New Roman"/>
                <a:cs typeface="Times New Roman"/>
              </a:defRPr>
            </a:pPr>
            <a:r>
              <a:rPr lang="es-CR"/>
              <a:t>Distribución relativa de personal Docente en Régimen Académico, según grado académico.  </a:t>
            </a:r>
          </a:p>
        </c:rich>
      </c:tx>
      <c:layout>
        <c:manualLayout>
          <c:xMode val="edge"/>
          <c:yMode val="edge"/>
          <c:x val="0.20300748991741885"/>
          <c:y val="8.5602913766214012E-2"/>
        </c:manualLayout>
      </c:layout>
      <c:overlay val="1"/>
    </c:title>
    <c:autoTitleDeleted val="0"/>
    <c:view3D>
      <c:rotX val="10"/>
      <c:rotY val="30"/>
      <c:depthPercent val="50"/>
      <c:rAngAx val="1"/>
    </c:view3D>
    <c:floor>
      <c:thickness val="0"/>
      <c:spPr>
        <a:effectLst>
          <a:outerShdw blurRad="673100" dist="50800" dir="13320000" algn="ctr" rotWithShape="0">
            <a:srgbClr val="000000">
              <a:alpha val="51000"/>
            </a:srgbClr>
          </a:outerShdw>
        </a:effectLst>
      </c:spPr>
    </c:floor>
    <c:sideWall>
      <c:thickness val="0"/>
    </c:sideWall>
    <c:backWall>
      <c:thickness val="0"/>
    </c:backWall>
    <c:plotArea>
      <c:layout>
        <c:manualLayout>
          <c:layoutTarget val="inner"/>
          <c:xMode val="edge"/>
          <c:yMode val="edge"/>
          <c:x val="6.3359977730056471E-2"/>
          <c:y val="0.23043556500375287"/>
          <c:w val="0.93704618362098691"/>
          <c:h val="0.65998927753924186"/>
        </c:manualLayout>
      </c:layout>
      <c:bar3DChart>
        <c:barDir val="col"/>
        <c:grouping val="percentStacked"/>
        <c:varyColors val="0"/>
        <c:ser>
          <c:idx val="0"/>
          <c:order val="0"/>
          <c:tx>
            <c:strRef>
              <c:f>'[4]GRH-4'!$B$4</c:f>
              <c:strCache>
                <c:ptCount val="1"/>
                <c:pt idx="0">
                  <c:v>Master </c:v>
                </c:pt>
              </c:strCache>
            </c:strRef>
          </c:tx>
          <c:spPr>
            <a:solidFill>
              <a:schemeClr val="accent6">
                <a:lumMod val="40000"/>
                <a:lumOff val="6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('[4]GRH-4'!$C$4,'[4]GRH-4'!$D$4)</c:f>
              <c:numCache>
                <c:formatCode>General</c:formatCode>
                <c:ptCount val="2"/>
                <c:pt idx="0">
                  <c:v>56.44</c:v>
                </c:pt>
                <c:pt idx="1">
                  <c:v>55.61</c:v>
                </c:pt>
              </c:numCache>
            </c:numRef>
          </c:val>
          <c:extLst>
            <c:ext xmlns:c16="http://schemas.microsoft.com/office/drawing/2014/chart" uri="{C3380CC4-5D6E-409C-BE32-E72D297353CC}">
              <c16:uniqueId val="{00000000-781F-4B64-828F-8B2FD5D7DB1C}"/>
            </c:ext>
          </c:extLst>
        </c:ser>
        <c:ser>
          <c:idx val="1"/>
          <c:order val="1"/>
          <c:tx>
            <c:strRef>
              <c:f>'[4]GRH-4'!$B$5</c:f>
              <c:strCache>
                <c:ptCount val="1"/>
                <c:pt idx="0">
                  <c:v>Licenciado</c:v>
                </c:pt>
              </c:strCache>
            </c:strRef>
          </c:tx>
          <c:spPr>
            <a:solidFill>
              <a:schemeClr val="accent6">
                <a:lumMod val="60000"/>
                <a:lumOff val="4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('[4]GRH-4'!$C$5,'[4]GRH-4'!$D$5)</c:f>
              <c:numCache>
                <c:formatCode>General</c:formatCode>
                <c:ptCount val="2"/>
                <c:pt idx="0">
                  <c:v>7.72</c:v>
                </c:pt>
                <c:pt idx="1">
                  <c:v>7.26</c:v>
                </c:pt>
              </c:numCache>
            </c:numRef>
          </c:val>
          <c:extLst>
            <c:ext xmlns:c16="http://schemas.microsoft.com/office/drawing/2014/chart" uri="{C3380CC4-5D6E-409C-BE32-E72D297353CC}">
              <c16:uniqueId val="{00000001-781F-4B64-828F-8B2FD5D7DB1C}"/>
            </c:ext>
          </c:extLst>
        </c:ser>
        <c:ser>
          <c:idx val="4"/>
          <c:order val="2"/>
          <c:tx>
            <c:v>Sin Información</c:v>
          </c:tx>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'[4]GRH-4'!$C$7:$D$7</c:f>
              <c:numCache>
                <c:formatCode>General</c:formatCode>
                <c:ptCount val="2"/>
                <c:pt idx="0">
                  <c:v>0.43</c:v>
                </c:pt>
                <c:pt idx="1">
                  <c:v>0.52910052910052907</c:v>
                </c:pt>
              </c:numCache>
            </c:numRef>
          </c:val>
          <c:extLst>
            <c:ext xmlns:c16="http://schemas.microsoft.com/office/drawing/2014/chart" uri="{C3380CC4-5D6E-409C-BE32-E72D297353CC}">
              <c16:uniqueId val="{00000002-781F-4B64-828F-8B2FD5D7DB1C}"/>
            </c:ext>
          </c:extLst>
        </c:ser>
        <c:ser>
          <c:idx val="2"/>
          <c:order val="3"/>
          <c:tx>
            <c:strRef>
              <c:f>'[4]GRH-4'!$B$6</c:f>
              <c:strCache>
                <c:ptCount val="1"/>
                <c:pt idx="0">
                  <c:v>Doctor </c:v>
                </c:pt>
              </c:strCache>
            </c:strRef>
          </c:tx>
          <c:spPr>
            <a:solidFill>
              <a:schemeClr val="accent6">
                <a:lumMod val="75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('[4]GRH-4'!$C$6,'[4]GRH-4'!$D$6)</c:f>
              <c:numCache>
                <c:formatCode>General</c:formatCode>
                <c:ptCount val="2"/>
                <c:pt idx="0">
                  <c:v>35.25</c:v>
                </c:pt>
                <c:pt idx="1">
                  <c:v>36.44</c:v>
                </c:pt>
              </c:numCache>
            </c:numRef>
          </c:val>
          <c:extLst>
            <c:ext xmlns:c16="http://schemas.microsoft.com/office/drawing/2014/chart" uri="{C3380CC4-5D6E-409C-BE32-E72D297353CC}">
              <c16:uniqueId val="{00000003-781F-4B64-828F-8B2FD5D7DB1C}"/>
            </c:ext>
          </c:extLst>
        </c:ser>
        <c:ser>
          <c:idx val="3"/>
          <c:order val="4"/>
          <c:tx>
            <c:strRef>
              <c:f>'[4]GRH-4'!$B$8</c:f>
              <c:strCache>
                <c:ptCount val="1"/>
                <c:pt idx="0">
                  <c:v>Bachiller</c:v>
                </c:pt>
              </c:strCache>
            </c:strRef>
          </c:tx>
          <c:spPr>
            <a:solidFill>
              <a:schemeClr val="accent3">
                <a:lumMod val="20000"/>
                <a:lumOff val="80000"/>
              </a:schemeClr>
            </a:solidFill>
          </c:spPr>
          <c:invertIfNegative val="0"/>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('[4]GRH-4'!$C$3,'[4]GRH-4'!$D$3)</c:f>
              <c:strCache>
                <c:ptCount val="2"/>
                <c:pt idx="0">
                  <c:v>I Ciclo</c:v>
                </c:pt>
                <c:pt idx="1">
                  <c:v>II Ciclo</c:v>
                </c:pt>
              </c:strCache>
            </c:strRef>
          </c:cat>
          <c:val>
            <c:numRef>
              <c:f>('[4]GRH-4'!$C$8,'[4]GRH-4'!$D$8)</c:f>
              <c:numCache>
                <c:formatCode>General</c:formatCode>
                <c:ptCount val="2"/>
                <c:pt idx="0">
                  <c:v>0.16034206306787815</c:v>
                </c:pt>
                <c:pt idx="1">
                  <c:v>0.15873015873015872</c:v>
                </c:pt>
              </c:numCache>
            </c:numRef>
          </c:val>
          <c:extLst>
            <c:ext xmlns:c16="http://schemas.microsoft.com/office/drawing/2014/chart" uri="{C3380CC4-5D6E-409C-BE32-E72D297353CC}">
              <c16:uniqueId val="{00000004-781F-4B64-828F-8B2FD5D7DB1C}"/>
            </c:ext>
          </c:extLst>
        </c:ser>
        <c:dLbls>
          <c:showLegendKey val="0"/>
          <c:showVal val="0"/>
          <c:showCatName val="0"/>
          <c:showSerName val="0"/>
          <c:showPercent val="0"/>
          <c:showBubbleSize val="0"/>
        </c:dLbls>
        <c:gapWidth val="150"/>
        <c:shape val="box"/>
        <c:axId val="1553112576"/>
        <c:axId val="1553124000"/>
        <c:axId val="0"/>
      </c:bar3DChart>
      <c:catAx>
        <c:axId val="15531125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24000"/>
        <c:crosses val="autoZero"/>
        <c:auto val="1"/>
        <c:lblAlgn val="ctr"/>
        <c:lblOffset val="100"/>
        <c:noMultiLvlLbl val="0"/>
      </c:catAx>
      <c:valAx>
        <c:axId val="1553124000"/>
        <c:scaling>
          <c:orientation val="minMax"/>
        </c:scaling>
        <c:delete val="0"/>
        <c:axPos val="l"/>
        <c:majorGridlines>
          <c:spPr>
            <a:effectLst>
              <a:outerShdw blurRad="50800" dist="50800" dir="5400000" algn="ctr" rotWithShape="0">
                <a:srgbClr val="000000">
                  <a:alpha val="64000"/>
                </a:srgbClr>
              </a:outerShdw>
            </a:effectLst>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53112576"/>
        <c:crosses val="autoZero"/>
        <c:crossBetween val="between"/>
      </c:valAx>
      <c:spPr>
        <a:noFill/>
        <a:ln w="25400">
          <a:noFill/>
        </a:ln>
      </c:spPr>
    </c:plotArea>
    <c:legend>
      <c:legendPos val="b"/>
      <c:layout>
        <c:manualLayout>
          <c:xMode val="edge"/>
          <c:yMode val="edge"/>
          <c:x val="0.5803384038727708"/>
          <c:y val="0.94809749324812664"/>
          <c:w val="0.39193870320457214"/>
          <c:h val="3.5025295751074603E-2"/>
        </c:manualLayout>
      </c:layout>
      <c:overlay val="0"/>
      <c:spPr>
        <a:ln>
          <a:solidFill>
            <a:schemeClr val="tx1"/>
          </a:solidFill>
        </a:ln>
      </c:spPr>
      <c:txPr>
        <a:bodyPr/>
        <a:lstStyle/>
        <a:p>
          <a:pPr>
            <a:defRPr sz="69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absoluta del personal Docente  Interino.</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I ciclo y II ciclo </a:t>
            </a:r>
          </a:p>
        </c:rich>
      </c:tx>
      <c:layout>
        <c:manualLayout>
          <c:xMode val="edge"/>
          <c:yMode val="edge"/>
          <c:x val="0.1635914767110033"/>
          <c:y val="8.3840427419882124E-2"/>
        </c:manualLayout>
      </c:layout>
      <c:overlay val="1"/>
    </c:title>
    <c:autoTitleDeleted val="0"/>
    <c:plotArea>
      <c:layout>
        <c:manualLayout>
          <c:layoutTarget val="inner"/>
          <c:xMode val="edge"/>
          <c:yMode val="edge"/>
          <c:x val="0.10612518543877668"/>
          <c:y val="0.2143033439278508"/>
          <c:w val="0.85557771311194797"/>
          <c:h val="0.66240037699992638"/>
        </c:manualLayout>
      </c:layout>
      <c:barChart>
        <c:barDir val="bar"/>
        <c:grouping val="clustered"/>
        <c:varyColors val="0"/>
        <c:ser>
          <c:idx val="0"/>
          <c:order val="0"/>
          <c:tx>
            <c:strRef>
              <c:f>[5]GRH5!$C$1</c:f>
              <c:strCache>
                <c:ptCount val="1"/>
                <c:pt idx="0">
                  <c:v>I ciclo</c:v>
                </c:pt>
              </c:strCache>
            </c:strRef>
          </c:tx>
          <c:spPr>
            <a:solidFill>
              <a:schemeClr val="accent5"/>
            </a:solidFill>
          </c:spPr>
          <c:invertIfNegative val="0"/>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[5]GRH5!$C$2:$C$6</c:f>
              <c:numCache>
                <c:formatCode>General</c:formatCode>
                <c:ptCount val="5"/>
                <c:pt idx="0">
                  <c:v>1470</c:v>
                </c:pt>
                <c:pt idx="1">
                  <c:v>1322</c:v>
                </c:pt>
                <c:pt idx="2">
                  <c:v>1121</c:v>
                </c:pt>
                <c:pt idx="3">
                  <c:v>266</c:v>
                </c:pt>
                <c:pt idx="4">
                  <c:v>104</c:v>
                </c:pt>
              </c:numCache>
            </c:numRef>
          </c:val>
          <c:extLst>
            <c:ext xmlns:c16="http://schemas.microsoft.com/office/drawing/2014/chart" uri="{C3380CC4-5D6E-409C-BE32-E72D297353CC}">
              <c16:uniqueId val="{00000000-39CA-462B-942E-E0A2F326BCEF}"/>
            </c:ext>
          </c:extLst>
        </c:ser>
        <c:ser>
          <c:idx val="1"/>
          <c:order val="1"/>
          <c:tx>
            <c:strRef>
              <c:f>[5]GRH5!$D$1</c:f>
              <c:strCache>
                <c:ptCount val="1"/>
                <c:pt idx="0">
                  <c:v>II ciclo</c:v>
                </c:pt>
              </c:strCache>
            </c:strRef>
          </c:tx>
          <c:spPr>
            <a:solidFill>
              <a:schemeClr val="accent1">
                <a:lumMod val="20000"/>
                <a:lumOff val="80000"/>
              </a:schemeClr>
            </a:solidFill>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[5]GRH5!$B$2:$B$6</c:f>
              <c:strCache>
                <c:ptCount val="5"/>
                <c:pt idx="0">
                  <c:v>Máster</c:v>
                </c:pt>
                <c:pt idx="1">
                  <c:v>Sin Información</c:v>
                </c:pt>
                <c:pt idx="2">
                  <c:v>Licenciado</c:v>
                </c:pt>
                <c:pt idx="3">
                  <c:v>Doctor</c:v>
                </c:pt>
                <c:pt idx="4">
                  <c:v>Bachiller</c:v>
                </c:pt>
              </c:strCache>
            </c:strRef>
          </c:cat>
          <c:val>
            <c:numRef>
              <c:f>[5]GRH5!$D$2:$D$6</c:f>
              <c:numCache>
                <c:formatCode>General</c:formatCode>
                <c:ptCount val="5"/>
                <c:pt idx="0">
                  <c:v>1548</c:v>
                </c:pt>
                <c:pt idx="1">
                  <c:v>1326</c:v>
                </c:pt>
                <c:pt idx="2">
                  <c:v>1144</c:v>
                </c:pt>
                <c:pt idx="3">
                  <c:v>279</c:v>
                </c:pt>
                <c:pt idx="4">
                  <c:v>87</c:v>
                </c:pt>
              </c:numCache>
            </c:numRef>
          </c:val>
          <c:extLst>
            <c:ext xmlns:c16="http://schemas.microsoft.com/office/drawing/2014/chart" uri="{C3380CC4-5D6E-409C-BE32-E72D297353CC}">
              <c16:uniqueId val="{00000001-39CA-462B-942E-E0A2F326BCEF}"/>
            </c:ext>
          </c:extLst>
        </c:ser>
        <c:dLbls>
          <c:showLegendKey val="0"/>
          <c:showVal val="0"/>
          <c:showCatName val="0"/>
          <c:showSerName val="0"/>
          <c:showPercent val="0"/>
          <c:showBubbleSize val="0"/>
        </c:dLbls>
        <c:gapWidth val="87"/>
        <c:axId val="1553111488"/>
        <c:axId val="1553112032"/>
      </c:barChart>
      <c:catAx>
        <c:axId val="1553111488"/>
        <c:scaling>
          <c:orientation val="minMax"/>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2032"/>
        <c:crosses val="autoZero"/>
        <c:auto val="1"/>
        <c:lblAlgn val="ctr"/>
        <c:lblOffset val="100"/>
        <c:noMultiLvlLbl val="0"/>
      </c:catAx>
      <c:valAx>
        <c:axId val="1553112032"/>
        <c:scaling>
          <c:orientation val="minMax"/>
        </c:scaling>
        <c:delete val="0"/>
        <c:axPos val="b"/>
        <c:majorGridlines/>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1553111488"/>
        <c:crosses val="autoZero"/>
        <c:crossBetween val="between"/>
        <c:majorUnit val="100"/>
      </c:valAx>
    </c:plotArea>
    <c:legend>
      <c:legendPos val="r"/>
      <c:layout>
        <c:manualLayout>
          <c:xMode val="edge"/>
          <c:yMode val="edge"/>
          <c:x val="0.78987287987042587"/>
          <c:y val="0.93834636328821885"/>
          <c:w val="0.1496039152719445"/>
          <c:h val="3.6774549088837261E-2"/>
        </c:manualLayout>
      </c:layout>
      <c:overlay val="0"/>
      <c:spPr>
        <a:ln cap="rnd">
          <a:solidFill>
            <a:schemeClr val="tx1"/>
          </a:solidFill>
        </a:ln>
      </c:spPr>
      <c:txPr>
        <a:bodyPr/>
        <a:lstStyle/>
        <a:p>
          <a:pPr>
            <a:defRPr sz="75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3757620848575034E-2"/>
          <c:y val="0.23333333333333334"/>
          <c:w val="0.93699478510068135"/>
          <c:h val="0.60172112860892391"/>
        </c:manualLayout>
      </c:layout>
      <c:bar3DChart>
        <c:barDir val="col"/>
        <c:grouping val="clustered"/>
        <c:varyColors val="0"/>
        <c:ser>
          <c:idx val="0"/>
          <c:order val="0"/>
          <c:tx>
            <c:strRef>
              <c:f>'[6]GRH-6'!$C$3</c:f>
              <c:strCache>
                <c:ptCount val="1"/>
                <c:pt idx="0">
                  <c:v>I Ciclo</c:v>
                </c:pt>
              </c:strCache>
            </c:strRef>
          </c:tx>
          <c:spPr>
            <a:solidFill>
              <a:srgbClr val="82DB45"/>
            </a:solidFill>
          </c:spPr>
          <c:invertIfNegative val="0"/>
          <c:dLbls>
            <c:dLbl>
              <c:idx val="0"/>
              <c:layout>
                <c:manualLayout>
                  <c:x val="-1.7497812773403165E-3"/>
                  <c:y val="0.10555555555555556"/>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D0-4DB0-B661-B1C138AC51C4}"/>
                </c:ext>
              </c:extLst>
            </c:dLbl>
            <c:dLbl>
              <c:idx val="1"/>
              <c:layout>
                <c:manualLayout>
                  <c:x val="3.2078952839105492E-17"/>
                  <c:y val="0.2055555555555555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D0-4DB0-B661-B1C138AC51C4}"/>
                </c:ext>
              </c:extLst>
            </c:dLbl>
            <c:dLbl>
              <c:idx val="2"/>
              <c:layout>
                <c:manualLayout>
                  <c:x val="6.4157905678210984E-17"/>
                  <c:y val="0.18888888888888888"/>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D0-4DB0-B661-B1C138AC51C4}"/>
                </c:ext>
              </c:extLst>
            </c:dLbl>
            <c:dLbl>
              <c:idx val="3"/>
              <c:layout>
                <c:manualLayout>
                  <c:x val="0"/>
                  <c:y val="0.0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D0-4DB0-B661-B1C138AC51C4}"/>
                </c:ext>
              </c:extLst>
            </c:dLbl>
            <c:dLbl>
              <c:idx val="4"/>
              <c:layout>
                <c:manualLayout>
                  <c:x val="0"/>
                  <c:y val="0.3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D0-4DB0-B661-B1C138AC51C4}"/>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'[6]GRH-6'!$C$4:$C$8</c:f>
              <c:numCache>
                <c:formatCode>General</c:formatCode>
                <c:ptCount val="5"/>
                <c:pt idx="0">
                  <c:v>11.55</c:v>
                </c:pt>
                <c:pt idx="1">
                  <c:v>19.850000000000001</c:v>
                </c:pt>
                <c:pt idx="2">
                  <c:v>20.49</c:v>
                </c:pt>
                <c:pt idx="3">
                  <c:v>3.35</c:v>
                </c:pt>
                <c:pt idx="4">
                  <c:v>44.76</c:v>
                </c:pt>
              </c:numCache>
            </c:numRef>
          </c:val>
          <c:extLst>
            <c:ext xmlns:c16="http://schemas.microsoft.com/office/drawing/2014/chart" uri="{C3380CC4-5D6E-409C-BE32-E72D297353CC}">
              <c16:uniqueId val="{00000005-27D0-4DB0-B661-B1C138AC51C4}"/>
            </c:ext>
          </c:extLst>
        </c:ser>
        <c:ser>
          <c:idx val="1"/>
          <c:order val="1"/>
          <c:tx>
            <c:strRef>
              <c:f>'[6]GRH-6'!$D$3</c:f>
              <c:strCache>
                <c:ptCount val="1"/>
                <c:pt idx="0">
                  <c:v>II Ciclo</c:v>
                </c:pt>
              </c:strCache>
            </c:strRef>
          </c:tx>
          <c:spPr>
            <a:solidFill>
              <a:srgbClr val="FFFF99"/>
            </a:solidFill>
          </c:spPr>
          <c:invertIfNegative val="0"/>
          <c:dLbls>
            <c:dLbl>
              <c:idx val="0"/>
              <c:layout>
                <c:manualLayout>
                  <c:x val="0"/>
                  <c:y val="9.7222222222222224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D0-4DB0-B661-B1C138AC51C4}"/>
                </c:ext>
              </c:extLst>
            </c:dLbl>
            <c:dLbl>
              <c:idx val="1"/>
              <c:layout>
                <c:manualLayout>
                  <c:x val="0"/>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D0-4DB0-B661-B1C138AC51C4}"/>
                </c:ext>
              </c:extLst>
            </c:dLbl>
            <c:dLbl>
              <c:idx val="2"/>
              <c:layout>
                <c:manualLayout>
                  <c:x val="6.4157905678210984E-17"/>
                  <c:y val="0.1916666666666666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D0-4DB0-B661-B1C138AC51C4}"/>
                </c:ext>
              </c:extLst>
            </c:dLbl>
            <c:dLbl>
              <c:idx val="3"/>
              <c:layout>
                <c:manualLayout>
                  <c:x val="0"/>
                  <c:y val="0.05"/>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D0-4DB0-B661-B1C138AC51C4}"/>
                </c:ext>
              </c:extLst>
            </c:dLbl>
            <c:dLbl>
              <c:idx val="4"/>
              <c:layout>
                <c:manualLayout>
                  <c:x val="0"/>
                  <c:y val="0.36944444444444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D0-4DB0-B661-B1C138AC51C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'[6]GRH-6'!$B$4:$B$8</c:f>
              <c:strCache>
                <c:ptCount val="5"/>
                <c:pt idx="0">
                  <c:v>Otras Jornadas</c:v>
                </c:pt>
                <c:pt idx="1">
                  <c:v>1/4 de tiempo</c:v>
                </c:pt>
                <c:pt idx="2">
                  <c:v>1/2 tiempo</c:v>
                </c:pt>
                <c:pt idx="3">
                  <c:v>3/4 de tiempo</c:v>
                </c:pt>
                <c:pt idx="4">
                  <c:v>Tiempo Completo</c:v>
                </c:pt>
              </c:strCache>
            </c:strRef>
          </c:cat>
          <c:val>
            <c:numRef>
              <c:f>'[6]GRH-6'!$D$4:$D$8</c:f>
              <c:numCache>
                <c:formatCode>General</c:formatCode>
                <c:ptCount val="5"/>
                <c:pt idx="0">
                  <c:v>11.27</c:v>
                </c:pt>
                <c:pt idx="1">
                  <c:v>19.68</c:v>
                </c:pt>
                <c:pt idx="2">
                  <c:v>19.95</c:v>
                </c:pt>
                <c:pt idx="3">
                  <c:v>3.86</c:v>
                </c:pt>
                <c:pt idx="4">
                  <c:v>45.24</c:v>
                </c:pt>
              </c:numCache>
            </c:numRef>
          </c:val>
          <c:extLst>
            <c:ext xmlns:c16="http://schemas.microsoft.com/office/drawing/2014/chart" uri="{C3380CC4-5D6E-409C-BE32-E72D297353CC}">
              <c16:uniqueId val="{0000000B-27D0-4DB0-B661-B1C138AC51C4}"/>
            </c:ext>
          </c:extLst>
        </c:ser>
        <c:dLbls>
          <c:showLegendKey val="0"/>
          <c:showVal val="0"/>
          <c:showCatName val="0"/>
          <c:showSerName val="0"/>
          <c:showPercent val="0"/>
          <c:showBubbleSize val="0"/>
        </c:dLbls>
        <c:gapWidth val="150"/>
        <c:shape val="box"/>
        <c:axId val="1553114752"/>
        <c:axId val="1553115296"/>
        <c:axId val="0"/>
      </c:bar3DChart>
      <c:catAx>
        <c:axId val="1553114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5296"/>
        <c:crosses val="autoZero"/>
        <c:auto val="1"/>
        <c:lblAlgn val="ctr"/>
        <c:lblOffset val="100"/>
        <c:noMultiLvlLbl val="0"/>
      </c:catAx>
      <c:valAx>
        <c:axId val="1553115296"/>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4752"/>
        <c:crosses val="autoZero"/>
        <c:crossBetween val="between"/>
      </c:valAx>
      <c:spPr>
        <a:noFill/>
        <a:ln w="25400">
          <a:noFill/>
        </a:ln>
      </c:spPr>
    </c:plotArea>
    <c:legend>
      <c:legendPos val="r"/>
      <c:layout>
        <c:manualLayout>
          <c:xMode val="edge"/>
          <c:yMode val="edge"/>
          <c:x val="0.81836619330880578"/>
          <c:y val="0.94322433956110507"/>
          <c:w val="0.14672942956366264"/>
          <c:h val="3.9054372641289636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387650156046194E-2"/>
          <c:y val="0.20097239911126813"/>
          <c:w val="0.93699478510068135"/>
          <c:h val="0.66885079469233011"/>
        </c:manualLayout>
      </c:layout>
      <c:bar3DChart>
        <c:barDir val="col"/>
        <c:grouping val="clustered"/>
        <c:varyColors val="0"/>
        <c:ser>
          <c:idx val="0"/>
          <c:order val="0"/>
          <c:tx>
            <c:strRef>
              <c:f>[7]GRH7!$C$3</c:f>
              <c:strCache>
                <c:ptCount val="1"/>
                <c:pt idx="0">
                  <c:v>I Ciclo</c:v>
                </c:pt>
              </c:strCache>
            </c:strRef>
          </c:tx>
          <c:spPr>
            <a:solidFill>
              <a:schemeClr val="bg2">
                <a:lumMod val="90000"/>
              </a:schemeClr>
            </a:solidFill>
          </c:spPr>
          <c:invertIfNegative val="0"/>
          <c:dLbls>
            <c:dLbl>
              <c:idx val="0"/>
              <c:layout>
                <c:manualLayout>
                  <c:x val="-9.1829252413944338E-6"/>
                  <c:y val="0.260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79-479F-BF70-39A52E68464E}"/>
                </c:ext>
              </c:extLst>
            </c:dLbl>
            <c:dLbl>
              <c:idx val="1"/>
              <c:layout>
                <c:manualLayout>
                  <c:x val="1.7406440382941688E-3"/>
                  <c:y val="0.2356481481481481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79-479F-BF70-39A52E68464E}"/>
                </c:ext>
              </c:extLst>
            </c:dLbl>
            <c:dLbl>
              <c:idx val="2"/>
              <c:layout>
                <c:manualLayout>
                  <c:x val="0"/>
                  <c:y val="0.11944444444444445"/>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79-479F-BF70-39A52E68464E}"/>
                </c:ext>
              </c:extLst>
            </c:dLbl>
            <c:dLbl>
              <c:idx val="3"/>
              <c:layout>
                <c:manualLayout>
                  <c:x val="0"/>
                  <c:y val="4.3055555555555555E-2"/>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79-479F-BF70-39A52E68464E}"/>
                </c:ext>
              </c:extLst>
            </c:dLbl>
            <c:dLbl>
              <c:idx val="4"/>
              <c:layout>
                <c:manualLayout>
                  <c:x val="3.4812880765883376E-3"/>
                  <c:y val="0.10549431321084873"/>
                </c:manualLayout>
              </c:layout>
              <c:spPr>
                <a:effectLs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79-479F-BF70-39A52E68464E}"/>
                </c:ext>
              </c:extLst>
            </c:dLbl>
            <c:spPr>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[7]GRH7!$C$4:$C$8</c:f>
              <c:numCache>
                <c:formatCode>General</c:formatCode>
                <c:ptCount val="5"/>
                <c:pt idx="0">
                  <c:v>1253</c:v>
                </c:pt>
                <c:pt idx="1">
                  <c:v>1415</c:v>
                </c:pt>
                <c:pt idx="2">
                  <c:v>704</c:v>
                </c:pt>
                <c:pt idx="3">
                  <c:v>236</c:v>
                </c:pt>
                <c:pt idx="4">
                  <c:v>728</c:v>
                </c:pt>
              </c:numCache>
            </c:numRef>
          </c:val>
          <c:extLst>
            <c:ext xmlns:c16="http://schemas.microsoft.com/office/drawing/2014/chart" uri="{C3380CC4-5D6E-409C-BE32-E72D297353CC}">
              <c16:uniqueId val="{00000005-0079-479F-BF70-39A52E68464E}"/>
            </c:ext>
          </c:extLst>
        </c:ser>
        <c:ser>
          <c:idx val="1"/>
          <c:order val="1"/>
          <c:tx>
            <c:strRef>
              <c:f>[7]GRH7!$D$3</c:f>
              <c:strCache>
                <c:ptCount val="1"/>
                <c:pt idx="0">
                  <c:v>II Ciclo</c:v>
                </c:pt>
              </c:strCache>
            </c:strRef>
          </c:tx>
          <c:spPr>
            <a:solidFill>
              <a:srgbClr val="FFFF99"/>
            </a:solidFill>
          </c:spPr>
          <c:invertIfNegative val="0"/>
          <c:dLbls>
            <c:dLbl>
              <c:idx val="0"/>
              <c:layout>
                <c:manualLayout>
                  <c:x val="0"/>
                  <c:y val="0.18287037037037038"/>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079-479F-BF70-39A52E68464E}"/>
                </c:ext>
              </c:extLst>
            </c:dLbl>
            <c:dLbl>
              <c:idx val="1"/>
              <c:layout>
                <c:manualLayout>
                  <c:x val="-1.7406440382941688E-3"/>
                  <c:y val="0.22638888888888889"/>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079-479F-BF70-39A52E68464E}"/>
                </c:ext>
              </c:extLst>
            </c:dLbl>
            <c:dLbl>
              <c:idx val="2"/>
              <c:layout>
                <c:manualLayout>
                  <c:x val="0"/>
                  <c:y val="0.1222222222222222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079-479F-BF70-39A52E68464E}"/>
                </c:ext>
              </c:extLst>
            </c:dLbl>
            <c:dLbl>
              <c:idx val="3"/>
              <c:layout>
                <c:manualLayout>
                  <c:x val="1.7406440382941688E-3"/>
                  <c:y val="4.5370370370370373E-2"/>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79-479F-BF70-39A52E68464E}"/>
                </c:ext>
              </c:extLst>
            </c:dLbl>
            <c:dLbl>
              <c:idx val="4"/>
              <c:layout>
                <c:manualLayout>
                  <c:x val="0"/>
                  <c:y val="0.10576899241761446"/>
                </c:manualLayout>
              </c:layout>
              <c:spPr/>
              <c:txPr>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079-479F-BF70-39A52E68464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[7]GRH7!$B$4:$B$8</c:f>
              <c:strCache>
                <c:ptCount val="5"/>
                <c:pt idx="0">
                  <c:v>Otras Jornadas</c:v>
                </c:pt>
                <c:pt idx="1">
                  <c:v>1/4 de tiempo</c:v>
                </c:pt>
                <c:pt idx="2">
                  <c:v>1/2 tiempo</c:v>
                </c:pt>
                <c:pt idx="3">
                  <c:v>3/4 de tiempo</c:v>
                </c:pt>
                <c:pt idx="4">
                  <c:v>Tiempo Completo</c:v>
                </c:pt>
              </c:strCache>
            </c:strRef>
          </c:cat>
          <c:val>
            <c:numRef>
              <c:f>[7]GRH7!$D$4:$D$8</c:f>
              <c:numCache>
                <c:formatCode>General</c:formatCode>
                <c:ptCount val="5"/>
                <c:pt idx="0">
                  <c:v>1358</c:v>
                </c:pt>
                <c:pt idx="1">
                  <c:v>1455</c:v>
                </c:pt>
                <c:pt idx="2">
                  <c:v>711</c:v>
                </c:pt>
                <c:pt idx="3">
                  <c:v>246</c:v>
                </c:pt>
                <c:pt idx="4">
                  <c:v>683</c:v>
                </c:pt>
              </c:numCache>
            </c:numRef>
          </c:val>
          <c:extLst>
            <c:ext xmlns:c16="http://schemas.microsoft.com/office/drawing/2014/chart" uri="{C3380CC4-5D6E-409C-BE32-E72D297353CC}">
              <c16:uniqueId val="{0000000B-0079-479F-BF70-39A52E68464E}"/>
            </c:ext>
          </c:extLst>
        </c:ser>
        <c:dLbls>
          <c:showLegendKey val="0"/>
          <c:showVal val="0"/>
          <c:showCatName val="0"/>
          <c:showSerName val="0"/>
          <c:showPercent val="0"/>
          <c:showBubbleSize val="0"/>
        </c:dLbls>
        <c:gapWidth val="150"/>
        <c:shape val="box"/>
        <c:axId val="1553116928"/>
        <c:axId val="84867200"/>
        <c:axId val="0"/>
      </c:bar3DChart>
      <c:catAx>
        <c:axId val="1553116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84867200"/>
        <c:crosses val="autoZero"/>
        <c:auto val="1"/>
        <c:lblAlgn val="ctr"/>
        <c:lblOffset val="100"/>
        <c:noMultiLvlLbl val="0"/>
      </c:catAx>
      <c:valAx>
        <c:axId val="8486720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es-CR"/>
          </a:p>
        </c:txPr>
        <c:crossAx val="1553116928"/>
        <c:crosses val="autoZero"/>
        <c:crossBetween val="between"/>
      </c:valAx>
      <c:spPr>
        <a:noFill/>
        <a:ln w="25400">
          <a:noFill/>
        </a:ln>
      </c:spPr>
    </c:plotArea>
    <c:legend>
      <c:legendPos val="r"/>
      <c:layout>
        <c:manualLayout>
          <c:xMode val="edge"/>
          <c:yMode val="edge"/>
          <c:x val="0.81528979519364075"/>
          <c:y val="0.93509431155816269"/>
          <c:w val="0.14744596431083579"/>
          <c:h val="3.8962340451245248E-2"/>
        </c:manualLayout>
      </c:layout>
      <c:overlay val="0"/>
      <c:spPr>
        <a:ln cap="rnd">
          <a:solidFill>
            <a:schemeClr val="bg1">
              <a:lumMod val="65000"/>
            </a:schemeClr>
          </a:solidFill>
          <a:round/>
        </a:ln>
        <a:effectLst/>
      </c:spPr>
      <c:txPr>
        <a:bodyPr/>
        <a:lstStyle/>
        <a:p>
          <a:pPr>
            <a:defRPr sz="825"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Distribución relativa de la Carga Académica asignada</a:t>
            </a:r>
          </a:p>
          <a:p>
            <a:pPr>
              <a:defRPr sz="1000" b="0" i="0" u="none" strike="noStrike" baseline="0">
                <a:solidFill>
                  <a:srgbClr val="000000"/>
                </a:solidFill>
                <a:latin typeface="Calibri"/>
                <a:ea typeface="Calibri"/>
                <a:cs typeface="Calibri"/>
              </a:defRPr>
            </a:pPr>
            <a:r>
              <a:rPr lang="es-CR" sz="1800" b="0" i="0" u="none" strike="noStrike" baseline="0">
                <a:solidFill>
                  <a:srgbClr val="000000"/>
                </a:solidFill>
                <a:latin typeface="Times New Roman"/>
                <a:cs typeface="Times New Roman"/>
              </a:rPr>
              <a:t> por actividad. 2015 - 2019</a:t>
            </a:r>
          </a:p>
        </c:rich>
      </c:tx>
      <c:layout>
        <c:manualLayout>
          <c:xMode val="edge"/>
          <c:yMode val="edge"/>
          <c:x val="0.18374001057703607"/>
          <c:y val="7.5516185476815392E-2"/>
        </c:manualLayout>
      </c:layout>
      <c:overlay val="0"/>
    </c:title>
    <c:autoTitleDeleted val="0"/>
    <c:view3D>
      <c:rotX val="15"/>
      <c:rotY val="20"/>
      <c:depthPercent val="100"/>
      <c:rAngAx val="1"/>
    </c:view3D>
    <c:floor>
      <c:thickness val="0"/>
      <c:spPr>
        <a:ln>
          <a:solidFill>
            <a:schemeClr val="tx1"/>
          </a:solidFill>
        </a:ln>
      </c:spPr>
    </c:floor>
    <c:sideWall>
      <c:thickness val="0"/>
    </c:sideWall>
    <c:backWall>
      <c:thickness val="0"/>
    </c:backWall>
    <c:plotArea>
      <c:layout>
        <c:manualLayout>
          <c:layoutTarget val="inner"/>
          <c:xMode val="edge"/>
          <c:yMode val="edge"/>
          <c:x val="7.1315244079763515E-2"/>
          <c:y val="0.21263135440157097"/>
          <c:w val="0.90811439593893684"/>
          <c:h val="0.66536946623020965"/>
        </c:manualLayout>
      </c:layout>
      <c:bar3DChart>
        <c:barDir val="col"/>
        <c:grouping val="percentStacked"/>
        <c:varyColors val="0"/>
        <c:ser>
          <c:idx val="3"/>
          <c:order val="0"/>
          <c:tx>
            <c:strRef>
              <c:f>[8]RH8!$C$3</c:f>
              <c:strCache>
                <c:ptCount val="1"/>
                <c:pt idx="0">
                  <c:v>Docencia</c:v>
                </c:pt>
              </c:strCache>
            </c:strRef>
          </c:tx>
          <c:spPr>
            <a:solidFill>
              <a:srgbClr val="EADCD6"/>
            </a:solidFill>
          </c:spPr>
          <c:invertIfNegative val="0"/>
          <c:dLbls>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[8]RH8!$F$4:$F$8</c:f>
              <c:numCache>
                <c:formatCode>General</c:formatCode>
                <c:ptCount val="5"/>
                <c:pt idx="0">
                  <c:v>14.09</c:v>
                </c:pt>
                <c:pt idx="1">
                  <c:v>14.44</c:v>
                </c:pt>
                <c:pt idx="2">
                  <c:v>14.1</c:v>
                </c:pt>
                <c:pt idx="3">
                  <c:v>12.84764955576062</c:v>
                </c:pt>
                <c:pt idx="4">
                  <c:v>12.81</c:v>
                </c:pt>
              </c:numCache>
            </c:numRef>
          </c:val>
          <c:extLst>
            <c:ext xmlns:c16="http://schemas.microsoft.com/office/drawing/2014/chart" uri="{C3380CC4-5D6E-409C-BE32-E72D297353CC}">
              <c16:uniqueId val="{00000000-812D-43BB-8E5B-0AC9C0C4BE91}"/>
            </c:ext>
          </c:extLst>
        </c:ser>
        <c:ser>
          <c:idx val="2"/>
          <c:order val="1"/>
          <c:tx>
            <c:strRef>
              <c:f>[8]RH8!$D$3</c:f>
              <c:strCache>
                <c:ptCount val="1"/>
                <c:pt idx="0">
                  <c:v>Investigación</c:v>
                </c:pt>
              </c:strCache>
            </c:strRef>
          </c:tx>
          <c:spPr>
            <a:solidFill>
              <a:srgbClr val="C1E2A8"/>
            </a:solidFill>
          </c:spPr>
          <c:invertIfNegative val="0"/>
          <c:dLbls>
            <c:numFmt formatCode="#,##0.00" sourceLinked="0"/>
            <c:spPr>
              <a:solidFill>
                <a:schemeClr val="accent3">
                  <a:lumMod val="60000"/>
                  <a:lumOff val="40000"/>
                </a:schemeClr>
              </a:solidFill>
              <a:ln>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[8]RH8!$E$4:$E$8</c:f>
              <c:numCache>
                <c:formatCode>General</c:formatCode>
                <c:ptCount val="5"/>
                <c:pt idx="0">
                  <c:v>5.45</c:v>
                </c:pt>
                <c:pt idx="1">
                  <c:v>5.57</c:v>
                </c:pt>
                <c:pt idx="2">
                  <c:v>5.61</c:v>
                </c:pt>
                <c:pt idx="3">
                  <c:v>6.3000530676528514</c:v>
                </c:pt>
                <c:pt idx="4">
                  <c:v>6.5</c:v>
                </c:pt>
              </c:numCache>
            </c:numRef>
          </c:val>
          <c:extLst>
            <c:ext xmlns:c16="http://schemas.microsoft.com/office/drawing/2014/chart" uri="{C3380CC4-5D6E-409C-BE32-E72D297353CC}">
              <c16:uniqueId val="{00000001-812D-43BB-8E5B-0AC9C0C4BE91}"/>
            </c:ext>
          </c:extLst>
        </c:ser>
        <c:ser>
          <c:idx val="1"/>
          <c:order val="2"/>
          <c:tx>
            <c:strRef>
              <c:f>[8]RH8!$E$3</c:f>
              <c:strCache>
                <c:ptCount val="1"/>
                <c:pt idx="0">
                  <c:v>Acción Social</c:v>
                </c:pt>
              </c:strCache>
            </c:strRef>
          </c:tx>
          <c:spPr>
            <a:solidFill>
              <a:srgbClr val="FFFF99"/>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2-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[8]RH8!$B$4:$B$7</c:f>
              <c:numCache>
                <c:formatCode>General</c:formatCode>
                <c:ptCount val="4"/>
                <c:pt idx="0">
                  <c:v>2015</c:v>
                </c:pt>
                <c:pt idx="1">
                  <c:v>2016</c:v>
                </c:pt>
                <c:pt idx="2">
                  <c:v>2017</c:v>
                </c:pt>
                <c:pt idx="3">
                  <c:v>2018</c:v>
                </c:pt>
              </c:numCache>
            </c:numRef>
          </c:cat>
          <c:val>
            <c:numRef>
              <c:f>[8]RH8!$D$4:$D$8</c:f>
              <c:numCache>
                <c:formatCode>General</c:formatCode>
                <c:ptCount val="5"/>
                <c:pt idx="0">
                  <c:v>10.66</c:v>
                </c:pt>
                <c:pt idx="1">
                  <c:v>11.27</c:v>
                </c:pt>
                <c:pt idx="2">
                  <c:v>10.63</c:v>
                </c:pt>
                <c:pt idx="3">
                  <c:v>10.942517547344856</c:v>
                </c:pt>
                <c:pt idx="4">
                  <c:v>11.57</c:v>
                </c:pt>
              </c:numCache>
            </c:numRef>
          </c:val>
          <c:extLst>
            <c:ext xmlns:c16="http://schemas.microsoft.com/office/drawing/2014/chart" uri="{C3380CC4-5D6E-409C-BE32-E72D297353CC}">
              <c16:uniqueId val="{00000003-812D-43BB-8E5B-0AC9C0C4BE91}"/>
            </c:ext>
          </c:extLst>
        </c:ser>
        <c:ser>
          <c:idx val="0"/>
          <c:order val="3"/>
          <c:tx>
            <c:strRef>
              <c:f>[8]RH8!$F$3</c:f>
              <c:strCache>
                <c:ptCount val="1"/>
                <c:pt idx="0">
                  <c:v>Doc-Administ.</c:v>
                </c:pt>
              </c:strCache>
            </c:strRef>
          </c:tx>
          <c:spPr>
            <a:solidFill>
              <a:srgbClr val="C0E2E2"/>
            </a:solidFill>
          </c:spPr>
          <c:invertIfNegative val="0"/>
          <c:dLbls>
            <c:dLbl>
              <c:idx val="3"/>
              <c:numFmt formatCode="#,##0.00" sourceLinked="0"/>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6="http://schemas.microsoft.com/office/drawing/2014/chart" uri="{C3380CC4-5D6E-409C-BE32-E72D297353CC}">
                  <c16:uniqueId val="{00000004-812D-43BB-8E5B-0AC9C0C4BE91}"/>
                </c:ext>
              </c:extLst>
            </c:dLbl>
            <c:spPr>
              <a:noFill/>
              <a:ln w="25400">
                <a:noFill/>
              </a:ln>
            </c:spPr>
            <c:txPr>
              <a:bodyPr wrap="square" lIns="38100" tIns="19050" rIns="38100" bIns="19050" anchor="ctr">
                <a:spAutoFit/>
              </a:bodyPr>
              <a:lstStyle/>
              <a:p>
                <a:pPr>
                  <a:defRPr sz="7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[8]RH8!$B$4:$B$8</c:f>
              <c:numCache>
                <c:formatCode>General</c:formatCode>
                <c:ptCount val="5"/>
                <c:pt idx="0">
                  <c:v>2015</c:v>
                </c:pt>
                <c:pt idx="1">
                  <c:v>2016</c:v>
                </c:pt>
                <c:pt idx="2">
                  <c:v>2017</c:v>
                </c:pt>
                <c:pt idx="3">
                  <c:v>2018</c:v>
                </c:pt>
                <c:pt idx="4">
                  <c:v>2019</c:v>
                </c:pt>
              </c:numCache>
            </c:numRef>
          </c:cat>
          <c:val>
            <c:numRef>
              <c:f>[8]RH8!$C$4:$C$8</c:f>
              <c:numCache>
                <c:formatCode>General</c:formatCode>
                <c:ptCount val="5"/>
                <c:pt idx="0">
                  <c:v>69.8</c:v>
                </c:pt>
                <c:pt idx="1">
                  <c:v>68.72</c:v>
                </c:pt>
                <c:pt idx="2">
                  <c:v>69.66</c:v>
                </c:pt>
                <c:pt idx="3">
                  <c:v>69.909779829241671</c:v>
                </c:pt>
                <c:pt idx="4">
                  <c:v>69.13</c:v>
                </c:pt>
              </c:numCache>
            </c:numRef>
          </c:val>
          <c:extLst>
            <c:ext xmlns:c16="http://schemas.microsoft.com/office/drawing/2014/chart" uri="{C3380CC4-5D6E-409C-BE32-E72D297353CC}">
              <c16:uniqueId val="{00000005-812D-43BB-8E5B-0AC9C0C4BE91}"/>
            </c:ext>
          </c:extLst>
        </c:ser>
        <c:dLbls>
          <c:showLegendKey val="0"/>
          <c:showVal val="0"/>
          <c:showCatName val="0"/>
          <c:showSerName val="0"/>
          <c:showPercent val="0"/>
          <c:showBubbleSize val="0"/>
        </c:dLbls>
        <c:gapWidth val="150"/>
        <c:shape val="box"/>
        <c:axId val="84864480"/>
        <c:axId val="84855776"/>
        <c:axId val="0"/>
      </c:bar3DChart>
      <c:catAx>
        <c:axId val="8486448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55776"/>
        <c:crosses val="autoZero"/>
        <c:auto val="1"/>
        <c:lblAlgn val="ctr"/>
        <c:lblOffset val="100"/>
        <c:noMultiLvlLbl val="0"/>
      </c:catAx>
      <c:valAx>
        <c:axId val="84855776"/>
        <c:scaling>
          <c:orientation val="minMax"/>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es-CR"/>
          </a:p>
        </c:txPr>
        <c:crossAx val="84864480"/>
        <c:crosses val="autoZero"/>
        <c:crossBetween val="between"/>
      </c:valAx>
      <c:spPr>
        <a:noFill/>
        <a:ln w="25400">
          <a:noFill/>
        </a:ln>
      </c:spPr>
    </c:plotArea>
    <c:legend>
      <c:legendPos val="b"/>
      <c:layout>
        <c:manualLayout>
          <c:xMode val="edge"/>
          <c:yMode val="edge"/>
          <c:x val="0.61382565518862375"/>
          <c:y val="0.94085092624291522"/>
          <c:w val="0.36008623222470326"/>
          <c:h val="3.2609646620259447E-2"/>
        </c:manualLayout>
      </c:layout>
      <c:overlay val="0"/>
      <c:spPr>
        <a:ln>
          <a:solidFill>
            <a:schemeClr val="tx1">
              <a:lumMod val="50000"/>
              <a:lumOff val="50000"/>
            </a:schemeClr>
          </a:solidFill>
        </a:ln>
      </c:spPr>
      <c:txPr>
        <a:bodyPr/>
        <a:lstStyle/>
        <a:p>
          <a:pPr>
            <a:defRPr sz="640" b="0" i="0" u="none" strike="noStrike" baseline="0">
              <a:solidFill>
                <a:srgbClr val="000000"/>
              </a:solidFill>
              <a:latin typeface="Times New Roman"/>
              <a:ea typeface="Times New Roman"/>
              <a:cs typeface="Times New Roman"/>
            </a:defRPr>
          </a:pPr>
          <a:endParaRPr lang="es-C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3.9626646439837224E-2"/>
          <c:y val="0.1889698727418109"/>
          <c:w val="0.94355378169471937"/>
          <c:h val="0.67977502812148471"/>
        </c:manualLayout>
      </c:layout>
      <c:bar3DChart>
        <c:barDir val="col"/>
        <c:grouping val="stacked"/>
        <c:varyColors val="0"/>
        <c:ser>
          <c:idx val="0"/>
          <c:order val="0"/>
          <c:spPr>
            <a:solidFill>
              <a:schemeClr val="accent4">
                <a:lumMod val="40000"/>
                <a:lumOff val="60000"/>
              </a:schemeClr>
            </a:solidFill>
          </c:spPr>
          <c:invertIfNegative val="0"/>
          <c:dLbls>
            <c:dLbl>
              <c:idx val="3"/>
              <c:layout>
                <c:manualLayout>
                  <c:x val="0"/>
                  <c:y val="4.2154566744730768E-2"/>
                </c:manualLayout>
              </c:layout>
              <c:spPr>
                <a:scene3d>
                  <a:camera prst="orthographicFront"/>
                  <a:lightRig rig="threePt" dir="t"/>
                </a:scene3d>
                <a:sp3d>
                  <a:bevelB w="25400"/>
                </a:sp3d>
              </c:spPr>
              <c:txPr>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FA-40C1-9917-33DC8B96C375}"/>
                </c:ext>
              </c:extLst>
            </c:dLbl>
            <c:spPr>
              <a:scene3d>
                <a:camera prst="orthographicFront"/>
                <a:lightRig rig="threePt" dir="t"/>
              </a:scene3d>
              <a:sp3d>
                <a:bevelB w="25400"/>
              </a:sp3d>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[9]RF1!$D$3:$G$3</c:f>
              <c:strCache>
                <c:ptCount val="4"/>
                <c:pt idx="0">
                  <c:v>2015 - 2016</c:v>
                </c:pt>
                <c:pt idx="1">
                  <c:v>2016 - 2017</c:v>
                </c:pt>
                <c:pt idx="2">
                  <c:v>2017 - 2018</c:v>
                </c:pt>
                <c:pt idx="3">
                  <c:v>2018- 2019</c:v>
                </c:pt>
              </c:strCache>
            </c:strRef>
          </c:cat>
          <c:val>
            <c:numRef>
              <c:f>[9]RF1!$D$4:$G$4</c:f>
              <c:numCache>
                <c:formatCode>General</c:formatCode>
                <c:ptCount val="4"/>
                <c:pt idx="0">
                  <c:v>11.75</c:v>
                </c:pt>
                <c:pt idx="1">
                  <c:v>12.76</c:v>
                </c:pt>
                <c:pt idx="2">
                  <c:v>7.74</c:v>
                </c:pt>
                <c:pt idx="3">
                  <c:v>-2.65</c:v>
                </c:pt>
              </c:numCache>
            </c:numRef>
          </c:val>
          <c:extLst>
            <c:ext xmlns:c16="http://schemas.microsoft.com/office/drawing/2014/chart" uri="{C3380CC4-5D6E-409C-BE32-E72D297353CC}">
              <c16:uniqueId val="{00000001-59FA-40C1-9917-33DC8B96C375}"/>
            </c:ext>
          </c:extLst>
        </c:ser>
        <c:dLbls>
          <c:showLegendKey val="0"/>
          <c:showVal val="0"/>
          <c:showCatName val="0"/>
          <c:showSerName val="0"/>
          <c:showPercent val="0"/>
          <c:showBubbleSize val="0"/>
        </c:dLbls>
        <c:gapWidth val="150"/>
        <c:shape val="box"/>
        <c:axId val="1547027568"/>
        <c:axId val="1547024848"/>
        <c:axId val="0"/>
      </c:bar3DChart>
      <c:catAx>
        <c:axId val="1547027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4848"/>
        <c:crosses val="autoZero"/>
        <c:auto val="1"/>
        <c:lblAlgn val="ctr"/>
        <c:lblOffset val="100"/>
        <c:noMultiLvlLbl val="0"/>
      </c:catAx>
      <c:valAx>
        <c:axId val="1547024848"/>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4702756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 l="0.7" r="0.7" t="0.75" header="0.3" footer="0.3"/>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2.xml.rels><?xml version="1.0" encoding="UTF-8" standalone="yes"?>
<Relationships xmlns="http://schemas.openxmlformats.org/package/2006/relationships"><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5.png"/></Relationships>
</file>

<file path=xl/drawings/_rels/drawing97.xml.rels><?xml version="1.0" encoding="UTF-8" standalone="yes"?>
<Relationships xmlns="http://schemas.openxmlformats.org/package/2006/relationships"><Relationship Id="rId1" Type="http://schemas.openxmlformats.org/officeDocument/2006/relationships/image" Target="../media/image6.png"/></Relationships>
</file>

<file path=xl/drawings/_rels/drawing98.xml.rels><?xml version="1.0" encoding="UTF-8" standalone="yes"?>
<Relationships xmlns="http://schemas.openxmlformats.org/package/2006/relationships"><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31</xdr:row>
      <xdr:rowOff>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0.02006</cdr:x>
      <cdr:y>0.93067</cdr:y>
    </cdr:from>
    <cdr:to>
      <cdr:x>0.24569</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0.21666</cdr:x>
      <cdr:y>0.06448</cdr:y>
    </cdr:from>
    <cdr:to>
      <cdr:x>0.35326</cdr:x>
      <cdr:y>0.25887</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0.02994</cdr:x>
      <cdr:y>0.07179</cdr:y>
    </cdr:from>
    <cdr:to>
      <cdr:x>0.16238</cdr:x>
      <cdr:y>0.13571</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0.23818</cdr:x>
      <cdr:y>0.02345</cdr:y>
    </cdr:from>
    <cdr:to>
      <cdr:x>0.83846</cdr:x>
      <cdr:y>0.08688</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0.01465</cdr:y>
    </cdr:from>
    <cdr:to>
      <cdr:x>0.21293</cdr:x>
      <cdr:y>0.08688</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3</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600075</xdr:colOff>
      <xdr:row>4</xdr:row>
      <xdr:rowOff>161925</xdr:rowOff>
    </xdr:from>
    <xdr:to>
      <xdr:col>0</xdr:col>
      <xdr:colOff>1200150</xdr:colOff>
      <xdr:row>8</xdr:row>
      <xdr:rowOff>161925</xdr:rowOff>
    </xdr:to>
    <xdr:sp macro="" textlink="">
      <xdr:nvSpPr>
        <xdr:cNvPr id="2" name="Line 2">
          <a:extLst>
            <a:ext uri="{FF2B5EF4-FFF2-40B4-BE49-F238E27FC236}">
              <a16:creationId xmlns:a16="http://schemas.microsoft.com/office/drawing/2014/main" id="{00000000-0008-0000-6600-000002000000}"/>
            </a:ext>
          </a:extLst>
        </xdr:cNvPr>
        <xdr:cNvSpPr>
          <a:spLocks noChangeShapeType="1"/>
        </xdr:cNvSpPr>
      </xdr:nvSpPr>
      <xdr:spPr bwMode="auto">
        <a:xfrm>
          <a:off x="600075" y="752475"/>
          <a:ext cx="600075"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1200150</xdr:colOff>
      <xdr:row>8</xdr:row>
      <xdr:rowOff>171450</xdr:rowOff>
    </xdr:to>
    <xdr:sp macro="" textlink="">
      <xdr:nvSpPr>
        <xdr:cNvPr id="2" name="Line 2">
          <a:extLst>
            <a:ext uri="{FF2B5EF4-FFF2-40B4-BE49-F238E27FC236}">
              <a16:creationId xmlns:a16="http://schemas.microsoft.com/office/drawing/2014/main" id="{00000000-0008-0000-6700-000002000000}"/>
            </a:ext>
          </a:extLst>
        </xdr:cNvPr>
        <xdr:cNvSpPr>
          <a:spLocks noChangeShapeType="1"/>
        </xdr:cNvSpPr>
      </xdr:nvSpPr>
      <xdr:spPr bwMode="auto">
        <a:xfrm>
          <a:off x="695325" y="838200"/>
          <a:ext cx="504825"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12700</xdr:colOff>
      <xdr:row>0</xdr:row>
      <xdr:rowOff>38100</xdr:rowOff>
    </xdr:from>
    <xdr:to>
      <xdr:col>9</xdr:col>
      <xdr:colOff>336550</xdr:colOff>
      <xdr:row>38</xdr:row>
      <xdr:rowOff>25400</xdr:rowOff>
    </xdr:to>
    <xdr:graphicFrame macro="">
      <xdr:nvGraphicFramePr>
        <xdr:cNvPr id="3" name="3 Gráfico">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a:t>
          </a:r>
          <a:r>
            <a:rPr lang="es-CR" sz="1600" baseline="0">
              <a:effectLst/>
              <a:latin typeface="Times New Roman" pitchFamily="18" charset="0"/>
              <a:ea typeface="+mn-ea"/>
              <a:cs typeface="Times New Roman" pitchFamily="18" charset="0"/>
            </a:rPr>
            <a:t>2</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0.23613</cdr:x>
      <cdr:y>0.06638</cdr:y>
    </cdr:from>
    <cdr:to>
      <cdr:x>0.87401</cdr:x>
      <cdr:y>0.17684</cdr:y>
    </cdr:to>
    <cdr:sp macro="" textlink="">
      <cdr:nvSpPr>
        <cdr:cNvPr id="3" name="2 CuadroTexto"/>
        <cdr:cNvSpPr txBox="1"/>
      </cdr:nvSpPr>
      <cdr:spPr>
        <a:xfrm xmlns:a="http://schemas.openxmlformats.org/drawingml/2006/main">
          <a:off x="1695848" y="410364"/>
          <a:ext cx="4581128" cy="6828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Distribución absoluta de los estudiantes becados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800" b="0" i="0" baseline="0">
              <a:effectLst/>
              <a:latin typeface="Times New Roman" pitchFamily="18" charset="0"/>
              <a:ea typeface="+mn-ea"/>
              <a:cs typeface="Times New Roman" pitchFamily="18" charset="0"/>
            </a:rPr>
            <a:t>de la U.C.R., según sexo por área.</a:t>
          </a:r>
          <a:endParaRPr lang="es-CR" sz="1100"/>
        </a:p>
      </cdr:txBody>
    </cdr:sp>
  </cdr:relSizeAnchor>
  <cdr:relSizeAnchor xmlns:cdr="http://schemas.openxmlformats.org/drawingml/2006/chartDrawing">
    <cdr:from>
      <cdr:x>0.27165</cdr:x>
      <cdr:y>0.02295</cdr:y>
    </cdr:from>
    <cdr:to>
      <cdr:x>0.82493</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0.01592</cdr:x>
      <cdr:y>0.92296</cdr:y>
    </cdr:from>
    <cdr:to>
      <cdr:x>0.17905</cdr:x>
      <cdr:y>0.95685</cdr:y>
    </cdr:to>
    <cdr:sp macro="" textlink="">
      <cdr:nvSpPr>
        <cdr:cNvPr id="5" name="4 CuadroTexto"/>
        <cdr:cNvSpPr txBox="1"/>
      </cdr:nvSpPr>
      <cdr:spPr>
        <a:xfrm xmlns:a="http://schemas.openxmlformats.org/drawingml/2006/main">
          <a:off x="114326" y="5705501"/>
          <a:ext cx="1171575" cy="2094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VE2 y VE3</a:t>
          </a:r>
        </a:p>
      </cdr:txBody>
    </cdr:sp>
  </cdr:relSizeAnchor>
  <cdr:relSizeAnchor xmlns:cdr="http://schemas.openxmlformats.org/drawingml/2006/chartDrawing">
    <cdr:from>
      <cdr:x>0.00663</cdr:x>
      <cdr:y>0.95686</cdr:y>
    </cdr:from>
    <cdr:to>
      <cdr:x>0.43103</cdr:x>
      <cdr:y>0.99538</cdr:y>
    </cdr:to>
    <cdr:sp macro="" textlink="">
      <cdr:nvSpPr>
        <cdr:cNvPr id="6" name="5 CuadroTexto"/>
        <cdr:cNvSpPr txBox="1"/>
      </cdr:nvSpPr>
      <cdr:spPr>
        <a:xfrm xmlns:a="http://schemas.openxmlformats.org/drawingml/2006/main">
          <a:off x="47625" y="5915025"/>
          <a:ext cx="304800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800">
              <a:latin typeface="Times New Roman" pitchFamily="18" charset="0"/>
              <a:cs typeface="Times New Roman" pitchFamily="18" charset="0"/>
            </a:rPr>
            <a:t>Nota: Otros contempla al</a:t>
          </a:r>
          <a:r>
            <a:rPr lang="es-ES" sz="800" baseline="0">
              <a:latin typeface="Times New Roman" pitchFamily="18" charset="0"/>
              <a:cs typeface="Times New Roman" pitchFamily="18" charset="0"/>
            </a:rPr>
            <a:t> Recinto de Golfito y a la Sede de Alajuela</a:t>
          </a:r>
          <a:endParaRPr lang="es-ES" sz="800">
            <a:latin typeface="Times New Roman" pitchFamily="18" charset="0"/>
            <a:cs typeface="Times New Roman" pitchFamily="18" charset="0"/>
          </a:endParaRP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514350</xdr:colOff>
      <xdr:row>4</xdr:row>
      <xdr:rowOff>161925</xdr:rowOff>
    </xdr:from>
    <xdr:to>
      <xdr:col>0</xdr:col>
      <xdr:colOff>1104900</xdr:colOff>
      <xdr:row>8</xdr:row>
      <xdr:rowOff>161925</xdr:rowOff>
    </xdr:to>
    <xdr:sp macro="" textlink="">
      <xdr:nvSpPr>
        <xdr:cNvPr id="2" name="Line 1">
          <a:extLst>
            <a:ext uri="{FF2B5EF4-FFF2-40B4-BE49-F238E27FC236}">
              <a16:creationId xmlns:a16="http://schemas.microsoft.com/office/drawing/2014/main" id="{00000000-0008-0000-6900-000002000000}"/>
            </a:ext>
          </a:extLst>
        </xdr:cNvPr>
        <xdr:cNvSpPr>
          <a:spLocks noChangeShapeType="1"/>
        </xdr:cNvSpPr>
      </xdr:nvSpPr>
      <xdr:spPr bwMode="auto">
        <a:xfrm>
          <a:off x="514350" y="752475"/>
          <a:ext cx="590550" cy="590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685800</xdr:colOff>
      <xdr:row>5</xdr:row>
      <xdr:rowOff>19050</xdr:rowOff>
    </xdr:from>
    <xdr:to>
      <xdr:col>0</xdr:col>
      <xdr:colOff>1152525</xdr:colOff>
      <xdr:row>9</xdr:row>
      <xdr:rowOff>19050</xdr:rowOff>
    </xdr:to>
    <xdr:sp macro="" textlink="">
      <xdr:nvSpPr>
        <xdr:cNvPr id="2" name="Line 2">
          <a:extLst>
            <a:ext uri="{FF2B5EF4-FFF2-40B4-BE49-F238E27FC236}">
              <a16:creationId xmlns:a16="http://schemas.microsoft.com/office/drawing/2014/main" id="{00000000-0008-0000-6A00-000002000000}"/>
            </a:ext>
          </a:extLst>
        </xdr:cNvPr>
        <xdr:cNvSpPr>
          <a:spLocks noChangeShapeType="1"/>
        </xdr:cNvSpPr>
      </xdr:nvSpPr>
      <xdr:spPr bwMode="auto">
        <a:xfrm>
          <a:off x="685800" y="981075"/>
          <a:ext cx="466725" cy="771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29</xdr:row>
      <xdr:rowOff>152400</xdr:rowOff>
    </xdr:to>
    <xdr:graphicFrame macro="">
      <xdr:nvGraphicFramePr>
        <xdr:cNvPr id="3" name="4 Gráfico">
          <a:extLst>
            <a:ext uri="{FF2B5EF4-FFF2-40B4-BE49-F238E27FC236}">
              <a16:creationId xmlns:a16="http://schemas.microsoft.com/office/drawing/2014/main" id="{00000000-0008-0000-6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0.15248</cdr:x>
      <cdr:y>0.07549</cdr:y>
    </cdr:from>
    <cdr:to>
      <cdr:x>0.88837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edad.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0.25738</cdr:x>
      <cdr:y>0.02292</cdr:y>
    </cdr:from>
    <cdr:to>
      <cdr:x>0.82743</cdr:x>
      <cdr:y>0.11741</cdr:y>
    </cdr:to>
    <cdr:sp macro="" textlink="">
      <cdr:nvSpPr>
        <cdr:cNvPr id="3" name="2 CuadroTexto"/>
        <cdr:cNvSpPr txBox="1"/>
      </cdr:nvSpPr>
      <cdr:spPr>
        <a:xfrm xmlns:a="http://schemas.openxmlformats.org/drawingml/2006/main">
          <a:off x="2011334" y="128368"/>
          <a:ext cx="4459321" cy="5250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VE3</a:t>
          </a:r>
        </a:p>
      </cdr:txBody>
    </cdr:sp>
  </cdr:relSizeAnchor>
  <cdr:relSizeAnchor xmlns:cdr="http://schemas.openxmlformats.org/drawingml/2006/chartDrawing">
    <cdr:from>
      <cdr:x>0.01584</cdr:x>
      <cdr:y>0.94112</cdr:y>
    </cdr:from>
    <cdr:to>
      <cdr:x>0.19367</cdr:x>
      <cdr:y>0.97952</cdr:y>
    </cdr:to>
    <cdr:sp macro="" textlink="">
      <cdr:nvSpPr>
        <cdr:cNvPr id="5" name="4 CuadroTexto"/>
        <cdr:cNvSpPr txBox="1"/>
      </cdr:nvSpPr>
      <cdr:spPr>
        <a:xfrm xmlns:a="http://schemas.openxmlformats.org/drawingml/2006/main">
          <a:off x="119180" y="5252977"/>
          <a:ext cx="1338145" cy="2143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VE4</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VE5</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514350</xdr:colOff>
      <xdr:row>4</xdr:row>
      <xdr:rowOff>171450</xdr:rowOff>
    </xdr:from>
    <xdr:to>
      <xdr:col>0</xdr:col>
      <xdr:colOff>1114425</xdr:colOff>
      <xdr:row>8</xdr:row>
      <xdr:rowOff>161925</xdr:rowOff>
    </xdr:to>
    <xdr:sp macro="" textlink="">
      <xdr:nvSpPr>
        <xdr:cNvPr id="2" name="Line 1">
          <a:extLst>
            <a:ext uri="{FF2B5EF4-FFF2-40B4-BE49-F238E27FC236}">
              <a16:creationId xmlns:a16="http://schemas.microsoft.com/office/drawing/2014/main" id="{00000000-0008-0000-6C00-000002000000}"/>
            </a:ext>
          </a:extLst>
        </xdr:cNvPr>
        <xdr:cNvSpPr>
          <a:spLocks noChangeShapeType="1"/>
        </xdr:cNvSpPr>
      </xdr:nvSpPr>
      <xdr:spPr bwMode="auto">
        <a:xfrm>
          <a:off x="514350" y="704850"/>
          <a:ext cx="600075" cy="647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752475</xdr:colOff>
      <xdr:row>5</xdr:row>
      <xdr:rowOff>31750</xdr:rowOff>
    </xdr:from>
    <xdr:to>
      <xdr:col>0</xdr:col>
      <xdr:colOff>1352550</xdr:colOff>
      <xdr:row>9</xdr:row>
      <xdr:rowOff>3175</xdr:rowOff>
    </xdr:to>
    <xdr:sp macro="" textlink="">
      <xdr:nvSpPr>
        <xdr:cNvPr id="2" name="Line 2">
          <a:extLst>
            <a:ext uri="{FF2B5EF4-FFF2-40B4-BE49-F238E27FC236}">
              <a16:creationId xmlns:a16="http://schemas.microsoft.com/office/drawing/2014/main" id="{00000000-0008-0000-6D00-000002000000}"/>
            </a:ext>
          </a:extLst>
        </xdr:cNvPr>
        <xdr:cNvSpPr>
          <a:spLocks noChangeShapeType="1"/>
        </xdr:cNvSpPr>
      </xdr:nvSpPr>
      <xdr:spPr bwMode="auto">
        <a:xfrm>
          <a:off x="752475" y="825500"/>
          <a:ext cx="60007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9">
          <a:extLst>
            <a:ext uri="{FF2B5EF4-FFF2-40B4-BE49-F238E27FC236}">
              <a16:creationId xmlns:a16="http://schemas.microsoft.com/office/drawing/2014/main" id="{00000000-0008-0000-0B00-000002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9">
          <a:extLst>
            <a:ext uri="{FF2B5EF4-FFF2-40B4-BE49-F238E27FC236}">
              <a16:creationId xmlns:a16="http://schemas.microsoft.com/office/drawing/2014/main" id="{00000000-0008-0000-0B00-000003000000}"/>
            </a:ext>
          </a:extLst>
        </xdr:cNvPr>
        <xdr:cNvSpPr>
          <a:spLocks noChangeShapeType="1"/>
        </xdr:cNvSpPr>
      </xdr:nvSpPr>
      <xdr:spPr bwMode="auto">
        <a:xfrm>
          <a:off x="666750" y="749300"/>
          <a:ext cx="647700" cy="622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203200</xdr:colOff>
      <xdr:row>27</xdr:row>
      <xdr:rowOff>12700</xdr:rowOff>
    </xdr:to>
    <xdr:graphicFrame macro="">
      <xdr:nvGraphicFramePr>
        <xdr:cNvPr id="3" name="2 Gráfico">
          <a:extLst>
            <a:ext uri="{FF2B5EF4-FFF2-40B4-BE49-F238E27FC236}">
              <a16:creationId xmlns:a16="http://schemas.microsoft.com/office/drawing/2014/main"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0.05086</cdr:x>
      <cdr:y>0.09347</cdr:y>
    </cdr:from>
    <cdr:to>
      <cdr:x>0.95716</cdr:x>
      <cdr:y>0.25484</cdr:y>
    </cdr:to>
    <cdr:sp macro="" textlink="">
      <cdr:nvSpPr>
        <cdr:cNvPr id="2" name="1 CuadroTexto"/>
        <cdr:cNvSpPr txBox="1"/>
      </cdr:nvSpPr>
      <cdr:spPr>
        <a:xfrm xmlns:a="http://schemas.openxmlformats.org/drawingml/2006/main">
          <a:off x="320408" y="461761"/>
          <a:ext cx="5708965" cy="7972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700"/>
            </a:lnSpc>
          </a:pPr>
          <a:r>
            <a:rPr lang="es-CR" sz="1800">
              <a:latin typeface="Times New Roman" pitchFamily="18" charset="0"/>
              <a:cs typeface="Times New Roman" pitchFamily="18" charset="0"/>
            </a:rPr>
            <a:t>                de la U.C.R., según estado civil. </a:t>
          </a:r>
        </a:p>
      </cdr:txBody>
    </cdr:sp>
  </cdr:relSizeAnchor>
  <cdr:relSizeAnchor xmlns:cdr="http://schemas.openxmlformats.org/drawingml/2006/chartDrawing">
    <cdr:from>
      <cdr:x>0.68786</cdr:x>
      <cdr:y>0.52125</cdr:y>
    </cdr:from>
    <cdr:to>
      <cdr:x>0.78952</cdr:x>
      <cdr:y>0.56557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0.93891</cdr:y>
    </cdr:from>
    <cdr:to>
      <cdr:x>0.22657</cdr:x>
      <cdr:y>0.97859</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VE6 y VE7</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0.22476</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VE4</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781050</xdr:colOff>
      <xdr:row>5</xdr:row>
      <xdr:rowOff>9525</xdr:rowOff>
    </xdr:from>
    <xdr:to>
      <xdr:col>0</xdr:col>
      <xdr:colOff>1266825</xdr:colOff>
      <xdr:row>9</xdr:row>
      <xdr:rowOff>9525</xdr:rowOff>
    </xdr:to>
    <xdr:sp macro="" textlink="">
      <xdr:nvSpPr>
        <xdr:cNvPr id="2" name="Line 3">
          <a:extLst>
            <a:ext uri="{FF2B5EF4-FFF2-40B4-BE49-F238E27FC236}">
              <a16:creationId xmlns:a16="http://schemas.microsoft.com/office/drawing/2014/main" id="{00000000-0008-0000-6F00-000002000000}"/>
            </a:ext>
          </a:extLst>
        </xdr:cNvPr>
        <xdr:cNvSpPr>
          <a:spLocks noChangeShapeType="1"/>
        </xdr:cNvSpPr>
      </xdr:nvSpPr>
      <xdr:spPr bwMode="auto">
        <a:xfrm>
          <a:off x="781050" y="742950"/>
          <a:ext cx="485775"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647700</xdr:colOff>
      <xdr:row>4</xdr:row>
      <xdr:rowOff>123825</xdr:rowOff>
    </xdr:from>
    <xdr:to>
      <xdr:col>0</xdr:col>
      <xdr:colOff>1133475</xdr:colOff>
      <xdr:row>8</xdr:row>
      <xdr:rowOff>142875</xdr:rowOff>
    </xdr:to>
    <xdr:sp macro="" textlink="">
      <xdr:nvSpPr>
        <xdr:cNvPr id="2" name="Line 1">
          <a:extLst>
            <a:ext uri="{FF2B5EF4-FFF2-40B4-BE49-F238E27FC236}">
              <a16:creationId xmlns:a16="http://schemas.microsoft.com/office/drawing/2014/main" id="{00000000-0008-0000-7000-000002000000}"/>
            </a:ext>
          </a:extLst>
        </xdr:cNvPr>
        <xdr:cNvSpPr>
          <a:spLocks noChangeShapeType="1"/>
        </xdr:cNvSpPr>
      </xdr:nvSpPr>
      <xdr:spPr bwMode="auto">
        <a:xfrm>
          <a:off x="647700" y="733425"/>
          <a:ext cx="485775"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57150</xdr:rowOff>
    </xdr:to>
    <xdr:graphicFrame macro="">
      <xdr:nvGraphicFramePr>
        <xdr:cNvPr id="3" name="2 Gráfico">
          <a:extLst>
            <a:ext uri="{FF2B5EF4-FFF2-40B4-BE49-F238E27FC236}">
              <a16:creationId xmlns:a16="http://schemas.microsoft.com/office/drawing/2014/main" id="{00000000-0008-0000-7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0.0359</cdr:x>
      <cdr:y>0.09326</cdr:y>
    </cdr:from>
    <cdr:to>
      <cdr:x>0.9422</cdr:x>
      <cdr:y>0.2556</cdr:y>
    </cdr:to>
    <cdr:sp macro="" textlink="">
      <cdr:nvSpPr>
        <cdr:cNvPr id="2" name="1 CuadroTexto"/>
        <cdr:cNvSpPr txBox="1"/>
      </cdr:nvSpPr>
      <cdr:spPr>
        <a:xfrm xmlns:a="http://schemas.openxmlformats.org/drawingml/2006/main">
          <a:off x="244580" y="459532"/>
          <a:ext cx="6175120" cy="7999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estudiantes becados</a:t>
          </a:r>
        </a:p>
        <a:p xmlns:a="http://schemas.openxmlformats.org/drawingml/2006/main">
          <a:pPr algn="ctr">
            <a:lnSpc>
              <a:spcPts val="1800"/>
            </a:lnSpc>
          </a:pPr>
          <a:r>
            <a:rPr lang="es-CR" sz="1800">
              <a:latin typeface="Times New Roman" pitchFamily="18" charset="0"/>
              <a:cs typeface="Times New Roman" pitchFamily="18" charset="0"/>
            </a:rPr>
            <a:t>                de la U.C.R., según nacionalidad. </a:t>
          </a:r>
        </a:p>
      </cdr:txBody>
    </cdr:sp>
  </cdr:relSizeAnchor>
  <cdr:relSizeAnchor xmlns:cdr="http://schemas.openxmlformats.org/drawingml/2006/chartDrawing">
    <cdr:from>
      <cdr:x>0.68811</cdr:x>
      <cdr:y>0.52247</cdr:y>
    </cdr:from>
    <cdr:to>
      <cdr:x>0.78977</cdr:x>
      <cdr:y>0.5668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0.02247</cdr:x>
      <cdr:y>0.94013</cdr:y>
    </cdr:from>
    <cdr:to>
      <cdr:x>0.22731</cdr:x>
      <cdr:y>0.98373</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VE8 y VE9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0.22525</cdr:x>
      <cdr:y>0.08882</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VE5</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504825</xdr:colOff>
      <xdr:row>4</xdr:row>
      <xdr:rowOff>161925</xdr:rowOff>
    </xdr:from>
    <xdr:to>
      <xdr:col>0</xdr:col>
      <xdr:colOff>914400</xdr:colOff>
      <xdr:row>9</xdr:row>
      <xdr:rowOff>9525</xdr:rowOff>
    </xdr:to>
    <xdr:sp macro="" textlink="">
      <xdr:nvSpPr>
        <xdr:cNvPr id="2" name="Line 1">
          <a:extLst>
            <a:ext uri="{FF2B5EF4-FFF2-40B4-BE49-F238E27FC236}">
              <a16:creationId xmlns:a16="http://schemas.microsoft.com/office/drawing/2014/main" id="{00000000-0008-0000-7200-000002000000}"/>
            </a:ext>
          </a:extLst>
        </xdr:cNvPr>
        <xdr:cNvSpPr>
          <a:spLocks noChangeShapeType="1"/>
        </xdr:cNvSpPr>
      </xdr:nvSpPr>
      <xdr:spPr bwMode="auto">
        <a:xfrm>
          <a:off x="504825" y="695325"/>
          <a:ext cx="409575" cy="5810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676275</xdr:colOff>
      <xdr:row>6</xdr:row>
      <xdr:rowOff>0</xdr:rowOff>
    </xdr:from>
    <xdr:to>
      <xdr:col>0</xdr:col>
      <xdr:colOff>1085850</xdr:colOff>
      <xdr:row>10</xdr:row>
      <xdr:rowOff>9525</xdr:rowOff>
    </xdr:to>
    <xdr:sp macro="" textlink="">
      <xdr:nvSpPr>
        <xdr:cNvPr id="2" name="Line 5">
          <a:extLst>
            <a:ext uri="{FF2B5EF4-FFF2-40B4-BE49-F238E27FC236}">
              <a16:creationId xmlns:a16="http://schemas.microsoft.com/office/drawing/2014/main" id="{00000000-0008-0000-7300-000002000000}"/>
            </a:ext>
          </a:extLst>
        </xdr:cNvPr>
        <xdr:cNvSpPr>
          <a:spLocks noChangeShapeType="1"/>
        </xdr:cNvSpPr>
      </xdr:nvSpPr>
      <xdr:spPr bwMode="auto">
        <a:xfrm>
          <a:off x="676275" y="866775"/>
          <a:ext cx="409575" cy="657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317500</xdr:colOff>
      <xdr:row>29</xdr:row>
      <xdr:rowOff>171450</xdr:rowOff>
    </xdr:to>
    <xdr:graphicFrame macro="">
      <xdr:nvGraphicFramePr>
        <xdr:cNvPr id="3" name="4 Gráfico">
          <a:extLst>
            <a:ext uri="{FF2B5EF4-FFF2-40B4-BE49-F238E27FC236}">
              <a16:creationId xmlns:a16="http://schemas.microsoft.com/office/drawing/2014/main" id="{00000000-0008-0000-7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Distribución absoluta de los estudiantes becados</a:t>
          </a:r>
          <a:endParaRPr lang="es-CR" sz="1800">
            <a:effectLst/>
            <a:latin typeface="Times New Roman" pitchFamily="18" charset="0"/>
            <a:cs typeface="Times New Roman" pitchFamily="18" charset="0"/>
          </a:endParaRPr>
        </a:p>
        <a:p xmlns:a="http://schemas.openxmlformats.org/drawingml/2006/main">
          <a:pPr algn="ctr" rtl="0" eaLnBrk="1" fontAlgn="auto" latinLnBrk="0" hangingPunct="1"/>
          <a:r>
            <a:rPr lang="es-CR" sz="1800" b="0" i="0" baseline="0">
              <a:effectLst/>
              <a:latin typeface="Times New Roman" pitchFamily="18" charset="0"/>
              <a:ea typeface="+mn-ea"/>
              <a:cs typeface="Times New Roman" pitchFamily="18" charset="0"/>
            </a:rPr>
            <a:t>de la U.C.R., según miembros del grupo familiar. I ciclo</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0.26787</cdr:x>
      <cdr:y>0.02971</cdr:y>
    </cdr:from>
    <cdr:to>
      <cdr:x>0.83742</cdr:x>
      <cdr:y>0.12346</cdr:y>
    </cdr:to>
    <cdr:sp macro="" textlink="">
      <cdr:nvSpPr>
        <cdr:cNvPr id="3" name="2 CuadroTexto"/>
        <cdr:cNvSpPr txBox="1"/>
      </cdr:nvSpPr>
      <cdr:spPr>
        <a:xfrm xmlns:a="http://schemas.openxmlformats.org/drawingml/2006/main">
          <a:off x="2036040" y="166686"/>
          <a:ext cx="4329121" cy="5259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VE6</a:t>
          </a:r>
        </a:p>
      </cdr:txBody>
    </cdr:sp>
  </cdr:relSizeAnchor>
  <cdr:relSizeAnchor xmlns:cdr="http://schemas.openxmlformats.org/drawingml/2006/chartDrawing">
    <cdr:from>
      <cdr:x>0.01584</cdr:x>
      <cdr:y>0.94388</cdr:y>
    </cdr:from>
    <cdr:to>
      <cdr:x>0.20506</cdr:x>
      <cdr:y>0.97952</cdr:y>
    </cdr:to>
    <cdr:sp macro="" textlink="">
      <cdr:nvSpPr>
        <cdr:cNvPr id="5" name="4 CuadroTexto"/>
        <cdr:cNvSpPr txBox="1"/>
      </cdr:nvSpPr>
      <cdr:spPr>
        <a:xfrm xmlns:a="http://schemas.openxmlformats.org/drawingml/2006/main">
          <a:off x="119192" y="5286375"/>
          <a:ext cx="1423858" cy="1996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VE10</a:t>
          </a:r>
          <a:r>
            <a:rPr lang="es-CR" sz="800" baseline="0">
              <a:latin typeface="Times New Roman" pitchFamily="18" charset="0"/>
              <a:cs typeface="Times New Roman" pitchFamily="18" charset="0"/>
            </a:rPr>
            <a:t> </a:t>
          </a:r>
          <a:r>
            <a:rPr lang="es-CR" sz="800">
              <a:latin typeface="Times New Roman" pitchFamily="18" charset="0"/>
              <a:cs typeface="Times New Roman" pitchFamily="18" charset="0"/>
            </a:rPr>
            <a:t>y VE11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647700</xdr:colOff>
      <xdr:row>5</xdr:row>
      <xdr:rowOff>0</xdr:rowOff>
    </xdr:from>
    <xdr:to>
      <xdr:col>0</xdr:col>
      <xdr:colOff>1295400</xdr:colOff>
      <xdr:row>8</xdr:row>
      <xdr:rowOff>114300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5</xdr:row>
      <xdr:rowOff>0</xdr:rowOff>
    </xdr:from>
    <xdr:to>
      <xdr:col>0</xdr:col>
      <xdr:colOff>1295400</xdr:colOff>
      <xdr:row>8</xdr:row>
      <xdr:rowOff>114300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a:off x="647700" y="730250"/>
          <a:ext cx="647700" cy="6032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400050</xdr:colOff>
      <xdr:row>6</xdr:row>
      <xdr:rowOff>12700</xdr:rowOff>
    </xdr:from>
    <xdr:to>
      <xdr:col>0</xdr:col>
      <xdr:colOff>1085850</xdr:colOff>
      <xdr:row>10</xdr:row>
      <xdr:rowOff>19050</xdr:rowOff>
    </xdr:to>
    <xdr:sp macro="" textlink="">
      <xdr:nvSpPr>
        <xdr:cNvPr id="2" name="Line 2">
          <a:extLst>
            <a:ext uri="{FF2B5EF4-FFF2-40B4-BE49-F238E27FC236}">
              <a16:creationId xmlns:a16="http://schemas.microsoft.com/office/drawing/2014/main" id="{00000000-0008-0000-7500-000002000000}"/>
            </a:ext>
          </a:extLst>
        </xdr:cNvPr>
        <xdr:cNvSpPr>
          <a:spLocks noChangeShapeType="1"/>
        </xdr:cNvSpPr>
      </xdr:nvSpPr>
      <xdr:spPr bwMode="auto">
        <a:xfrm>
          <a:off x="400050" y="679450"/>
          <a:ext cx="6858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590550</xdr:colOff>
      <xdr:row>6</xdr:row>
      <xdr:rowOff>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7600-000002000000}"/>
            </a:ext>
          </a:extLst>
        </xdr:cNvPr>
        <xdr:cNvSpPr>
          <a:spLocks noChangeShapeType="1"/>
        </xdr:cNvSpPr>
      </xdr:nvSpPr>
      <xdr:spPr bwMode="auto">
        <a:xfrm>
          <a:off x="590550" y="965200"/>
          <a:ext cx="584200" cy="692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12700</xdr:colOff>
      <xdr:row>29</xdr:row>
      <xdr:rowOff>82550</xdr:rowOff>
    </xdr:to>
    <xdr:graphicFrame macro="">
      <xdr:nvGraphicFramePr>
        <xdr:cNvPr id="3" name="5 Gráfico">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0.25917</cdr:x>
      <cdr:y>0.01798</cdr:y>
    </cdr:from>
    <cdr:to>
      <cdr:x>0.83069</cdr:x>
      <cdr:y>0.09693</cdr:y>
    </cdr:to>
    <cdr:sp macro="" textlink="">
      <cdr:nvSpPr>
        <cdr:cNvPr id="2" name="1 CuadroTexto"/>
        <cdr:cNvSpPr txBox="1"/>
      </cdr:nvSpPr>
      <cdr:spPr>
        <a:xfrm xmlns:a="http://schemas.openxmlformats.org/drawingml/2006/main">
          <a:off x="1794443" y="89787"/>
          <a:ext cx="3971880" cy="3640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0.00946</cdr:x>
      <cdr:y>0.01268</cdr:y>
    </cdr:from>
    <cdr:to>
      <cdr:x>0.21833</cdr:x>
      <cdr:y>0.08684</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VE7</a:t>
          </a:r>
        </a:p>
      </cdr:txBody>
    </cdr:sp>
  </cdr:relSizeAnchor>
  <cdr:relSizeAnchor xmlns:cdr="http://schemas.openxmlformats.org/drawingml/2006/chartDrawing">
    <cdr:from>
      <cdr:x>0.04101</cdr:x>
      <cdr:y>0.81189</cdr:y>
    </cdr:from>
    <cdr:to>
      <cdr:x>0.17219</cdr:x>
      <cdr:y>0.87767</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0.93073</cdr:y>
    </cdr:from>
    <cdr:to>
      <cdr:x>0.24802</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VE14</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323850</xdr:colOff>
      <xdr:row>32</xdr:row>
      <xdr:rowOff>50800</xdr:rowOff>
    </xdr:to>
    <xdr:graphicFrame macro="">
      <xdr:nvGraphicFramePr>
        <xdr:cNvPr id="3" name="3 Gráfico">
          <a:extLst>
            <a:ext uri="{FF2B5EF4-FFF2-40B4-BE49-F238E27FC236}">
              <a16:creationId xmlns:a16="http://schemas.microsoft.com/office/drawing/2014/main" id="{00000000-0008-0000-7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c:userShapes xmlns:c="http://schemas.openxmlformats.org/drawingml/2006/chart">
  <cdr:relSizeAnchor xmlns:cdr="http://schemas.openxmlformats.org/drawingml/2006/chartDrawing">
    <cdr:from>
      <cdr:x>0.02558</cdr:x>
      <cdr:y>0.02429</cdr:y>
    </cdr:from>
    <cdr:to>
      <cdr:x>0.19894</cdr:x>
      <cdr:y>0.08025</cdr:y>
    </cdr:to>
    <cdr:sp macro="" textlink="">
      <cdr:nvSpPr>
        <cdr:cNvPr id="2" name="1 CuadroTexto"/>
        <cdr:cNvSpPr txBox="1"/>
      </cdr:nvSpPr>
      <cdr:spPr>
        <a:xfrm xmlns:a="http://schemas.openxmlformats.org/drawingml/2006/main">
          <a:off x="183702" y="150159"/>
          <a:ext cx="1245048" cy="3459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VE8</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0.17183</cdr:x>
      <cdr:y>0.06638</cdr:y>
    </cdr:from>
    <cdr:to>
      <cdr:x>0.95368</cdr:x>
      <cdr:y>0.17709</cdr:y>
    </cdr:to>
    <cdr:sp macro="" textlink="">
      <cdr:nvSpPr>
        <cdr:cNvPr id="3" name="2 CuadroTexto"/>
        <cdr:cNvSpPr txBox="1"/>
      </cdr:nvSpPr>
      <cdr:spPr>
        <a:xfrm xmlns:a="http://schemas.openxmlformats.org/drawingml/2006/main">
          <a:off x="1228725" y="399594"/>
          <a:ext cx="5629275"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según Sede.  I ciclo.</a:t>
          </a:r>
          <a:endParaRPr lang="es-CR" sz="1600"/>
        </a:p>
      </cdr:txBody>
    </cdr:sp>
  </cdr:relSizeAnchor>
  <cdr:relSizeAnchor xmlns:cdr="http://schemas.openxmlformats.org/drawingml/2006/chartDrawing">
    <cdr:from>
      <cdr:x>0.27214</cdr:x>
      <cdr:y>0.02295</cdr:y>
    </cdr:from>
    <cdr:to>
      <cdr:x>0.8232</cdr:x>
      <cdr:y>0.07744</cdr:y>
    </cdr:to>
    <cdr:sp macro="" textlink="">
      <cdr:nvSpPr>
        <cdr:cNvPr id="4" name="3 CuadroTexto"/>
        <cdr:cNvSpPr txBox="1"/>
      </cdr:nvSpPr>
      <cdr:spPr>
        <a:xfrm xmlns:a="http://schemas.openxmlformats.org/drawingml/2006/main">
          <a:off x="1950930" y="141886"/>
          <a:ext cx="3973620" cy="33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0.18966</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VE15 y VE16</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304800</xdr:colOff>
      <xdr:row>32</xdr:row>
      <xdr:rowOff>6350</xdr:rowOff>
    </xdr:to>
    <xdr:graphicFrame macro="">
      <xdr:nvGraphicFramePr>
        <xdr:cNvPr id="3" name="3 Gráfico">
          <a:extLst>
            <a:ext uri="{FF2B5EF4-FFF2-40B4-BE49-F238E27FC236}">
              <a16:creationId xmlns:a16="http://schemas.microsoft.com/office/drawing/2014/main" id="{00000000-0008-0000-7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0.0176</cdr:x>
      <cdr:y>0.01638</cdr:y>
    </cdr:from>
    <cdr:to>
      <cdr:x>0.19096</cdr:x>
      <cdr:y>0.07234</cdr:y>
    </cdr:to>
    <cdr:sp macro="" textlink="">
      <cdr:nvSpPr>
        <cdr:cNvPr id="2" name="1 CuadroTexto"/>
        <cdr:cNvSpPr txBox="1"/>
      </cdr:nvSpPr>
      <cdr:spPr>
        <a:xfrm xmlns:a="http://schemas.openxmlformats.org/drawingml/2006/main">
          <a:off x="126074" y="98596"/>
          <a:ext cx="1241743" cy="336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CR" sz="1600">
              <a:effectLst/>
              <a:latin typeface="Times New Roman" pitchFamily="18" charset="0"/>
              <a:ea typeface="+mn-ea"/>
              <a:cs typeface="Times New Roman" pitchFamily="18" charset="0"/>
            </a:rPr>
            <a:t>Gráfico VE9</a:t>
          </a:r>
          <a:endParaRPr lang="es-CR" sz="1600">
            <a:effectLst/>
            <a:latin typeface="Times New Roman" pitchFamily="18" charset="0"/>
            <a:cs typeface="Times New Roman" pitchFamily="18" charset="0"/>
          </a:endParaRPr>
        </a:p>
        <a:p xmlns:a="http://schemas.openxmlformats.org/drawingml/2006/main">
          <a:endParaRPr lang="es-CR" sz="1600">
            <a:latin typeface="Times New Roman" pitchFamily="18" charset="0"/>
            <a:cs typeface="Times New Roman" pitchFamily="18" charset="0"/>
          </a:endParaRPr>
        </a:p>
      </cdr:txBody>
    </cdr:sp>
  </cdr:relSizeAnchor>
  <cdr:relSizeAnchor xmlns:cdr="http://schemas.openxmlformats.org/drawingml/2006/chartDrawing">
    <cdr:from>
      <cdr:x>0.14037</cdr:x>
      <cdr:y>0.06371</cdr:y>
    </cdr:from>
    <cdr:to>
      <cdr:x>0.9798</cdr:x>
      <cdr:y>0.17515</cdr:y>
    </cdr:to>
    <cdr:sp macro="" textlink="">
      <cdr:nvSpPr>
        <cdr:cNvPr id="3" name="2 CuadroTexto"/>
        <cdr:cNvSpPr txBox="1"/>
      </cdr:nvSpPr>
      <cdr:spPr>
        <a:xfrm xmlns:a="http://schemas.openxmlformats.org/drawingml/2006/main">
          <a:off x="1000125" y="380544"/>
          <a:ext cx="6019799" cy="6649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Distribución absoluta de los estudiantes físicos con beca permanente </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R" sz="1600" b="0" i="0" baseline="0">
              <a:effectLst/>
              <a:latin typeface="Times New Roman" pitchFamily="18" charset="0"/>
              <a:ea typeface="+mn-ea"/>
              <a:cs typeface="Times New Roman" pitchFamily="18" charset="0"/>
            </a:rPr>
            <a:t>y vigente de Asistencia Socioeconómica o estimulo según Sede.  I ciclo.</a:t>
          </a:r>
          <a:endParaRPr lang="es-CR" sz="1600"/>
        </a:p>
      </cdr:txBody>
    </cdr:sp>
  </cdr:relSizeAnchor>
  <cdr:relSizeAnchor xmlns:cdr="http://schemas.openxmlformats.org/drawingml/2006/chartDrawing">
    <cdr:from>
      <cdr:x>0.27032</cdr:x>
      <cdr:y>0.01662</cdr:y>
    </cdr:from>
    <cdr:to>
      <cdr:x>0.8236</cdr:x>
      <cdr:y>0.07111</cdr:y>
    </cdr:to>
    <cdr:sp macro="" textlink="">
      <cdr:nvSpPr>
        <cdr:cNvPr id="4" name="3 CuadroTexto"/>
        <cdr:cNvSpPr txBox="1"/>
      </cdr:nvSpPr>
      <cdr:spPr>
        <a:xfrm xmlns:a="http://schemas.openxmlformats.org/drawingml/2006/main">
          <a:off x="1936250" y="100054"/>
          <a:ext cx="3963034" cy="3280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effectLst/>
              <a:latin typeface="Times New Roman" pitchFamily="18" charset="0"/>
              <a:ea typeface="+mn-ea"/>
              <a:cs typeface="Times New Roman" pitchFamily="18" charset="0"/>
            </a:rPr>
            <a:t>Panorama Cuantitativo Universitario 2019</a:t>
          </a:r>
          <a:endParaRPr lang="es-CR" sz="1800">
            <a:effectLst/>
            <a:latin typeface="Times New Roman" pitchFamily="18" charset="0"/>
            <a:cs typeface="Times New Roman" pitchFamily="18" charset="0"/>
          </a:endParaRPr>
        </a:p>
      </cdr:txBody>
    </cdr:sp>
  </cdr:relSizeAnchor>
  <cdr:relSizeAnchor xmlns:cdr="http://schemas.openxmlformats.org/drawingml/2006/chartDrawing">
    <cdr:from>
      <cdr:x>0.01194</cdr:x>
      <cdr:y>0.95798</cdr:y>
    </cdr:from>
    <cdr:to>
      <cdr:x>0.19065</cdr:x>
      <cdr:y>0.98921</cdr:y>
    </cdr:to>
    <cdr:sp macro="" textlink="">
      <cdr:nvSpPr>
        <cdr:cNvPr id="5" name="4 CuadroTexto"/>
        <cdr:cNvSpPr txBox="1"/>
      </cdr:nvSpPr>
      <cdr:spPr>
        <a:xfrm xmlns:a="http://schemas.openxmlformats.org/drawingml/2006/main">
          <a:off x="85751" y="4343399"/>
          <a:ext cx="1276324" cy="1415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700">
              <a:latin typeface="Times New Roman" pitchFamily="18" charset="0"/>
              <a:cs typeface="Times New Roman" pitchFamily="18" charset="0"/>
            </a:rPr>
            <a:t>Fuente: Cuadro VE17 y VE18</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27</xdr:row>
      <xdr:rowOff>57150</xdr:rowOff>
    </xdr:to>
    <xdr:graphicFrame macro="">
      <xdr:nvGraphicFramePr>
        <xdr:cNvPr id="3" name="2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c:userShapes xmlns:c="http://schemas.openxmlformats.org/drawingml/2006/chart">
  <cdr:relSizeAnchor xmlns:cdr="http://schemas.openxmlformats.org/drawingml/2006/chartDrawing">
    <cdr:from>
      <cdr:x>0.16758</cdr:x>
      <cdr:y>0.08569</cdr:y>
    </cdr:from>
    <cdr:to>
      <cdr:x>0.96364</cdr:x>
      <cdr:y>0.23315</cdr:y>
    </cdr:to>
    <cdr:sp macro="" textlink="">
      <cdr:nvSpPr>
        <cdr:cNvPr id="2" name="1 CuadroTexto"/>
        <cdr:cNvSpPr txBox="1"/>
      </cdr:nvSpPr>
      <cdr:spPr>
        <a:xfrm xmlns:a="http://schemas.openxmlformats.org/drawingml/2006/main">
          <a:off x="1143000" y="419877"/>
          <a:ext cx="5419725" cy="72312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participantes</a:t>
          </a:r>
          <a:r>
            <a:rPr lang="es-CR" sz="1800" baseline="0">
              <a:latin typeface="Times New Roman" pitchFamily="18" charset="0"/>
              <a:cs typeface="Times New Roman" pitchFamily="18" charset="0"/>
            </a:rPr>
            <a:t>  en los</a:t>
          </a:r>
        </a:p>
        <a:p xmlns:a="http://schemas.openxmlformats.org/drawingml/2006/main">
          <a:pPr algn="ctr">
            <a:lnSpc>
              <a:spcPts val="1800"/>
            </a:lnSpc>
          </a:pPr>
          <a:r>
            <a:rPr lang="es-CR" sz="1800" baseline="0">
              <a:latin typeface="Times New Roman" pitchFamily="18" charset="0"/>
              <a:cs typeface="Times New Roman" pitchFamily="18" charset="0"/>
            </a:rPr>
            <a:t> Programas Deportivos y Recreativos, </a:t>
          </a:r>
          <a:r>
            <a:rPr lang="es-CR" sz="1800">
              <a:latin typeface="Times New Roman" pitchFamily="18" charset="0"/>
              <a:cs typeface="Times New Roman" pitchFamily="18" charset="0"/>
            </a:rPr>
            <a:t>según actividad. </a:t>
          </a:r>
        </a:p>
      </cdr:txBody>
    </cdr:sp>
  </cdr:relSizeAnchor>
  <cdr:relSizeAnchor xmlns:cdr="http://schemas.openxmlformats.org/drawingml/2006/chartDrawing">
    <cdr:from>
      <cdr:x>0.68835</cdr:x>
      <cdr:y>0.52247</cdr:y>
    </cdr:from>
    <cdr:to>
      <cdr:x>0.79001</cdr:x>
      <cdr:y>0.56704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0.02222</cdr:x>
      <cdr:y>0.9416</cdr:y>
    </cdr:from>
    <cdr:to>
      <cdr:x>0.22608</cdr:x>
      <cdr:y>0.98495</cdr:y>
    </cdr:to>
    <cdr:sp macro="" textlink="">
      <cdr:nvSpPr>
        <cdr:cNvPr id="4" name="3 CuadroTexto"/>
        <cdr:cNvSpPr txBox="1"/>
      </cdr:nvSpPr>
      <cdr:spPr>
        <a:xfrm xmlns:a="http://schemas.openxmlformats.org/drawingml/2006/main">
          <a:off x="153028" y="4185786"/>
          <a:ext cx="1390022" cy="2147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a:t>
          </a:r>
          <a:r>
            <a:rPr lang="es-CR" sz="800" baseline="0">
              <a:latin typeface="Times New Roman" pitchFamily="18" charset="0"/>
              <a:cs typeface="Times New Roman" pitchFamily="18" charset="0"/>
            </a:rPr>
            <a:t> Cuadro VE26</a:t>
          </a:r>
          <a:endParaRPr lang="es-CR" sz="8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VE10</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711200</xdr:colOff>
      <xdr:row>33</xdr:row>
      <xdr:rowOff>31750</xdr:rowOff>
    </xdr:to>
    <xdr:graphicFrame macro="">
      <xdr:nvGraphicFramePr>
        <xdr:cNvPr id="4" name="36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6350</xdr:rowOff>
    </xdr:to>
    <xdr:graphicFrame macro="">
      <xdr:nvGraphicFramePr>
        <xdr:cNvPr id="3" name="2 Gráfico">
          <a:extLst>
            <a:ext uri="{FF2B5EF4-FFF2-40B4-BE49-F238E27FC236}">
              <a16:creationId xmlns:a16="http://schemas.microsoft.com/office/drawing/2014/main" id="{00000000-0008-0000-8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0.03776</cdr:x>
      <cdr:y>0.08166</cdr:y>
    </cdr:from>
    <cdr:to>
      <cdr:x>0.94406</cdr:x>
      <cdr:y>0.21791</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Administración</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0.68786</cdr:x>
      <cdr:y>0.52051</cdr:y>
    </cdr:from>
    <cdr:to>
      <cdr:x>0.78952</cdr:x>
      <cdr:y>0.56508</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0.91648</cdr:y>
    </cdr:from>
    <cdr:to>
      <cdr:x>0.25248</cdr:x>
      <cdr:y>0.99035</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AD</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24</xdr:row>
      <xdr:rowOff>6350</xdr:rowOff>
    </xdr:to>
    <xdr:graphicFrame macro="">
      <xdr:nvGraphicFramePr>
        <xdr:cNvPr id="3" name="2 Gráfico">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0.03776</cdr:x>
      <cdr:y>0.08214</cdr:y>
    </cdr:from>
    <cdr:to>
      <cdr:x>0.94381</cdr:x>
      <cdr:y>0.21937</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1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Dirección Superior</a:t>
          </a:r>
          <a:r>
            <a:rPr lang="es-CR" sz="1800">
              <a:latin typeface="Times New Roman" pitchFamily="18" charset="0"/>
              <a:cs typeface="Times New Roman" pitchFamily="18" charset="0"/>
            </a:rPr>
            <a:t>. </a:t>
          </a:r>
        </a:p>
      </cdr:txBody>
    </cdr:sp>
  </cdr:relSizeAnchor>
  <cdr:relSizeAnchor xmlns:cdr="http://schemas.openxmlformats.org/drawingml/2006/chartDrawing">
    <cdr:from>
      <cdr:x>0.68835</cdr:x>
      <cdr:y>0.52222</cdr:y>
    </cdr:from>
    <cdr:to>
      <cdr:x>0.78977</cdr:x>
      <cdr:y>0.56654</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0.91818</cdr:y>
    </cdr:from>
    <cdr:to>
      <cdr:x>0.25297</cdr:x>
      <cdr:y>0.97933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0.22525</cdr:x>
      <cdr:y>0.08857</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31750</xdr:colOff>
      <xdr:row>31</xdr:row>
      <xdr:rowOff>165100</xdr:rowOff>
    </xdr:to>
    <xdr:graphicFrame macro="">
      <xdr:nvGraphicFramePr>
        <xdr:cNvPr id="3" name="5 Gráfico">
          <a:extLst>
            <a:ext uri="{FF2B5EF4-FFF2-40B4-BE49-F238E27FC236}">
              <a16:creationId xmlns:a16="http://schemas.microsoft.com/office/drawing/2014/main" id="{00000000-0008-0000-9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0.22765</cdr:x>
      <cdr:y>0.01703</cdr:y>
    </cdr:from>
    <cdr:to>
      <cdr:x>0.80114</cdr:x>
      <cdr:y>0.07512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nSpc>
              <a:spcPts val="1800"/>
            </a:lnSpc>
          </a:pPr>
          <a:r>
            <a:rPr lang="es-CR" sz="1800">
              <a:latin typeface="Times New Roman" pitchFamily="18" charset="0"/>
              <a:cs typeface="Times New Roman" pitchFamily="18" charset="0"/>
            </a:rPr>
            <a:t>Panorama Cuantitativo Universitario 2019</a:t>
          </a:r>
        </a:p>
        <a:p xmlns:a="http://schemas.openxmlformats.org/drawingml/2006/main">
          <a:pPr>
            <a:lnSpc>
              <a:spcPts val="1800"/>
            </a:lnSpc>
          </a:pPr>
          <a:endParaRPr lang="es-CR" sz="1800">
            <a:latin typeface="Times New Roman" pitchFamily="18" charset="0"/>
            <a:cs typeface="Times New Roman" pitchFamily="18" charset="0"/>
          </a:endParaRPr>
        </a:p>
      </cdr:txBody>
    </cdr:sp>
  </cdr:relSizeAnchor>
  <cdr:relSizeAnchor xmlns:cdr="http://schemas.openxmlformats.org/drawingml/2006/chartDrawing">
    <cdr:from>
      <cdr:x>0.00946</cdr:x>
      <cdr:y>0.01195</cdr:y>
    </cdr:from>
    <cdr:to>
      <cdr:x>0.21537</cdr:x>
      <cdr:y>0.06622</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AI-1</a:t>
          </a:r>
        </a:p>
      </cdr:txBody>
    </cdr:sp>
  </cdr:relSizeAnchor>
  <cdr:relSizeAnchor xmlns:cdr="http://schemas.openxmlformats.org/drawingml/2006/chartDrawing">
    <cdr:from>
      <cdr:x>0.04052</cdr:x>
      <cdr:y>0.80772</cdr:y>
    </cdr:from>
    <cdr:to>
      <cdr:x>0.16898</cdr:x>
      <cdr:y>0.87743</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0.01796</cdr:x>
      <cdr:y>0.95599</cdr:y>
    </cdr:from>
    <cdr:to>
      <cdr:x>0.24807</cdr:x>
      <cdr:y>0.9896</cdr:y>
    </cdr:to>
    <cdr:sp macro="" textlink="">
      <cdr:nvSpPr>
        <cdr:cNvPr id="5" name="4 CuadroTexto"/>
        <cdr:cNvSpPr txBox="1"/>
      </cdr:nvSpPr>
      <cdr:spPr>
        <a:xfrm xmlns:a="http://schemas.openxmlformats.org/drawingml/2006/main">
          <a:off x="122147" y="5248669"/>
          <a:ext cx="1602171" cy="1901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AI 2</a:t>
          </a:r>
        </a:p>
      </cdr:txBody>
    </cdr:sp>
  </cdr:relSizeAnchor>
</c:userShapes>
</file>

<file path=xl/drawings/drawing14.xml><?xml version="1.0" encoding="utf-8"?>
<c:userShapes xmlns:c="http://schemas.openxmlformats.org/drawingml/2006/chart">
  <cdr:relSizeAnchor xmlns:cdr="http://schemas.openxmlformats.org/drawingml/2006/chartDrawing">
    <cdr:from>
      <cdr:x>0.26218</cdr:x>
      <cdr:y>0.02928</cdr:y>
    </cdr:from>
    <cdr:to>
      <cdr:x>0.84652</cdr:x>
      <cdr:y>0.10034</cdr:y>
    </cdr:to>
    <cdr:sp macro="" textlink="">
      <cdr:nvSpPr>
        <cdr:cNvPr id="2" name="1 CuadroTexto"/>
        <cdr:cNvSpPr txBox="1"/>
      </cdr:nvSpPr>
      <cdr:spPr>
        <a:xfrm xmlns:a="http://schemas.openxmlformats.org/drawingml/2006/main">
          <a:off x="1983466" y="147852"/>
          <a:ext cx="4398790" cy="3508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0.01272</cdr:x>
      <cdr:y>0.02179</cdr:y>
    </cdr:from>
    <cdr:to>
      <cdr:x>0.2133</cdr:x>
      <cdr:y>0.08437</cdr:y>
    </cdr:to>
    <cdr:sp macro="" textlink="">
      <cdr:nvSpPr>
        <cdr:cNvPr id="3" name="2 CuadroTexto"/>
        <cdr:cNvSpPr txBox="1"/>
      </cdr:nvSpPr>
      <cdr:spPr>
        <a:xfrm xmlns:a="http://schemas.openxmlformats.org/drawingml/2006/main">
          <a:off x="85724" y="104775"/>
          <a:ext cx="13811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RH4</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0.01475</cdr:x>
      <cdr:y>0.94791</cdr:y>
    </cdr:from>
    <cdr:to>
      <cdr:x>0.24629</cdr:x>
      <cdr:y>0.97944</cdr:y>
    </cdr:to>
    <cdr:sp macro="" textlink="">
      <cdr:nvSpPr>
        <cdr:cNvPr id="4" name="3 CuadroTexto"/>
        <cdr:cNvSpPr txBox="1"/>
      </cdr:nvSpPr>
      <cdr:spPr>
        <a:xfrm xmlns:a="http://schemas.openxmlformats.org/drawingml/2006/main">
          <a:off x="104774" y="4829175"/>
          <a:ext cx="15906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t>Fuent:</a:t>
          </a:r>
          <a:r>
            <a:rPr lang="es-CR" sz="800" baseline="0"/>
            <a:t> Cuadro </a:t>
          </a:r>
          <a:r>
            <a:rPr lang="es-CR" sz="800" baseline="0">
              <a:latin typeface="Times New Roman" pitchFamily="18" charset="0"/>
              <a:cs typeface="Times New Roman" pitchFamily="18" charset="0"/>
            </a:rPr>
            <a:t>RH6</a:t>
          </a:r>
          <a:r>
            <a:rPr lang="es-CR" sz="800" baseline="0"/>
            <a:t> y RH7</a:t>
          </a:r>
          <a:endParaRPr lang="es-CR" sz="800"/>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749300</xdr:colOff>
      <xdr:row>4</xdr:row>
      <xdr:rowOff>158750</xdr:rowOff>
    </xdr:from>
    <xdr:to>
      <xdr:col>0</xdr:col>
      <xdr:colOff>1333500</xdr:colOff>
      <xdr:row>8</xdr:row>
      <xdr:rowOff>146050</xdr:rowOff>
    </xdr:to>
    <xdr:sp macro="" textlink="">
      <xdr:nvSpPr>
        <xdr:cNvPr id="2" name="Line 1">
          <a:extLst>
            <a:ext uri="{FF2B5EF4-FFF2-40B4-BE49-F238E27FC236}">
              <a16:creationId xmlns:a16="http://schemas.microsoft.com/office/drawing/2014/main" id="{00000000-0008-0000-0E00-000002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4</xdr:row>
      <xdr:rowOff>158750</xdr:rowOff>
    </xdr:from>
    <xdr:to>
      <xdr:col>0</xdr:col>
      <xdr:colOff>1333500</xdr:colOff>
      <xdr:row>8</xdr:row>
      <xdr:rowOff>146050</xdr:rowOff>
    </xdr:to>
    <xdr:sp macro="" textlink="">
      <xdr:nvSpPr>
        <xdr:cNvPr id="3" name="Line 1">
          <a:extLst>
            <a:ext uri="{FF2B5EF4-FFF2-40B4-BE49-F238E27FC236}">
              <a16:creationId xmlns:a16="http://schemas.microsoft.com/office/drawing/2014/main" id="{00000000-0008-0000-0E00-000003000000}"/>
            </a:ext>
          </a:extLst>
        </xdr:cNvPr>
        <xdr:cNvSpPr>
          <a:spLocks noChangeShapeType="1"/>
        </xdr:cNvSpPr>
      </xdr:nvSpPr>
      <xdr:spPr bwMode="auto">
        <a:xfrm>
          <a:off x="749300" y="755650"/>
          <a:ext cx="584200" cy="654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5</xdr:row>
      <xdr:rowOff>12700</xdr:rowOff>
    </xdr:from>
    <xdr:to>
      <xdr:col>0</xdr:col>
      <xdr:colOff>1314450</xdr:colOff>
      <xdr:row>9</xdr:row>
      <xdr:rowOff>0</xdr:rowOff>
    </xdr:to>
    <xdr:sp macro="" textlink="">
      <xdr:nvSpPr>
        <xdr:cNvPr id="2" name="Line 9">
          <a:extLst>
            <a:ext uri="{FF2B5EF4-FFF2-40B4-BE49-F238E27FC236}">
              <a16:creationId xmlns:a16="http://schemas.microsoft.com/office/drawing/2014/main" id="{00000000-0008-0000-0F00-000002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12700</xdr:rowOff>
    </xdr:from>
    <xdr:to>
      <xdr:col>0</xdr:col>
      <xdr:colOff>1314450</xdr:colOff>
      <xdr:row>9</xdr:row>
      <xdr:rowOff>0</xdr:rowOff>
    </xdr:to>
    <xdr:sp macro="" textlink="">
      <xdr:nvSpPr>
        <xdr:cNvPr id="3" name="Line 9">
          <a:extLst>
            <a:ext uri="{FF2B5EF4-FFF2-40B4-BE49-F238E27FC236}">
              <a16:creationId xmlns:a16="http://schemas.microsoft.com/office/drawing/2014/main" id="{00000000-0008-0000-0F00-000003000000}"/>
            </a:ext>
          </a:extLst>
        </xdr:cNvPr>
        <xdr:cNvSpPr>
          <a:spLocks noChangeShapeType="1"/>
        </xdr:cNvSpPr>
      </xdr:nvSpPr>
      <xdr:spPr bwMode="auto">
        <a:xfrm>
          <a:off x="666750" y="742950"/>
          <a:ext cx="6477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438150</xdr:colOff>
      <xdr:row>33</xdr:row>
      <xdr:rowOff>114300</xdr:rowOff>
    </xdr:to>
    <xdr:graphicFrame macro="">
      <xdr:nvGraphicFramePr>
        <xdr:cNvPr id="3" name="5 Gráfico">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0.23159</cdr:x>
      <cdr:y>0.01826</cdr:y>
    </cdr:from>
    <cdr:to>
      <cdr:x>0.80237</cdr:x>
      <cdr:y>0.08371</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0.0152</cdr:x>
      <cdr:y>0.02434</cdr:y>
    </cdr:from>
    <cdr:to>
      <cdr:x>0.2248</cdr:x>
      <cdr:y>0.08573</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RH5</a:t>
          </a:r>
        </a:p>
      </cdr:txBody>
    </cdr:sp>
  </cdr:relSizeAnchor>
  <cdr:relSizeAnchor xmlns:cdr="http://schemas.openxmlformats.org/drawingml/2006/chartDrawing">
    <cdr:from>
      <cdr:x>0.0415</cdr:x>
      <cdr:y>0.80796</cdr:y>
    </cdr:from>
    <cdr:to>
      <cdr:x>0.17317</cdr:x>
      <cdr:y>0.87498</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0.01654</cdr:x>
      <cdr:y>0.9522</cdr:y>
    </cdr:from>
    <cdr:to>
      <cdr:x>0.2506</cdr:x>
      <cdr:y>0.98753</cdr:y>
    </cdr:to>
    <cdr:sp macro="" textlink="">
      <cdr:nvSpPr>
        <cdr:cNvPr id="5" name="4 CuadroTexto"/>
        <cdr:cNvSpPr txBox="1"/>
      </cdr:nvSpPr>
      <cdr:spPr>
        <a:xfrm xmlns:a="http://schemas.openxmlformats.org/drawingml/2006/main">
          <a:off x="115754" y="5194199"/>
          <a:ext cx="1650856"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RH8</a:t>
          </a:r>
          <a:r>
            <a:rPr lang="es-CR" sz="800" baseline="0">
              <a:latin typeface="Times New Roman" pitchFamily="18" charset="0"/>
              <a:cs typeface="Times New Roman" pitchFamily="18" charset="0"/>
            </a:rPr>
            <a:t> y RH9</a:t>
          </a:r>
          <a:endParaRPr lang="es-CR" sz="800">
            <a:latin typeface="Times New Roman" pitchFamily="18" charset="0"/>
            <a:cs typeface="Times New Roman"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100-000002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100-000003000000}"/>
            </a:ext>
          </a:extLst>
        </xdr:cNvPr>
        <xdr:cNvSpPr>
          <a:spLocks noChangeShapeType="1"/>
        </xdr:cNvSpPr>
      </xdr:nvSpPr>
      <xdr:spPr bwMode="auto">
        <a:xfrm>
          <a:off x="666750" y="749300"/>
          <a:ext cx="6477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c:userShapes xmlns:c="http://schemas.openxmlformats.org/drawingml/2006/chart">
  <cdr:relSizeAnchor xmlns:cdr="http://schemas.openxmlformats.org/drawingml/2006/chartDrawing">
    <cdr:from>
      <cdr:x>0</cdr:x>
      <cdr:y>0.12016</cdr:y>
    </cdr:from>
    <cdr:to>
      <cdr:x>0.99975</cdr:x>
      <cdr:y>0.20937</cdr:y>
    </cdr:to>
    <cdr:sp macro="" textlink="">
      <cdr:nvSpPr>
        <cdr:cNvPr id="2" name="1 CuadroTexto"/>
        <cdr:cNvSpPr txBox="1"/>
      </cdr:nvSpPr>
      <cdr:spPr>
        <a:xfrm xmlns:a="http://schemas.openxmlformats.org/drawingml/2006/main">
          <a:off x="0" y="535949"/>
          <a:ext cx="6191250" cy="3975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la UCR. </a:t>
          </a:r>
        </a:p>
      </cdr:txBody>
    </cdr:sp>
  </cdr:relSizeAnchor>
  <cdr:relSizeAnchor xmlns:cdr="http://schemas.openxmlformats.org/drawingml/2006/chartDrawing">
    <cdr:from>
      <cdr:x>0.68958</cdr:x>
      <cdr:y>0.52222</cdr:y>
    </cdr:from>
    <cdr:to>
      <cdr:x>0.791</cdr:x>
      <cdr:y>0.56679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0.9155</cdr:y>
    </cdr:from>
    <cdr:to>
      <cdr:x>0.25125</cdr:x>
      <cdr:y>0.9759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RH 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0.24105</cdr:x>
      <cdr:y>0.10516</cdr:y>
    </cdr:to>
    <cdr:sp macro="" textlink="">
      <cdr:nvSpPr>
        <cdr:cNvPr id="6" name="5 CuadroTexto"/>
        <cdr:cNvSpPr txBox="1"/>
      </cdr:nvSpPr>
      <cdr:spPr>
        <a:xfrm xmlns:a="http://schemas.openxmlformats.org/drawingml/2006/main">
          <a:off x="163635" y="182782"/>
          <a:ext cx="1331790" cy="2872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RH1</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781050</xdr:colOff>
      <xdr:row>4</xdr:row>
      <xdr:rowOff>114300</xdr:rowOff>
    </xdr:from>
    <xdr:to>
      <xdr:col>0</xdr:col>
      <xdr:colOff>1428750</xdr:colOff>
      <xdr:row>8</xdr:row>
      <xdr:rowOff>158750</xdr:rowOff>
    </xdr:to>
    <xdr:sp macro="" textlink="">
      <xdr:nvSpPr>
        <xdr:cNvPr id="2" name="Line 1">
          <a:extLst>
            <a:ext uri="{FF2B5EF4-FFF2-40B4-BE49-F238E27FC236}">
              <a16:creationId xmlns:a16="http://schemas.microsoft.com/office/drawing/2014/main" id="{00000000-0008-0000-1200-000002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781050</xdr:colOff>
      <xdr:row>4</xdr:row>
      <xdr:rowOff>114300</xdr:rowOff>
    </xdr:from>
    <xdr:to>
      <xdr:col>0</xdr:col>
      <xdr:colOff>1428750</xdr:colOff>
      <xdr:row>8</xdr:row>
      <xdr:rowOff>158750</xdr:rowOff>
    </xdr:to>
    <xdr:sp macro="" textlink="">
      <xdr:nvSpPr>
        <xdr:cNvPr id="3" name="Line 1">
          <a:extLst>
            <a:ext uri="{FF2B5EF4-FFF2-40B4-BE49-F238E27FC236}">
              <a16:creationId xmlns:a16="http://schemas.microsoft.com/office/drawing/2014/main" id="{00000000-0008-0000-1200-000003000000}"/>
            </a:ext>
          </a:extLst>
        </xdr:cNvPr>
        <xdr:cNvSpPr>
          <a:spLocks noChangeShapeType="1"/>
        </xdr:cNvSpPr>
      </xdr:nvSpPr>
      <xdr:spPr bwMode="auto">
        <a:xfrm>
          <a:off x="781050" y="717550"/>
          <a:ext cx="647700" cy="679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0</xdr:row>
      <xdr:rowOff>12700</xdr:rowOff>
    </xdr:from>
    <xdr:to>
      <xdr:col>9</xdr:col>
      <xdr:colOff>736600</xdr:colOff>
      <xdr:row>33</xdr:row>
      <xdr:rowOff>139700</xdr:rowOff>
    </xdr:to>
    <xdr:graphicFrame macro="">
      <xdr:nvGraphicFramePr>
        <xdr:cNvPr id="4" name="4 Gráfico">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0.15124</cdr:x>
      <cdr:y>0.07451</cdr:y>
    </cdr:from>
    <cdr:to>
      <cdr:x>0.88714</cdr:x>
      <cdr:y>0.20895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relativa del Personal Docente en Régimen </a:t>
          </a:r>
        </a:p>
        <a:p xmlns:a="http://schemas.openxmlformats.org/drawingml/2006/main">
          <a:pPr algn="ctr"/>
          <a:r>
            <a:rPr lang="es-CR" sz="1800">
              <a:latin typeface="Times New Roman" pitchFamily="18" charset="0"/>
              <a:cs typeface="Times New Roman" pitchFamily="18" charset="0"/>
            </a:rPr>
            <a:t>Académico, 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RH6</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10 y RH 11</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400-000002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400-000003000000}"/>
            </a:ext>
          </a:extLst>
        </xdr:cNvPr>
        <xdr:cNvSpPr>
          <a:spLocks noChangeShapeType="1"/>
        </xdr:cNvSpPr>
      </xdr:nvSpPr>
      <xdr:spPr bwMode="auto">
        <a:xfrm>
          <a:off x="666750" y="749300"/>
          <a:ext cx="64770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666750</xdr:colOff>
      <xdr:row>5</xdr:row>
      <xdr:rowOff>19050</xdr:rowOff>
    </xdr:from>
    <xdr:to>
      <xdr:col>0</xdr:col>
      <xdr:colOff>1314450</xdr:colOff>
      <xdr:row>9</xdr:row>
      <xdr:rowOff>6350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19050</xdr:rowOff>
    </xdr:from>
    <xdr:to>
      <xdr:col>0</xdr:col>
      <xdr:colOff>1314450</xdr:colOff>
      <xdr:row>9</xdr:row>
      <xdr:rowOff>6350</xdr:rowOff>
    </xdr:to>
    <xdr:sp macro="" textlink="">
      <xdr:nvSpPr>
        <xdr:cNvPr id="3" name="Line 1">
          <a:extLst>
            <a:ext uri="{FF2B5EF4-FFF2-40B4-BE49-F238E27FC236}">
              <a16:creationId xmlns:a16="http://schemas.microsoft.com/office/drawing/2014/main" id="{00000000-0008-0000-1500-000003000000}"/>
            </a:ext>
          </a:extLst>
        </xdr:cNvPr>
        <xdr:cNvSpPr>
          <a:spLocks noChangeShapeType="1"/>
        </xdr:cNvSpPr>
      </xdr:nvSpPr>
      <xdr:spPr bwMode="auto">
        <a:xfrm>
          <a:off x="666750" y="749300"/>
          <a:ext cx="647700" cy="635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25400</xdr:rowOff>
    </xdr:from>
    <xdr:to>
      <xdr:col>9</xdr:col>
      <xdr:colOff>723900</xdr:colOff>
      <xdr:row>34</xdr:row>
      <xdr:rowOff>6350</xdr:rowOff>
    </xdr:to>
    <xdr:graphicFrame macro="">
      <xdr:nvGraphicFramePr>
        <xdr:cNvPr id="3" name="4 Gráfico">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0.15198</cdr:x>
      <cdr:y>0.07451</cdr:y>
    </cdr:from>
    <cdr:to>
      <cdr:x>0.88714</cdr:x>
      <cdr:y>0.19992</cdr:y>
    </cdr:to>
    <cdr:sp macro="" textlink="">
      <cdr:nvSpPr>
        <cdr:cNvPr id="2" name="1 CuadroTexto"/>
        <cdr:cNvSpPr txBox="1"/>
      </cdr:nvSpPr>
      <cdr:spPr>
        <a:xfrm xmlns:a="http://schemas.openxmlformats.org/drawingml/2006/main">
          <a:off x="1110693" y="411480"/>
          <a:ext cx="5362014" cy="69342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Distribución absoluta del Personal Docente Interino, </a:t>
          </a:r>
        </a:p>
        <a:p xmlns:a="http://schemas.openxmlformats.org/drawingml/2006/main">
          <a:pPr algn="ctr"/>
          <a:r>
            <a:rPr lang="es-CR" sz="1800">
              <a:latin typeface="Times New Roman" pitchFamily="18" charset="0"/>
              <a:cs typeface="Times New Roman" pitchFamily="18" charset="0"/>
            </a:rPr>
            <a:t>según jornada  I ciclo y II ciclo</a:t>
          </a:r>
        </a:p>
      </cdr:txBody>
    </cdr:sp>
  </cdr:relSizeAnchor>
  <cdr:relSizeAnchor xmlns:cdr="http://schemas.openxmlformats.org/drawingml/2006/chartDrawing">
    <cdr:from>
      <cdr:x>0.23622</cdr:x>
      <cdr:y>0.02292</cdr:y>
    </cdr:from>
    <cdr:to>
      <cdr:x>0.80577</cdr:x>
      <cdr:y>0.11667</cdr:y>
    </cdr:to>
    <cdr:sp macro="" textlink="">
      <cdr:nvSpPr>
        <cdr:cNvPr id="3" name="2 CuadroTexto"/>
        <cdr:cNvSpPr txBox="1"/>
      </cdr:nvSpPr>
      <cdr:spPr>
        <a:xfrm xmlns:a="http://schemas.openxmlformats.org/drawingml/2006/main">
          <a:off x="1714500" y="104775"/>
          <a:ext cx="4133850"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RH7</a:t>
          </a:r>
        </a:p>
      </cdr:txBody>
    </cdr:sp>
  </cdr:relSizeAnchor>
  <cdr:relSizeAnchor xmlns:cdr="http://schemas.openxmlformats.org/drawingml/2006/chartDrawing">
    <cdr:from>
      <cdr:x>0.01837</cdr:x>
      <cdr:y>0.92917</cdr:y>
    </cdr:from>
    <cdr:to>
      <cdr:x>0.21522</cdr:x>
      <cdr:y>0.98542</cdr:y>
    </cdr:to>
    <cdr:sp macro="" textlink="">
      <cdr:nvSpPr>
        <cdr:cNvPr id="5" name="4 CuadroTexto"/>
        <cdr:cNvSpPr txBox="1"/>
      </cdr:nvSpPr>
      <cdr:spPr>
        <a:xfrm xmlns:a="http://schemas.openxmlformats.org/drawingml/2006/main">
          <a:off x="133350" y="4248150"/>
          <a:ext cx="14287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RH 12 y RH 13</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660400</xdr:colOff>
      <xdr:row>7</xdr:row>
      <xdr:rowOff>0</xdr:rowOff>
    </xdr:from>
    <xdr:to>
      <xdr:col>0</xdr:col>
      <xdr:colOff>1117600</xdr:colOff>
      <xdr:row>11</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660400</xdr:colOff>
      <xdr:row>7</xdr:row>
      <xdr:rowOff>0</xdr:rowOff>
    </xdr:from>
    <xdr:to>
      <xdr:col>0</xdr:col>
      <xdr:colOff>1117600</xdr:colOff>
      <xdr:row>11</xdr:row>
      <xdr:rowOff>0</xdr:rowOff>
    </xdr:to>
    <xdr:sp macro="" textlink="">
      <xdr:nvSpPr>
        <xdr:cNvPr id="3" name="Line 1">
          <a:extLst>
            <a:ext uri="{FF2B5EF4-FFF2-40B4-BE49-F238E27FC236}">
              <a16:creationId xmlns:a16="http://schemas.microsoft.com/office/drawing/2014/main" id="{00000000-0008-0000-1800-000003000000}"/>
            </a:ext>
          </a:extLst>
        </xdr:cNvPr>
        <xdr:cNvSpPr>
          <a:spLocks noChangeShapeType="1"/>
        </xdr:cNvSpPr>
      </xdr:nvSpPr>
      <xdr:spPr bwMode="auto">
        <a:xfrm>
          <a:off x="660400" y="1117600"/>
          <a:ext cx="45720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711200</xdr:colOff>
      <xdr:row>33</xdr:row>
      <xdr:rowOff>19050</xdr:rowOff>
    </xdr:to>
    <xdr:graphicFrame macro="">
      <xdr:nvGraphicFramePr>
        <xdr:cNvPr id="3" name="9 Gráfico">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0.02079</cdr:x>
      <cdr:y>0.93043</cdr:y>
    </cdr:from>
    <cdr:to>
      <cdr:x>0.2447</cdr:x>
      <cdr:y>0.98255</cdr:y>
    </cdr:to>
    <cdr:sp macro="" textlink="">
      <cdr:nvSpPr>
        <cdr:cNvPr id="2" name="1 CuadroTexto"/>
        <cdr:cNvSpPr txBox="1"/>
      </cdr:nvSpPr>
      <cdr:spPr>
        <a:xfrm xmlns:a="http://schemas.openxmlformats.org/drawingml/2006/main">
          <a:off x="142875" y="5000624"/>
          <a:ext cx="15240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a:t>
          </a:r>
          <a:r>
            <a:rPr lang="es-CR" sz="800" baseline="0">
              <a:latin typeface="Times New Roman" pitchFamily="18" charset="0"/>
              <a:cs typeface="Times New Roman" pitchFamily="18" charset="0"/>
            </a:rPr>
            <a:t> Cuadro  RH 15</a:t>
          </a:r>
          <a:endParaRPr lang="es-CR" sz="800">
            <a:latin typeface="Times New Roman" pitchFamily="18" charset="0"/>
            <a:cs typeface="Times New Roman" pitchFamily="18" charset="0"/>
          </a:endParaRPr>
        </a:p>
      </cdr:txBody>
    </cdr:sp>
  </cdr:relSizeAnchor>
  <cdr:relSizeAnchor xmlns:cdr="http://schemas.openxmlformats.org/drawingml/2006/chartDrawing">
    <cdr:from>
      <cdr:x>0.21665</cdr:x>
      <cdr:y>0.06596</cdr:y>
    </cdr:from>
    <cdr:to>
      <cdr:x>0.35104</cdr:x>
      <cdr:y>0.26602</cdr:y>
    </cdr:to>
    <cdr:sp macro="" textlink="">
      <cdr:nvSpPr>
        <cdr:cNvPr id="3" name="2 CuadroTexto"/>
        <cdr:cNvSpPr txBox="1"/>
      </cdr:nvSpPr>
      <cdr:spPr>
        <a:xfrm xmlns:a="http://schemas.openxmlformats.org/drawingml/2006/main">
          <a:off x="1476375" y="3047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0.0292</cdr:x>
      <cdr:y>0.07451</cdr:y>
    </cdr:from>
    <cdr:to>
      <cdr:x>0.16311</cdr:x>
      <cdr:y>0.14015</cdr:y>
    </cdr:to>
    <cdr:sp macro="" textlink="">
      <cdr:nvSpPr>
        <cdr:cNvPr id="4" name="3 CuadroTexto"/>
        <cdr:cNvSpPr txBox="1"/>
      </cdr:nvSpPr>
      <cdr:spPr>
        <a:xfrm xmlns:a="http://schemas.openxmlformats.org/drawingml/2006/main">
          <a:off x="200025" y="342900"/>
          <a:ext cx="9144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0.23744</cdr:x>
      <cdr:y>0.02345</cdr:y>
    </cdr:from>
    <cdr:to>
      <cdr:x>0.83797</cdr:x>
      <cdr:y>0.08935</cdr:y>
    </cdr:to>
    <cdr:sp macro="" textlink="">
      <cdr:nvSpPr>
        <cdr:cNvPr id="5" name="4 CuadroTexto"/>
        <cdr:cNvSpPr txBox="1"/>
      </cdr:nvSpPr>
      <cdr:spPr>
        <a:xfrm xmlns:a="http://schemas.openxmlformats.org/drawingml/2006/main">
          <a:off x="1619249" y="114300"/>
          <a:ext cx="4076701"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 Universitario  2019</a:t>
          </a:r>
        </a:p>
      </cdr:txBody>
    </cdr:sp>
  </cdr:relSizeAnchor>
  <cdr:relSizeAnchor xmlns:cdr="http://schemas.openxmlformats.org/drawingml/2006/chartDrawing">
    <cdr:from>
      <cdr:x>0.00561</cdr:x>
      <cdr:y>0.01514</cdr:y>
    </cdr:from>
    <cdr:to>
      <cdr:x>0.21219</cdr:x>
      <cdr:y>0.08935</cdr:y>
    </cdr:to>
    <cdr:sp macro="" textlink="">
      <cdr:nvSpPr>
        <cdr:cNvPr id="6" name="5 CuadroTexto"/>
        <cdr:cNvSpPr txBox="1"/>
      </cdr:nvSpPr>
      <cdr:spPr>
        <a:xfrm xmlns:a="http://schemas.openxmlformats.org/drawingml/2006/main">
          <a:off x="38099" y="76200"/>
          <a:ext cx="1409701"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 8</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4</xdr:row>
      <xdr:rowOff>114300</xdr:rowOff>
    </xdr:from>
    <xdr:to>
      <xdr:col>0</xdr:col>
      <xdr:colOff>1098550</xdr:colOff>
      <xdr:row>10</xdr:row>
      <xdr:rowOff>0</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4</xdr:row>
      <xdr:rowOff>114300</xdr:rowOff>
    </xdr:from>
    <xdr:to>
      <xdr:col>0</xdr:col>
      <xdr:colOff>1098550</xdr:colOff>
      <xdr:row>10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647700" y="736600"/>
          <a:ext cx="450850" cy="850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666750</xdr:colOff>
      <xdr:row>5</xdr:row>
      <xdr:rowOff>0</xdr:rowOff>
    </xdr:from>
    <xdr:to>
      <xdr:col>1</xdr:col>
      <xdr:colOff>1098550</xdr:colOff>
      <xdr:row>8</xdr:row>
      <xdr:rowOff>165100</xdr:rowOff>
    </xdr:to>
    <xdr:sp macro="" textlink="">
      <xdr:nvSpPr>
        <xdr:cNvPr id="2" name="Line 3">
          <a:extLst>
            <a:ext uri="{FF2B5EF4-FFF2-40B4-BE49-F238E27FC236}">
              <a16:creationId xmlns:a16="http://schemas.microsoft.com/office/drawing/2014/main" id="{00000000-0008-0000-1B00-000002000000}"/>
            </a:ext>
          </a:extLst>
        </xdr:cNvPr>
        <xdr:cNvSpPr>
          <a:spLocks noChangeShapeType="1"/>
        </xdr:cNvSpPr>
      </xdr:nvSpPr>
      <xdr:spPr bwMode="auto">
        <a:xfrm>
          <a:off x="1187450" y="641350"/>
          <a:ext cx="431800" cy="501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90</xdr:row>
      <xdr:rowOff>0</xdr:rowOff>
    </xdr:from>
    <xdr:to>
      <xdr:col>1</xdr:col>
      <xdr:colOff>1098550</xdr:colOff>
      <xdr:row>93</xdr:row>
      <xdr:rowOff>165100</xdr:rowOff>
    </xdr:to>
    <xdr:sp macro="" textlink="">
      <xdr:nvSpPr>
        <xdr:cNvPr id="3" name="Line 3">
          <a:extLst>
            <a:ext uri="{FF2B5EF4-FFF2-40B4-BE49-F238E27FC236}">
              <a16:creationId xmlns:a16="http://schemas.microsoft.com/office/drawing/2014/main" id="{00000000-0008-0000-1B00-000003000000}"/>
            </a:ext>
          </a:extLst>
        </xdr:cNvPr>
        <xdr:cNvSpPr>
          <a:spLocks noChangeShapeType="1"/>
        </xdr:cNvSpPr>
      </xdr:nvSpPr>
      <xdr:spPr bwMode="auto">
        <a:xfrm>
          <a:off x="1187450" y="118808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176</xdr:row>
      <xdr:rowOff>0</xdr:rowOff>
    </xdr:from>
    <xdr:to>
      <xdr:col>1</xdr:col>
      <xdr:colOff>1098550</xdr:colOff>
      <xdr:row>179</xdr:row>
      <xdr:rowOff>165100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1187450" y="22917150"/>
          <a:ext cx="431800" cy="558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666750</xdr:colOff>
      <xdr:row>263</xdr:row>
      <xdr:rowOff>0</xdr:rowOff>
    </xdr:from>
    <xdr:to>
      <xdr:col>1</xdr:col>
      <xdr:colOff>1098550</xdr:colOff>
      <xdr:row>266</xdr:row>
      <xdr:rowOff>158750</xdr:rowOff>
    </xdr:to>
    <xdr:sp macro="" textlink="">
      <xdr:nvSpPr>
        <xdr:cNvPr id="5" name="Line 3">
          <a:extLst>
            <a:ext uri="{FF2B5EF4-FFF2-40B4-BE49-F238E27FC236}">
              <a16:creationId xmlns:a16="http://schemas.microsoft.com/office/drawing/2014/main" id="{00000000-0008-0000-1B00-000005000000}"/>
            </a:ext>
          </a:extLst>
        </xdr:cNvPr>
        <xdr:cNvSpPr>
          <a:spLocks noChangeShapeType="1"/>
        </xdr:cNvSpPr>
      </xdr:nvSpPr>
      <xdr:spPr bwMode="auto">
        <a:xfrm>
          <a:off x="1187450" y="33477200"/>
          <a:ext cx="43180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596900</xdr:colOff>
      <xdr:row>29</xdr:row>
      <xdr:rowOff>82550</xdr:rowOff>
    </xdr:to>
    <xdr:graphicFrame macro="">
      <xdr:nvGraphicFramePr>
        <xdr:cNvPr id="4" name="2 Gráfico">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0.18966</cdr:x>
      <cdr:y>0.06472</cdr:y>
    </cdr:from>
    <cdr:to>
      <cdr:x>0.92246</cdr:x>
      <cdr:y>0.19966</cdr:y>
    </cdr:to>
    <cdr:sp macro="" textlink="">
      <cdr:nvSpPr>
        <cdr:cNvPr id="2" name="1 CuadroTexto"/>
        <cdr:cNvSpPr txBox="1"/>
      </cdr:nvSpPr>
      <cdr:spPr>
        <a:xfrm xmlns:a="http://schemas.openxmlformats.org/drawingml/2006/main">
          <a:off x="1546370" y="358154"/>
          <a:ext cx="5974797" cy="74674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Incremento de los Ingresos Reales de la Universidad</a:t>
          </a:r>
        </a:p>
        <a:p xmlns:a="http://schemas.openxmlformats.org/drawingml/2006/main">
          <a:pPr algn="ctr"/>
          <a:r>
            <a:rPr lang="es-CR" sz="1800">
              <a:latin typeface="Times New Roman" pitchFamily="18" charset="0"/>
              <a:cs typeface="Times New Roman" pitchFamily="18" charset="0"/>
            </a:rPr>
            <a:t>de Costa Rica.  2015 - 2098</a:t>
          </a:r>
        </a:p>
      </cdr:txBody>
    </cdr:sp>
  </cdr:relSizeAnchor>
  <cdr:relSizeAnchor xmlns:cdr="http://schemas.openxmlformats.org/drawingml/2006/chartDrawing">
    <cdr:from>
      <cdr:x>0.02336</cdr:x>
      <cdr:y>0.93115</cdr:y>
    </cdr:from>
    <cdr:to>
      <cdr:x>0.16355</cdr:x>
      <cdr:y>0.98107</cdr:y>
    </cdr:to>
    <cdr:sp macro="" textlink="">
      <cdr:nvSpPr>
        <cdr:cNvPr id="3" name="2 CuadroTexto"/>
        <cdr:cNvSpPr txBox="1"/>
      </cdr:nvSpPr>
      <cdr:spPr>
        <a:xfrm xmlns:a="http://schemas.openxmlformats.org/drawingml/2006/main">
          <a:off x="190463" y="5153017"/>
          <a:ext cx="1143026" cy="2762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900">
              <a:latin typeface="Times New Roman" pitchFamily="18" charset="0"/>
              <a:cs typeface="Times New Roman" pitchFamily="18" charset="0"/>
            </a:rPr>
            <a:t>Fuente: Cuadro RF1</a:t>
          </a:r>
        </a:p>
      </cdr:txBody>
    </cdr:sp>
  </cdr:relSizeAnchor>
  <cdr:relSizeAnchor xmlns:cdr="http://schemas.openxmlformats.org/drawingml/2006/chartDrawing">
    <cdr:from>
      <cdr:x>0.30958</cdr:x>
      <cdr:y>0.01205</cdr:y>
    </cdr:from>
    <cdr:to>
      <cdr:x>0.8271</cdr:x>
      <cdr:y>0.07229</cdr:y>
    </cdr:to>
    <cdr:sp macro="" textlink="">
      <cdr:nvSpPr>
        <cdr:cNvPr id="4" name="3 CuadroTexto"/>
        <cdr:cNvSpPr txBox="1"/>
      </cdr:nvSpPr>
      <cdr:spPr>
        <a:xfrm xmlns:a="http://schemas.openxmlformats.org/drawingml/2006/main">
          <a:off x="2524124" y="66675"/>
          <a:ext cx="4219576" cy="3333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a:t>
          </a:r>
          <a:r>
            <a:rPr lang="es-CR" sz="1800" baseline="0">
              <a:latin typeface="Times New Roman" pitchFamily="18" charset="0"/>
              <a:cs typeface="Times New Roman" pitchFamily="18" charset="0"/>
            </a:rPr>
            <a:t>  Cuantitativo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0.02609</cdr:x>
      <cdr:y>0.02123</cdr:y>
    </cdr:from>
    <cdr:to>
      <cdr:x>0.20561</cdr:x>
      <cdr:y>0.08147</cdr:y>
    </cdr:to>
    <cdr:sp macro="" textlink="">
      <cdr:nvSpPr>
        <cdr:cNvPr id="5" name="1 CuadroTexto"/>
        <cdr:cNvSpPr txBox="1"/>
      </cdr:nvSpPr>
      <cdr:spPr>
        <a:xfrm xmlns:a="http://schemas.openxmlformats.org/drawingml/2006/main">
          <a:off x="212725" y="117475"/>
          <a:ext cx="1463675" cy="3333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R" sz="1800">
              <a:latin typeface="Times New Roman" pitchFamily="18" charset="0"/>
              <a:cs typeface="Times New Roman" pitchFamily="18" charset="0"/>
            </a:rPr>
            <a:t>Gráfico</a:t>
          </a:r>
          <a:r>
            <a:rPr lang="es-CR" sz="1800" baseline="0">
              <a:latin typeface="Times New Roman" pitchFamily="18" charset="0"/>
              <a:cs typeface="Times New Roman" pitchFamily="18" charset="0"/>
            </a:rPr>
            <a:t> RF1</a:t>
          </a:r>
          <a:endParaRPr lang="es-CR" sz="1800">
            <a:latin typeface="Times New Roman" pitchFamily="18" charset="0"/>
            <a:cs typeface="Times New Roman" pitchFamily="18"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6350</xdr:colOff>
      <xdr:row>0</xdr:row>
      <xdr:rowOff>25400</xdr:rowOff>
    </xdr:from>
    <xdr:to>
      <xdr:col>8</xdr:col>
      <xdr:colOff>704850</xdr:colOff>
      <xdr:row>31</xdr:row>
      <xdr:rowOff>12700</xdr:rowOff>
    </xdr:to>
    <xdr:graphicFrame macro="">
      <xdr:nvGraphicFramePr>
        <xdr:cNvPr id="3" name="2 Gráfico">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0.00982</cdr:x>
      <cdr:y>0.08803</cdr:y>
    </cdr:from>
    <cdr:to>
      <cdr:x>0.9986</cdr:x>
      <cdr:y>0.27124</cdr:y>
    </cdr:to>
    <cdr:sp macro="" textlink="">
      <cdr:nvSpPr>
        <cdr:cNvPr id="2" name="1 CuadroTexto"/>
        <cdr:cNvSpPr txBox="1"/>
      </cdr:nvSpPr>
      <cdr:spPr>
        <a:xfrm xmlns:a="http://schemas.openxmlformats.org/drawingml/2006/main">
          <a:off x="66675" y="437374"/>
          <a:ext cx="6715125" cy="9056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Docencia </a:t>
          </a:r>
        </a:p>
      </cdr:txBody>
    </cdr:sp>
  </cdr:relSizeAnchor>
  <cdr:relSizeAnchor xmlns:cdr="http://schemas.openxmlformats.org/drawingml/2006/chartDrawing">
    <cdr:from>
      <cdr:x>0.68737</cdr:x>
      <cdr:y>0.51683</cdr:y>
    </cdr:from>
    <cdr:to>
      <cdr:x>0.78878</cdr:x>
      <cdr:y>0.56115</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0.91599</cdr:y>
    </cdr:from>
    <cdr:to>
      <cdr:x>0.25224</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0.01499</cdr:x>
      <cdr:y>0.02125</cdr:y>
    </cdr:from>
    <cdr:to>
      <cdr:x>0.23035</cdr:x>
      <cdr:y>0.0852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D1</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714375</xdr:colOff>
      <xdr:row>5</xdr:row>
      <xdr:rowOff>0</xdr:rowOff>
    </xdr:from>
    <xdr:to>
      <xdr:col>0</xdr:col>
      <xdr:colOff>1247775</xdr:colOff>
      <xdr:row>8</xdr:row>
      <xdr:rowOff>114300</xdr:rowOff>
    </xdr:to>
    <xdr:sp macro="" textlink="">
      <xdr:nvSpPr>
        <xdr:cNvPr id="2" name="Line 1">
          <a:extLst>
            <a:ext uri="{FF2B5EF4-FFF2-40B4-BE49-F238E27FC236}">
              <a16:creationId xmlns:a16="http://schemas.microsoft.com/office/drawing/2014/main" id="{00000000-0008-0000-2300-000002000000}"/>
            </a:ext>
          </a:extLst>
        </xdr:cNvPr>
        <xdr:cNvSpPr>
          <a:spLocks noChangeShapeType="1"/>
        </xdr:cNvSpPr>
      </xdr:nvSpPr>
      <xdr:spPr bwMode="auto">
        <a:xfrm>
          <a:off x="714375" y="723900"/>
          <a:ext cx="533400" cy="600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57150</xdr:colOff>
      <xdr:row>31</xdr:row>
      <xdr:rowOff>101600</xdr:rowOff>
    </xdr:to>
    <xdr:graphicFrame macro="">
      <xdr:nvGraphicFramePr>
        <xdr:cNvPr id="3" name="2 Gráfico">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cdr:x>
      <cdr:y>0.08693</cdr:y>
    </cdr:from>
    <cdr:to>
      <cdr:x>1</cdr:x>
      <cdr:y>0.22925</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relativa</a:t>
          </a:r>
          <a:r>
            <a:rPr lang="es-CR" sz="1800">
              <a:latin typeface="Times New Roman" pitchFamily="18" charset="0"/>
              <a:cs typeface="Times New Roman" pitchFamily="18" charset="0"/>
            </a:rPr>
            <a:t> de las titulaciones,</a:t>
          </a:r>
        </a:p>
        <a:p xmlns:a="http://schemas.openxmlformats.org/drawingml/2006/main">
          <a:pPr algn="ctr">
            <a:lnSpc>
              <a:spcPts val="1700"/>
            </a:lnSpc>
          </a:pPr>
          <a:r>
            <a:rPr lang="es-CR" sz="1800">
              <a:latin typeface="Times New Roman" pitchFamily="18" charset="0"/>
              <a:cs typeface="Times New Roman" pitchFamily="18" charset="0"/>
            </a:rPr>
            <a:t>             en Pregrado y Grado de la U.C.R. </a:t>
          </a:r>
        </a:p>
      </cdr:txBody>
    </cdr:sp>
  </cdr:relSizeAnchor>
  <cdr:relSizeAnchor xmlns:cdr="http://schemas.openxmlformats.org/drawingml/2006/chartDrawing">
    <cdr:from>
      <cdr:x>0.68786</cdr:x>
      <cdr:y>0.52005</cdr:y>
    </cdr:from>
    <cdr:to>
      <cdr:x>0.78952</cdr:x>
      <cdr:y>0.56512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0.91137</cdr:y>
    </cdr:from>
    <cdr:to>
      <cdr:x>0.25174</cdr:x>
      <cdr:y>0.97518</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D2</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0.02643</cdr:x>
      <cdr:y>0.04072</cdr:y>
    </cdr:from>
    <cdr:to>
      <cdr:x>0.24154</cdr:x>
      <cdr:y>0.13292</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D2</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749300</xdr:colOff>
      <xdr:row>5</xdr:row>
      <xdr:rowOff>0</xdr:rowOff>
    </xdr:from>
    <xdr:to>
      <xdr:col>0</xdr:col>
      <xdr:colOff>1365250</xdr:colOff>
      <xdr:row>8</xdr:row>
      <xdr:rowOff>177800</xdr:rowOff>
    </xdr:to>
    <xdr:sp macro="" textlink="">
      <xdr:nvSpPr>
        <xdr:cNvPr id="2" name="Line 1">
          <a:extLst>
            <a:ext uri="{FF2B5EF4-FFF2-40B4-BE49-F238E27FC236}">
              <a16:creationId xmlns:a16="http://schemas.microsoft.com/office/drawing/2014/main" id="{00000000-0008-0000-2500-000002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749300</xdr:colOff>
      <xdr:row>5</xdr:row>
      <xdr:rowOff>0</xdr:rowOff>
    </xdr:from>
    <xdr:to>
      <xdr:col>0</xdr:col>
      <xdr:colOff>1365250</xdr:colOff>
      <xdr:row>8</xdr:row>
      <xdr:rowOff>177800</xdr:rowOff>
    </xdr:to>
    <xdr:sp macro="" textlink="">
      <xdr:nvSpPr>
        <xdr:cNvPr id="3" name="Line 1">
          <a:extLst>
            <a:ext uri="{FF2B5EF4-FFF2-40B4-BE49-F238E27FC236}">
              <a16:creationId xmlns:a16="http://schemas.microsoft.com/office/drawing/2014/main" id="{00000000-0008-0000-2500-000003000000}"/>
            </a:ext>
          </a:extLst>
        </xdr:cNvPr>
        <xdr:cNvSpPr>
          <a:spLocks noChangeShapeType="1"/>
        </xdr:cNvSpPr>
      </xdr:nvSpPr>
      <xdr:spPr bwMode="auto">
        <a:xfrm>
          <a:off x="749300" y="952500"/>
          <a:ext cx="61595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25400</xdr:colOff>
      <xdr:row>0</xdr:row>
      <xdr:rowOff>31750</xdr:rowOff>
    </xdr:from>
    <xdr:to>
      <xdr:col>9</xdr:col>
      <xdr:colOff>419100</xdr:colOff>
      <xdr:row>39</xdr:row>
      <xdr:rowOff>6350</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260350</xdr:colOff>
      <xdr:row>6</xdr:row>
      <xdr:rowOff>25400</xdr:rowOff>
    </xdr:from>
    <xdr:to>
      <xdr:col>0</xdr:col>
      <xdr:colOff>730250</xdr:colOff>
      <xdr:row>10</xdr:row>
      <xdr:rowOff>12700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260350</xdr:colOff>
      <xdr:row>6</xdr:row>
      <xdr:rowOff>25400</xdr:rowOff>
    </xdr:from>
    <xdr:to>
      <xdr:col>0</xdr:col>
      <xdr:colOff>730250</xdr:colOff>
      <xdr:row>10</xdr:row>
      <xdr:rowOff>12700</xdr:rowOff>
    </xdr:to>
    <xdr:sp macro="" textlink="">
      <xdr:nvSpPr>
        <xdr:cNvPr id="3" name="Line 3">
          <a:extLst>
            <a:ext uri="{FF2B5EF4-FFF2-40B4-BE49-F238E27FC236}">
              <a16:creationId xmlns:a16="http://schemas.microsoft.com/office/drawing/2014/main" id="{00000000-0008-0000-0600-000003000000}"/>
            </a:ext>
          </a:extLst>
        </xdr:cNvPr>
        <xdr:cNvSpPr>
          <a:spLocks noChangeShapeType="1"/>
        </xdr:cNvSpPr>
      </xdr:nvSpPr>
      <xdr:spPr bwMode="auto">
        <a:xfrm>
          <a:off x="260350" y="984250"/>
          <a:ext cx="469900" cy="749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c:userShapes xmlns:c="http://schemas.openxmlformats.org/drawingml/2006/chart">
  <cdr:relSizeAnchor xmlns:cdr="http://schemas.openxmlformats.org/drawingml/2006/chartDrawing">
    <cdr:from>
      <cdr:x>0</cdr:x>
      <cdr:y>0.07975</cdr:y>
    </cdr:from>
    <cdr:to>
      <cdr:x>0</cdr:x>
      <cdr:y>0.0827</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cdr:x>
      <cdr:y>0.07975</cdr:y>
    </cdr:from>
    <cdr:to>
      <cdr:x>0</cdr:x>
      <cdr:y>0.0827</cdr:y>
    </cdr:to>
    <cdr:sp macro="" textlink="">
      <cdr:nvSpPr>
        <cdr:cNvPr id="5"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7"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8"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9"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0.25482</cdr:x>
      <cdr:y>0.10608</cdr:y>
    </cdr:from>
    <cdr:to>
      <cdr:x>0.79947</cdr:x>
      <cdr:y>0.22554</cdr:y>
    </cdr:to>
    <cdr:sp macro="" textlink="">
      <cdr:nvSpPr>
        <cdr:cNvPr id="10" name="CuadroTexto 9"/>
        <cdr:cNvSpPr txBox="1"/>
      </cdr:nvSpPr>
      <cdr:spPr>
        <a:xfrm xmlns:a="http://schemas.openxmlformats.org/drawingml/2006/main">
          <a:off x="1847850" y="654050"/>
          <a:ext cx="3949700" cy="736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anose="02020603050405020304" pitchFamily="18" charset="0"/>
              <a:cs typeface="Times New Roman" panose="02020603050405020304" pitchFamily="18" charset="0"/>
            </a:rPr>
            <a:t>Distribución relativa de las titulaciones</a:t>
          </a:r>
        </a:p>
        <a:p xmlns:a="http://schemas.openxmlformats.org/drawingml/2006/main">
          <a:pPr algn="ctr"/>
          <a:r>
            <a:rPr lang="es-CR" sz="1800">
              <a:latin typeface="Times New Roman" panose="02020603050405020304" pitchFamily="18" charset="0"/>
              <a:cs typeface="Times New Roman" panose="02020603050405020304" pitchFamily="18" charset="0"/>
            </a:rPr>
            <a:t>de posgrado en la UCR </a:t>
          </a:r>
        </a:p>
      </cdr:txBody>
    </cdr:sp>
  </cdr:relSizeAnchor>
  <cdr:relSizeAnchor xmlns:cdr="http://schemas.openxmlformats.org/drawingml/2006/chartDrawing">
    <cdr:from>
      <cdr:x>0.21016</cdr:x>
      <cdr:y>0.36766</cdr:y>
    </cdr:from>
    <cdr:to>
      <cdr:x>0.33625</cdr:x>
      <cdr:y>0.51596</cdr:y>
    </cdr:to>
    <cdr:sp macro="" textlink="">
      <cdr:nvSpPr>
        <cdr:cNvPr id="11" name="CuadroTexto 10"/>
        <cdr:cNvSpPr txBox="1"/>
      </cdr:nvSpPr>
      <cdr:spPr>
        <a:xfrm xmlns:a="http://schemas.openxmlformats.org/drawingml/2006/main">
          <a:off x="1524000" y="226695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0.71541</cdr:x>
      <cdr:y>0.43254</cdr:y>
    </cdr:from>
    <cdr:to>
      <cdr:x>0.94834</cdr:x>
      <cdr:y>0.47683</cdr:y>
    </cdr:to>
    <cdr:sp macro="" textlink="">
      <cdr:nvSpPr>
        <cdr:cNvPr id="12" name="CuadroTexto 11"/>
        <cdr:cNvSpPr txBox="1"/>
      </cdr:nvSpPr>
      <cdr:spPr>
        <a:xfrm xmlns:a="http://schemas.openxmlformats.org/drawingml/2006/main">
          <a:off x="5187950" y="2667000"/>
          <a:ext cx="1689100" cy="2730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Maestria Profesional 35,00</a:t>
          </a:r>
        </a:p>
      </cdr:txBody>
    </cdr:sp>
  </cdr:relSizeAnchor>
  <cdr:relSizeAnchor xmlns:cdr="http://schemas.openxmlformats.org/drawingml/2006/chartDrawing">
    <cdr:from>
      <cdr:x>0</cdr:x>
      <cdr:y>0.07975</cdr:y>
    </cdr:from>
    <cdr:to>
      <cdr:x>0</cdr:x>
      <cdr:y>0.0827</cdr:y>
    </cdr:to>
    <cdr:sp macro="" textlink="">
      <cdr:nvSpPr>
        <cdr:cNvPr id="13"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2000" baseline="0">
              <a:latin typeface="Times New Roman" pitchFamily="18" charset="0"/>
              <a:cs typeface="Times New Roman" pitchFamily="18" charset="0"/>
            </a:rPr>
            <a:t>Dis</a:t>
          </a:r>
          <a:r>
            <a:rPr lang="es-CR" sz="2000">
              <a:latin typeface="Times New Roman" pitchFamily="18" charset="0"/>
              <a:cs typeface="Times New Roman" pitchFamily="18" charset="0"/>
            </a:rPr>
            <a:t>tribución  relativa </a:t>
          </a:r>
          <a:r>
            <a:rPr lang="es-CR" sz="1800">
              <a:latin typeface="Times New Roman" pitchFamily="18" charset="0"/>
              <a:cs typeface="Times New Roman" pitchFamily="18" charset="0"/>
            </a:rPr>
            <a:t>de las carreras ofrecidas, </a:t>
          </a:r>
        </a:p>
        <a:p xmlns:a="http://schemas.openxmlformats.org/drawingml/2006/main">
          <a:pPr algn="ctr">
            <a:lnSpc>
              <a:spcPts val="1800"/>
            </a:lnSpc>
          </a:pPr>
          <a:r>
            <a:rPr lang="es-CR" sz="1800">
              <a:latin typeface="Times New Roman" pitchFamily="18" charset="0"/>
              <a:cs typeface="Times New Roman" pitchFamily="18" charset="0"/>
            </a:rPr>
            <a:t>          en Posgrado</a:t>
          </a:r>
          <a:r>
            <a:rPr lang="es-CR" sz="1800" baseline="0">
              <a:latin typeface="Times New Roman" pitchFamily="18" charset="0"/>
              <a:cs typeface="Times New Roman" pitchFamily="18" charset="0"/>
            </a:rPr>
            <a:t> </a:t>
          </a:r>
          <a:r>
            <a:rPr lang="es-CR" sz="1800">
              <a:latin typeface="Times New Roman" pitchFamily="18" charset="0"/>
              <a:cs typeface="Times New Roman" pitchFamily="18" charset="0"/>
            </a:rPr>
            <a:t>de la U.C.R. </a:t>
          </a:r>
        </a:p>
      </cdr:txBody>
    </cdr:sp>
  </cdr:relSizeAnchor>
  <cdr:relSizeAnchor xmlns:cdr="http://schemas.openxmlformats.org/drawingml/2006/chartDrawing">
    <cdr:from>
      <cdr:x>0.68638</cdr:x>
      <cdr:y>0.51612</cdr:y>
    </cdr:from>
    <cdr:to>
      <cdr:x>0.78804</cdr:x>
      <cdr:y>0.55997</cdr:y>
    </cdr:to>
    <cdr:sp macro="" textlink="">
      <cdr:nvSpPr>
        <cdr:cNvPr id="14"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0.9121</cdr:y>
    </cdr:from>
    <cdr:to>
      <cdr:x>0.25174</cdr:x>
      <cdr:y>0.97763</cdr:y>
    </cdr:to>
    <cdr:sp macro="" textlink="">
      <cdr:nvSpPr>
        <cdr:cNvPr id="15"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D3</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0.02668</cdr:x>
      <cdr:y>0.04072</cdr:y>
    </cdr:from>
    <cdr:to>
      <cdr:x>0.24179</cdr:x>
      <cdr:y>0.13218</cdr:y>
    </cdr:to>
    <cdr:sp macro="" textlink="">
      <cdr:nvSpPr>
        <cdr:cNvPr id="16" name="5 CuadroTexto"/>
        <cdr:cNvSpPr txBox="1"/>
      </cdr:nvSpPr>
      <cdr:spPr>
        <a:xfrm xmlns:a="http://schemas.openxmlformats.org/drawingml/2006/main">
          <a:off x="180502" y="160939"/>
          <a:ext cx="1469077" cy="36293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D3</a:t>
          </a:r>
        </a:p>
      </cdr:txBody>
    </cdr:sp>
  </cdr:relSizeAnchor>
  <cdr:relSizeAnchor xmlns:cdr="http://schemas.openxmlformats.org/drawingml/2006/chartDrawing">
    <cdr:from>
      <cdr:x>0.45972</cdr:x>
      <cdr:y>0.28939</cdr:y>
    </cdr:from>
    <cdr:to>
      <cdr:x>0.6007</cdr:x>
      <cdr:y>0.33471</cdr:y>
    </cdr:to>
    <cdr:sp macro="" textlink="">
      <cdr:nvSpPr>
        <cdr:cNvPr id="17" name="CuadroTexto 16"/>
        <cdr:cNvSpPr txBox="1"/>
      </cdr:nvSpPr>
      <cdr:spPr>
        <a:xfrm xmlns:a="http://schemas.openxmlformats.org/drawingml/2006/main">
          <a:off x="3333750" y="1784350"/>
          <a:ext cx="1022350" cy="279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Doctorado 4,62</a:t>
          </a:r>
        </a:p>
      </cdr:txBody>
    </cdr:sp>
  </cdr:relSizeAnchor>
  <cdr:relSizeAnchor xmlns:cdr="http://schemas.openxmlformats.org/drawingml/2006/chartDrawing">
    <cdr:from>
      <cdr:x>0.40543</cdr:x>
      <cdr:y>0.83728</cdr:y>
    </cdr:from>
    <cdr:to>
      <cdr:x>0.63047</cdr:x>
      <cdr:y>0.89289</cdr:y>
    </cdr:to>
    <cdr:sp macro="" textlink="">
      <cdr:nvSpPr>
        <cdr:cNvPr id="18" name="CuadroTexto 17"/>
        <cdr:cNvSpPr txBox="1"/>
      </cdr:nvSpPr>
      <cdr:spPr>
        <a:xfrm xmlns:a="http://schemas.openxmlformats.org/drawingml/2006/main">
          <a:off x="2940050" y="5162550"/>
          <a:ext cx="1631950"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Maestría Académica</a:t>
          </a:r>
          <a:r>
            <a:rPr lang="es-CR" sz="1100" baseline="0">
              <a:latin typeface="Times New Roman" panose="02020603050405020304" pitchFamily="18" charset="0"/>
              <a:cs typeface="Times New Roman" panose="02020603050405020304" pitchFamily="18" charset="0"/>
            </a:rPr>
            <a:t> 31,15</a:t>
          </a:r>
          <a:endParaRPr lang="es-CR"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0.12347</cdr:x>
      <cdr:y>0.51081</cdr:y>
    </cdr:from>
    <cdr:to>
      <cdr:x>0.30736</cdr:x>
      <cdr:y>0.55716</cdr:y>
    </cdr:to>
    <cdr:sp macro="" textlink="">
      <cdr:nvSpPr>
        <cdr:cNvPr id="19" name="CuadroTexto 18"/>
        <cdr:cNvSpPr txBox="1"/>
      </cdr:nvSpPr>
      <cdr:spPr>
        <a:xfrm xmlns:a="http://schemas.openxmlformats.org/drawingml/2006/main">
          <a:off x="895350" y="3149600"/>
          <a:ext cx="13335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anose="02020603050405020304" pitchFamily="18" charset="0"/>
              <a:cs typeface="Times New Roman" panose="02020603050405020304" pitchFamily="18" charset="0"/>
            </a:rPr>
            <a:t>Especialidades 29,23</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165100</xdr:rowOff>
    </xdr:from>
    <xdr:to>
      <xdr:col>0</xdr:col>
      <xdr:colOff>1168400</xdr:colOff>
      <xdr:row>8</xdr:row>
      <xdr:rowOff>158750</xdr:rowOff>
    </xdr:to>
    <xdr:sp macro="" textlink="">
      <xdr:nvSpPr>
        <xdr:cNvPr id="3" name="Line 1">
          <a:extLst>
            <a:ext uri="{FF2B5EF4-FFF2-40B4-BE49-F238E27FC236}">
              <a16:creationId xmlns:a16="http://schemas.microsoft.com/office/drawing/2014/main" id="{00000000-0008-0000-2700-000003000000}"/>
            </a:ext>
          </a:extLst>
        </xdr:cNvPr>
        <xdr:cNvSpPr>
          <a:spLocks noChangeShapeType="1"/>
        </xdr:cNvSpPr>
      </xdr:nvSpPr>
      <xdr:spPr bwMode="auto">
        <a:xfrm>
          <a:off x="539750" y="6985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666750</xdr:colOff>
      <xdr:row>4</xdr:row>
      <xdr:rowOff>165100</xdr:rowOff>
    </xdr:from>
    <xdr:to>
      <xdr:col>0</xdr:col>
      <xdr:colOff>1295400</xdr:colOff>
      <xdr:row>8</xdr:row>
      <xdr:rowOff>158750</xdr:rowOff>
    </xdr:to>
    <xdr:sp macro="" textlink="">
      <xdr:nvSpPr>
        <xdr:cNvPr id="2" name="Line 2">
          <a:extLst>
            <a:ext uri="{FF2B5EF4-FFF2-40B4-BE49-F238E27FC236}">
              <a16:creationId xmlns:a16="http://schemas.microsoft.com/office/drawing/2014/main" id="{00000000-0008-0000-2800-000002000000}"/>
            </a:ext>
          </a:extLst>
        </xdr:cNvPr>
        <xdr:cNvSpPr>
          <a:spLocks noChangeShapeType="1"/>
        </xdr:cNvSpPr>
      </xdr:nvSpPr>
      <xdr:spPr bwMode="auto">
        <a:xfrm>
          <a:off x="666750" y="73025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539750</xdr:colOff>
      <xdr:row>4</xdr:row>
      <xdr:rowOff>165100</xdr:rowOff>
    </xdr:from>
    <xdr:to>
      <xdr:col>0</xdr:col>
      <xdr:colOff>1168400</xdr:colOff>
      <xdr:row>8</xdr:row>
      <xdr:rowOff>158750</xdr:rowOff>
    </xdr:to>
    <xdr:sp macro="" textlink="">
      <xdr:nvSpPr>
        <xdr:cNvPr id="2" name="Line 2">
          <a:extLst>
            <a:ext uri="{FF2B5EF4-FFF2-40B4-BE49-F238E27FC236}">
              <a16:creationId xmlns:a16="http://schemas.microsoft.com/office/drawing/2014/main" id="{00000000-0008-0000-2900-000002000000}"/>
            </a:ext>
          </a:extLst>
        </xdr:cNvPr>
        <xdr:cNvSpPr>
          <a:spLocks noChangeShapeType="1"/>
        </xdr:cNvSpPr>
      </xdr:nvSpPr>
      <xdr:spPr bwMode="auto">
        <a:xfrm>
          <a:off x="539750" y="723900"/>
          <a:ext cx="628650" cy="660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927100</xdr:colOff>
      <xdr:row>5</xdr:row>
      <xdr:rowOff>6350</xdr:rowOff>
    </xdr:from>
    <xdr:to>
      <xdr:col>0</xdr:col>
      <xdr:colOff>1555750</xdr:colOff>
      <xdr:row>9</xdr:row>
      <xdr:rowOff>6350</xdr:rowOff>
    </xdr:to>
    <xdr:sp macro="" textlink="">
      <xdr:nvSpPr>
        <xdr:cNvPr id="2" name="Line 2">
          <a:extLst>
            <a:ext uri="{FF2B5EF4-FFF2-40B4-BE49-F238E27FC236}">
              <a16:creationId xmlns:a16="http://schemas.microsoft.com/office/drawing/2014/main" id="{00000000-0008-0000-2A00-000002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927100</xdr:colOff>
      <xdr:row>5</xdr:row>
      <xdr:rowOff>6350</xdr:rowOff>
    </xdr:from>
    <xdr:to>
      <xdr:col>0</xdr:col>
      <xdr:colOff>1555750</xdr:colOff>
      <xdr:row>9</xdr:row>
      <xdr:rowOff>6350</xdr:rowOff>
    </xdr:to>
    <xdr:sp macro="" textlink="">
      <xdr:nvSpPr>
        <xdr:cNvPr id="3" name="Line 2">
          <a:extLst>
            <a:ext uri="{FF2B5EF4-FFF2-40B4-BE49-F238E27FC236}">
              <a16:creationId xmlns:a16="http://schemas.microsoft.com/office/drawing/2014/main" id="{00000000-0008-0000-2A00-000003000000}"/>
            </a:ext>
          </a:extLst>
        </xdr:cNvPr>
        <xdr:cNvSpPr>
          <a:spLocks noChangeShapeType="1"/>
        </xdr:cNvSpPr>
      </xdr:nvSpPr>
      <xdr:spPr bwMode="auto">
        <a:xfrm>
          <a:off x="927100" y="679450"/>
          <a:ext cx="628650" cy="565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38100</xdr:colOff>
      <xdr:row>0</xdr:row>
      <xdr:rowOff>25400</xdr:rowOff>
    </xdr:from>
    <xdr:to>
      <xdr:col>8</xdr:col>
      <xdr:colOff>311150</xdr:colOff>
      <xdr:row>30</xdr:row>
      <xdr:rowOff>82550</xdr:rowOff>
    </xdr:to>
    <xdr:graphicFrame macro="">
      <xdr:nvGraphicFramePr>
        <xdr:cNvPr id="3" name="4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0.15396</cdr:x>
      <cdr:y>0.07525</cdr:y>
    </cdr:from>
    <cdr:to>
      <cdr:x>0.88787</cdr:x>
      <cdr:y>0.21165</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materias matriculadas </a:t>
          </a:r>
        </a:p>
        <a:p xmlns:a="http://schemas.openxmlformats.org/drawingml/2006/main">
          <a:pPr algn="ctr"/>
          <a:r>
            <a:rPr lang="es-CR" sz="1800" baseline="0">
              <a:latin typeface="Times New Roman" pitchFamily="18" charset="0"/>
              <a:cs typeface="Times New Roman" pitchFamily="18" charset="0"/>
            </a:rPr>
            <a:t>por materias aprobadas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0.86458</cdr:x>
      <cdr:y>0.11667</cdr:y>
    </cdr:to>
    <cdr:sp macro="" textlink="">
      <cdr:nvSpPr>
        <cdr:cNvPr id="3" name="2 CuadroTexto"/>
        <cdr:cNvSpPr txBox="1"/>
      </cdr:nvSpPr>
      <cdr:spPr>
        <a:xfrm xmlns:a="http://schemas.openxmlformats.org/drawingml/2006/main">
          <a:off x="1441843" y="112868"/>
          <a:ext cx="4092181" cy="4616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0.01469</cdr:x>
      <cdr:y>0.01667</cdr:y>
    </cdr:from>
    <cdr:to>
      <cdr:x>0.19152</cdr:x>
      <cdr:y>0.09841</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D4</a:t>
          </a:r>
        </a:p>
      </cdr:txBody>
    </cdr:sp>
  </cdr:relSizeAnchor>
  <cdr:relSizeAnchor xmlns:cdr="http://schemas.openxmlformats.org/drawingml/2006/chartDrawing">
    <cdr:from>
      <cdr:x>0.01813</cdr:x>
      <cdr:y>0.93063</cdr:y>
    </cdr:from>
    <cdr:to>
      <cdr:x>0.23524</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D4, D5, D6 y D7</a:t>
          </a: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558800</xdr:colOff>
      <xdr:row>5</xdr:row>
      <xdr:rowOff>12700</xdr:rowOff>
    </xdr:from>
    <xdr:to>
      <xdr:col>0</xdr:col>
      <xdr:colOff>1174750</xdr:colOff>
      <xdr:row>9</xdr:row>
      <xdr:rowOff>114300</xdr:rowOff>
    </xdr:to>
    <xdr:sp macro="" textlink="">
      <xdr:nvSpPr>
        <xdr:cNvPr id="2" name="Line 1">
          <a:extLst>
            <a:ext uri="{FF2B5EF4-FFF2-40B4-BE49-F238E27FC236}">
              <a16:creationId xmlns:a16="http://schemas.microsoft.com/office/drawing/2014/main" id="{00000000-0008-0000-2C00-000002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558800</xdr:colOff>
      <xdr:row>5</xdr:row>
      <xdr:rowOff>12700</xdr:rowOff>
    </xdr:from>
    <xdr:to>
      <xdr:col>0</xdr:col>
      <xdr:colOff>1174750</xdr:colOff>
      <xdr:row>9</xdr:row>
      <xdr:rowOff>114300</xdr:rowOff>
    </xdr:to>
    <xdr:sp macro="" textlink="">
      <xdr:nvSpPr>
        <xdr:cNvPr id="3" name="Line 1">
          <a:extLst>
            <a:ext uri="{FF2B5EF4-FFF2-40B4-BE49-F238E27FC236}">
              <a16:creationId xmlns:a16="http://schemas.microsoft.com/office/drawing/2014/main" id="{00000000-0008-0000-2C00-000003000000}"/>
            </a:ext>
          </a:extLst>
        </xdr:cNvPr>
        <xdr:cNvSpPr>
          <a:spLocks noChangeShapeType="1"/>
        </xdr:cNvSpPr>
      </xdr:nvSpPr>
      <xdr:spPr bwMode="auto">
        <a:xfrm>
          <a:off x="558800" y="717550"/>
          <a:ext cx="615950" cy="768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901700</xdr:colOff>
      <xdr:row>5</xdr:row>
      <xdr:rowOff>12700</xdr:rowOff>
    </xdr:from>
    <xdr:to>
      <xdr:col>0</xdr:col>
      <xdr:colOff>1530350</xdr:colOff>
      <xdr:row>10</xdr:row>
      <xdr:rowOff>12700</xdr:rowOff>
    </xdr:to>
    <xdr:sp macro="" textlink="">
      <xdr:nvSpPr>
        <xdr:cNvPr id="2" name="Line 1">
          <a:extLst>
            <a:ext uri="{FF2B5EF4-FFF2-40B4-BE49-F238E27FC236}">
              <a16:creationId xmlns:a16="http://schemas.microsoft.com/office/drawing/2014/main" id="{00000000-0008-0000-2D00-000002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901700</xdr:colOff>
      <xdr:row>5</xdr:row>
      <xdr:rowOff>12700</xdr:rowOff>
    </xdr:from>
    <xdr:to>
      <xdr:col>0</xdr:col>
      <xdr:colOff>1530350</xdr:colOff>
      <xdr:row>10</xdr:row>
      <xdr:rowOff>12700</xdr:rowOff>
    </xdr:to>
    <xdr:sp macro="" textlink="">
      <xdr:nvSpPr>
        <xdr:cNvPr id="3" name="Line 1">
          <a:extLst>
            <a:ext uri="{FF2B5EF4-FFF2-40B4-BE49-F238E27FC236}">
              <a16:creationId xmlns:a16="http://schemas.microsoft.com/office/drawing/2014/main" id="{00000000-0008-0000-2D00-000003000000}"/>
            </a:ext>
          </a:extLst>
        </xdr:cNvPr>
        <xdr:cNvSpPr>
          <a:spLocks noChangeShapeType="1"/>
        </xdr:cNvSpPr>
      </xdr:nvSpPr>
      <xdr:spPr bwMode="auto">
        <a:xfrm>
          <a:off x="901700" y="698500"/>
          <a:ext cx="628650" cy="641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628650</xdr:colOff>
      <xdr:row>5</xdr:row>
      <xdr:rowOff>0</xdr:rowOff>
    </xdr:from>
    <xdr:to>
      <xdr:col>0</xdr:col>
      <xdr:colOff>1346200</xdr:colOff>
      <xdr:row>10</xdr:row>
      <xdr:rowOff>0</xdr:rowOff>
    </xdr:to>
    <xdr:sp macro="" textlink="">
      <xdr:nvSpPr>
        <xdr:cNvPr id="2" name="Line 2">
          <a:extLst>
            <a:ext uri="{FF2B5EF4-FFF2-40B4-BE49-F238E27FC236}">
              <a16:creationId xmlns:a16="http://schemas.microsoft.com/office/drawing/2014/main" id="{00000000-0008-0000-2E00-000002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628650</xdr:colOff>
      <xdr:row>5</xdr:row>
      <xdr:rowOff>0</xdr:rowOff>
    </xdr:from>
    <xdr:to>
      <xdr:col>0</xdr:col>
      <xdr:colOff>1346200</xdr:colOff>
      <xdr:row>10</xdr:row>
      <xdr:rowOff>0</xdr:rowOff>
    </xdr:to>
    <xdr:sp macro="" textlink="">
      <xdr:nvSpPr>
        <xdr:cNvPr id="3" name="Line 2">
          <a:extLst>
            <a:ext uri="{FF2B5EF4-FFF2-40B4-BE49-F238E27FC236}">
              <a16:creationId xmlns:a16="http://schemas.microsoft.com/office/drawing/2014/main" id="{00000000-0008-0000-2E00-000003000000}"/>
            </a:ext>
          </a:extLst>
        </xdr:cNvPr>
        <xdr:cNvSpPr>
          <a:spLocks noChangeShapeType="1"/>
        </xdr:cNvSpPr>
      </xdr:nvSpPr>
      <xdr:spPr bwMode="auto">
        <a:xfrm>
          <a:off x="628650" y="685800"/>
          <a:ext cx="717550" cy="825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25400</xdr:rowOff>
    </xdr:from>
    <xdr:to>
      <xdr:col>8</xdr:col>
      <xdr:colOff>584200</xdr:colOff>
      <xdr:row>28</xdr:row>
      <xdr:rowOff>114300</xdr:rowOff>
    </xdr:to>
    <xdr:graphicFrame macro="">
      <xdr:nvGraphicFramePr>
        <xdr:cNvPr id="3" name="6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825500</xdr:colOff>
      <xdr:row>5</xdr:row>
      <xdr:rowOff>12700</xdr:rowOff>
    </xdr:from>
    <xdr:to>
      <xdr:col>0</xdr:col>
      <xdr:colOff>1454150</xdr:colOff>
      <xdr:row>10</xdr:row>
      <xdr:rowOff>0</xdr:rowOff>
    </xdr:to>
    <xdr:sp macro="" textlink="">
      <xdr:nvSpPr>
        <xdr:cNvPr id="2" name="Line 2">
          <a:extLst>
            <a:ext uri="{FF2B5EF4-FFF2-40B4-BE49-F238E27FC236}">
              <a16:creationId xmlns:a16="http://schemas.microsoft.com/office/drawing/2014/main" id="{00000000-0008-0000-2F00-000002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825500</xdr:colOff>
      <xdr:row>5</xdr:row>
      <xdr:rowOff>12700</xdr:rowOff>
    </xdr:from>
    <xdr:to>
      <xdr:col>0</xdr:col>
      <xdr:colOff>1454150</xdr:colOff>
      <xdr:row>10</xdr:row>
      <xdr:rowOff>0</xdr:rowOff>
    </xdr:to>
    <xdr:sp macro="" textlink="">
      <xdr:nvSpPr>
        <xdr:cNvPr id="3" name="Line 2">
          <a:extLst>
            <a:ext uri="{FF2B5EF4-FFF2-40B4-BE49-F238E27FC236}">
              <a16:creationId xmlns:a16="http://schemas.microsoft.com/office/drawing/2014/main" id="{00000000-0008-0000-2F00-000003000000}"/>
            </a:ext>
          </a:extLst>
        </xdr:cNvPr>
        <xdr:cNvSpPr>
          <a:spLocks noChangeShapeType="1"/>
        </xdr:cNvSpPr>
      </xdr:nvSpPr>
      <xdr:spPr bwMode="auto">
        <a:xfrm>
          <a:off x="825500" y="730250"/>
          <a:ext cx="628650" cy="723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666750</xdr:colOff>
      <xdr:row>34</xdr:row>
      <xdr:rowOff>82550</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0.15223</cdr:x>
      <cdr:y>0.075</cdr:y>
    </cdr:from>
    <cdr:to>
      <cdr:x>0.88714</cdr:x>
      <cdr:y>0.21042</cdr:y>
    </cdr:to>
    <cdr:sp macro="" textlink="">
      <cdr:nvSpPr>
        <cdr:cNvPr id="2" name="1 CuadroTexto"/>
        <cdr:cNvSpPr txBox="1"/>
      </cdr:nvSpPr>
      <cdr:spPr>
        <a:xfrm xmlns:a="http://schemas.openxmlformats.org/drawingml/2006/main">
          <a:off x="1104898" y="342900"/>
          <a:ext cx="5334001" cy="619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1800">
              <a:latin typeface="Times New Roman" pitchFamily="18" charset="0"/>
              <a:cs typeface="Times New Roman" pitchFamily="18" charset="0"/>
            </a:rPr>
            <a:t>Estudiantes físicos</a:t>
          </a:r>
          <a:r>
            <a:rPr lang="es-CR" sz="1800" baseline="0">
              <a:latin typeface="Times New Roman" pitchFamily="18" charset="0"/>
              <a:cs typeface="Times New Roman" pitchFamily="18" charset="0"/>
            </a:rPr>
            <a:t> según créditos matriculados </a:t>
          </a:r>
        </a:p>
        <a:p xmlns:a="http://schemas.openxmlformats.org/drawingml/2006/main">
          <a:pPr algn="ctr"/>
          <a:r>
            <a:rPr lang="es-CR" sz="1800" baseline="0">
              <a:latin typeface="Times New Roman" pitchFamily="18" charset="0"/>
              <a:cs typeface="Times New Roman" pitchFamily="18" charset="0"/>
            </a:rPr>
            <a:t>por créditos aprobados en la UCR.</a:t>
          </a:r>
          <a:endParaRPr lang="es-CR" sz="1800">
            <a:latin typeface="Times New Roman" pitchFamily="18" charset="0"/>
            <a:cs typeface="Times New Roman" pitchFamily="18" charset="0"/>
          </a:endParaRPr>
        </a:p>
      </cdr:txBody>
    </cdr:sp>
  </cdr:relSizeAnchor>
  <cdr:relSizeAnchor xmlns:cdr="http://schemas.openxmlformats.org/drawingml/2006/chartDrawing">
    <cdr:from>
      <cdr:x>0.22526</cdr:x>
      <cdr:y>0.02292</cdr:y>
    </cdr:from>
    <cdr:to>
      <cdr:x>0.79481</cdr:x>
      <cdr:y>0.11667</cdr:y>
    </cdr:to>
    <cdr:sp macro="" textlink="">
      <cdr:nvSpPr>
        <cdr:cNvPr id="3" name="2 CuadroTexto"/>
        <cdr:cNvSpPr txBox="1"/>
      </cdr:nvSpPr>
      <cdr:spPr>
        <a:xfrm xmlns:a="http://schemas.openxmlformats.org/drawingml/2006/main">
          <a:off x="1566297" y="125312"/>
          <a:ext cx="3960223" cy="51256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Panorama Cuantitativo</a:t>
          </a:r>
          <a:r>
            <a:rPr lang="es-CR" sz="1800" baseline="0">
              <a:latin typeface="Times New Roman" pitchFamily="18" charset="0"/>
              <a:cs typeface="Times New Roman" pitchFamily="18" charset="0"/>
            </a:rPr>
            <a:t> Universitario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0.01444</cdr:x>
      <cdr:y>0.01667</cdr:y>
    </cdr:from>
    <cdr:to>
      <cdr:x>0.19029</cdr:x>
      <cdr:y>0.09792</cdr:y>
    </cdr:to>
    <cdr:sp macro="" textlink="">
      <cdr:nvSpPr>
        <cdr:cNvPr id="4" name="3 CuadroTexto"/>
        <cdr:cNvSpPr txBox="1"/>
      </cdr:nvSpPr>
      <cdr:spPr>
        <a:xfrm xmlns:a="http://schemas.openxmlformats.org/drawingml/2006/main">
          <a:off x="104775" y="76200"/>
          <a:ext cx="1276350" cy="37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Gráfcio D5</a:t>
          </a:r>
        </a:p>
      </cdr:txBody>
    </cdr:sp>
  </cdr:relSizeAnchor>
  <cdr:relSizeAnchor xmlns:cdr="http://schemas.openxmlformats.org/drawingml/2006/chartDrawing">
    <cdr:from>
      <cdr:x>0.01837</cdr:x>
      <cdr:y>0.92917</cdr:y>
    </cdr:from>
    <cdr:to>
      <cdr:x>0.23401</cdr:x>
      <cdr:y>0.98542</cdr:y>
    </cdr:to>
    <cdr:sp macro="" textlink="">
      <cdr:nvSpPr>
        <cdr:cNvPr id="5" name="4 CuadroTexto"/>
        <cdr:cNvSpPr txBox="1"/>
      </cdr:nvSpPr>
      <cdr:spPr>
        <a:xfrm xmlns:a="http://schemas.openxmlformats.org/drawingml/2006/main">
          <a:off x="128606" y="5080098"/>
          <a:ext cx="1509694" cy="30753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D8, D9, D10y D11</a:t>
          </a: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539750</xdr:colOff>
      <xdr:row>4</xdr:row>
      <xdr:rowOff>158750</xdr:rowOff>
    </xdr:from>
    <xdr:to>
      <xdr:col>0</xdr:col>
      <xdr:colOff>1219200</xdr:colOff>
      <xdr:row>9</xdr:row>
      <xdr:rowOff>0</xdr:rowOff>
    </xdr:to>
    <xdr:sp macro="" textlink="">
      <xdr:nvSpPr>
        <xdr:cNvPr id="2" name="Line 2">
          <a:extLst>
            <a:ext uri="{FF2B5EF4-FFF2-40B4-BE49-F238E27FC236}">
              <a16:creationId xmlns:a16="http://schemas.microsoft.com/office/drawing/2014/main" id="{00000000-0008-0000-3100-000002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539750</xdr:colOff>
      <xdr:row>4</xdr:row>
      <xdr:rowOff>158750</xdr:rowOff>
    </xdr:from>
    <xdr:to>
      <xdr:col>0</xdr:col>
      <xdr:colOff>1219200</xdr:colOff>
      <xdr:row>9</xdr:row>
      <xdr:rowOff>0</xdr:rowOff>
    </xdr:to>
    <xdr:sp macro="" textlink="">
      <xdr:nvSpPr>
        <xdr:cNvPr id="3" name="Line 2">
          <a:extLst>
            <a:ext uri="{FF2B5EF4-FFF2-40B4-BE49-F238E27FC236}">
              <a16:creationId xmlns:a16="http://schemas.microsoft.com/office/drawing/2014/main" id="{00000000-0008-0000-3100-000003000000}"/>
            </a:ext>
          </a:extLst>
        </xdr:cNvPr>
        <xdr:cNvSpPr>
          <a:spLocks noChangeShapeType="1"/>
        </xdr:cNvSpPr>
      </xdr:nvSpPr>
      <xdr:spPr bwMode="auto">
        <a:xfrm>
          <a:off x="539750" y="793750"/>
          <a:ext cx="679450" cy="996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676275</xdr:colOff>
      <xdr:row>5</xdr:row>
      <xdr:rowOff>0</xdr:rowOff>
    </xdr:from>
    <xdr:to>
      <xdr:col>0</xdr:col>
      <xdr:colOff>1095375</xdr:colOff>
      <xdr:row>9</xdr:row>
      <xdr:rowOff>0</xdr:rowOff>
    </xdr:to>
    <xdr:sp macro="" textlink="">
      <xdr:nvSpPr>
        <xdr:cNvPr id="2" name="Line 3">
          <a:extLst>
            <a:ext uri="{FF2B5EF4-FFF2-40B4-BE49-F238E27FC236}">
              <a16:creationId xmlns:a16="http://schemas.microsoft.com/office/drawing/2014/main" id="{00000000-0008-0000-3200-000002000000}"/>
            </a:ext>
          </a:extLst>
        </xdr:cNvPr>
        <xdr:cNvSpPr>
          <a:spLocks noChangeShapeType="1"/>
        </xdr:cNvSpPr>
      </xdr:nvSpPr>
      <xdr:spPr bwMode="auto">
        <a:xfrm>
          <a:off x="676275" y="819150"/>
          <a:ext cx="419100"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546100</xdr:colOff>
      <xdr:row>6</xdr:row>
      <xdr:rowOff>19050</xdr:rowOff>
    </xdr:from>
    <xdr:to>
      <xdr:col>0</xdr:col>
      <xdr:colOff>1174750</xdr:colOff>
      <xdr:row>10</xdr:row>
      <xdr:rowOff>0</xdr:rowOff>
    </xdr:to>
    <xdr:sp macro="" textlink="">
      <xdr:nvSpPr>
        <xdr:cNvPr id="2" name="Line 2">
          <a:extLst>
            <a:ext uri="{FF2B5EF4-FFF2-40B4-BE49-F238E27FC236}">
              <a16:creationId xmlns:a16="http://schemas.microsoft.com/office/drawing/2014/main" id="{00000000-0008-0000-3300-000002000000}"/>
            </a:ext>
          </a:extLst>
        </xdr:cNvPr>
        <xdr:cNvSpPr>
          <a:spLocks noChangeShapeType="1"/>
        </xdr:cNvSpPr>
      </xdr:nvSpPr>
      <xdr:spPr bwMode="auto">
        <a:xfrm>
          <a:off x="546100" y="97790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561975</xdr:colOff>
      <xdr:row>5</xdr:row>
      <xdr:rowOff>0</xdr:rowOff>
    </xdr:from>
    <xdr:to>
      <xdr:col>0</xdr:col>
      <xdr:colOff>1190625</xdr:colOff>
      <xdr:row>8</xdr:row>
      <xdr:rowOff>171450</xdr:rowOff>
    </xdr:to>
    <xdr:sp macro="" textlink="">
      <xdr:nvSpPr>
        <xdr:cNvPr id="2" name="Line 2">
          <a:extLst>
            <a:ext uri="{FF2B5EF4-FFF2-40B4-BE49-F238E27FC236}">
              <a16:creationId xmlns:a16="http://schemas.microsoft.com/office/drawing/2014/main" id="{00000000-0008-0000-3400-000002000000}"/>
            </a:ext>
          </a:extLst>
        </xdr:cNvPr>
        <xdr:cNvSpPr>
          <a:spLocks noChangeShapeType="1"/>
        </xdr:cNvSpPr>
      </xdr:nvSpPr>
      <xdr:spPr bwMode="auto">
        <a:xfrm>
          <a:off x="561975" y="819150"/>
          <a:ext cx="6286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133350</xdr:rowOff>
    </xdr:to>
    <xdr:graphicFrame macro="">
      <xdr:nvGraphicFramePr>
        <xdr:cNvPr id="3" name="2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cdr:x>
      <cdr:y>0.09941</cdr:y>
    </cdr:from>
    <cdr:to>
      <cdr:x>0.00739</cdr:x>
      <cdr:y>0.11876</cdr:y>
    </cdr:to>
    <cdr:sp macro="" textlink="">
      <cdr:nvSpPr>
        <cdr:cNvPr id="2" name="1 CuadroTexto"/>
        <cdr:cNvSpPr txBox="1"/>
      </cdr:nvSpPr>
      <cdr:spPr>
        <a:xfrm xmlns:a="http://schemas.openxmlformats.org/drawingml/2006/main">
          <a:off x="0" y="430196"/>
          <a:ext cx="6810375" cy="703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 en pregrado y </a:t>
          </a:r>
        </a:p>
        <a:p xmlns:a="http://schemas.openxmlformats.org/drawingml/2006/main">
          <a:pPr algn="ctr"/>
          <a:r>
            <a:rPr lang="es-CR" sz="1800">
              <a:latin typeface="Times New Roman" pitchFamily="18" charset="0"/>
              <a:cs typeface="Times New Roman" pitchFamily="18" charset="0"/>
            </a:rPr>
            <a:t>            grado de la U.C.R. según grado académico</a:t>
          </a:r>
        </a:p>
      </cdr:txBody>
    </cdr:sp>
  </cdr:relSizeAnchor>
  <cdr:relSizeAnchor xmlns:cdr="http://schemas.openxmlformats.org/drawingml/2006/chartDrawing">
    <cdr:from>
      <cdr:x>0.68637</cdr:x>
      <cdr:y>0.52932</cdr:y>
    </cdr:from>
    <cdr:to>
      <cdr:x>0.78853</cdr:x>
      <cdr:y>0.57412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0.01715</cdr:x>
      <cdr:y>0.91415</cdr:y>
    </cdr:from>
    <cdr:to>
      <cdr:x>0.18525</cdr:x>
      <cdr:y>0.96925</cdr:y>
    </cdr:to>
    <cdr:sp macro="" textlink="">
      <cdr:nvSpPr>
        <cdr:cNvPr id="4" name="3 CuadroTexto"/>
        <cdr:cNvSpPr txBox="1"/>
      </cdr:nvSpPr>
      <cdr:spPr>
        <a:xfrm xmlns:a="http://schemas.openxmlformats.org/drawingml/2006/main">
          <a:off x="116942" y="450365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D16</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0.02225</cdr:x>
      <cdr:y>0.02167</cdr:y>
    </cdr:from>
    <cdr:to>
      <cdr:x>0.23588</cdr:x>
      <cdr:y>0.11777</cdr:y>
    </cdr:to>
    <cdr:sp macro="" textlink="">
      <cdr:nvSpPr>
        <cdr:cNvPr id="6" name="5 CuadroTexto"/>
        <cdr:cNvSpPr txBox="1"/>
      </cdr:nvSpPr>
      <cdr:spPr>
        <a:xfrm xmlns:a="http://schemas.openxmlformats.org/drawingml/2006/main">
          <a:off x="152178" y="105925"/>
          <a:ext cx="1471127" cy="45365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D6</a:t>
          </a:r>
        </a:p>
      </cdr:txBody>
    </cdr:sp>
  </cdr:relSizeAnchor>
  <cdr:relSizeAnchor xmlns:cdr="http://schemas.openxmlformats.org/drawingml/2006/chartDrawing">
    <cdr:from>
      <cdr:x>0.15063</cdr:x>
      <cdr:y>0.33678</cdr:y>
    </cdr:from>
    <cdr:to>
      <cdr:x>0.15733</cdr:x>
      <cdr:y>0.39493</cdr:y>
    </cdr:to>
    <cdr:sp macro="" textlink="">
      <cdr:nvSpPr>
        <cdr:cNvPr id="5" name="CuadroTexto 4"/>
        <cdr:cNvSpPr txBox="1"/>
      </cdr:nvSpPr>
      <cdr:spPr>
        <a:xfrm xmlns:a="http://schemas.openxmlformats.org/drawingml/2006/main">
          <a:off x="1030606" y="1619250"/>
          <a:ext cx="45719"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0.15454</cdr:x>
      <cdr:y>0.09855</cdr:y>
    </cdr:from>
    <cdr:to>
      <cdr:x>0.92039</cdr:x>
      <cdr:y>0.25341</cdr:y>
    </cdr:to>
    <cdr:sp macro="" textlink="">
      <cdr:nvSpPr>
        <cdr:cNvPr id="8" name="CuadroTexto 7"/>
        <cdr:cNvSpPr txBox="1"/>
      </cdr:nvSpPr>
      <cdr:spPr>
        <a:xfrm xmlns:a="http://schemas.openxmlformats.org/drawingml/2006/main">
          <a:off x="1057275" y="476250"/>
          <a:ext cx="5219699" cy="742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2000">
              <a:latin typeface="Times New Roman" panose="02020603050405020304" pitchFamily="18" charset="0"/>
              <a:cs typeface="Times New Roman" panose="02020603050405020304" pitchFamily="18" charset="0"/>
            </a:rPr>
            <a:t>Distribución relativa de los Estudiantes</a:t>
          </a:r>
          <a:r>
            <a:rPr lang="en-US" sz="2000" baseline="0">
              <a:latin typeface="Times New Roman" panose="02020603050405020304" pitchFamily="18" charset="0"/>
              <a:cs typeface="Times New Roman" panose="02020603050405020304" pitchFamily="18" charset="0"/>
            </a:rPr>
            <a:t> de Pregrado y Grado titulados de la U.C.R. según grado académico</a:t>
          </a:r>
          <a:endParaRPr lang="en-US" sz="2000">
            <a:latin typeface="Times New Roman" panose="02020603050405020304" pitchFamily="18" charset="0"/>
            <a:cs typeface="Times New Roman" panose="02020603050405020304" pitchFamily="18"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495300</xdr:colOff>
      <xdr:row>29</xdr:row>
      <xdr:rowOff>38100</xdr:rowOff>
    </xdr:to>
    <xdr:graphicFrame macro="">
      <xdr:nvGraphicFramePr>
        <xdr:cNvPr id="3" name="5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0.08417</cdr:x>
      <cdr:y>0.12769</cdr:y>
    </cdr:from>
    <cdr:to>
      <cdr:x>0.78738</cdr:x>
      <cdr:y>0.27289</cdr:y>
    </cdr:to>
    <cdr:sp macro="" textlink="">
      <cdr:nvSpPr>
        <cdr:cNvPr id="3" name="2 CuadroTexto"/>
        <cdr:cNvSpPr txBox="1"/>
      </cdr:nvSpPr>
      <cdr:spPr>
        <a:xfrm xmlns:a="http://schemas.openxmlformats.org/drawingml/2006/main">
          <a:off x="504824" y="476250"/>
          <a:ext cx="4067175"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0.06754</cdr:x>
      <cdr:y>0.16591</cdr:y>
    </cdr:from>
    <cdr:to>
      <cdr:x>0.80213</cdr:x>
      <cdr:y>0.32167</cdr:y>
    </cdr:to>
    <cdr:sp macro="" textlink="">
      <cdr:nvSpPr>
        <cdr:cNvPr id="4" name="3 CuadroTexto"/>
        <cdr:cNvSpPr txBox="1"/>
      </cdr:nvSpPr>
      <cdr:spPr>
        <a:xfrm xmlns:a="http://schemas.openxmlformats.org/drawingml/2006/main">
          <a:off x="409574" y="619125"/>
          <a:ext cx="4248151" cy="5524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0.19414</cdr:x>
      <cdr:y>0.07802</cdr:y>
    </cdr:from>
    <cdr:to>
      <cdr:x>0.90904</cdr:x>
      <cdr:y>0.26644</cdr:y>
    </cdr:to>
    <cdr:sp macro="" textlink="">
      <cdr:nvSpPr>
        <cdr:cNvPr id="5" name="4 CuadroTexto"/>
        <cdr:cNvSpPr txBox="1"/>
      </cdr:nvSpPr>
      <cdr:spPr>
        <a:xfrm xmlns:a="http://schemas.openxmlformats.org/drawingml/2006/main">
          <a:off x="1191312" y="382786"/>
          <a:ext cx="4316824" cy="8751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Distribución</a:t>
          </a:r>
          <a:r>
            <a:rPr lang="es-CR" sz="1800" baseline="0">
              <a:latin typeface="Times New Roman" pitchFamily="18" charset="0"/>
              <a:cs typeface="Times New Roman" pitchFamily="18" charset="0"/>
            </a:rPr>
            <a:t> absoluta del  personal docente </a:t>
          </a:r>
        </a:p>
        <a:p xmlns:a="http://schemas.openxmlformats.org/drawingml/2006/main">
          <a:r>
            <a:rPr lang="es-CR" sz="1800" baseline="0">
              <a:latin typeface="Times New Roman" pitchFamily="18" charset="0"/>
              <a:cs typeface="Times New Roman" pitchFamily="18" charset="0"/>
            </a:rPr>
            <a:t>según tipo de nombramiento.  2015 - 2019</a:t>
          </a:r>
          <a:endParaRPr lang="es-CR" sz="1800">
            <a:latin typeface="Times New Roman" pitchFamily="18" charset="0"/>
            <a:cs typeface="Times New Roman" pitchFamily="18" charset="0"/>
          </a:endParaRPr>
        </a:p>
      </cdr:txBody>
    </cdr:sp>
  </cdr:relSizeAnchor>
  <cdr:relSizeAnchor xmlns:cdr="http://schemas.openxmlformats.org/drawingml/2006/chartDrawing">
    <cdr:from>
      <cdr:x>0.00538</cdr:x>
      <cdr:y>0.01548</cdr:y>
    </cdr:from>
    <cdr:to>
      <cdr:x>0.19666</cdr:x>
      <cdr:y>0.10671</cdr:y>
    </cdr:to>
    <cdr:sp macro="" textlink="">
      <cdr:nvSpPr>
        <cdr:cNvPr id="6" name="5 CuadroTexto"/>
        <cdr:cNvSpPr txBox="1"/>
      </cdr:nvSpPr>
      <cdr:spPr>
        <a:xfrm xmlns:a="http://schemas.openxmlformats.org/drawingml/2006/main">
          <a:off x="31105" y="76201"/>
          <a:ext cx="1178570" cy="4476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RH2</a:t>
          </a:r>
        </a:p>
      </cdr:txBody>
    </cdr:sp>
  </cdr:relSizeAnchor>
  <cdr:relSizeAnchor xmlns:cdr="http://schemas.openxmlformats.org/drawingml/2006/chartDrawing">
    <cdr:from>
      <cdr:x>0.01967</cdr:x>
      <cdr:y>0.92474</cdr:y>
    </cdr:from>
    <cdr:to>
      <cdr:x>0.23641</cdr:x>
      <cdr:y>0.98262</cdr:y>
    </cdr:to>
    <cdr:sp macro="" textlink="">
      <cdr:nvSpPr>
        <cdr:cNvPr id="7" name="6 CuadroTexto"/>
        <cdr:cNvSpPr txBox="1"/>
      </cdr:nvSpPr>
      <cdr:spPr>
        <a:xfrm xmlns:a="http://schemas.openxmlformats.org/drawingml/2006/main">
          <a:off x="123824" y="4629151"/>
          <a:ext cx="1323975"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00">
              <a:latin typeface="Times New Roman" pitchFamily="18" charset="0"/>
              <a:cs typeface="Times New Roman" pitchFamily="18" charset="0"/>
            </a:rPr>
            <a:t>Fuente: Cuadro</a:t>
          </a:r>
          <a:r>
            <a:rPr lang="es-CR" sz="1000" baseline="0">
              <a:latin typeface="Times New Roman" pitchFamily="18" charset="0"/>
              <a:cs typeface="Times New Roman" pitchFamily="18" charset="0"/>
            </a:rPr>
            <a:t> RH3</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0.0467</cdr:x>
      <cdr:y>0.81421</cdr:y>
    </cdr:from>
    <cdr:to>
      <cdr:x>0.19666</cdr:x>
      <cdr:y>0.92665</cdr:y>
    </cdr:to>
    <cdr:sp macro="" textlink="">
      <cdr:nvSpPr>
        <cdr:cNvPr id="8" name="7 CuadroTexto"/>
        <cdr:cNvSpPr txBox="1"/>
      </cdr:nvSpPr>
      <cdr:spPr>
        <a:xfrm xmlns:a="http://schemas.openxmlformats.org/drawingml/2006/main">
          <a:off x="295275" y="4086225"/>
          <a:ext cx="914400" cy="5524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userShapes>
</file>

<file path=xl/drawings/drawing60.xml><?xml version="1.0" encoding="utf-8"?>
<c:userShapes xmlns:c="http://schemas.openxmlformats.org/drawingml/2006/chart">
  <cdr:relSizeAnchor xmlns:cdr="http://schemas.openxmlformats.org/drawingml/2006/chartDrawing">
    <cdr:from>
      <cdr:x>0.23406</cdr:x>
      <cdr:y>0.01826</cdr:y>
    </cdr:from>
    <cdr:to>
      <cdr:x>0.80938</cdr:x>
      <cdr:y>0.08346</cdr:y>
    </cdr:to>
    <cdr:sp macro="" textlink="">
      <cdr:nvSpPr>
        <cdr:cNvPr id="2" name="1 CuadroTexto"/>
        <cdr:cNvSpPr txBox="1"/>
      </cdr:nvSpPr>
      <cdr:spPr>
        <a:xfrm xmlns:a="http://schemas.openxmlformats.org/drawingml/2006/main">
          <a:off x="1581295" y="100182"/>
          <a:ext cx="3990830" cy="3672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0.22227</cdr:x>
      <cdr:y>0.07383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a:t>
          </a:r>
        </a:p>
      </cdr:txBody>
    </cdr:sp>
  </cdr:relSizeAnchor>
  <cdr:relSizeAnchor xmlns:cdr="http://schemas.openxmlformats.org/drawingml/2006/chartDrawing">
    <cdr:from>
      <cdr:x>0.04274</cdr:x>
      <cdr:y>0.80968</cdr:y>
    </cdr:from>
    <cdr:to>
      <cdr:x>0.17662</cdr:x>
      <cdr:y>0.87595</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0.01545</cdr:x>
      <cdr:y>0.93024</cdr:y>
    </cdr:from>
    <cdr:to>
      <cdr:x>0.25197</cdr:x>
      <cdr:y>0.97997</cdr:y>
    </cdr:to>
    <cdr:sp macro="" textlink="">
      <cdr:nvSpPr>
        <cdr:cNvPr id="5" name="4 CuadroTexto"/>
        <cdr:cNvSpPr txBox="1"/>
      </cdr:nvSpPr>
      <cdr:spPr>
        <a:xfrm xmlns:a="http://schemas.openxmlformats.org/drawingml/2006/main">
          <a:off x="104773" y="4362451"/>
          <a:ext cx="1628775" cy="2381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0</xdr:colOff>
      <xdr:row>0</xdr:row>
      <xdr:rowOff>6350</xdr:rowOff>
    </xdr:from>
    <xdr:to>
      <xdr:col>9</xdr:col>
      <xdr:colOff>0</xdr:colOff>
      <xdr:row>30</xdr:row>
      <xdr:rowOff>95250</xdr:rowOff>
    </xdr:to>
    <xdr:graphicFrame macro="">
      <xdr:nvGraphicFramePr>
        <xdr:cNvPr id="3" name="5 Gráfico">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0.22888</cdr:x>
      <cdr:y>0.01826</cdr:y>
    </cdr:from>
    <cdr:to>
      <cdr:x>0.80163</cdr:x>
      <cdr:y>0.08542</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0.01219</cdr:y>
    </cdr:from>
    <cdr:to>
      <cdr:x>0.21636</cdr:x>
      <cdr:y>0.0753</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D7.1</a:t>
          </a:r>
        </a:p>
      </cdr:txBody>
    </cdr:sp>
  </cdr:relSizeAnchor>
  <cdr:relSizeAnchor xmlns:cdr="http://schemas.openxmlformats.org/drawingml/2006/chartDrawing">
    <cdr:from>
      <cdr:x>0.04027</cdr:x>
      <cdr:y>0.80993</cdr:y>
    </cdr:from>
    <cdr:to>
      <cdr:x>0.17022</cdr:x>
      <cdr:y>0.87669</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0.9389</cdr:y>
    </cdr:from>
    <cdr:to>
      <cdr:x>0.16319</cdr:x>
      <cdr:y>0.98839</cdr:y>
    </cdr:to>
    <cdr:sp macro="" textlink="">
      <cdr:nvSpPr>
        <cdr:cNvPr id="5" name="4 CuadroTexto"/>
        <cdr:cNvSpPr txBox="1"/>
      </cdr:nvSpPr>
      <cdr:spPr>
        <a:xfrm xmlns:a="http://schemas.openxmlformats.org/drawingml/2006/main">
          <a:off x="104711" y="5562586"/>
          <a:ext cx="1038289" cy="2931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D17</a:t>
          </a:r>
        </a:p>
      </cdr:txBody>
    </cdr:sp>
  </cdr:relSizeAnchor>
  <cdr:relSizeAnchor xmlns:cdr="http://schemas.openxmlformats.org/drawingml/2006/chartDrawing">
    <cdr:from>
      <cdr:x>0.19492</cdr:x>
      <cdr:y>0.84566</cdr:y>
    </cdr:from>
    <cdr:to>
      <cdr:x>0.55122</cdr:x>
      <cdr:y>1</cdr:y>
    </cdr:to>
    <cdr:sp macro="" textlink="">
      <cdr:nvSpPr>
        <cdr:cNvPr id="6" name="CuadroTexto 5"/>
        <cdr:cNvSpPr txBox="1"/>
      </cdr:nvSpPr>
      <cdr:spPr>
        <a:xfrm xmlns:a="http://schemas.openxmlformats.org/drawingml/2006/main">
          <a:off x="1365250" y="5010150"/>
          <a:ext cx="249555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0.24023</cdr:x>
      <cdr:y>0.92607</cdr:y>
    </cdr:from>
    <cdr:to>
      <cdr:x>0.61976</cdr:x>
      <cdr:y>0.99444</cdr:y>
    </cdr:to>
    <cdr:sp macro="" textlink="">
      <cdr:nvSpPr>
        <cdr:cNvPr id="7" name="CuadroTexto 6"/>
        <cdr:cNvSpPr txBox="1"/>
      </cdr:nvSpPr>
      <cdr:spPr>
        <a:xfrm xmlns:a="http://schemas.openxmlformats.org/drawingml/2006/main">
          <a:off x="1674985" y="5292481"/>
          <a:ext cx="2646190" cy="3907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anose="02020603050405020304" pitchFamily="18" charset="0"/>
              <a:cs typeface="Times New Roman" panose="02020603050405020304" pitchFamily="18" charset="0"/>
            </a:rPr>
            <a:t>Nota:</a:t>
          </a:r>
          <a:r>
            <a:rPr lang="es-CR" sz="800" baseline="0">
              <a:latin typeface="Times New Roman" panose="02020603050405020304" pitchFamily="18" charset="0"/>
              <a:cs typeface="Times New Roman" panose="02020603050405020304" pitchFamily="18" charset="0"/>
            </a:rPr>
            <a:t> En Sedes Regionales se incluyen 35 graduados de la</a:t>
          </a:r>
        </a:p>
        <a:p xmlns:a="http://schemas.openxmlformats.org/drawingml/2006/main">
          <a:r>
            <a:rPr lang="es-CR" sz="800" baseline="0">
              <a:latin typeface="Times New Roman" panose="02020603050405020304" pitchFamily="18" charset="0"/>
              <a:cs typeface="Times New Roman" panose="02020603050405020304" pitchFamily="18" charset="0"/>
            </a:rPr>
            <a:t> Sede de Golfito y 83 de la Sede Interuniversitaria de Alajuela</a:t>
          </a:r>
          <a:endParaRPr lang="es-CR" sz="800">
            <a:latin typeface="Times New Roman" panose="02020603050405020304" pitchFamily="18" charset="0"/>
            <a:cs typeface="Times New Roman" panose="02020603050405020304" pitchFamily="18"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717550</xdr:colOff>
      <xdr:row>27</xdr:row>
      <xdr:rowOff>44450</xdr:rowOff>
    </xdr:to>
    <xdr:graphicFrame macro="">
      <xdr:nvGraphicFramePr>
        <xdr:cNvPr id="3" name="2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cdr:x>
      <cdr:y>0.09349</cdr:y>
    </cdr:from>
    <cdr:to>
      <cdr:x>1</cdr:x>
      <cdr:y>0.24578</cdr:y>
    </cdr:to>
    <cdr:sp macro="" textlink="">
      <cdr:nvSpPr>
        <cdr:cNvPr id="2" name="1 CuadroTexto"/>
        <cdr:cNvSpPr txBox="1"/>
      </cdr:nvSpPr>
      <cdr:spPr>
        <a:xfrm xmlns:a="http://schemas.openxmlformats.org/drawingml/2006/main">
          <a:off x="0" y="489168"/>
          <a:ext cx="6851650" cy="7968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 títulos otorgados</a:t>
          </a:r>
          <a:r>
            <a:rPr lang="es-CR" sz="1800" baseline="0">
              <a:latin typeface="Times New Roman" pitchFamily="18" charset="0"/>
              <a:cs typeface="Times New Roman" pitchFamily="18" charset="0"/>
            </a:rPr>
            <a:t> en el</a:t>
          </a:r>
          <a:r>
            <a:rPr lang="es-CR" sz="1800">
              <a:latin typeface="Times New Roman" pitchFamily="18" charset="0"/>
              <a:cs typeface="Times New Roman" pitchFamily="18" charset="0"/>
            </a:rPr>
            <a:t> </a:t>
          </a:r>
        </a:p>
        <a:p xmlns:a="http://schemas.openxmlformats.org/drawingml/2006/main">
          <a:pPr algn="ctr">
            <a:lnSpc>
              <a:spcPts val="1600"/>
            </a:lnSpc>
          </a:pPr>
          <a:r>
            <a:rPr lang="es-CR" sz="1800">
              <a:latin typeface="Times New Roman" pitchFamily="18" charset="0"/>
              <a:cs typeface="Times New Roman" pitchFamily="18" charset="0"/>
            </a:rPr>
            <a:t>             Sistema de Estudios de Posgrado de la U.C.R. </a:t>
          </a:r>
        </a:p>
      </cdr:txBody>
    </cdr:sp>
  </cdr:relSizeAnchor>
  <cdr:relSizeAnchor xmlns:cdr="http://schemas.openxmlformats.org/drawingml/2006/chartDrawing">
    <cdr:from>
      <cdr:x>0.68934</cdr:x>
      <cdr:y>0.5188</cdr:y>
    </cdr:from>
    <cdr:to>
      <cdr:x>0.79075</cdr:x>
      <cdr:y>0.56362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0.9192</cdr:y>
    </cdr:from>
    <cdr:to>
      <cdr:x>0.25076</cdr:x>
      <cdr:y>0.98031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D18</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0.01679</cdr:y>
    </cdr:from>
    <cdr:to>
      <cdr:x>0.22483</cdr:x>
      <cdr:y>0.10776</cdr:y>
    </cdr:to>
    <cdr:sp macro="" textlink="">
      <cdr:nvSpPr>
        <cdr:cNvPr id="6" name="5 CuadroTexto"/>
        <cdr:cNvSpPr txBox="1"/>
      </cdr:nvSpPr>
      <cdr:spPr>
        <a:xfrm xmlns:a="http://schemas.openxmlformats.org/drawingml/2006/main">
          <a:off x="73847" y="72943"/>
          <a:ext cx="1450638" cy="3940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D8</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749300</xdr:colOff>
      <xdr:row>29</xdr:row>
      <xdr:rowOff>57150</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0.22784</cdr:x>
      <cdr:y>0.01773</cdr:y>
    </cdr:from>
    <cdr:to>
      <cdr:x>0.89001</cdr:x>
      <cdr:y>0.08601</cdr:y>
    </cdr:to>
    <cdr:sp macro="" textlink="">
      <cdr:nvSpPr>
        <cdr:cNvPr id="121857" name="1 CuadroTexto"/>
        <cdr:cNvSpPr txBox="1">
          <a:spLocks xmlns:a="http://schemas.openxmlformats.org/drawingml/2006/main" noChangeArrowheads="1"/>
        </cdr:cNvSpPr>
      </cdr:nvSpPr>
      <cdr:spPr bwMode="auto">
        <a:xfrm xmlns:a="http://schemas.openxmlformats.org/drawingml/2006/main">
          <a:off x="1574109" y="99578"/>
          <a:ext cx="4532734" cy="3698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6576" rIns="0" bIns="0" anchor="t" upright="1"/>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0.00946</cdr:x>
      <cdr:y>0.01244</cdr:y>
    </cdr:from>
    <cdr:to>
      <cdr:x>0.21611</cdr:x>
      <cdr:y>0.07605</cdr:y>
    </cdr:to>
    <cdr:sp macro="" textlink="">
      <cdr:nvSpPr>
        <cdr:cNvPr id="3" name="2 CuadroTexto"/>
        <cdr:cNvSpPr txBox="1"/>
      </cdr:nvSpPr>
      <cdr:spPr>
        <a:xfrm xmlns:a="http://schemas.openxmlformats.org/drawingml/2006/main">
          <a:off x="65566" y="66864"/>
          <a:ext cx="1441482" cy="3449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D8.1</a:t>
          </a:r>
        </a:p>
      </cdr:txBody>
    </cdr:sp>
  </cdr:relSizeAnchor>
  <cdr:relSizeAnchor xmlns:cdr="http://schemas.openxmlformats.org/drawingml/2006/chartDrawing">
    <cdr:from>
      <cdr:x>0.04051</cdr:x>
      <cdr:y>0.81164</cdr:y>
    </cdr:from>
    <cdr:to>
      <cdr:x>0.17169</cdr:x>
      <cdr:y>0.87694</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0.01495</cdr:x>
      <cdr:y>0.93915</cdr:y>
    </cdr:from>
    <cdr:to>
      <cdr:x>0.17452</cdr:x>
      <cdr:y>0.98839</cdr:y>
    </cdr:to>
    <cdr:sp macro="" textlink="">
      <cdr:nvSpPr>
        <cdr:cNvPr id="5" name="4 CuadroTexto"/>
        <cdr:cNvSpPr txBox="1"/>
      </cdr:nvSpPr>
      <cdr:spPr>
        <a:xfrm xmlns:a="http://schemas.openxmlformats.org/drawingml/2006/main">
          <a:off x="102954" y="5153419"/>
          <a:ext cx="1097196" cy="27869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D18</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755650</xdr:colOff>
      <xdr:row>26</xdr:row>
      <xdr:rowOff>107950</xdr:rowOff>
    </xdr:to>
    <xdr:graphicFrame macro="">
      <xdr:nvGraphicFramePr>
        <xdr:cNvPr id="3" name="2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cdr:x>
      <cdr:y>0.09406</cdr:y>
    </cdr:from>
    <cdr:to>
      <cdr:x>1</cdr:x>
      <cdr:y>0.24905</cdr:y>
    </cdr:to>
    <cdr:sp macro="" textlink="">
      <cdr:nvSpPr>
        <cdr:cNvPr id="2" name="1 CuadroTexto"/>
        <cdr:cNvSpPr txBox="1"/>
      </cdr:nvSpPr>
      <cdr:spPr>
        <a:xfrm xmlns:a="http://schemas.openxmlformats.org/drawingml/2006/main">
          <a:off x="0" y="488640"/>
          <a:ext cx="6810374" cy="80708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títulos otorgados</a:t>
          </a:r>
          <a:endParaRPr lang="es-CR" sz="1800">
            <a:latin typeface="Times New Roman" pitchFamily="18" charset="0"/>
            <a:cs typeface="Times New Roman" pitchFamily="18" charset="0"/>
          </a:endParaRPr>
        </a:p>
        <a:p xmlns:a="http://schemas.openxmlformats.org/drawingml/2006/main">
          <a:pPr algn="ctr">
            <a:lnSpc>
              <a:spcPts val="1700"/>
            </a:lnSpc>
          </a:pPr>
          <a:r>
            <a:rPr lang="es-CR" sz="1800">
              <a:latin typeface="Times New Roman" pitchFamily="18" charset="0"/>
              <a:cs typeface="Times New Roman" pitchFamily="18" charset="0"/>
            </a:rPr>
            <a:t>        de la U.C.R., según genero. </a:t>
          </a:r>
        </a:p>
      </cdr:txBody>
    </cdr:sp>
  </cdr:relSizeAnchor>
  <cdr:relSizeAnchor xmlns:cdr="http://schemas.openxmlformats.org/drawingml/2006/chartDrawing">
    <cdr:from>
      <cdr:x>0.68811</cdr:x>
      <cdr:y>0.52125</cdr:y>
    </cdr:from>
    <cdr:to>
      <cdr:x>0.78952</cdr:x>
      <cdr:y>0.56533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0.91748</cdr:y>
    </cdr:from>
    <cdr:to>
      <cdr:x>0.25199</cdr:x>
      <cdr:y>0.98669</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t>
          </a:r>
          <a:r>
            <a:rPr lang="es-CR" sz="800" baseline="0">
              <a:latin typeface="Times New Roman" pitchFamily="18" charset="0"/>
              <a:cs typeface="Times New Roman" pitchFamily="18" charset="0"/>
            </a:rPr>
            <a:t>D19</a:t>
          </a:r>
          <a:endParaRPr lang="es-CR" sz="800">
            <a:latin typeface="Times New Roman" pitchFamily="18" charset="0"/>
            <a:cs typeface="Times New Roman" pitchFamily="18" charset="0"/>
          </a:endParaRPr>
        </a:p>
      </cdr:txBody>
    </cdr:sp>
  </cdr:relSizeAnchor>
  <cdr:relSizeAnchor xmlns:cdr="http://schemas.openxmlformats.org/drawingml/2006/chartDrawing">
    <cdr:from>
      <cdr:x>0.01095</cdr:x>
      <cdr:y>0.02621</cdr:y>
    </cdr:from>
    <cdr:to>
      <cdr:x>0.18741</cdr:x>
      <cdr:y>0.11963</cdr:y>
    </cdr:to>
    <cdr:sp macro="" textlink="">
      <cdr:nvSpPr>
        <cdr:cNvPr id="6" name="5 CuadroTexto"/>
        <cdr:cNvSpPr txBox="1"/>
      </cdr:nvSpPr>
      <cdr:spPr>
        <a:xfrm xmlns:a="http://schemas.openxmlformats.org/drawingml/2006/main">
          <a:off x="74574" y="137183"/>
          <a:ext cx="1201775" cy="483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700">
              <a:latin typeface="Times New Roman" pitchFamily="18" charset="0"/>
              <a:cs typeface="Times New Roman" pitchFamily="18" charset="0"/>
            </a:rPr>
            <a:t>Gráfico D9</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120650</xdr:colOff>
      <xdr:row>30</xdr:row>
      <xdr:rowOff>6350</xdr:rowOff>
    </xdr:to>
    <xdr:graphicFrame macro="">
      <xdr:nvGraphicFramePr>
        <xdr:cNvPr id="4" name="2 Gráfico">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5</xdr:row>
      <xdr:rowOff>0</xdr:rowOff>
    </xdr:from>
    <xdr:to>
      <xdr:col>0</xdr:col>
      <xdr:colOff>1320800</xdr:colOff>
      <xdr:row>8</xdr:row>
      <xdr:rowOff>152400</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666750</xdr:colOff>
      <xdr:row>5</xdr:row>
      <xdr:rowOff>0</xdr:rowOff>
    </xdr:from>
    <xdr:to>
      <xdr:col>0</xdr:col>
      <xdr:colOff>1320800</xdr:colOff>
      <xdr:row>8</xdr:row>
      <xdr:rowOff>152400</xdr:rowOff>
    </xdr:to>
    <xdr:sp macro="" textlink="">
      <xdr:nvSpPr>
        <xdr:cNvPr id="3" name="Line 8">
          <a:extLst>
            <a:ext uri="{FF2B5EF4-FFF2-40B4-BE49-F238E27FC236}">
              <a16:creationId xmlns:a16="http://schemas.microsoft.com/office/drawing/2014/main" id="{00000000-0008-0000-0800-000003000000}"/>
            </a:ext>
          </a:extLst>
        </xdr:cNvPr>
        <xdr:cNvSpPr>
          <a:spLocks noChangeShapeType="1"/>
        </xdr:cNvSpPr>
      </xdr:nvSpPr>
      <xdr:spPr bwMode="auto">
        <a:xfrm>
          <a:off x="666750" y="647700"/>
          <a:ext cx="65405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0.xml><?xml version="1.0" encoding="utf-8"?>
<c:userShapes xmlns:c="http://schemas.openxmlformats.org/drawingml/2006/chart">
  <cdr:relSizeAnchor xmlns:cdr="http://schemas.openxmlformats.org/drawingml/2006/chartDrawing">
    <cdr:from>
      <cdr:x>0.00025</cdr:x>
      <cdr:y>0.12955</cdr:y>
    </cdr:from>
    <cdr:to>
      <cdr:x>0.00025</cdr:x>
      <cdr:y>0.1347</cdr:y>
    </cdr:to>
    <cdr:sp macro="" textlink="">
      <cdr:nvSpPr>
        <cdr:cNvPr id="2" name="1 CuadroTexto"/>
        <cdr:cNvSpPr txBox="1"/>
      </cdr:nvSpPr>
      <cdr:spPr>
        <a:xfrm xmlns:a="http://schemas.openxmlformats.org/drawingml/2006/main">
          <a:off x="0" y="523575"/>
          <a:ext cx="6810375" cy="6935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a:t>
          </a:r>
        </a:p>
        <a:p xmlns:a="http://schemas.openxmlformats.org/drawingml/2006/main">
          <a:pPr algn="ctr"/>
          <a:r>
            <a:rPr lang="es-CR" sz="1800">
              <a:latin typeface="Times New Roman" pitchFamily="18" charset="0"/>
              <a:cs typeface="Times New Roman" pitchFamily="18" charset="0"/>
            </a:rPr>
            <a:t>de Investigación </a:t>
          </a:r>
        </a:p>
      </cdr:txBody>
    </cdr:sp>
  </cdr:relSizeAnchor>
  <cdr:relSizeAnchor xmlns:cdr="http://schemas.openxmlformats.org/drawingml/2006/chartDrawing">
    <cdr:from>
      <cdr:x>0.68885</cdr:x>
      <cdr:y>0.51759</cdr:y>
    </cdr:from>
    <cdr:to>
      <cdr:x>0.79051</cdr:x>
      <cdr:y>0.56339</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0.03176</cdr:x>
      <cdr:y>0.91626</cdr:y>
    </cdr:from>
    <cdr:to>
      <cdr:x>0.25051</cdr:x>
      <cdr:y>0.9786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0.22936</cdr:x>
      <cdr:y>0.08497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I-1</a:t>
          </a:r>
        </a:p>
      </cdr:txBody>
    </cdr:sp>
  </cdr:relSizeAnchor>
  <cdr:relSizeAnchor xmlns:cdr="http://schemas.openxmlformats.org/drawingml/2006/chartDrawing">
    <cdr:from>
      <cdr:x>0.014</cdr:x>
      <cdr:y>0.09901</cdr:y>
    </cdr:from>
    <cdr:to>
      <cdr:x>1</cdr:x>
      <cdr:y>0.24154</cdr:y>
    </cdr:to>
    <cdr:sp macro="" textlink="">
      <cdr:nvSpPr>
        <cdr:cNvPr id="7" name="1 CuadroTexto"/>
        <cdr:cNvSpPr txBox="1"/>
      </cdr:nvSpPr>
      <cdr:spPr>
        <a:xfrm xmlns:a="http://schemas.openxmlformats.org/drawingml/2006/main">
          <a:off x="95317" y="488950"/>
          <a:ext cx="6715058" cy="701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 Programa </a:t>
          </a:r>
        </a:p>
        <a:p xmlns:a="http://schemas.openxmlformats.org/drawingml/2006/main">
          <a:pPr algn="ctr"/>
          <a:r>
            <a:rPr lang="es-CR" sz="1800">
              <a:latin typeface="Times New Roman" pitchFamily="18" charset="0"/>
              <a:cs typeface="Times New Roman" pitchFamily="18" charset="0"/>
            </a:rPr>
            <a:t>de Investigación</a:t>
          </a: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485775</xdr:colOff>
      <xdr:row>4</xdr:row>
      <xdr:rowOff>9525</xdr:rowOff>
    </xdr:from>
    <xdr:to>
      <xdr:col>0</xdr:col>
      <xdr:colOff>981075</xdr:colOff>
      <xdr:row>8</xdr:row>
      <xdr:rowOff>9525</xdr:rowOff>
    </xdr:to>
    <xdr:sp macro="" textlink="">
      <xdr:nvSpPr>
        <xdr:cNvPr id="2" name="Line 5">
          <a:extLst>
            <a:ext uri="{FF2B5EF4-FFF2-40B4-BE49-F238E27FC236}">
              <a16:creationId xmlns:a16="http://schemas.microsoft.com/office/drawing/2014/main" id="{00000000-0008-0000-4200-000002000000}"/>
            </a:ext>
          </a:extLst>
        </xdr:cNvPr>
        <xdr:cNvSpPr>
          <a:spLocks noChangeShapeType="1"/>
        </xdr:cNvSpPr>
      </xdr:nvSpPr>
      <xdr:spPr bwMode="auto">
        <a:xfrm>
          <a:off x="485775" y="666750"/>
          <a:ext cx="495300" cy="676275"/>
        </a:xfrm>
        <a:prstGeom prst="line">
          <a:avLst/>
        </a:prstGeom>
        <a:noFill/>
        <a:ln w="9525">
          <a:solidFill>
            <a:srgbClr val="000000"/>
          </a:solidFill>
          <a:round/>
          <a:headEnd/>
          <a:tailEnd/>
        </a:ln>
      </xdr:spPr>
    </xdr:sp>
    <xdr:clientData/>
  </xdr:twoCellAnchor>
  <xdr:twoCellAnchor>
    <xdr:from>
      <xdr:col>0</xdr:col>
      <xdr:colOff>485775</xdr:colOff>
      <xdr:row>4</xdr:row>
      <xdr:rowOff>9525</xdr:rowOff>
    </xdr:from>
    <xdr:to>
      <xdr:col>0</xdr:col>
      <xdr:colOff>981075</xdr:colOff>
      <xdr:row>8</xdr:row>
      <xdr:rowOff>9525</xdr:rowOff>
    </xdr:to>
    <xdr:sp macro="" textlink="">
      <xdr:nvSpPr>
        <xdr:cNvPr id="3" name="Line 5">
          <a:extLst>
            <a:ext uri="{FF2B5EF4-FFF2-40B4-BE49-F238E27FC236}">
              <a16:creationId xmlns:a16="http://schemas.microsoft.com/office/drawing/2014/main" id="{00000000-0008-0000-4200-000003000000}"/>
            </a:ext>
          </a:extLst>
        </xdr:cNvPr>
        <xdr:cNvSpPr>
          <a:spLocks noChangeShapeType="1"/>
        </xdr:cNvSpPr>
      </xdr:nvSpPr>
      <xdr:spPr bwMode="auto">
        <a:xfrm>
          <a:off x="485775" y="657225"/>
          <a:ext cx="495300" cy="673100"/>
        </a:xfrm>
        <a:prstGeom prst="line">
          <a:avLst/>
        </a:prstGeom>
        <a:no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69850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cdr:x>
      <cdr:y>0.07747</cdr:y>
    </cdr:from>
    <cdr:to>
      <cdr:x>0.00739</cdr:x>
      <cdr:y>0.08211</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p>
        <a:p xmlns:a="http://schemas.openxmlformats.org/drawingml/2006/main">
          <a:pPr algn="ctr"/>
          <a:r>
            <a:rPr lang="es-CR" sz="1800" baseline="0">
              <a:latin typeface="Times New Roman" pitchFamily="18" charset="0"/>
              <a:cs typeface="Times New Roman" pitchFamily="18" charset="0"/>
            </a:rPr>
            <a:t> de Investigación</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0.68786</cdr:x>
      <cdr:y>0.52026</cdr:y>
    </cdr:from>
    <cdr:to>
      <cdr:x>0.78927</cdr:x>
      <cdr:y>0.5641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0.01246</cdr:x>
      <cdr:y>0.89147</cdr:y>
    </cdr:from>
    <cdr:to>
      <cdr:x>0.71204</cdr:x>
      <cdr:y>0.99658</cdr:y>
    </cdr:to>
    <cdr:sp macro="" textlink="">
      <cdr:nvSpPr>
        <cdr:cNvPr id="4" name="3 CuadroTexto"/>
        <cdr:cNvSpPr txBox="1"/>
      </cdr:nvSpPr>
      <cdr:spPr>
        <a:xfrm xmlns:a="http://schemas.openxmlformats.org/drawingml/2006/main">
          <a:off x="84955" y="4367572"/>
          <a:ext cx="4772795" cy="6235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050">
              <a:latin typeface="Times New Roman" pitchFamily="18" charset="0"/>
              <a:cs typeface="Times New Roman" pitchFamily="18" charset="0"/>
            </a:rPr>
            <a:t>Fuente:</a:t>
          </a:r>
          <a:r>
            <a:rPr lang="es-CR" sz="1050" baseline="0">
              <a:latin typeface="Times New Roman" pitchFamily="18" charset="0"/>
              <a:cs typeface="Times New Roman" pitchFamily="18" charset="0"/>
            </a:rPr>
            <a:t> Cuadro I-2</a:t>
          </a:r>
        </a:p>
        <a:p xmlns:a="http://schemas.openxmlformats.org/drawingml/2006/main">
          <a:endParaRPr lang="es-CR" sz="1100" baseline="0">
            <a:latin typeface="Times New Roman" pitchFamily="18" charset="0"/>
            <a:cs typeface="Times New Roman" pitchFamily="18" charset="0"/>
          </a:endParaRPr>
        </a:p>
        <a:p xmlns:a="http://schemas.openxmlformats.org/drawingml/2006/main">
          <a:r>
            <a:rPr lang="es-CR" sz="1000" baseline="0">
              <a:latin typeface="Times New Roman" pitchFamily="18" charset="0"/>
              <a:cs typeface="Times New Roman" pitchFamily="18" charset="0"/>
            </a:rPr>
            <a:t>Nota: Otros comprende a los proyectos suspendidos, cerrados y reactivaciones.</a:t>
          </a:r>
          <a:endParaRPr lang="es-CR" sz="10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0.23134</cdr:x>
      <cdr:y>0.08667</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I-2</a:t>
          </a:r>
        </a:p>
      </cdr:txBody>
    </cdr:sp>
  </cdr:relSizeAnchor>
  <cdr:relSizeAnchor xmlns:cdr="http://schemas.openxmlformats.org/drawingml/2006/chartDrawing">
    <cdr:from>
      <cdr:x>0.26356</cdr:x>
      <cdr:y>0.08592</cdr:y>
    </cdr:from>
    <cdr:to>
      <cdr:x>0.80762</cdr:x>
      <cdr:y>0.21321</cdr:y>
    </cdr:to>
    <cdr:pic>
      <cdr:nvPicPr>
        <cdr:cNvPr id="7" name="chart">
          <a:extLst xmlns:a="http://schemas.openxmlformats.org/drawingml/2006/main">
            <a:ext uri="{FF2B5EF4-FFF2-40B4-BE49-F238E27FC236}">
              <a16:creationId xmlns:a16="http://schemas.microsoft.com/office/drawing/2014/main" id="{897CD4EA-F97D-D740-8138-7E901DE271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790723" y="419122"/>
          <a:ext cx="3718892" cy="621842"/>
        </a:xfrm>
        <a:prstGeom xmlns:a="http://schemas.openxmlformats.org/drawingml/2006/main" prst="rect">
          <a:avLst/>
        </a:prstGeom>
      </cdr:spPr>
    </cdr:pic>
  </cdr:relSizeAnchor>
</c:userShapes>
</file>

<file path=xl/drawings/drawing74.xml><?xml version="1.0" encoding="utf-8"?>
<xdr:wsDr xmlns:xdr="http://schemas.openxmlformats.org/drawingml/2006/spreadsheetDrawing" xmlns:a="http://schemas.openxmlformats.org/drawingml/2006/main">
  <xdr:twoCellAnchor>
    <xdr:from>
      <xdr:col>0</xdr:col>
      <xdr:colOff>800100</xdr:colOff>
      <xdr:row>6</xdr:row>
      <xdr:rowOff>0</xdr:rowOff>
    </xdr:from>
    <xdr:to>
      <xdr:col>0</xdr:col>
      <xdr:colOff>1285875</xdr:colOff>
      <xdr:row>9</xdr:row>
      <xdr:rowOff>9525</xdr:rowOff>
    </xdr:to>
    <xdr:sp macro="" textlink="">
      <xdr:nvSpPr>
        <xdr:cNvPr id="2" name="Line 6">
          <a:extLst>
            <a:ext uri="{FF2B5EF4-FFF2-40B4-BE49-F238E27FC236}">
              <a16:creationId xmlns:a16="http://schemas.microsoft.com/office/drawing/2014/main" id="{00000000-0008-0000-4400-000002000000}"/>
            </a:ext>
          </a:extLst>
        </xdr:cNvPr>
        <xdr:cNvSpPr>
          <a:spLocks noChangeShapeType="1"/>
        </xdr:cNvSpPr>
      </xdr:nvSpPr>
      <xdr:spPr bwMode="auto">
        <a:xfrm>
          <a:off x="800100" y="962025"/>
          <a:ext cx="485775" cy="7524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485775</xdr:colOff>
      <xdr:row>5</xdr:row>
      <xdr:rowOff>9525</xdr:rowOff>
    </xdr:from>
    <xdr:to>
      <xdr:col>0</xdr:col>
      <xdr:colOff>981075</xdr:colOff>
      <xdr:row>9</xdr:row>
      <xdr:rowOff>9525</xdr:rowOff>
    </xdr:to>
    <xdr:sp macro="" textlink="">
      <xdr:nvSpPr>
        <xdr:cNvPr id="2" name="Line 5">
          <a:extLst>
            <a:ext uri="{FF2B5EF4-FFF2-40B4-BE49-F238E27FC236}">
              <a16:creationId xmlns:a16="http://schemas.microsoft.com/office/drawing/2014/main" id="{00000000-0008-0000-4500-000002000000}"/>
            </a:ext>
          </a:extLst>
        </xdr:cNvPr>
        <xdr:cNvSpPr>
          <a:spLocks noChangeShapeType="1"/>
        </xdr:cNvSpPr>
      </xdr:nvSpPr>
      <xdr:spPr bwMode="auto">
        <a:xfrm>
          <a:off x="485775" y="685800"/>
          <a:ext cx="495300" cy="533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26</xdr:row>
      <xdr:rowOff>165100</xdr:rowOff>
    </xdr:to>
    <xdr:graphicFrame macro="">
      <xdr:nvGraphicFramePr>
        <xdr:cNvPr id="3" name="2 Gráfico">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cdr:x>
      <cdr:y>0.07797</cdr:y>
    </cdr:from>
    <cdr:to>
      <cdr:x>0.00739</cdr:x>
      <cdr:y>0.0836</cdr:y>
    </cdr:to>
    <cdr:sp macro="" textlink="">
      <cdr:nvSpPr>
        <cdr:cNvPr id="2" name="1 CuadroTexto"/>
        <cdr:cNvSpPr txBox="1"/>
      </cdr:nvSpPr>
      <cdr:spPr>
        <a:xfrm xmlns:a="http://schemas.openxmlformats.org/drawingml/2006/main">
          <a:off x="0" y="400496"/>
          <a:ext cx="6791325" cy="6948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los</a:t>
          </a:r>
          <a:r>
            <a:rPr lang="es-CR" sz="1800" baseline="0">
              <a:latin typeface="Times New Roman" pitchFamily="18" charset="0"/>
              <a:cs typeface="Times New Roman" pitchFamily="18" charset="0"/>
            </a:rPr>
            <a:t> proyectos</a:t>
          </a:r>
          <a:endParaRPr lang="es-CR" sz="1800">
            <a:latin typeface="Times New Roman" pitchFamily="18" charset="0"/>
            <a:cs typeface="Times New Roman" pitchFamily="18" charset="0"/>
          </a:endParaRPr>
        </a:p>
        <a:p xmlns:a="http://schemas.openxmlformats.org/drawingml/2006/main">
          <a:pPr algn="ctr"/>
          <a:r>
            <a:rPr lang="es-CR" sz="1800">
              <a:latin typeface="Times New Roman" pitchFamily="18" charset="0"/>
              <a:cs typeface="Times New Roman" pitchFamily="18" charset="0"/>
            </a:rPr>
            <a:t>de Investigación según</a:t>
          </a:r>
          <a:r>
            <a:rPr lang="es-CR" sz="1800" baseline="0">
              <a:latin typeface="Times New Roman" pitchFamily="18" charset="0"/>
              <a:cs typeface="Times New Roman" pitchFamily="18" charset="0"/>
            </a:rPr>
            <a:t> tipo.</a:t>
          </a:r>
          <a:endParaRPr lang="es-CR" sz="1800">
            <a:latin typeface="Times New Roman" pitchFamily="18" charset="0"/>
            <a:cs typeface="Times New Roman" pitchFamily="18" charset="0"/>
          </a:endParaRPr>
        </a:p>
      </cdr:txBody>
    </cdr:sp>
  </cdr:relSizeAnchor>
  <cdr:relSizeAnchor xmlns:cdr="http://schemas.openxmlformats.org/drawingml/2006/chartDrawing">
    <cdr:from>
      <cdr:x>0.6886</cdr:x>
      <cdr:y>0.52222</cdr:y>
    </cdr:from>
    <cdr:to>
      <cdr:x>0.79001</cdr:x>
      <cdr:y>0.56703</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0.92088</cdr:y>
    </cdr:from>
    <cdr:to>
      <cdr:x>0.25174</cdr:x>
      <cdr:y>0.98936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I-4</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0.02149</cdr:y>
    </cdr:from>
    <cdr:to>
      <cdr:x>0.23035</cdr:x>
      <cdr:y>0.08643</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I-3</a:t>
          </a:r>
        </a:p>
      </cdr:txBody>
    </cdr:sp>
  </cdr:relSizeAnchor>
  <cdr:relSizeAnchor xmlns:cdr="http://schemas.openxmlformats.org/drawingml/2006/chartDrawing">
    <cdr:from>
      <cdr:x>0</cdr:x>
      <cdr:y>0</cdr:y>
    </cdr:from>
    <cdr:to>
      <cdr:x>0.00358</cdr:x>
      <cdr:y>0.00493</cdr:y>
    </cdr:to>
    <cdr:pic>
      <cdr:nvPicPr>
        <cdr:cNvPr id="7" name="chart">
          <a:extLst xmlns:a="http://schemas.openxmlformats.org/drawingml/2006/main">
            <a:ext uri="{FF2B5EF4-FFF2-40B4-BE49-F238E27FC236}">
              <a16:creationId xmlns:a16="http://schemas.microsoft.com/office/drawing/2014/main" id="{32731B88-EB67-CB45-B803-57870C3463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8" name="chart">
          <a:extLst xmlns:a="http://schemas.openxmlformats.org/drawingml/2006/main">
            <a:ext uri="{FF2B5EF4-FFF2-40B4-BE49-F238E27FC236}">
              <a16:creationId xmlns:a16="http://schemas.microsoft.com/office/drawing/2014/main" id="{D768EDB9-80DB-204B-ADC4-6A6F16A643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9" name="chart">
          <a:extLst xmlns:a="http://schemas.openxmlformats.org/drawingml/2006/main">
            <a:ext uri="{FF2B5EF4-FFF2-40B4-BE49-F238E27FC236}">
              <a16:creationId xmlns:a16="http://schemas.microsoft.com/office/drawing/2014/main" id="{14D872F5-435F-7C4C-AB46-70ACAA71C38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0" name="chart">
          <a:extLst xmlns:a="http://schemas.openxmlformats.org/drawingml/2006/main">
            <a:ext uri="{FF2B5EF4-FFF2-40B4-BE49-F238E27FC236}">
              <a16:creationId xmlns:a16="http://schemas.microsoft.com/office/drawing/2014/main" id="{1CC0E4BF-BE74-9D4B-A2B9-CD90D22F9CD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0.00358</cdr:x>
      <cdr:y>0.00493</cdr:y>
    </cdr:to>
    <cdr:pic>
      <cdr:nvPicPr>
        <cdr:cNvPr id="11" name="chart">
          <a:extLst xmlns:a="http://schemas.openxmlformats.org/drawingml/2006/main">
            <a:ext uri="{FF2B5EF4-FFF2-40B4-BE49-F238E27FC236}">
              <a16:creationId xmlns:a16="http://schemas.microsoft.com/office/drawing/2014/main" id="{1DC049F4-E651-0846-9180-1F1C1104C9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0.15642</cdr:x>
      <cdr:y>0.08778</cdr:y>
    </cdr:from>
    <cdr:to>
      <cdr:x>0.96089</cdr:x>
      <cdr:y>0.2162</cdr:y>
    </cdr:to>
    <cdr:sp macro="" textlink="">
      <cdr:nvSpPr>
        <cdr:cNvPr id="12" name="11 CuadroTexto"/>
        <cdr:cNvSpPr txBox="1"/>
      </cdr:nvSpPr>
      <cdr:spPr>
        <a:xfrm xmlns:a="http://schemas.openxmlformats.org/drawingml/2006/main">
          <a:off x="1066769" y="425851"/>
          <a:ext cx="5486405" cy="62301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lnSpc>
              <a:spcPts val="2000"/>
            </a:lnSpc>
          </a:pPr>
          <a:r>
            <a:rPr lang="es-ES" sz="2000">
              <a:latin typeface="Times New Roman" pitchFamily="18" charset="0"/>
              <a:cs typeface="Times New Roman" pitchFamily="18" charset="0"/>
            </a:rPr>
            <a:t>Distribución</a:t>
          </a:r>
          <a:r>
            <a:rPr lang="es-ES" sz="2000" baseline="0">
              <a:latin typeface="Times New Roman" pitchFamily="18" charset="0"/>
              <a:cs typeface="Times New Roman" pitchFamily="18" charset="0"/>
            </a:rPr>
            <a:t> relativa de los proyectos</a:t>
          </a:r>
        </a:p>
        <a:p xmlns:a="http://schemas.openxmlformats.org/drawingml/2006/main">
          <a:pPr algn="ctr">
            <a:lnSpc>
              <a:spcPts val="2000"/>
            </a:lnSpc>
          </a:pPr>
          <a:r>
            <a:rPr lang="es-ES" sz="2000" baseline="0">
              <a:latin typeface="Times New Roman" pitchFamily="18" charset="0"/>
              <a:cs typeface="Times New Roman" pitchFamily="18" charset="0"/>
            </a:rPr>
            <a:t> de Investigación según tipo</a:t>
          </a:r>
          <a:endParaRPr lang="es-ES" sz="2000">
            <a:latin typeface="Times New Roman" pitchFamily="18" charset="0"/>
            <a:cs typeface="Times New Roman" pitchFamily="18"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600075</xdr:colOff>
      <xdr:row>6</xdr:row>
      <xdr:rowOff>9525</xdr:rowOff>
    </xdr:from>
    <xdr:to>
      <xdr:col>0</xdr:col>
      <xdr:colOff>1095375</xdr:colOff>
      <xdr:row>11</xdr:row>
      <xdr:rowOff>9525</xdr:rowOff>
    </xdr:to>
    <xdr:sp macro="" textlink="">
      <xdr:nvSpPr>
        <xdr:cNvPr id="2" name="Line 5">
          <a:extLst>
            <a:ext uri="{FF2B5EF4-FFF2-40B4-BE49-F238E27FC236}">
              <a16:creationId xmlns:a16="http://schemas.microsoft.com/office/drawing/2014/main" id="{00000000-0008-0000-4700-000002000000}"/>
            </a:ext>
          </a:extLst>
        </xdr:cNvPr>
        <xdr:cNvSpPr>
          <a:spLocks noChangeShapeType="1"/>
        </xdr:cNvSpPr>
      </xdr:nvSpPr>
      <xdr:spPr bwMode="auto">
        <a:xfrm>
          <a:off x="600075" y="819150"/>
          <a:ext cx="495300" cy="838200"/>
        </a:xfrm>
        <a:prstGeom prst="line">
          <a:avLst/>
        </a:prstGeom>
        <a:noFill/>
        <a:ln w="9525">
          <a:solidFill>
            <a:srgbClr val="000000"/>
          </a:solidFill>
          <a:round/>
          <a:headEnd/>
          <a:tailEnd/>
        </a:ln>
      </xdr:spPr>
    </xdr:sp>
    <xdr:clientData/>
  </xdr:twoCellAnchor>
  <xdr:twoCellAnchor>
    <xdr:from>
      <xdr:col>0</xdr:col>
      <xdr:colOff>600075</xdr:colOff>
      <xdr:row>6</xdr:row>
      <xdr:rowOff>9525</xdr:rowOff>
    </xdr:from>
    <xdr:to>
      <xdr:col>0</xdr:col>
      <xdr:colOff>1095375</xdr:colOff>
      <xdr:row>11</xdr:row>
      <xdr:rowOff>9525</xdr:rowOff>
    </xdr:to>
    <xdr:sp macro="" textlink="">
      <xdr:nvSpPr>
        <xdr:cNvPr id="3" name="Line 5">
          <a:extLst>
            <a:ext uri="{FF2B5EF4-FFF2-40B4-BE49-F238E27FC236}">
              <a16:creationId xmlns:a16="http://schemas.microsoft.com/office/drawing/2014/main" id="{00000000-0008-0000-4700-000003000000}"/>
            </a:ext>
          </a:extLst>
        </xdr:cNvPr>
        <xdr:cNvSpPr>
          <a:spLocks noChangeShapeType="1"/>
        </xdr:cNvSpPr>
      </xdr:nvSpPr>
      <xdr:spPr bwMode="auto">
        <a:xfrm>
          <a:off x="600075" y="803275"/>
          <a:ext cx="495300" cy="831850"/>
        </a:xfrm>
        <a:prstGeom prst="line">
          <a:avLst/>
        </a:prstGeom>
        <a:no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266700</xdr:colOff>
      <xdr:row>29</xdr:row>
      <xdr:rowOff>19050</xdr:rowOff>
    </xdr:to>
    <xdr:graphicFrame macro="">
      <xdr:nvGraphicFramePr>
        <xdr:cNvPr id="3" name="5 Gráfico">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679450</xdr:colOff>
      <xdr:row>5</xdr:row>
      <xdr:rowOff>0</xdr:rowOff>
    </xdr:from>
    <xdr:to>
      <xdr:col>0</xdr:col>
      <xdr:colOff>1066800</xdr:colOff>
      <xdr:row>8</xdr:row>
      <xdr:rowOff>228600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679450</xdr:colOff>
      <xdr:row>5</xdr:row>
      <xdr:rowOff>0</xdr:rowOff>
    </xdr:from>
    <xdr:to>
      <xdr:col>0</xdr:col>
      <xdr:colOff>1066800</xdr:colOff>
      <xdr:row>8</xdr:row>
      <xdr:rowOff>228600</xdr:rowOff>
    </xdr:to>
    <xdr:sp macro="" textlink="">
      <xdr:nvSpPr>
        <xdr:cNvPr id="3" name="Line 1">
          <a:extLst>
            <a:ext uri="{FF2B5EF4-FFF2-40B4-BE49-F238E27FC236}">
              <a16:creationId xmlns:a16="http://schemas.microsoft.com/office/drawing/2014/main" id="{00000000-0008-0000-0900-000003000000}"/>
            </a:ext>
          </a:extLst>
        </xdr:cNvPr>
        <xdr:cNvSpPr>
          <a:spLocks noChangeShapeType="1"/>
        </xdr:cNvSpPr>
      </xdr:nvSpPr>
      <xdr:spPr bwMode="auto">
        <a:xfrm>
          <a:off x="679450" y="882650"/>
          <a:ext cx="387350" cy="9715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0.xml><?xml version="1.0" encoding="utf-8"?>
<c:userShapes xmlns:c="http://schemas.openxmlformats.org/drawingml/2006/chart">
  <cdr:relSizeAnchor xmlns:cdr="http://schemas.openxmlformats.org/drawingml/2006/chartDrawing">
    <cdr:from>
      <cdr:x>0.22962</cdr:x>
      <cdr:y>0.01973</cdr:y>
    </cdr:from>
    <cdr:to>
      <cdr:x>0.80138</cdr:x>
      <cdr:y>0.09917</cdr:y>
    </cdr:to>
    <cdr:sp macro="" textlink="">
      <cdr:nvSpPr>
        <cdr:cNvPr id="2" name="1 CuadroTexto"/>
        <cdr:cNvSpPr txBox="1"/>
      </cdr:nvSpPr>
      <cdr:spPr>
        <a:xfrm xmlns:a="http://schemas.openxmlformats.org/drawingml/2006/main">
          <a:off x="1609723" y="85726"/>
          <a:ext cx="4010026" cy="3143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l" rtl="1">
            <a:defRPr sz="1000"/>
          </a:pPr>
          <a:r>
            <a:rPr lang="es-ES" sz="1800" b="0" i="0" strike="noStrike">
              <a:solidFill>
                <a:srgbClr val="000000"/>
              </a:solidFill>
              <a:latin typeface="Times New Roman"/>
              <a:cs typeface="Times New Roman"/>
            </a:rPr>
            <a:t>Panorama Cuantitativo Universitario 2019</a:t>
          </a:r>
        </a:p>
      </cdr:txBody>
    </cdr:sp>
  </cdr:relSizeAnchor>
  <cdr:relSizeAnchor xmlns:cdr="http://schemas.openxmlformats.org/drawingml/2006/chartDrawing">
    <cdr:from>
      <cdr:x>0.01495</cdr:x>
      <cdr:y>0.02728</cdr:y>
    </cdr:from>
    <cdr:to>
      <cdr:x>0.22283</cdr:x>
      <cdr:y>0.10145</cdr:y>
    </cdr:to>
    <cdr:sp macro="" textlink="">
      <cdr:nvSpPr>
        <cdr:cNvPr id="3" name="2 CuadroTexto"/>
        <cdr:cNvSpPr txBox="1"/>
      </cdr:nvSpPr>
      <cdr:spPr>
        <a:xfrm xmlns:a="http://schemas.openxmlformats.org/drawingml/2006/main">
          <a:off x="104773" y="114301"/>
          <a:ext cx="1457325"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600">
              <a:latin typeface="Times New Roman" pitchFamily="18" charset="0"/>
              <a:cs typeface="Times New Roman" pitchFamily="18" charset="0"/>
            </a:rPr>
            <a:t>Gráfico I-4</a:t>
          </a:r>
        </a:p>
      </cdr:txBody>
    </cdr:sp>
  </cdr:relSizeAnchor>
  <cdr:relSizeAnchor xmlns:cdr="http://schemas.openxmlformats.org/drawingml/2006/chartDrawing">
    <cdr:from>
      <cdr:x>0.04076</cdr:x>
      <cdr:y>0.81214</cdr:y>
    </cdr:from>
    <cdr:to>
      <cdr:x>0.1712</cdr:x>
      <cdr:y>0.87792</cdr:y>
    </cdr:to>
    <cdr:sp macro="" textlink="">
      <cdr:nvSpPr>
        <cdr:cNvPr id="4" name="3 CuadroTexto"/>
        <cdr:cNvSpPr txBox="1"/>
      </cdr:nvSpPr>
      <cdr:spPr>
        <a:xfrm xmlns:a="http://schemas.openxmlformats.org/drawingml/2006/main">
          <a:off x="285749" y="3781425"/>
          <a:ext cx="914400" cy="3238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R"/>
        </a:p>
      </cdr:txBody>
    </cdr:sp>
  </cdr:relSizeAnchor>
  <cdr:relSizeAnchor xmlns:cdr="http://schemas.openxmlformats.org/drawingml/2006/chartDrawing">
    <cdr:from>
      <cdr:x>0.01227</cdr:x>
      <cdr:y>0.94619</cdr:y>
    </cdr:from>
    <cdr:to>
      <cdr:x>0.1689</cdr:x>
      <cdr:y>0.98105</cdr:y>
    </cdr:to>
    <cdr:sp macro="" textlink="">
      <cdr:nvSpPr>
        <cdr:cNvPr id="5" name="4 CuadroTexto"/>
        <cdr:cNvSpPr txBox="1"/>
      </cdr:nvSpPr>
      <cdr:spPr>
        <a:xfrm xmlns:a="http://schemas.openxmlformats.org/drawingml/2006/main">
          <a:off x="87179" y="5156099"/>
          <a:ext cx="1112971" cy="19695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800">
              <a:latin typeface="Times New Roman" pitchFamily="18" charset="0"/>
              <a:cs typeface="Times New Roman" pitchFamily="18" charset="0"/>
            </a:rPr>
            <a:t>Fuente: Cuadro </a:t>
          </a:r>
          <a:r>
            <a:rPr lang="es-CR" sz="800" baseline="0">
              <a:latin typeface="Times New Roman" pitchFamily="18" charset="0"/>
              <a:cs typeface="Times New Roman" pitchFamily="18" charset="0"/>
            </a:rPr>
            <a:t> I-5</a:t>
          </a:r>
          <a:endParaRPr lang="es-CR" sz="800">
            <a:latin typeface="Times New Roman" pitchFamily="18" charset="0"/>
            <a:cs typeface="Times New Roman" pitchFamily="18" charset="0"/>
          </a:endParaRP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3" name="Line 1">
          <a:extLst>
            <a:ext uri="{FF2B5EF4-FFF2-40B4-BE49-F238E27FC236}">
              <a16:creationId xmlns:a16="http://schemas.microsoft.com/office/drawing/2014/main" id="{00000000-0008-0000-4B00-000003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730250</xdr:colOff>
      <xdr:row>5</xdr:row>
      <xdr:rowOff>0</xdr:rowOff>
    </xdr:from>
    <xdr:to>
      <xdr:col>0</xdr:col>
      <xdr:colOff>1149350</xdr:colOff>
      <xdr:row>9</xdr:row>
      <xdr:rowOff>12700</xdr:rowOff>
    </xdr:to>
    <xdr:sp macro="" textlink="">
      <xdr:nvSpPr>
        <xdr:cNvPr id="4" name="Line 1">
          <a:extLst>
            <a:ext uri="{FF2B5EF4-FFF2-40B4-BE49-F238E27FC236}">
              <a16:creationId xmlns:a16="http://schemas.microsoft.com/office/drawing/2014/main" id="{00000000-0008-0000-4B00-000004000000}"/>
            </a:ext>
          </a:extLst>
        </xdr:cNvPr>
        <xdr:cNvSpPr>
          <a:spLocks noChangeShapeType="1"/>
        </xdr:cNvSpPr>
      </xdr:nvSpPr>
      <xdr:spPr bwMode="auto">
        <a:xfrm>
          <a:off x="730250" y="800100"/>
          <a:ext cx="419100" cy="1003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431800</xdr:colOff>
      <xdr:row>32</xdr:row>
      <xdr:rowOff>152400</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0.68811</cdr:x>
      <cdr:y>0.51564</cdr:y>
    </cdr:from>
    <cdr:to>
      <cdr:x>0.78977</cdr:x>
      <cdr:y>0.55997</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0.91382</cdr:y>
    </cdr:from>
    <cdr:to>
      <cdr:x>0.25249</cdr:x>
      <cdr:y>0.9791</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I-8</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0.01524</cdr:x>
      <cdr:y>0.02125</cdr:y>
    </cdr:from>
    <cdr:to>
      <cdr:x>0.2311</cdr:x>
      <cdr:y>0.08472</cdr:y>
    </cdr:to>
    <cdr:sp macro="" textlink="">
      <cdr:nvSpPr>
        <cdr:cNvPr id="6" name="5 CuadroTexto"/>
        <cdr:cNvSpPr txBox="1"/>
      </cdr:nvSpPr>
      <cdr:spPr>
        <a:xfrm xmlns:a="http://schemas.openxmlformats.org/drawingml/2006/main">
          <a:off x="103798" y="106692"/>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I-5</a:t>
          </a:r>
        </a:p>
      </cdr:txBody>
    </cdr:sp>
  </cdr:relSizeAnchor>
  <cdr:relSizeAnchor xmlns:cdr="http://schemas.openxmlformats.org/drawingml/2006/chartDrawing">
    <cdr:from>
      <cdr:x>0.18383</cdr:x>
      <cdr:y>0.09745</cdr:y>
    </cdr:from>
    <cdr:to>
      <cdr:x>0.97639</cdr:x>
      <cdr:y>0.17706</cdr:y>
    </cdr:to>
    <cdr:sp macro="" textlink="">
      <cdr:nvSpPr>
        <cdr:cNvPr id="7" name="6 CuadroTexto"/>
        <cdr:cNvSpPr txBox="1"/>
      </cdr:nvSpPr>
      <cdr:spPr>
        <a:xfrm xmlns:a="http://schemas.openxmlformats.org/drawingml/2006/main">
          <a:off x="1259007" y="484534"/>
          <a:ext cx="5437091" cy="395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a:latin typeface="Times New Roman" pitchFamily="18" charset="0"/>
              <a:cs typeface="Times New Roman" pitchFamily="18" charset="0"/>
            </a:rPr>
            <a:t>Número de usuarios atendidos,</a:t>
          </a:r>
          <a:r>
            <a:rPr lang="es-ES" sz="1800" baseline="0">
              <a:latin typeface="Times New Roman" pitchFamily="18" charset="0"/>
              <a:cs typeface="Times New Roman" pitchFamily="18" charset="0"/>
            </a:rPr>
            <a:t> según tipo de servicio.</a:t>
          </a:r>
          <a:endParaRPr lang="es-ES" sz="1800">
            <a:latin typeface="Times New Roman" pitchFamily="18" charset="0"/>
            <a:cs typeface="Times New Roman" pitchFamily="18"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809625</xdr:colOff>
      <xdr:row>5</xdr:row>
      <xdr:rowOff>0</xdr:rowOff>
    </xdr:from>
    <xdr:to>
      <xdr:col>0</xdr:col>
      <xdr:colOff>1066800</xdr:colOff>
      <xdr:row>9</xdr:row>
      <xdr:rowOff>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a:off x="809625" y="895350"/>
          <a:ext cx="257175" cy="990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9</xdr:row>
      <xdr:rowOff>0</xdr:rowOff>
    </xdr:to>
    <xdr:sp macro="" textlink="">
      <xdr:nvSpPr>
        <xdr:cNvPr id="2" name="Line 1">
          <a:extLst>
            <a:ext uri="{FF2B5EF4-FFF2-40B4-BE49-F238E27FC236}">
              <a16:creationId xmlns:a16="http://schemas.microsoft.com/office/drawing/2014/main" id="{00000000-0008-0000-4E00-000002000000}"/>
            </a:ext>
          </a:extLst>
        </xdr:cNvPr>
        <xdr:cNvSpPr>
          <a:spLocks noChangeShapeType="1"/>
        </xdr:cNvSpPr>
      </xdr:nvSpPr>
      <xdr:spPr bwMode="auto">
        <a:xfrm>
          <a:off x="628650" y="828675"/>
          <a:ext cx="133350" cy="666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628650</xdr:colOff>
      <xdr:row>5</xdr:row>
      <xdr:rowOff>9525</xdr:rowOff>
    </xdr:from>
    <xdr:to>
      <xdr:col>0</xdr:col>
      <xdr:colOff>762000</xdr:colOff>
      <xdr:row>10</xdr:row>
      <xdr:rowOff>0</xdr:rowOff>
    </xdr:to>
    <xdr:sp macro="" textlink="">
      <xdr:nvSpPr>
        <xdr:cNvPr id="2" name="Line 1">
          <a:extLst>
            <a:ext uri="{FF2B5EF4-FFF2-40B4-BE49-F238E27FC236}">
              <a16:creationId xmlns:a16="http://schemas.microsoft.com/office/drawing/2014/main" id="{00000000-0008-0000-4F00-000002000000}"/>
            </a:ext>
          </a:extLst>
        </xdr:cNvPr>
        <xdr:cNvSpPr>
          <a:spLocks noChangeShapeType="1"/>
        </xdr:cNvSpPr>
      </xdr:nvSpPr>
      <xdr:spPr bwMode="auto">
        <a:xfrm>
          <a:off x="628650" y="828675"/>
          <a:ext cx="133350" cy="828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733425</xdr:colOff>
      <xdr:row>5</xdr:row>
      <xdr:rowOff>9525</xdr:rowOff>
    </xdr:from>
    <xdr:to>
      <xdr:col>0</xdr:col>
      <xdr:colOff>1190625</xdr:colOff>
      <xdr:row>9</xdr:row>
      <xdr:rowOff>161925</xdr:rowOff>
    </xdr:to>
    <xdr:sp macro="" textlink="">
      <xdr:nvSpPr>
        <xdr:cNvPr id="2" name="Line 2">
          <a:extLst>
            <a:ext uri="{FF2B5EF4-FFF2-40B4-BE49-F238E27FC236}">
              <a16:creationId xmlns:a16="http://schemas.microsoft.com/office/drawing/2014/main" id="{00000000-0008-0000-5000-000002000000}"/>
            </a:ext>
          </a:extLst>
        </xdr:cNvPr>
        <xdr:cNvSpPr>
          <a:spLocks noChangeShapeType="1"/>
        </xdr:cNvSpPr>
      </xdr:nvSpPr>
      <xdr:spPr bwMode="auto">
        <a:xfrm>
          <a:off x="733425" y="828675"/>
          <a:ext cx="457200" cy="800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695325</xdr:colOff>
      <xdr:row>5</xdr:row>
      <xdr:rowOff>0</xdr:rowOff>
    </xdr:from>
    <xdr:to>
      <xdr:col>0</xdr:col>
      <xdr:colOff>1095375</xdr:colOff>
      <xdr:row>9</xdr:row>
      <xdr:rowOff>9525</xdr:rowOff>
    </xdr:to>
    <xdr:sp macro="" textlink="">
      <xdr:nvSpPr>
        <xdr:cNvPr id="2" name="Line 1">
          <a:extLst>
            <a:ext uri="{FF2B5EF4-FFF2-40B4-BE49-F238E27FC236}">
              <a16:creationId xmlns:a16="http://schemas.microsoft.com/office/drawing/2014/main" id="{00000000-0008-0000-5100-000002000000}"/>
            </a:ext>
          </a:extLst>
        </xdr:cNvPr>
        <xdr:cNvSpPr>
          <a:spLocks noChangeShapeType="1"/>
        </xdr:cNvSpPr>
      </xdr:nvSpPr>
      <xdr:spPr bwMode="auto">
        <a:xfrm>
          <a:off x="695325" y="809625"/>
          <a:ext cx="400050"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704850</xdr:colOff>
      <xdr:row>25</xdr:row>
      <xdr:rowOff>6350</xdr:rowOff>
    </xdr:to>
    <xdr:graphicFrame macro="">
      <xdr:nvGraphicFramePr>
        <xdr:cNvPr id="3" name="2 Gráfico">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692150</xdr:colOff>
      <xdr:row>32</xdr:row>
      <xdr:rowOff>50800</xdr:rowOff>
    </xdr:to>
    <xdr:graphicFrame macro="">
      <xdr:nvGraphicFramePr>
        <xdr:cNvPr id="3" name="9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0.03702</cdr:x>
      <cdr:y>0.09929</cdr:y>
    </cdr:from>
    <cdr:to>
      <cdr:x>0.94357</cdr:x>
      <cdr:y>0.23555</cdr:y>
    </cdr:to>
    <cdr:sp macro="" textlink="">
      <cdr:nvSpPr>
        <cdr:cNvPr id="2" name="1 CuadroTexto"/>
        <cdr:cNvSpPr txBox="1"/>
      </cdr:nvSpPr>
      <cdr:spPr>
        <a:xfrm xmlns:a="http://schemas.openxmlformats.org/drawingml/2006/main">
          <a:off x="257175" y="400051"/>
          <a:ext cx="6172200" cy="666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20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8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Acción Social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0.68761</cdr:x>
      <cdr:y>0.52149</cdr:y>
    </cdr:from>
    <cdr:to>
      <cdr:x>0.78927</cdr:x>
      <cdr:y>0.56581</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0.03201</cdr:x>
      <cdr:y>0.91917</cdr:y>
    </cdr:from>
    <cdr:to>
      <cdr:x>0.25075</cdr:x>
      <cdr:y>0.97786</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AS1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0.02339</cdr:y>
    </cdr:from>
    <cdr:to>
      <cdr:x>0.22427</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AS</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885825</xdr:colOff>
      <xdr:row>4</xdr:row>
      <xdr:rowOff>200025</xdr:rowOff>
    </xdr:from>
    <xdr:to>
      <xdr:col>0</xdr:col>
      <xdr:colOff>1524000</xdr:colOff>
      <xdr:row>9</xdr:row>
      <xdr:rowOff>9525</xdr:rowOff>
    </xdr:to>
    <xdr:sp macro="" textlink="">
      <xdr:nvSpPr>
        <xdr:cNvPr id="2" name="Line 2">
          <a:extLst>
            <a:ext uri="{FF2B5EF4-FFF2-40B4-BE49-F238E27FC236}">
              <a16:creationId xmlns:a16="http://schemas.microsoft.com/office/drawing/2014/main" id="{00000000-0008-0000-5500-000002000000}"/>
            </a:ext>
          </a:extLst>
        </xdr:cNvPr>
        <xdr:cNvSpPr>
          <a:spLocks noChangeShapeType="1"/>
        </xdr:cNvSpPr>
      </xdr:nvSpPr>
      <xdr:spPr bwMode="auto">
        <a:xfrm>
          <a:off x="885825" y="962025"/>
          <a:ext cx="638175" cy="1000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713315</xdr:colOff>
      <xdr:row>30</xdr:row>
      <xdr:rowOff>29437</xdr:rowOff>
    </xdr:to>
    <xdr:pic>
      <xdr:nvPicPr>
        <xdr:cNvPr id="4" name="Imagen 3">
          <a:extLst>
            <a:ext uri="{FF2B5EF4-FFF2-40B4-BE49-F238E27FC236}">
              <a16:creationId xmlns:a16="http://schemas.microsoft.com/office/drawing/2014/main" id="{00000000-0008-0000-5600-000004000000}"/>
            </a:ext>
          </a:extLst>
        </xdr:cNvPr>
        <xdr:cNvPicPr>
          <a:picLocks noChangeAspect="1"/>
        </xdr:cNvPicPr>
      </xdr:nvPicPr>
      <xdr:blipFill>
        <a:blip xmlns:r="http://schemas.openxmlformats.org/officeDocument/2006/relationships" r:embed="rId1"/>
        <a:stretch>
          <a:fillRect/>
        </a:stretch>
      </xdr:blipFill>
      <xdr:spPr>
        <a:xfrm>
          <a:off x="0" y="0"/>
          <a:ext cx="6822015" cy="555393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520700</xdr:colOff>
      <xdr:row>5</xdr:row>
      <xdr:rowOff>184150</xdr:rowOff>
    </xdr:from>
    <xdr:to>
      <xdr:col>1</xdr:col>
      <xdr:colOff>209550</xdr:colOff>
      <xdr:row>10</xdr:row>
      <xdr:rowOff>0</xdr:rowOff>
    </xdr:to>
    <xdr:sp macro="" textlink="">
      <xdr:nvSpPr>
        <xdr:cNvPr id="2" name="Line 1">
          <a:extLst>
            <a:ext uri="{FF2B5EF4-FFF2-40B4-BE49-F238E27FC236}">
              <a16:creationId xmlns:a16="http://schemas.microsoft.com/office/drawing/2014/main" id="{00000000-0008-0000-5700-000002000000}"/>
            </a:ext>
          </a:extLst>
        </xdr:cNvPr>
        <xdr:cNvSpPr>
          <a:spLocks noChangeShapeType="1"/>
        </xdr:cNvSpPr>
      </xdr:nvSpPr>
      <xdr:spPr bwMode="auto">
        <a:xfrm>
          <a:off x="520700" y="1168400"/>
          <a:ext cx="895350" cy="838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719919</xdr:colOff>
      <xdr:row>26</xdr:row>
      <xdr:rowOff>125902</xdr:rowOff>
    </xdr:to>
    <xdr:pic>
      <xdr:nvPicPr>
        <xdr:cNvPr id="3" name="Imagen 2">
          <a:extLst>
            <a:ext uri="{FF2B5EF4-FFF2-40B4-BE49-F238E27FC236}">
              <a16:creationId xmlns:a16="http://schemas.microsoft.com/office/drawing/2014/main" id="{00000000-0008-0000-5900-000003000000}"/>
            </a:ext>
          </a:extLst>
        </xdr:cNvPr>
        <xdr:cNvPicPr>
          <a:picLocks noChangeAspect="1"/>
        </xdr:cNvPicPr>
      </xdr:nvPicPr>
      <xdr:blipFill>
        <a:blip xmlns:r="http://schemas.openxmlformats.org/officeDocument/2006/relationships" r:embed="rId1"/>
        <a:stretch>
          <a:fillRect/>
        </a:stretch>
      </xdr:blipFill>
      <xdr:spPr>
        <a:xfrm>
          <a:off x="0" y="0"/>
          <a:ext cx="6815919" cy="491380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616278</xdr:colOff>
      <xdr:row>26</xdr:row>
      <xdr:rowOff>131998</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0" y="0"/>
          <a:ext cx="6712278" cy="491989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352425</xdr:colOff>
      <xdr:row>5</xdr:row>
      <xdr:rowOff>152400</xdr:rowOff>
    </xdr:from>
    <xdr:to>
      <xdr:col>0</xdr:col>
      <xdr:colOff>790575</xdr:colOff>
      <xdr:row>10</xdr:row>
      <xdr:rowOff>9525</xdr:rowOff>
    </xdr:to>
    <xdr:sp macro="" textlink="">
      <xdr:nvSpPr>
        <xdr:cNvPr id="2" name="Line 3">
          <a:extLst>
            <a:ext uri="{FF2B5EF4-FFF2-40B4-BE49-F238E27FC236}">
              <a16:creationId xmlns:a16="http://schemas.microsoft.com/office/drawing/2014/main" id="{00000000-0008-0000-6000-000002000000}"/>
            </a:ext>
          </a:extLst>
        </xdr:cNvPr>
        <xdr:cNvSpPr>
          <a:spLocks noChangeShapeType="1"/>
        </xdr:cNvSpPr>
      </xdr:nvSpPr>
      <xdr:spPr bwMode="auto">
        <a:xfrm>
          <a:off x="352425" y="962025"/>
          <a:ext cx="438150" cy="790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407501</xdr:colOff>
      <xdr:row>27</xdr:row>
      <xdr:rowOff>136841</xdr:rowOff>
    </xdr:to>
    <xdr:pic>
      <xdr:nvPicPr>
        <xdr:cNvPr id="2" name="Imagen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xfrm>
          <a:off x="0" y="0"/>
          <a:ext cx="6846401" cy="510889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723900</xdr:colOff>
      <xdr:row>25</xdr:row>
      <xdr:rowOff>0</xdr:rowOff>
    </xdr:to>
    <xdr:graphicFrame macro="">
      <xdr:nvGraphicFramePr>
        <xdr:cNvPr id="3" name="2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0.03962</cdr:x>
      <cdr:y>0.09197</cdr:y>
    </cdr:from>
    <cdr:to>
      <cdr:x>0.94617</cdr:x>
      <cdr:y>0.22846</cdr:y>
    </cdr:to>
    <cdr:sp macro="" textlink="">
      <cdr:nvSpPr>
        <cdr:cNvPr id="2" name="1 CuadroTexto"/>
        <cdr:cNvSpPr txBox="1"/>
      </cdr:nvSpPr>
      <cdr:spPr>
        <a:xfrm xmlns:a="http://schemas.openxmlformats.org/drawingml/2006/main">
          <a:off x="270219" y="453182"/>
          <a:ext cx="6182555" cy="6725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lnSpc>
              <a:spcPts val="1900"/>
            </a:lnSpc>
          </a:pPr>
          <a:r>
            <a:rPr lang="es-CR" sz="2000">
              <a:latin typeface="Times New Roman" pitchFamily="18" charset="0"/>
              <a:cs typeface="Times New Roman" pitchFamily="18" charset="0"/>
            </a:rPr>
            <a:t>               </a:t>
          </a:r>
          <a:r>
            <a:rPr lang="es-CR" sz="1800">
              <a:latin typeface="Times New Roman" pitchFamily="18" charset="0"/>
              <a:cs typeface="Times New Roman" pitchFamily="18" charset="0"/>
            </a:rPr>
            <a:t>Distribución relativa de las plazas en el</a:t>
          </a:r>
        </a:p>
        <a:p xmlns:a="http://schemas.openxmlformats.org/drawingml/2006/main">
          <a:pPr algn="ctr">
            <a:lnSpc>
              <a:spcPts val="1700"/>
            </a:lnSpc>
          </a:pPr>
          <a:r>
            <a:rPr lang="es-CR" sz="1800">
              <a:latin typeface="Times New Roman" pitchFamily="18" charset="0"/>
              <a:cs typeface="Times New Roman" pitchFamily="18" charset="0"/>
            </a:rPr>
            <a:t>                 Program</a:t>
          </a:r>
          <a:r>
            <a:rPr lang="es-CR" sz="1800" baseline="0">
              <a:latin typeface="Times New Roman" pitchFamily="18" charset="0"/>
              <a:cs typeface="Times New Roman" pitchFamily="18" charset="0"/>
            </a:rPr>
            <a:t>a de Vida Estudiantil</a:t>
          </a:r>
          <a:r>
            <a:rPr lang="es-CR" sz="1800">
              <a:latin typeface="Times New Roman" pitchFamily="18" charset="0"/>
              <a:cs typeface="Times New Roman" pitchFamily="18" charset="0"/>
            </a:rPr>
            <a:t>. </a:t>
          </a:r>
        </a:p>
      </cdr:txBody>
    </cdr:sp>
  </cdr:relSizeAnchor>
  <cdr:relSizeAnchor xmlns:cdr="http://schemas.openxmlformats.org/drawingml/2006/chartDrawing">
    <cdr:from>
      <cdr:x>0.68909</cdr:x>
      <cdr:y>0.52125</cdr:y>
    </cdr:from>
    <cdr:to>
      <cdr:x>0.79026</cdr:x>
      <cdr:y>0.56582</cdr:y>
    </cdr:to>
    <cdr:sp macro="" textlink="">
      <cdr:nvSpPr>
        <cdr:cNvPr id="3" name="2 CuadroTexto"/>
        <cdr:cNvSpPr txBox="1"/>
      </cdr:nvSpPr>
      <cdr:spPr>
        <a:xfrm xmlns:a="http://schemas.openxmlformats.org/drawingml/2006/main">
          <a:off x="4135437" y="1581945"/>
          <a:ext cx="611187" cy="134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R"/>
        </a:p>
      </cdr:txBody>
    </cdr:sp>
  </cdr:relSizeAnchor>
  <cdr:relSizeAnchor xmlns:cdr="http://schemas.openxmlformats.org/drawingml/2006/chartDrawing">
    <cdr:from>
      <cdr:x>0.03226</cdr:x>
      <cdr:y>0.9177</cdr:y>
    </cdr:from>
    <cdr:to>
      <cdr:x>0.25248</cdr:x>
      <cdr:y>0.99133</cdr:y>
    </cdr:to>
    <cdr:sp macro="" textlink="">
      <cdr:nvSpPr>
        <cdr:cNvPr id="4" name="3 CuadroTexto"/>
        <cdr:cNvSpPr txBox="1"/>
      </cdr:nvSpPr>
      <cdr:spPr>
        <a:xfrm xmlns:a="http://schemas.openxmlformats.org/drawingml/2006/main">
          <a:off x="167742" y="3163802"/>
          <a:ext cx="1151471" cy="25059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100">
              <a:latin typeface="Times New Roman" pitchFamily="18" charset="0"/>
              <a:cs typeface="Times New Roman" pitchFamily="18" charset="0"/>
            </a:rPr>
            <a:t>Fuente:</a:t>
          </a:r>
          <a:r>
            <a:rPr lang="es-CR" sz="1100" baseline="0">
              <a:latin typeface="Times New Roman" pitchFamily="18" charset="0"/>
              <a:cs typeface="Times New Roman" pitchFamily="18" charset="0"/>
            </a:rPr>
            <a:t> Cuadro VE1</a:t>
          </a:r>
          <a:endParaRPr lang="es-CR" sz="1100">
            <a:latin typeface="Times New Roman" pitchFamily="18" charset="0"/>
            <a:cs typeface="Times New Roman" pitchFamily="18" charset="0"/>
          </a:endParaRPr>
        </a:p>
      </cdr:txBody>
    </cdr:sp>
  </cdr:relSizeAnchor>
  <cdr:relSizeAnchor xmlns:cdr="http://schemas.openxmlformats.org/drawingml/2006/chartDrawing">
    <cdr:from>
      <cdr:x>0.00965</cdr:x>
      <cdr:y>0.02364</cdr:y>
    </cdr:from>
    <cdr:to>
      <cdr:x>0.2255</cdr:x>
      <cdr:y>0.08833</cdr:y>
    </cdr:to>
    <cdr:sp macro="" textlink="">
      <cdr:nvSpPr>
        <cdr:cNvPr id="6" name="5 CuadroTexto"/>
        <cdr:cNvSpPr txBox="1"/>
      </cdr:nvSpPr>
      <cdr:spPr>
        <a:xfrm xmlns:a="http://schemas.openxmlformats.org/drawingml/2006/main">
          <a:off x="65698" y="116217"/>
          <a:ext cx="1464980" cy="31734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CR" sz="1800">
              <a:latin typeface="Times New Roman" pitchFamily="18" charset="0"/>
              <a:cs typeface="Times New Roman" pitchFamily="18" charset="0"/>
            </a:rPr>
            <a:t>Gráfico VE</a:t>
          </a:r>
          <a:r>
            <a:rPr lang="es-CR" sz="1800" baseline="0">
              <a:latin typeface="Times New Roman" pitchFamily="18" charset="0"/>
              <a:cs typeface="Times New Roman" pitchFamily="18" charset="0"/>
            </a:rPr>
            <a:t>1</a:t>
          </a:r>
          <a:endParaRPr lang="es-CR" sz="1800">
            <a:latin typeface="Times New Roman" pitchFamily="18" charset="0"/>
            <a:cs typeface="Times New Roman"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PLAZAS-EXL-19/GD-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CAR-MATE-EXL-19/GD-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7.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8.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3-DOCENCIA/GRAF-GRADUA-EXL-19/GD-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LAZAS-EXL-19/GI-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PROY-EXL-19/GI-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4-INVESTIGACION/GRAF-BIBLIO-EXL-19/GI-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5-ACCION%20SOCIAL/GRAF-PLA-EXEL-19/GAS-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PLAZAS-EXEL-19/GVE-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CARACT-ECON-EXEL-19/GVE-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BECAS-ASIT-EXEL-19/GVE-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6-VIDA-ESTU/GRAF-SALUD-19/GVE-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7-ADMINISTRACION/GRAF-PLAZAS-EXEL-19/GAD-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PLAZAS-EXEL-DIRSUP-19/GDS-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MAINOR/OPLAU%202020/PANORAMA-19/PANORAMA%20POR%20SECCION/8-DIR-SUPERIOR/GRAF-ASUNT-INT-EXEL-19/GAI-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INOR/OPLAU%202020/PANORAMA-19/PANORAMA%20POR%20SECCION/1-REC-HUMANOS/GRAF-RH-EXEL-19/GRH-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INOR/OPLAU%202020/PANORAMA-19/PANORAMA%20EN%20PDF%202019/2-PRESU/GRF-RF-EXEL-19/GRF-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1"/>
    </sheetNames>
    <sheetDataSet>
      <sheetData sheetId="0">
        <row r="1">
          <cell r="A1" t="str">
            <v>Docente</v>
          </cell>
          <cell r="B1" t="str">
            <v xml:space="preserve">Administración </v>
          </cell>
          <cell r="C1" t="str">
            <v>De Apoyo</v>
          </cell>
        </row>
        <row r="2">
          <cell r="A2">
            <v>46.79</v>
          </cell>
          <cell r="B2">
            <v>40.94</v>
          </cell>
          <cell r="C2">
            <v>12.26</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1"/>
    </sheetNames>
    <sheetDataSet>
      <sheetData sheetId="0">
        <row r="3">
          <cell r="B3" t="str">
            <v>Docente</v>
          </cell>
          <cell r="C3" t="str">
            <v xml:space="preserve">Administración </v>
          </cell>
          <cell r="D3" t="str">
            <v>De Apoyo</v>
          </cell>
        </row>
        <row r="4">
          <cell r="B4">
            <v>78.41</v>
          </cell>
          <cell r="C4">
            <v>14.5</v>
          </cell>
          <cell r="D4">
            <v>7.09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2"/>
    </sheetNames>
    <sheetDataSet>
      <sheetData sheetId="0">
        <row r="2">
          <cell r="B2" t="str">
            <v>Bachiller</v>
          </cell>
          <cell r="C2" t="str">
            <v>Licenciado</v>
          </cell>
          <cell r="D2" t="str">
            <v>Diplomado</v>
          </cell>
        </row>
        <row r="3">
          <cell r="B3">
            <v>50.78</v>
          </cell>
          <cell r="C3">
            <v>46.09</v>
          </cell>
          <cell r="D3">
            <v>3.13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3"/>
    </sheetNames>
    <sheetDataSet>
      <sheetData sheetId="0">
        <row r="2">
          <cell r="B2" t="str">
            <v>Maestria Profesional</v>
          </cell>
          <cell r="C2" t="str">
            <v>Maestria Acádemica</v>
          </cell>
          <cell r="D2" t="str">
            <v>Especialidades</v>
          </cell>
          <cell r="E2" t="str">
            <v>Doctorado</v>
          </cell>
        </row>
        <row r="3">
          <cell r="B3">
            <v>35</v>
          </cell>
          <cell r="C3">
            <v>31.15</v>
          </cell>
          <cell r="D3">
            <v>29.23</v>
          </cell>
          <cell r="E3">
            <v>4.62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4"/>
    </sheetNames>
    <sheetDataSet>
      <sheetData sheetId="0">
        <row r="4">
          <cell r="B4" t="str">
            <v>Menos de 5</v>
          </cell>
          <cell r="C4">
            <v>15136</v>
          </cell>
          <cell r="D4">
            <v>18596</v>
          </cell>
        </row>
        <row r="5">
          <cell r="B5" t="str">
            <v>de 5 a 9</v>
          </cell>
          <cell r="C5">
            <v>16046</v>
          </cell>
          <cell r="D5">
            <v>17372</v>
          </cell>
        </row>
        <row r="6">
          <cell r="B6" t="str">
            <v>de 10 a 14</v>
          </cell>
          <cell r="C6">
            <v>13463</v>
          </cell>
          <cell r="D6">
            <v>8993</v>
          </cell>
        </row>
        <row r="7">
          <cell r="B7" t="str">
            <v>de 15 a 19</v>
          </cell>
          <cell r="C7">
            <v>778</v>
          </cell>
          <cell r="D7">
            <v>482</v>
          </cell>
        </row>
        <row r="8">
          <cell r="B8" t="str">
            <v>20 y más</v>
          </cell>
          <cell r="C8">
            <v>68</v>
          </cell>
          <cell r="D8">
            <v>48</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5"/>
    </sheetNames>
    <sheetDataSet>
      <sheetData sheetId="0">
        <row r="4">
          <cell r="C4" t="str">
            <v>Cero créditos</v>
          </cell>
          <cell r="D4">
            <v>2412</v>
          </cell>
          <cell r="E4">
            <v>6190</v>
          </cell>
        </row>
        <row r="5">
          <cell r="C5" t="str">
            <v>de 1 a menos de 12</v>
          </cell>
          <cell r="D5">
            <v>9133</v>
          </cell>
          <cell r="E5">
            <v>11291</v>
          </cell>
        </row>
        <row r="6">
          <cell r="C6" t="str">
            <v>de 12 a menos de 24</v>
          </cell>
          <cell r="D6">
            <v>11626</v>
          </cell>
          <cell r="E6">
            <v>12519</v>
          </cell>
        </row>
        <row r="7">
          <cell r="C7" t="str">
            <v>de 24 a menos de 36</v>
          </cell>
          <cell r="D7">
            <v>19679</v>
          </cell>
          <cell r="E7">
            <v>13963</v>
          </cell>
        </row>
        <row r="8">
          <cell r="C8" t="str">
            <v>36 y más</v>
          </cell>
          <cell r="D8">
            <v>2641</v>
          </cell>
          <cell r="E8">
            <v>1528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6"/>
    </sheetNames>
    <sheetDataSet>
      <sheetData sheetId="0">
        <row r="4">
          <cell r="B4" t="str">
            <v>Bachiller</v>
          </cell>
          <cell r="C4" t="str">
            <v>Licenciado</v>
          </cell>
          <cell r="D4" t="str">
            <v>Diplomado</v>
          </cell>
        </row>
        <row r="5">
          <cell r="B5">
            <v>62.76</v>
          </cell>
          <cell r="C5">
            <v>32.309442548350397</v>
          </cell>
          <cell r="D5">
            <v>4.93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
    </sheetNames>
    <sheetDataSet>
      <sheetData sheetId="0">
        <row r="2">
          <cell r="B2" t="str">
            <v>Cs. Básicas</v>
          </cell>
          <cell r="C2">
            <v>157</v>
          </cell>
        </row>
        <row r="3">
          <cell r="B3" t="str">
            <v>Cs. Agroalimentarias</v>
          </cell>
          <cell r="C3">
            <v>183</v>
          </cell>
        </row>
        <row r="4">
          <cell r="B4" t="str">
            <v xml:space="preserve">Artes y Letras </v>
          </cell>
          <cell r="C4">
            <v>302</v>
          </cell>
        </row>
        <row r="5">
          <cell r="B5" t="str">
            <v>Ing. y Arquitectura</v>
          </cell>
          <cell r="C5">
            <v>580</v>
          </cell>
        </row>
        <row r="6">
          <cell r="B6" t="str">
            <v>Salud</v>
          </cell>
          <cell r="C6">
            <v>653</v>
          </cell>
        </row>
        <row r="7">
          <cell r="B7" t="str">
            <v>Sedes Regionales</v>
          </cell>
          <cell r="C7">
            <v>1326</v>
          </cell>
        </row>
        <row r="8">
          <cell r="B8" t="str">
            <v>Cs. Sociales</v>
          </cell>
          <cell r="C8">
            <v>2073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7.1"/>
    </sheetNames>
    <sheetDataSet>
      <sheetData sheetId="0">
        <row r="2">
          <cell r="C2" t="str">
            <v>Femenino</v>
          </cell>
          <cell r="D2" t="str">
            <v>Masculino</v>
          </cell>
        </row>
        <row r="3">
          <cell r="B3" t="str">
            <v>Cs. Básicas</v>
          </cell>
          <cell r="C3">
            <v>77</v>
          </cell>
          <cell r="D3">
            <v>80</v>
          </cell>
        </row>
        <row r="4">
          <cell r="B4" t="str">
            <v>Cs. Agroalimentarias</v>
          </cell>
          <cell r="C4">
            <v>110</v>
          </cell>
          <cell r="D4">
            <v>73</v>
          </cell>
        </row>
        <row r="5">
          <cell r="B5" t="str">
            <v>Ing. y Arquitectura</v>
          </cell>
          <cell r="C5">
            <v>169</v>
          </cell>
          <cell r="D5">
            <v>411</v>
          </cell>
        </row>
        <row r="6">
          <cell r="B6" t="str">
            <v xml:space="preserve">Artes y Letras </v>
          </cell>
          <cell r="C6">
            <v>185</v>
          </cell>
          <cell r="D6">
            <v>117</v>
          </cell>
        </row>
        <row r="7">
          <cell r="B7" t="str">
            <v>Salud</v>
          </cell>
          <cell r="C7">
            <v>447</v>
          </cell>
          <cell r="D7">
            <v>206</v>
          </cell>
        </row>
        <row r="8">
          <cell r="B8" t="str">
            <v>Sedes Regionales</v>
          </cell>
          <cell r="C8">
            <v>811</v>
          </cell>
          <cell r="D8">
            <v>515</v>
          </cell>
        </row>
        <row r="9">
          <cell r="B9" t="str">
            <v>Cs. Sociales</v>
          </cell>
          <cell r="C9">
            <v>1319</v>
          </cell>
          <cell r="D9">
            <v>754</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G2" t="str">
            <v>Maestría Profesional</v>
          </cell>
        </row>
        <row r="3">
          <cell r="G3" t="str">
            <v>Especialidades</v>
          </cell>
          <cell r="H3">
            <v>254</v>
          </cell>
        </row>
        <row r="4">
          <cell r="G4" t="str">
            <v>Maestría</v>
          </cell>
          <cell r="H4">
            <v>339</v>
          </cell>
        </row>
        <row r="5">
          <cell r="G5" t="str">
            <v>Doctorado</v>
          </cell>
          <cell r="H5">
            <v>21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8.1"/>
    </sheetNames>
    <sheetDataSet>
      <sheetData sheetId="0">
        <row r="2">
          <cell r="C2" t="str">
            <v>Femenino</v>
          </cell>
          <cell r="D2" t="str">
            <v>Masculino</v>
          </cell>
        </row>
        <row r="3">
          <cell r="B3" t="str">
            <v>Maestrias</v>
          </cell>
          <cell r="C3">
            <v>192</v>
          </cell>
          <cell r="D3">
            <v>146</v>
          </cell>
        </row>
        <row r="4">
          <cell r="B4" t="str">
            <v>Especialidades</v>
          </cell>
          <cell r="C4">
            <v>127</v>
          </cell>
          <cell r="D4">
            <v>127</v>
          </cell>
        </row>
        <row r="5">
          <cell r="B5" t="str">
            <v>Doctorado</v>
          </cell>
          <cell r="C5">
            <v>12</v>
          </cell>
          <cell r="D5">
            <v>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2"/>
    </sheetNames>
    <sheetDataSet>
      <sheetData sheetId="0">
        <row r="1">
          <cell r="B1" t="str">
            <v>Propiedad</v>
          </cell>
          <cell r="C1" t="str">
            <v>Interino</v>
          </cell>
        </row>
        <row r="2">
          <cell r="A2" t="str">
            <v>I ciclo 2015</v>
          </cell>
          <cell r="B2">
            <v>1920</v>
          </cell>
          <cell r="C2">
            <v>4132</v>
          </cell>
        </row>
        <row r="3">
          <cell r="A3" t="str">
            <v>II ciclo 2015</v>
          </cell>
          <cell r="B3">
            <v>1867</v>
          </cell>
          <cell r="C3">
            <v>4152</v>
          </cell>
        </row>
        <row r="4">
          <cell r="A4" t="str">
            <v>I ciclo 2016</v>
          </cell>
          <cell r="B4">
            <v>1875</v>
          </cell>
          <cell r="C4">
            <v>4225</v>
          </cell>
        </row>
        <row r="5">
          <cell r="A5" t="str">
            <v>II ciclo 2016</v>
          </cell>
          <cell r="B5">
            <v>1877</v>
          </cell>
          <cell r="C5">
            <v>4256</v>
          </cell>
        </row>
        <row r="6">
          <cell r="A6" t="str">
            <v>I ciclo 2017</v>
          </cell>
          <cell r="B6">
            <v>1950</v>
          </cell>
          <cell r="C6">
            <v>4350</v>
          </cell>
        </row>
        <row r="7">
          <cell r="A7" t="str">
            <v>II ciclo 2017</v>
          </cell>
          <cell r="B7">
            <v>1867</v>
          </cell>
          <cell r="C7">
            <v>4093</v>
          </cell>
        </row>
        <row r="8">
          <cell r="A8" t="str">
            <v>I ciclo 2018</v>
          </cell>
          <cell r="B8">
            <v>1871</v>
          </cell>
          <cell r="C8">
            <v>4326</v>
          </cell>
        </row>
        <row r="9">
          <cell r="A9" t="str">
            <v>II ciclo 2018</v>
          </cell>
          <cell r="B9">
            <v>1890</v>
          </cell>
          <cell r="C9">
            <v>4399</v>
          </cell>
        </row>
        <row r="10">
          <cell r="A10" t="str">
            <v>I ciclo 2019</v>
          </cell>
          <cell r="B10">
            <v>1878</v>
          </cell>
          <cell r="C10">
            <v>4283</v>
          </cell>
        </row>
        <row r="11">
          <cell r="A11" t="str">
            <v>II ciclo 2019</v>
          </cell>
          <cell r="B11">
            <v>1890</v>
          </cell>
          <cell r="C11">
            <v>4399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
    </sheetNames>
    <sheetDataSet>
      <sheetData sheetId="0">
        <row r="2">
          <cell r="B2" t="str">
            <v>Femenino</v>
          </cell>
          <cell r="C2" t="str">
            <v>Masculino</v>
          </cell>
        </row>
        <row r="3">
          <cell r="B3">
            <v>58.59</v>
          </cell>
          <cell r="C3">
            <v>41.41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s>
    <sheetDataSet>
      <sheetData sheetId="0">
        <row r="3">
          <cell r="B3" t="str">
            <v>De Apoyo</v>
          </cell>
          <cell r="C3" t="str">
            <v>Docente</v>
          </cell>
          <cell r="D3" t="str">
            <v xml:space="preserve">Administración </v>
          </cell>
        </row>
        <row r="4">
          <cell r="B4">
            <v>35.08</v>
          </cell>
          <cell r="C4">
            <v>32.58</v>
          </cell>
          <cell r="D4">
            <v>32.340000000000003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2"/>
    </sheetNames>
    <sheetDataSet>
      <sheetData sheetId="0">
        <row r="3">
          <cell r="B3" t="str">
            <v>Activos</v>
          </cell>
          <cell r="C3" t="str">
            <v>Nuevos</v>
          </cell>
          <cell r="D3" t="str">
            <v>Terminados</v>
          </cell>
          <cell r="E3" t="str">
            <v>Ampliaciones</v>
          </cell>
          <cell r="F3" t="str">
            <v>Otros</v>
          </cell>
        </row>
        <row r="4">
          <cell r="B4">
            <v>1865</v>
          </cell>
          <cell r="C4">
            <v>506</v>
          </cell>
          <cell r="D4">
            <v>471</v>
          </cell>
          <cell r="E4">
            <v>602</v>
          </cell>
          <cell r="F4">
            <v>59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3"/>
    </sheetNames>
    <sheetDataSet>
      <sheetData sheetId="0">
        <row r="3">
          <cell r="B3" t="str">
            <v>Básica</v>
          </cell>
          <cell r="C3" t="str">
            <v>Apliacada</v>
          </cell>
          <cell r="D3" t="str">
            <v>Tecnológica</v>
          </cell>
        </row>
        <row r="4">
          <cell r="B4">
            <v>1335</v>
          </cell>
          <cell r="C4">
            <v>49</v>
          </cell>
          <cell r="D4">
            <v>12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4"/>
    </sheetNames>
    <sheetDataSet>
      <sheetData sheetId="0">
        <row r="2">
          <cell r="C2" t="str">
            <v>Mujer</v>
          </cell>
          <cell r="D2" t="str">
            <v>Hombre</v>
          </cell>
        </row>
        <row r="3">
          <cell r="B3" t="str">
            <v>Bachiller</v>
          </cell>
          <cell r="C3">
            <v>58</v>
          </cell>
          <cell r="D3">
            <v>100</v>
          </cell>
        </row>
        <row r="4">
          <cell r="B4" t="str">
            <v>Licenciado</v>
          </cell>
          <cell r="C4">
            <v>217</v>
          </cell>
          <cell r="D4">
            <v>233</v>
          </cell>
        </row>
        <row r="5">
          <cell r="B5" t="str">
            <v>Doctor</v>
          </cell>
          <cell r="C5">
            <v>214</v>
          </cell>
          <cell r="D5">
            <v>384</v>
          </cell>
        </row>
        <row r="6">
          <cell r="B6" t="str">
            <v>Master</v>
          </cell>
          <cell r="C6">
            <v>352</v>
          </cell>
          <cell r="D6">
            <v>309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5"/>
    </sheetNames>
    <sheetDataSet>
      <sheetData sheetId="0">
        <row r="3">
          <cell r="B3" t="str">
            <v xml:space="preserve">Circulación </v>
          </cell>
          <cell r="C3" t="str">
            <v>Referencia</v>
          </cell>
          <cell r="D3" t="str">
            <v>Audiovisuales</v>
          </cell>
          <cell r="E3" t="str">
            <v>Otros Servicios</v>
          </cell>
          <cell r="F3" t="str">
            <v>Serv. Administrativos</v>
          </cell>
        </row>
        <row r="4">
          <cell r="B4">
            <v>200944</v>
          </cell>
          <cell r="C4">
            <v>83106</v>
          </cell>
          <cell r="D4">
            <v>199209</v>
          </cell>
          <cell r="E4">
            <v>97074</v>
          </cell>
          <cell r="F4">
            <v>12080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3">
          <cell r="B3" t="str">
            <v>De Apoyo</v>
          </cell>
          <cell r="C3" t="str">
            <v xml:space="preserve">Administración </v>
          </cell>
          <cell r="D3" t="str">
            <v>Docente</v>
          </cell>
        </row>
        <row r="4">
          <cell r="B4">
            <v>96.38</v>
          </cell>
          <cell r="C4">
            <v>48.75</v>
          </cell>
          <cell r="D4">
            <v>48.5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1"/>
    </sheetNames>
    <sheetDataSet>
      <sheetData sheetId="0">
        <row r="3">
          <cell r="B3" t="str">
            <v xml:space="preserve">Administración </v>
          </cell>
          <cell r="C3" t="str">
            <v xml:space="preserve">Apoyo </v>
          </cell>
          <cell r="D3" t="str">
            <v>Docente</v>
          </cell>
        </row>
        <row r="4">
          <cell r="B4">
            <v>80.42</v>
          </cell>
          <cell r="C4">
            <v>19.21</v>
          </cell>
          <cell r="D4">
            <v>0.37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ow r="2">
          <cell r="C2" t="str">
            <v>Mujer</v>
          </cell>
          <cell r="D2" t="str">
            <v>Hombre</v>
          </cell>
        </row>
        <row r="3">
          <cell r="B3" t="str">
            <v>Sis Est posgrado</v>
          </cell>
          <cell r="C3">
            <v>74</v>
          </cell>
          <cell r="D3">
            <v>90</v>
          </cell>
        </row>
        <row r="4">
          <cell r="B4" t="str">
            <v>Cs. Agroalimentarias</v>
          </cell>
          <cell r="C4">
            <v>375</v>
          </cell>
          <cell r="D4">
            <v>364</v>
          </cell>
        </row>
        <row r="5">
          <cell r="B5" t="str">
            <v>Cs. Básicas</v>
          </cell>
          <cell r="C5">
            <v>408</v>
          </cell>
          <cell r="D5">
            <v>578</v>
          </cell>
        </row>
        <row r="6">
          <cell r="B6" t="str">
            <v>Otros</v>
          </cell>
          <cell r="C6">
            <v>432</v>
          </cell>
          <cell r="D6">
            <v>417</v>
          </cell>
        </row>
        <row r="7">
          <cell r="B7" t="str">
            <v xml:space="preserve">Artes y Letras </v>
          </cell>
          <cell r="C7">
            <v>821</v>
          </cell>
          <cell r="D7">
            <v>596</v>
          </cell>
        </row>
        <row r="8">
          <cell r="B8" t="str">
            <v>Ing. y Arquitectura</v>
          </cell>
          <cell r="C8">
            <v>874</v>
          </cell>
          <cell r="D8">
            <v>1810</v>
          </cell>
        </row>
        <row r="9">
          <cell r="B9" t="str">
            <v>Salud</v>
          </cell>
          <cell r="C9">
            <v>1282</v>
          </cell>
          <cell r="D9">
            <v>570</v>
          </cell>
        </row>
        <row r="10">
          <cell r="B10" t="str">
            <v>Cs. Sociales</v>
          </cell>
          <cell r="C10">
            <v>3843</v>
          </cell>
          <cell r="D10">
            <v>2839</v>
          </cell>
        </row>
        <row r="11">
          <cell r="B11" t="str">
            <v>Sedes Regionales</v>
          </cell>
          <cell r="C11">
            <v>4311</v>
          </cell>
          <cell r="D11">
            <v>3611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Menor o igual a 20</v>
          </cell>
          <cell r="C4">
            <v>8689</v>
          </cell>
        </row>
        <row r="5">
          <cell r="B5" t="str">
            <v>de 21 a 25 años</v>
          </cell>
          <cell r="C5">
            <v>11542</v>
          </cell>
        </row>
        <row r="6">
          <cell r="B6" t="str">
            <v>de 26 a 30 años</v>
          </cell>
          <cell r="C6">
            <v>2474</v>
          </cell>
        </row>
        <row r="7">
          <cell r="B7" t="str">
            <v>de 31 a 35 años</v>
          </cell>
          <cell r="C7">
            <v>401</v>
          </cell>
        </row>
        <row r="8">
          <cell r="B8" t="str">
            <v>más de 35 años</v>
          </cell>
          <cell r="C8">
            <v>189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Catedrático</v>
          </cell>
          <cell r="C2" t="str">
            <v xml:space="preserve">Asociado </v>
          </cell>
          <cell r="D2" t="str">
            <v>Adjunto</v>
          </cell>
          <cell r="E2" t="str">
            <v>Instructor</v>
          </cell>
        </row>
        <row r="3">
          <cell r="A3">
            <v>2015</v>
          </cell>
          <cell r="B3">
            <v>24.78</v>
          </cell>
          <cell r="C3">
            <v>25.49</v>
          </cell>
          <cell r="D3">
            <v>9.99</v>
          </cell>
          <cell r="E3">
            <v>39.74</v>
          </cell>
        </row>
        <row r="4">
          <cell r="A4">
            <v>2016</v>
          </cell>
          <cell r="B4">
            <v>24.89</v>
          </cell>
          <cell r="C4">
            <v>25.39</v>
          </cell>
          <cell r="D4">
            <v>9.67</v>
          </cell>
          <cell r="E4">
            <v>40.049999999999997</v>
          </cell>
        </row>
        <row r="5">
          <cell r="A5">
            <v>2017</v>
          </cell>
          <cell r="B5">
            <v>24.82</v>
          </cell>
          <cell r="C5">
            <v>24.92</v>
          </cell>
          <cell r="D5">
            <v>9.64</v>
          </cell>
          <cell r="E5">
            <v>40.619999999999997</v>
          </cell>
        </row>
        <row r="6">
          <cell r="A6">
            <v>2018</v>
          </cell>
          <cell r="B6">
            <v>24.03560830860534</v>
          </cell>
          <cell r="C6">
            <v>24.233432245301682</v>
          </cell>
          <cell r="D6">
            <v>9.792284866468842</v>
          </cell>
          <cell r="E6">
            <v>41.938674579624134</v>
          </cell>
        </row>
        <row r="7">
          <cell r="A7">
            <v>2019</v>
          </cell>
          <cell r="B7">
            <v>24.83</v>
          </cell>
          <cell r="C7">
            <v>23.09</v>
          </cell>
          <cell r="D7">
            <v>10.26</v>
          </cell>
          <cell r="E7">
            <v>41.82</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4"/>
    </sheetNames>
    <sheetDataSet>
      <sheetData sheetId="0">
        <row r="2">
          <cell r="B2" t="str">
            <v xml:space="preserve">Soltero </v>
          </cell>
          <cell r="C2" t="str">
            <v>Casado</v>
          </cell>
          <cell r="D2" t="str">
            <v>Otros</v>
          </cell>
        </row>
        <row r="3">
          <cell r="B3">
            <v>97.74</v>
          </cell>
          <cell r="C3">
            <v>1.05</v>
          </cell>
          <cell r="D3">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Costarricense</v>
          </cell>
          <cell r="B1" t="str">
            <v>Centroamérica y Panamá</v>
          </cell>
          <cell r="C1" t="str">
            <v>Otros</v>
          </cell>
        </row>
        <row r="2">
          <cell r="A2">
            <v>98.11</v>
          </cell>
          <cell r="B2">
            <v>0.84</v>
          </cell>
          <cell r="C2">
            <v>1.05</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4">
          <cell r="B4" t="str">
            <v>de 1 a menos de 6</v>
          </cell>
          <cell r="C4">
            <v>21458</v>
          </cell>
        </row>
        <row r="5">
          <cell r="B5" t="str">
            <v>de 6 y más</v>
          </cell>
          <cell r="C5">
            <v>1837</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2">
          <cell r="B2" t="str">
            <v>Alajuela</v>
          </cell>
          <cell r="C2">
            <v>90</v>
          </cell>
        </row>
        <row r="3">
          <cell r="B3" t="str">
            <v>Pacífico</v>
          </cell>
          <cell r="C3">
            <v>272</v>
          </cell>
        </row>
        <row r="4">
          <cell r="B4" t="str">
            <v>Caribe</v>
          </cell>
          <cell r="C4">
            <v>280</v>
          </cell>
        </row>
        <row r="5">
          <cell r="B5" t="str">
            <v>Guanacaste</v>
          </cell>
          <cell r="C5">
            <v>381</v>
          </cell>
        </row>
        <row r="6">
          <cell r="B6" t="str">
            <v>Atlántico</v>
          </cell>
          <cell r="C6">
            <v>438</v>
          </cell>
        </row>
        <row r="7">
          <cell r="B7" t="str">
            <v>Occidente</v>
          </cell>
          <cell r="C7">
            <v>530</v>
          </cell>
        </row>
        <row r="8">
          <cell r="B8" t="str">
            <v xml:space="preserve">Rodrigo Facio </v>
          </cell>
          <cell r="C8">
            <v>2800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8"/>
    </sheetNames>
    <sheetDataSet>
      <sheetData sheetId="0">
        <row r="1">
          <cell r="C1" t="str">
            <v>Beca permanente</v>
          </cell>
          <cell r="D1" t="str">
            <v>Beca vigente</v>
          </cell>
        </row>
        <row r="2">
          <cell r="B2" t="str">
            <v>Alajuela</v>
          </cell>
          <cell r="C2">
            <v>466</v>
          </cell>
          <cell r="D2">
            <v>431</v>
          </cell>
        </row>
        <row r="3">
          <cell r="B3" t="str">
            <v xml:space="preserve">Pacífico </v>
          </cell>
          <cell r="C3">
            <v>1222</v>
          </cell>
          <cell r="D3">
            <v>1054</v>
          </cell>
        </row>
        <row r="4">
          <cell r="B4" t="str">
            <v>Caribe</v>
          </cell>
          <cell r="C4">
            <v>1363</v>
          </cell>
          <cell r="D4">
            <v>1182</v>
          </cell>
        </row>
        <row r="5">
          <cell r="B5" t="str">
            <v>Guanacaste</v>
          </cell>
          <cell r="C5">
            <v>1900</v>
          </cell>
          <cell r="D5">
            <v>1684</v>
          </cell>
        </row>
        <row r="6">
          <cell r="B6" t="str">
            <v>Atlántico</v>
          </cell>
          <cell r="C6">
            <v>1926</v>
          </cell>
          <cell r="D6">
            <v>1660</v>
          </cell>
        </row>
        <row r="7">
          <cell r="B7" t="str">
            <v>Occidente</v>
          </cell>
          <cell r="C7">
            <v>2713</v>
          </cell>
          <cell r="D7">
            <v>2356</v>
          </cell>
        </row>
        <row r="8">
          <cell r="B8" t="str">
            <v xml:space="preserve">Rodrigo Facio </v>
          </cell>
          <cell r="C8">
            <v>16673</v>
          </cell>
          <cell r="D8">
            <v>14928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9"/>
    </sheetNames>
    <sheetDataSet>
      <sheetData sheetId="0">
        <row r="2">
          <cell r="C2" t="str">
            <v>Beca vigente</v>
          </cell>
          <cell r="D2" t="str">
            <v>Beca permanente</v>
          </cell>
        </row>
        <row r="3">
          <cell r="B3" t="str">
            <v>Alajuela</v>
          </cell>
          <cell r="C3">
            <v>485</v>
          </cell>
          <cell r="D3">
            <v>519</v>
          </cell>
        </row>
        <row r="4">
          <cell r="B4" t="str">
            <v>Pacífico</v>
          </cell>
          <cell r="C4">
            <v>1086</v>
          </cell>
          <cell r="D4">
            <v>1246</v>
          </cell>
        </row>
        <row r="5">
          <cell r="B5" t="str">
            <v>Caribe</v>
          </cell>
          <cell r="C5">
            <v>1195</v>
          </cell>
          <cell r="D5">
            <v>1375</v>
          </cell>
        </row>
        <row r="6">
          <cell r="B6" t="str">
            <v>Guanacaste</v>
          </cell>
          <cell r="C6">
            <v>1723</v>
          </cell>
          <cell r="D6">
            <v>1936</v>
          </cell>
        </row>
        <row r="7">
          <cell r="B7" t="str">
            <v>Atlántico</v>
          </cell>
          <cell r="C7">
            <v>1685</v>
          </cell>
          <cell r="D7">
            <v>1949</v>
          </cell>
        </row>
        <row r="8">
          <cell r="B8" t="str">
            <v>Occidente</v>
          </cell>
          <cell r="C8">
            <v>2466</v>
          </cell>
          <cell r="D8">
            <v>2819</v>
          </cell>
        </row>
        <row r="9">
          <cell r="B9" t="str">
            <v xml:space="preserve">Rodrigo Facio </v>
          </cell>
          <cell r="C9">
            <v>17828</v>
          </cell>
          <cell r="D9">
            <v>19491</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E-5"/>
    </sheetNames>
    <sheetDataSet>
      <sheetData sheetId="0">
        <row r="1">
          <cell r="A1" t="str">
            <v>Recreación</v>
          </cell>
          <cell r="B1" t="str">
            <v>Deporte Representación</v>
          </cell>
          <cell r="C1" t="str">
            <v>Actividades Artistísticas</v>
          </cell>
        </row>
        <row r="2">
          <cell r="A2">
            <v>67.75</v>
          </cell>
          <cell r="B2">
            <v>11.87</v>
          </cell>
          <cell r="C2">
            <v>20.38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D-1"/>
    </sheetNames>
    <sheetDataSet>
      <sheetData sheetId="0">
        <row r="2">
          <cell r="B2" t="str">
            <v xml:space="preserve">Administración </v>
          </cell>
          <cell r="C2" t="str">
            <v xml:space="preserve">Apoyo </v>
          </cell>
          <cell r="D2" t="str">
            <v>Docente</v>
          </cell>
        </row>
        <row r="3">
          <cell r="B3">
            <v>99.19</v>
          </cell>
          <cell r="C3">
            <v>0.41</v>
          </cell>
          <cell r="D3">
            <v>0.41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S-1"/>
    </sheetNames>
    <sheetDataSet>
      <sheetData sheetId="0">
        <row r="3">
          <cell r="B3" t="str">
            <v xml:space="preserve">Administración </v>
          </cell>
          <cell r="C3" t="str">
            <v>Docente</v>
          </cell>
          <cell r="D3" t="str">
            <v>Apoyo</v>
          </cell>
        </row>
        <row r="4">
          <cell r="B4">
            <v>84.74</v>
          </cell>
          <cell r="C4">
            <v>9.73</v>
          </cell>
          <cell r="D4">
            <v>5.53</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1"/>
    </sheetNames>
    <sheetDataSet>
      <sheetData sheetId="0">
        <row r="1">
          <cell r="C1" t="str">
            <v>Becas Exterior</v>
          </cell>
          <cell r="D1" t="str">
            <v>Becas Cortas</v>
          </cell>
        </row>
        <row r="2">
          <cell r="B2" t="str">
            <v>Admimistrativa</v>
          </cell>
          <cell r="C2">
            <v>4</v>
          </cell>
          <cell r="D2">
            <v>4</v>
          </cell>
        </row>
        <row r="3">
          <cell r="B3" t="str">
            <v>Cs. Agroalimentarias</v>
          </cell>
          <cell r="C3">
            <v>17</v>
          </cell>
          <cell r="D3">
            <v>2</v>
          </cell>
        </row>
        <row r="4">
          <cell r="B4" t="str">
            <v xml:space="preserve">Artes y Letras </v>
          </cell>
          <cell r="C4">
            <v>23</v>
          </cell>
          <cell r="D4">
            <v>2</v>
          </cell>
        </row>
        <row r="5">
          <cell r="B5" t="str">
            <v>Salud</v>
          </cell>
          <cell r="C5">
            <v>37</v>
          </cell>
          <cell r="D5">
            <v>1</v>
          </cell>
        </row>
        <row r="6">
          <cell r="B6" t="str">
            <v>Sedes Regionales</v>
          </cell>
          <cell r="C6">
            <v>38</v>
          </cell>
          <cell r="D6">
            <v>8</v>
          </cell>
        </row>
        <row r="7">
          <cell r="B7" t="str">
            <v>Cs. Básicas</v>
          </cell>
          <cell r="C7">
            <v>40</v>
          </cell>
          <cell r="D7">
            <v>3</v>
          </cell>
        </row>
        <row r="8">
          <cell r="B8" t="str">
            <v>Cs. Sociales</v>
          </cell>
          <cell r="C8">
            <v>42</v>
          </cell>
          <cell r="D8">
            <v>8</v>
          </cell>
        </row>
        <row r="9">
          <cell r="B9" t="str">
            <v>Ing. y Arquitectura</v>
          </cell>
          <cell r="C9">
            <v>51</v>
          </cell>
          <cell r="D9">
            <v>11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4"/>
    </sheetNames>
    <sheetDataSet>
      <sheetData sheetId="0">
        <row r="3">
          <cell r="C3" t="str">
            <v>I Ciclo</v>
          </cell>
          <cell r="D3" t="str">
            <v>II Ciclo</v>
          </cell>
        </row>
        <row r="4">
          <cell r="B4" t="str">
            <v xml:space="preserve">Master </v>
          </cell>
          <cell r="C4">
            <v>56.44</v>
          </cell>
          <cell r="D4">
            <v>55.61</v>
          </cell>
        </row>
        <row r="5">
          <cell r="B5" t="str">
            <v>Licenciado</v>
          </cell>
          <cell r="C5">
            <v>7.72</v>
          </cell>
          <cell r="D5">
            <v>7.26</v>
          </cell>
        </row>
        <row r="6">
          <cell r="B6" t="str">
            <v xml:space="preserve">Doctor </v>
          </cell>
          <cell r="C6">
            <v>35.25</v>
          </cell>
          <cell r="D6">
            <v>36.44</v>
          </cell>
        </row>
        <row r="7">
          <cell r="C7">
            <v>0.43</v>
          </cell>
          <cell r="D7">
            <v>0.52910052910052907</v>
          </cell>
        </row>
        <row r="8">
          <cell r="B8" t="str">
            <v>Bachiller</v>
          </cell>
          <cell r="C8">
            <v>0.16034206306787815</v>
          </cell>
          <cell r="D8">
            <v>0.15873015873015872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5"/>
    </sheetNames>
    <sheetDataSet>
      <sheetData sheetId="0">
        <row r="1">
          <cell r="C1" t="str">
            <v>I ciclo</v>
          </cell>
          <cell r="D1" t="str">
            <v>II ciclo</v>
          </cell>
        </row>
        <row r="2">
          <cell r="B2" t="str">
            <v>Máster</v>
          </cell>
          <cell r="C2">
            <v>1470</v>
          </cell>
          <cell r="D2">
            <v>1548</v>
          </cell>
        </row>
        <row r="3">
          <cell r="B3" t="str">
            <v>Sin Información</v>
          </cell>
          <cell r="C3">
            <v>1322</v>
          </cell>
          <cell r="D3">
            <v>1326</v>
          </cell>
        </row>
        <row r="4">
          <cell r="B4" t="str">
            <v>Licenciado</v>
          </cell>
          <cell r="C4">
            <v>1121</v>
          </cell>
          <cell r="D4">
            <v>1144</v>
          </cell>
        </row>
        <row r="5">
          <cell r="B5" t="str">
            <v>Doctor</v>
          </cell>
          <cell r="C5">
            <v>266</v>
          </cell>
          <cell r="D5">
            <v>279</v>
          </cell>
        </row>
        <row r="6">
          <cell r="B6" t="str">
            <v>Bachiller</v>
          </cell>
          <cell r="C6">
            <v>104</v>
          </cell>
          <cell r="D6">
            <v>87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6"/>
    </sheetNames>
    <sheetDataSet>
      <sheetData sheetId="0">
        <row r="3">
          <cell r="C3" t="str">
            <v>I Ciclo</v>
          </cell>
          <cell r="D3" t="str">
            <v>II Ciclo</v>
          </cell>
        </row>
        <row r="4">
          <cell r="B4" t="str">
            <v>Otras Jornadas</v>
          </cell>
          <cell r="C4">
            <v>11.55</v>
          </cell>
          <cell r="D4">
            <v>11.27</v>
          </cell>
        </row>
        <row r="5">
          <cell r="B5" t="str">
            <v>1/4 de tiempo</v>
          </cell>
          <cell r="C5">
            <v>19.850000000000001</v>
          </cell>
          <cell r="D5">
            <v>19.68</v>
          </cell>
        </row>
        <row r="6">
          <cell r="B6" t="str">
            <v>1/2 tiempo</v>
          </cell>
          <cell r="C6">
            <v>20.49</v>
          </cell>
          <cell r="D6">
            <v>19.95</v>
          </cell>
        </row>
        <row r="7">
          <cell r="B7" t="str">
            <v>3/4 de tiempo</v>
          </cell>
          <cell r="C7">
            <v>3.35</v>
          </cell>
          <cell r="D7">
            <v>3.86</v>
          </cell>
        </row>
        <row r="8">
          <cell r="B8" t="str">
            <v>Tiempo Completo</v>
          </cell>
          <cell r="C8">
            <v>44.76</v>
          </cell>
          <cell r="D8">
            <v>45.24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H7"/>
    </sheetNames>
    <sheetDataSet>
      <sheetData sheetId="0">
        <row r="3">
          <cell r="C3" t="str">
            <v>I Ciclo</v>
          </cell>
          <cell r="D3" t="str">
            <v>II Ciclo</v>
          </cell>
        </row>
        <row r="4">
          <cell r="B4" t="str">
            <v>Otras Jornadas</v>
          </cell>
          <cell r="C4">
            <v>1253</v>
          </cell>
          <cell r="D4">
            <v>1358</v>
          </cell>
        </row>
        <row r="5">
          <cell r="B5" t="str">
            <v>1/4 de tiempo</v>
          </cell>
          <cell r="C5">
            <v>1415</v>
          </cell>
          <cell r="D5">
            <v>1455</v>
          </cell>
        </row>
        <row r="6">
          <cell r="B6" t="str">
            <v>1/2 tiempo</v>
          </cell>
          <cell r="C6">
            <v>704</v>
          </cell>
          <cell r="D6">
            <v>711</v>
          </cell>
        </row>
        <row r="7">
          <cell r="B7" t="str">
            <v>3/4 de tiempo</v>
          </cell>
          <cell r="C7">
            <v>236</v>
          </cell>
          <cell r="D7">
            <v>246</v>
          </cell>
        </row>
        <row r="8">
          <cell r="B8" t="str">
            <v>Tiempo Completo</v>
          </cell>
          <cell r="C8">
            <v>728</v>
          </cell>
          <cell r="D8">
            <v>683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8"/>
    </sheetNames>
    <sheetDataSet>
      <sheetData sheetId="0">
        <row r="3">
          <cell r="C3" t="str">
            <v>Docencia</v>
          </cell>
          <cell r="D3" t="str">
            <v>Investigación</v>
          </cell>
          <cell r="E3" t="str">
            <v>Acción Social</v>
          </cell>
          <cell r="F3" t="str">
            <v>Doc-Administ.</v>
          </cell>
        </row>
        <row r="4">
          <cell r="B4">
            <v>2015</v>
          </cell>
          <cell r="C4">
            <v>69.8</v>
          </cell>
          <cell r="D4">
            <v>10.66</v>
          </cell>
          <cell r="E4">
            <v>5.45</v>
          </cell>
          <cell r="F4">
            <v>14.09</v>
          </cell>
        </row>
        <row r="5">
          <cell r="B5">
            <v>2016</v>
          </cell>
          <cell r="C5">
            <v>68.72</v>
          </cell>
          <cell r="D5">
            <v>11.27</v>
          </cell>
          <cell r="E5">
            <v>5.57</v>
          </cell>
          <cell r="F5">
            <v>14.44</v>
          </cell>
        </row>
        <row r="6">
          <cell r="B6">
            <v>2017</v>
          </cell>
          <cell r="C6">
            <v>69.66</v>
          </cell>
          <cell r="D6">
            <v>10.63</v>
          </cell>
          <cell r="E6">
            <v>5.61</v>
          </cell>
          <cell r="F6">
            <v>14.1</v>
          </cell>
        </row>
        <row r="7">
          <cell r="B7">
            <v>2018</v>
          </cell>
          <cell r="C7">
            <v>69.909779829241671</v>
          </cell>
          <cell r="D7">
            <v>10.942517547344856</v>
          </cell>
          <cell r="E7">
            <v>6.3000530676528514</v>
          </cell>
          <cell r="F7">
            <v>12.84764955576062</v>
          </cell>
        </row>
        <row r="8">
          <cell r="B8">
            <v>2019</v>
          </cell>
          <cell r="C8">
            <v>69.13</v>
          </cell>
          <cell r="D8">
            <v>11.57</v>
          </cell>
          <cell r="E8">
            <v>6.5</v>
          </cell>
          <cell r="F8">
            <v>12.81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1"/>
    </sheetNames>
    <sheetDataSet>
      <sheetData sheetId="0">
        <row r="3">
          <cell r="D3" t="str">
            <v>2015 - 2016</v>
          </cell>
          <cell r="E3" t="str">
            <v>2016 - 2017</v>
          </cell>
          <cell r="F3" t="str">
            <v>2017 - 2018</v>
          </cell>
          <cell r="G3" t="str">
            <v>2018- 2019</v>
          </cell>
        </row>
        <row r="4">
          <cell r="D4">
            <v>11.75</v>
          </cell>
          <cell r="E4">
            <v>12.76</v>
          </cell>
          <cell r="F4">
            <v>7.74</v>
          </cell>
          <cell r="G4">
            <v>-2.65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4.bin"/></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4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46.bin"/></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7.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48.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49.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0.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9.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31"/>
  <sheetViews>
    <sheetView workbookViewId="0">
      <selection activeCell="A2" sqref="A2"/>
    </sheetView>
  </sheetViews>
  <sheetFormatPr baseColWidth="10" defaultColWidth="11.5" defaultRowHeight="15"/>
  <cols>
    <col min="1" max="1" width="7" style="3" customWidth="1"/>
    <col min="2" max="2" width="129.1640625" style="2" customWidth="1"/>
    <col min="3" max="16384" width="11.5" style="2"/>
  </cols>
  <sheetData>
    <row r="1" spans="1:2" ht="18">
      <c r="A1" s="1" t="s">
        <v>0</v>
      </c>
    </row>
    <row r="2" spans="1:2" ht="16">
      <c r="B2" s="4"/>
    </row>
    <row r="3" spans="1:2" ht="33.75" customHeight="1">
      <c r="A3" s="3">
        <v>1</v>
      </c>
      <c r="B3" s="731" t="s">
        <v>1</v>
      </c>
    </row>
    <row r="4" spans="1:2" ht="33.75" customHeight="1">
      <c r="A4" s="3">
        <v>2</v>
      </c>
      <c r="B4" s="731" t="s">
        <v>2</v>
      </c>
    </row>
    <row r="5" spans="1:2" ht="51" customHeight="1">
      <c r="A5" s="3">
        <v>3</v>
      </c>
      <c r="B5" s="731" t="s">
        <v>1809</v>
      </c>
    </row>
    <row r="6" spans="1:2" ht="66" customHeight="1">
      <c r="A6" s="3">
        <v>4</v>
      </c>
      <c r="B6" s="731" t="s">
        <v>1810</v>
      </c>
    </row>
    <row r="7" spans="1:2" ht="67.5" customHeight="1">
      <c r="A7" s="3">
        <v>5</v>
      </c>
      <c r="B7" s="731" t="s">
        <v>1811</v>
      </c>
    </row>
    <row r="8" spans="1:2" ht="18.75" customHeight="1">
      <c r="A8" s="3">
        <v>6</v>
      </c>
      <c r="B8" s="4" t="s">
        <v>3</v>
      </c>
    </row>
    <row r="9" spans="1:2" ht="36" customHeight="1">
      <c r="A9" s="3">
        <v>7</v>
      </c>
      <c r="B9" s="731" t="s">
        <v>4</v>
      </c>
    </row>
    <row r="10" spans="1:2" ht="37.5" customHeight="1">
      <c r="A10" s="3">
        <v>8</v>
      </c>
      <c r="B10" s="731" t="s">
        <v>5</v>
      </c>
    </row>
    <row r="11" spans="1:2" ht="48.75" customHeight="1">
      <c r="A11" s="3">
        <v>9</v>
      </c>
      <c r="B11" s="731" t="s">
        <v>1812</v>
      </c>
    </row>
    <row r="12" spans="1:2" ht="47.25" customHeight="1">
      <c r="A12" s="3">
        <v>10</v>
      </c>
      <c r="B12" s="731" t="s">
        <v>1813</v>
      </c>
    </row>
    <row r="13" spans="1:2" ht="47.25" customHeight="1">
      <c r="A13" s="3">
        <v>11</v>
      </c>
      <c r="B13" s="731" t="s">
        <v>1814</v>
      </c>
    </row>
    <row r="14" spans="1:2" ht="49.5" customHeight="1">
      <c r="A14" s="3">
        <v>12</v>
      </c>
      <c r="B14" s="731" t="s">
        <v>1815</v>
      </c>
    </row>
    <row r="15" spans="1:2" ht="43" customHeight="1">
      <c r="A15" s="3">
        <v>13</v>
      </c>
      <c r="B15" s="731" t="s">
        <v>1816</v>
      </c>
    </row>
    <row r="16" spans="1:2" ht="31.5" customHeight="1">
      <c r="A16" s="3">
        <v>14</v>
      </c>
      <c r="B16" s="731" t="s">
        <v>6</v>
      </c>
    </row>
    <row r="17" spans="1:2" ht="48" customHeight="1">
      <c r="A17" s="3">
        <v>15</v>
      </c>
      <c r="B17" s="731" t="s">
        <v>1817</v>
      </c>
    </row>
    <row r="18" spans="1:2" ht="21.75" customHeight="1">
      <c r="A18" s="3">
        <v>16</v>
      </c>
      <c r="B18" s="4" t="s">
        <v>7</v>
      </c>
    </row>
    <row r="19" spans="1:2" ht="50.25" customHeight="1">
      <c r="A19" s="3">
        <v>17</v>
      </c>
      <c r="B19" s="731" t="s">
        <v>1818</v>
      </c>
    </row>
    <row r="20" spans="1:2" ht="31.5" customHeight="1">
      <c r="A20" s="3">
        <v>18</v>
      </c>
      <c r="B20" s="731" t="s">
        <v>8</v>
      </c>
    </row>
    <row r="21" spans="1:2" ht="18.75" customHeight="1">
      <c r="A21" s="3">
        <v>19</v>
      </c>
      <c r="B21" s="731" t="s">
        <v>9</v>
      </c>
    </row>
    <row r="22" spans="1:2" ht="18.75" customHeight="1">
      <c r="A22" s="3">
        <v>20</v>
      </c>
      <c r="B22" s="731" t="s">
        <v>10</v>
      </c>
    </row>
    <row r="23" spans="1:2" ht="18.75" customHeight="1">
      <c r="A23" s="3">
        <v>21</v>
      </c>
      <c r="B23" s="731" t="s">
        <v>11</v>
      </c>
    </row>
    <row r="24" spans="1:2" ht="18.75" customHeight="1">
      <c r="A24" s="3">
        <v>22</v>
      </c>
      <c r="B24" s="731" t="s">
        <v>12</v>
      </c>
    </row>
    <row r="25" spans="1:2" ht="18.75" customHeight="1">
      <c r="A25" s="3">
        <v>23</v>
      </c>
      <c r="B25" s="731" t="s">
        <v>13</v>
      </c>
    </row>
    <row r="26" spans="1:2" ht="18.75" customHeight="1">
      <c r="A26" s="3">
        <v>24</v>
      </c>
      <c r="B26" s="731" t="s">
        <v>14</v>
      </c>
    </row>
    <row r="27" spans="1:2" ht="18.75" customHeight="1">
      <c r="A27" s="3">
        <v>25</v>
      </c>
      <c r="B27" s="731" t="s">
        <v>15</v>
      </c>
    </row>
    <row r="28" spans="1:2" ht="18" customHeight="1">
      <c r="A28" s="3">
        <v>26</v>
      </c>
      <c r="B28" s="731" t="s">
        <v>16</v>
      </c>
    </row>
    <row r="29" spans="1:2" ht="50.25" customHeight="1">
      <c r="A29" s="3">
        <v>27</v>
      </c>
      <c r="B29" s="731" t="s">
        <v>1819</v>
      </c>
    </row>
    <row r="30" spans="1:2" ht="36.75" customHeight="1">
      <c r="A30" s="3">
        <v>28</v>
      </c>
      <c r="B30" s="731" t="s">
        <v>17</v>
      </c>
    </row>
    <row r="31" spans="1:2" ht="16">
      <c r="B31" s="4"/>
    </row>
  </sheetData>
  <printOptions horizontalCentered="1"/>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86"/>
  <sheetViews>
    <sheetView workbookViewId="0"/>
  </sheetViews>
  <sheetFormatPr baseColWidth="10" defaultColWidth="9.1640625" defaultRowHeight="13"/>
  <cols>
    <col min="1" max="1" width="25.6640625" style="95" customWidth="1"/>
    <col min="2" max="2" width="3" style="95" customWidth="1"/>
    <col min="3" max="4" width="9.1640625" style="95"/>
    <col min="5" max="5" width="2.6640625" style="95" customWidth="1"/>
    <col min="6" max="7" width="9.1640625" style="95"/>
    <col min="8" max="8" width="2.6640625" style="95" customWidth="1"/>
    <col min="9" max="10" width="9.1640625" style="95"/>
    <col min="11" max="11" width="2.6640625" style="95" customWidth="1"/>
    <col min="12" max="13" width="9.1640625" style="95"/>
    <col min="14" max="14" width="2.6640625" style="95" customWidth="1"/>
    <col min="15" max="16" width="9.1640625" style="95"/>
    <col min="17" max="17" width="2.5" style="95" customWidth="1"/>
    <col min="18" max="256" width="9.1640625" style="95"/>
    <col min="257" max="257" width="25.6640625" style="95" customWidth="1"/>
    <col min="258" max="258" width="3" style="95" customWidth="1"/>
    <col min="259" max="260" width="9.1640625" style="95"/>
    <col min="261" max="261" width="2.6640625" style="95" customWidth="1"/>
    <col min="262" max="263" width="9.1640625" style="95"/>
    <col min="264" max="264" width="2.6640625" style="95" customWidth="1"/>
    <col min="265" max="266" width="9.1640625" style="95"/>
    <col min="267" max="267" width="2.6640625" style="95" customWidth="1"/>
    <col min="268" max="269" width="9.1640625" style="95"/>
    <col min="270" max="270" width="2.6640625" style="95" customWidth="1"/>
    <col min="271" max="272" width="9.1640625" style="95"/>
    <col min="273" max="273" width="2.5" style="95" customWidth="1"/>
    <col min="274" max="512" width="9.1640625" style="95"/>
    <col min="513" max="513" width="25.6640625" style="95" customWidth="1"/>
    <col min="514" max="514" width="3" style="95" customWidth="1"/>
    <col min="515" max="516" width="9.1640625" style="95"/>
    <col min="517" max="517" width="2.6640625" style="95" customWidth="1"/>
    <col min="518" max="519" width="9.1640625" style="95"/>
    <col min="520" max="520" width="2.6640625" style="95" customWidth="1"/>
    <col min="521" max="522" width="9.1640625" style="95"/>
    <col min="523" max="523" width="2.6640625" style="95" customWidth="1"/>
    <col min="524" max="525" width="9.1640625" style="95"/>
    <col min="526" max="526" width="2.6640625" style="95" customWidth="1"/>
    <col min="527" max="528" width="9.1640625" style="95"/>
    <col min="529" max="529" width="2.5" style="95" customWidth="1"/>
    <col min="530" max="768" width="9.1640625" style="95"/>
    <col min="769" max="769" width="25.6640625" style="95" customWidth="1"/>
    <col min="770" max="770" width="3" style="95" customWidth="1"/>
    <col min="771" max="772" width="9.1640625" style="95"/>
    <col min="773" max="773" width="2.6640625" style="95" customWidth="1"/>
    <col min="774" max="775" width="9.1640625" style="95"/>
    <col min="776" max="776" width="2.6640625" style="95" customWidth="1"/>
    <col min="777" max="778" width="9.1640625" style="95"/>
    <col min="779" max="779" width="2.6640625" style="95" customWidth="1"/>
    <col min="780" max="781" width="9.1640625" style="95"/>
    <col min="782" max="782" width="2.6640625" style="95" customWidth="1"/>
    <col min="783" max="784" width="9.1640625" style="95"/>
    <col min="785" max="785" width="2.5" style="95" customWidth="1"/>
    <col min="786" max="1024" width="9.1640625" style="95"/>
    <col min="1025" max="1025" width="25.6640625" style="95" customWidth="1"/>
    <col min="1026" max="1026" width="3" style="95" customWidth="1"/>
    <col min="1027" max="1028" width="9.1640625" style="95"/>
    <col min="1029" max="1029" width="2.6640625" style="95" customWidth="1"/>
    <col min="1030" max="1031" width="9.1640625" style="95"/>
    <col min="1032" max="1032" width="2.6640625" style="95" customWidth="1"/>
    <col min="1033" max="1034" width="9.1640625" style="95"/>
    <col min="1035" max="1035" width="2.6640625" style="95" customWidth="1"/>
    <col min="1036" max="1037" width="9.1640625" style="95"/>
    <col min="1038" max="1038" width="2.6640625" style="95" customWidth="1"/>
    <col min="1039" max="1040" width="9.1640625" style="95"/>
    <col min="1041" max="1041" width="2.5" style="95" customWidth="1"/>
    <col min="1042" max="1280" width="9.1640625" style="95"/>
    <col min="1281" max="1281" width="25.6640625" style="95" customWidth="1"/>
    <col min="1282" max="1282" width="3" style="95" customWidth="1"/>
    <col min="1283" max="1284" width="9.1640625" style="95"/>
    <col min="1285" max="1285" width="2.6640625" style="95" customWidth="1"/>
    <col min="1286" max="1287" width="9.1640625" style="95"/>
    <col min="1288" max="1288" width="2.6640625" style="95" customWidth="1"/>
    <col min="1289" max="1290" width="9.1640625" style="95"/>
    <col min="1291" max="1291" width="2.6640625" style="95" customWidth="1"/>
    <col min="1292" max="1293" width="9.1640625" style="95"/>
    <col min="1294" max="1294" width="2.6640625" style="95" customWidth="1"/>
    <col min="1295" max="1296" width="9.1640625" style="95"/>
    <col min="1297" max="1297" width="2.5" style="95" customWidth="1"/>
    <col min="1298" max="1536" width="9.1640625" style="95"/>
    <col min="1537" max="1537" width="25.6640625" style="95" customWidth="1"/>
    <col min="1538" max="1538" width="3" style="95" customWidth="1"/>
    <col min="1539" max="1540" width="9.1640625" style="95"/>
    <col min="1541" max="1541" width="2.6640625" style="95" customWidth="1"/>
    <col min="1542" max="1543" width="9.1640625" style="95"/>
    <col min="1544" max="1544" width="2.6640625" style="95" customWidth="1"/>
    <col min="1545" max="1546" width="9.1640625" style="95"/>
    <col min="1547" max="1547" width="2.6640625" style="95" customWidth="1"/>
    <col min="1548" max="1549" width="9.1640625" style="95"/>
    <col min="1550" max="1550" width="2.6640625" style="95" customWidth="1"/>
    <col min="1551" max="1552" width="9.1640625" style="95"/>
    <col min="1553" max="1553" width="2.5" style="95" customWidth="1"/>
    <col min="1554" max="1792" width="9.1640625" style="95"/>
    <col min="1793" max="1793" width="25.6640625" style="95" customWidth="1"/>
    <col min="1794" max="1794" width="3" style="95" customWidth="1"/>
    <col min="1795" max="1796" width="9.1640625" style="95"/>
    <col min="1797" max="1797" width="2.6640625" style="95" customWidth="1"/>
    <col min="1798" max="1799" width="9.1640625" style="95"/>
    <col min="1800" max="1800" width="2.6640625" style="95" customWidth="1"/>
    <col min="1801" max="1802" width="9.1640625" style="95"/>
    <col min="1803" max="1803" width="2.6640625" style="95" customWidth="1"/>
    <col min="1804" max="1805" width="9.1640625" style="95"/>
    <col min="1806" max="1806" width="2.6640625" style="95" customWidth="1"/>
    <col min="1807" max="1808" width="9.1640625" style="95"/>
    <col min="1809" max="1809" width="2.5" style="95" customWidth="1"/>
    <col min="1810" max="2048" width="9.1640625" style="95"/>
    <col min="2049" max="2049" width="25.6640625" style="95" customWidth="1"/>
    <col min="2050" max="2050" width="3" style="95" customWidth="1"/>
    <col min="2051" max="2052" width="9.1640625" style="95"/>
    <col min="2053" max="2053" width="2.6640625" style="95" customWidth="1"/>
    <col min="2054" max="2055" width="9.1640625" style="95"/>
    <col min="2056" max="2056" width="2.6640625" style="95" customWidth="1"/>
    <col min="2057" max="2058" width="9.1640625" style="95"/>
    <col min="2059" max="2059" width="2.6640625" style="95" customWidth="1"/>
    <col min="2060" max="2061" width="9.1640625" style="95"/>
    <col min="2062" max="2062" width="2.6640625" style="95" customWidth="1"/>
    <col min="2063" max="2064" width="9.1640625" style="95"/>
    <col min="2065" max="2065" width="2.5" style="95" customWidth="1"/>
    <col min="2066" max="2304" width="9.1640625" style="95"/>
    <col min="2305" max="2305" width="25.6640625" style="95" customWidth="1"/>
    <col min="2306" max="2306" width="3" style="95" customWidth="1"/>
    <col min="2307" max="2308" width="9.1640625" style="95"/>
    <col min="2309" max="2309" width="2.6640625" style="95" customWidth="1"/>
    <col min="2310" max="2311" width="9.1640625" style="95"/>
    <col min="2312" max="2312" width="2.6640625" style="95" customWidth="1"/>
    <col min="2313" max="2314" width="9.1640625" style="95"/>
    <col min="2315" max="2315" width="2.6640625" style="95" customWidth="1"/>
    <col min="2316" max="2317" width="9.1640625" style="95"/>
    <col min="2318" max="2318" width="2.6640625" style="95" customWidth="1"/>
    <col min="2319" max="2320" width="9.1640625" style="95"/>
    <col min="2321" max="2321" width="2.5" style="95" customWidth="1"/>
    <col min="2322" max="2560" width="9.1640625" style="95"/>
    <col min="2561" max="2561" width="25.6640625" style="95" customWidth="1"/>
    <col min="2562" max="2562" width="3" style="95" customWidth="1"/>
    <col min="2563" max="2564" width="9.1640625" style="95"/>
    <col min="2565" max="2565" width="2.6640625" style="95" customWidth="1"/>
    <col min="2566" max="2567" width="9.1640625" style="95"/>
    <col min="2568" max="2568" width="2.6640625" style="95" customWidth="1"/>
    <col min="2569" max="2570" width="9.1640625" style="95"/>
    <col min="2571" max="2571" width="2.6640625" style="95" customWidth="1"/>
    <col min="2572" max="2573" width="9.1640625" style="95"/>
    <col min="2574" max="2574" width="2.6640625" style="95" customWidth="1"/>
    <col min="2575" max="2576" width="9.1640625" style="95"/>
    <col min="2577" max="2577" width="2.5" style="95" customWidth="1"/>
    <col min="2578" max="2816" width="9.1640625" style="95"/>
    <col min="2817" max="2817" width="25.6640625" style="95" customWidth="1"/>
    <col min="2818" max="2818" width="3" style="95" customWidth="1"/>
    <col min="2819" max="2820" width="9.1640625" style="95"/>
    <col min="2821" max="2821" width="2.6640625" style="95" customWidth="1"/>
    <col min="2822" max="2823" width="9.1640625" style="95"/>
    <col min="2824" max="2824" width="2.6640625" style="95" customWidth="1"/>
    <col min="2825" max="2826" width="9.1640625" style="95"/>
    <col min="2827" max="2827" width="2.6640625" style="95" customWidth="1"/>
    <col min="2828" max="2829" width="9.1640625" style="95"/>
    <col min="2830" max="2830" width="2.6640625" style="95" customWidth="1"/>
    <col min="2831" max="2832" width="9.1640625" style="95"/>
    <col min="2833" max="2833" width="2.5" style="95" customWidth="1"/>
    <col min="2834" max="3072" width="9.1640625" style="95"/>
    <col min="3073" max="3073" width="25.6640625" style="95" customWidth="1"/>
    <col min="3074" max="3074" width="3" style="95" customWidth="1"/>
    <col min="3075" max="3076" width="9.1640625" style="95"/>
    <col min="3077" max="3077" width="2.6640625" style="95" customWidth="1"/>
    <col min="3078" max="3079" width="9.1640625" style="95"/>
    <col min="3080" max="3080" width="2.6640625" style="95" customWidth="1"/>
    <col min="3081" max="3082" width="9.1640625" style="95"/>
    <col min="3083" max="3083" width="2.6640625" style="95" customWidth="1"/>
    <col min="3084" max="3085" width="9.1640625" style="95"/>
    <col min="3086" max="3086" width="2.6640625" style="95" customWidth="1"/>
    <col min="3087" max="3088" width="9.1640625" style="95"/>
    <col min="3089" max="3089" width="2.5" style="95" customWidth="1"/>
    <col min="3090" max="3328" width="9.1640625" style="95"/>
    <col min="3329" max="3329" width="25.6640625" style="95" customWidth="1"/>
    <col min="3330" max="3330" width="3" style="95" customWidth="1"/>
    <col min="3331" max="3332" width="9.1640625" style="95"/>
    <col min="3333" max="3333" width="2.6640625" style="95" customWidth="1"/>
    <col min="3334" max="3335" width="9.1640625" style="95"/>
    <col min="3336" max="3336" width="2.6640625" style="95" customWidth="1"/>
    <col min="3337" max="3338" width="9.1640625" style="95"/>
    <col min="3339" max="3339" width="2.6640625" style="95" customWidth="1"/>
    <col min="3340" max="3341" width="9.1640625" style="95"/>
    <col min="3342" max="3342" width="2.6640625" style="95" customWidth="1"/>
    <col min="3343" max="3344" width="9.1640625" style="95"/>
    <col min="3345" max="3345" width="2.5" style="95" customWidth="1"/>
    <col min="3346" max="3584" width="9.1640625" style="95"/>
    <col min="3585" max="3585" width="25.6640625" style="95" customWidth="1"/>
    <col min="3586" max="3586" width="3" style="95" customWidth="1"/>
    <col min="3587" max="3588" width="9.1640625" style="95"/>
    <col min="3589" max="3589" width="2.6640625" style="95" customWidth="1"/>
    <col min="3590" max="3591" width="9.1640625" style="95"/>
    <col min="3592" max="3592" width="2.6640625" style="95" customWidth="1"/>
    <col min="3593" max="3594" width="9.1640625" style="95"/>
    <col min="3595" max="3595" width="2.6640625" style="95" customWidth="1"/>
    <col min="3596" max="3597" width="9.1640625" style="95"/>
    <col min="3598" max="3598" width="2.6640625" style="95" customWidth="1"/>
    <col min="3599" max="3600" width="9.1640625" style="95"/>
    <col min="3601" max="3601" width="2.5" style="95" customWidth="1"/>
    <col min="3602" max="3840" width="9.1640625" style="95"/>
    <col min="3841" max="3841" width="25.6640625" style="95" customWidth="1"/>
    <col min="3842" max="3842" width="3" style="95" customWidth="1"/>
    <col min="3843" max="3844" width="9.1640625" style="95"/>
    <col min="3845" max="3845" width="2.6640625" style="95" customWidth="1"/>
    <col min="3846" max="3847" width="9.1640625" style="95"/>
    <col min="3848" max="3848" width="2.6640625" style="95" customWidth="1"/>
    <col min="3849" max="3850" width="9.1640625" style="95"/>
    <col min="3851" max="3851" width="2.6640625" style="95" customWidth="1"/>
    <col min="3852" max="3853" width="9.1640625" style="95"/>
    <col min="3854" max="3854" width="2.6640625" style="95" customWidth="1"/>
    <col min="3855" max="3856" width="9.1640625" style="95"/>
    <col min="3857" max="3857" width="2.5" style="95" customWidth="1"/>
    <col min="3858" max="4096" width="9.1640625" style="95"/>
    <col min="4097" max="4097" width="25.6640625" style="95" customWidth="1"/>
    <col min="4098" max="4098" width="3" style="95" customWidth="1"/>
    <col min="4099" max="4100" width="9.1640625" style="95"/>
    <col min="4101" max="4101" width="2.6640625" style="95" customWidth="1"/>
    <col min="4102" max="4103" width="9.1640625" style="95"/>
    <col min="4104" max="4104" width="2.6640625" style="95" customWidth="1"/>
    <col min="4105" max="4106" width="9.1640625" style="95"/>
    <col min="4107" max="4107" width="2.6640625" style="95" customWidth="1"/>
    <col min="4108" max="4109" width="9.1640625" style="95"/>
    <col min="4110" max="4110" width="2.6640625" style="95" customWidth="1"/>
    <col min="4111" max="4112" width="9.1640625" style="95"/>
    <col min="4113" max="4113" width="2.5" style="95" customWidth="1"/>
    <col min="4114" max="4352" width="9.1640625" style="95"/>
    <col min="4353" max="4353" width="25.6640625" style="95" customWidth="1"/>
    <col min="4354" max="4354" width="3" style="95" customWidth="1"/>
    <col min="4355" max="4356" width="9.1640625" style="95"/>
    <col min="4357" max="4357" width="2.6640625" style="95" customWidth="1"/>
    <col min="4358" max="4359" width="9.1640625" style="95"/>
    <col min="4360" max="4360" width="2.6640625" style="95" customWidth="1"/>
    <col min="4361" max="4362" width="9.1640625" style="95"/>
    <col min="4363" max="4363" width="2.6640625" style="95" customWidth="1"/>
    <col min="4364" max="4365" width="9.1640625" style="95"/>
    <col min="4366" max="4366" width="2.6640625" style="95" customWidth="1"/>
    <col min="4367" max="4368" width="9.1640625" style="95"/>
    <col min="4369" max="4369" width="2.5" style="95" customWidth="1"/>
    <col min="4370" max="4608" width="9.1640625" style="95"/>
    <col min="4609" max="4609" width="25.6640625" style="95" customWidth="1"/>
    <col min="4610" max="4610" width="3" style="95" customWidth="1"/>
    <col min="4611" max="4612" width="9.1640625" style="95"/>
    <col min="4613" max="4613" width="2.6640625" style="95" customWidth="1"/>
    <col min="4614" max="4615" width="9.1640625" style="95"/>
    <col min="4616" max="4616" width="2.6640625" style="95" customWidth="1"/>
    <col min="4617" max="4618" width="9.1640625" style="95"/>
    <col min="4619" max="4619" width="2.6640625" style="95" customWidth="1"/>
    <col min="4620" max="4621" width="9.1640625" style="95"/>
    <col min="4622" max="4622" width="2.6640625" style="95" customWidth="1"/>
    <col min="4623" max="4624" width="9.1640625" style="95"/>
    <col min="4625" max="4625" width="2.5" style="95" customWidth="1"/>
    <col min="4626" max="4864" width="9.1640625" style="95"/>
    <col min="4865" max="4865" width="25.6640625" style="95" customWidth="1"/>
    <col min="4866" max="4866" width="3" style="95" customWidth="1"/>
    <col min="4867" max="4868" width="9.1640625" style="95"/>
    <col min="4869" max="4869" width="2.6640625" style="95" customWidth="1"/>
    <col min="4870" max="4871" width="9.1640625" style="95"/>
    <col min="4872" max="4872" width="2.6640625" style="95" customWidth="1"/>
    <col min="4873" max="4874" width="9.1640625" style="95"/>
    <col min="4875" max="4875" width="2.6640625" style="95" customWidth="1"/>
    <col min="4876" max="4877" width="9.1640625" style="95"/>
    <col min="4878" max="4878" width="2.6640625" style="95" customWidth="1"/>
    <col min="4879" max="4880" width="9.1640625" style="95"/>
    <col min="4881" max="4881" width="2.5" style="95" customWidth="1"/>
    <col min="4882" max="5120" width="9.1640625" style="95"/>
    <col min="5121" max="5121" width="25.6640625" style="95" customWidth="1"/>
    <col min="5122" max="5122" width="3" style="95" customWidth="1"/>
    <col min="5123" max="5124" width="9.1640625" style="95"/>
    <col min="5125" max="5125" width="2.6640625" style="95" customWidth="1"/>
    <col min="5126" max="5127" width="9.1640625" style="95"/>
    <col min="5128" max="5128" width="2.6640625" style="95" customWidth="1"/>
    <col min="5129" max="5130" width="9.1640625" style="95"/>
    <col min="5131" max="5131" width="2.6640625" style="95" customWidth="1"/>
    <col min="5132" max="5133" width="9.1640625" style="95"/>
    <col min="5134" max="5134" width="2.6640625" style="95" customWidth="1"/>
    <col min="5135" max="5136" width="9.1640625" style="95"/>
    <col min="5137" max="5137" width="2.5" style="95" customWidth="1"/>
    <col min="5138" max="5376" width="9.1640625" style="95"/>
    <col min="5377" max="5377" width="25.6640625" style="95" customWidth="1"/>
    <col min="5378" max="5378" width="3" style="95" customWidth="1"/>
    <col min="5379" max="5380" width="9.1640625" style="95"/>
    <col min="5381" max="5381" width="2.6640625" style="95" customWidth="1"/>
    <col min="5382" max="5383" width="9.1640625" style="95"/>
    <col min="5384" max="5384" width="2.6640625" style="95" customWidth="1"/>
    <col min="5385" max="5386" width="9.1640625" style="95"/>
    <col min="5387" max="5387" width="2.6640625" style="95" customWidth="1"/>
    <col min="5388" max="5389" width="9.1640625" style="95"/>
    <col min="5390" max="5390" width="2.6640625" style="95" customWidth="1"/>
    <col min="5391" max="5392" width="9.1640625" style="95"/>
    <col min="5393" max="5393" width="2.5" style="95" customWidth="1"/>
    <col min="5394" max="5632" width="9.1640625" style="95"/>
    <col min="5633" max="5633" width="25.6640625" style="95" customWidth="1"/>
    <col min="5634" max="5634" width="3" style="95" customWidth="1"/>
    <col min="5635" max="5636" width="9.1640625" style="95"/>
    <col min="5637" max="5637" width="2.6640625" style="95" customWidth="1"/>
    <col min="5638" max="5639" width="9.1640625" style="95"/>
    <col min="5640" max="5640" width="2.6640625" style="95" customWidth="1"/>
    <col min="5641" max="5642" width="9.1640625" style="95"/>
    <col min="5643" max="5643" width="2.6640625" style="95" customWidth="1"/>
    <col min="5644" max="5645" width="9.1640625" style="95"/>
    <col min="5646" max="5646" width="2.6640625" style="95" customWidth="1"/>
    <col min="5647" max="5648" width="9.1640625" style="95"/>
    <col min="5649" max="5649" width="2.5" style="95" customWidth="1"/>
    <col min="5650" max="5888" width="9.1640625" style="95"/>
    <col min="5889" max="5889" width="25.6640625" style="95" customWidth="1"/>
    <col min="5890" max="5890" width="3" style="95" customWidth="1"/>
    <col min="5891" max="5892" width="9.1640625" style="95"/>
    <col min="5893" max="5893" width="2.6640625" style="95" customWidth="1"/>
    <col min="5894" max="5895" width="9.1640625" style="95"/>
    <col min="5896" max="5896" width="2.6640625" style="95" customWidth="1"/>
    <col min="5897" max="5898" width="9.1640625" style="95"/>
    <col min="5899" max="5899" width="2.6640625" style="95" customWidth="1"/>
    <col min="5900" max="5901" width="9.1640625" style="95"/>
    <col min="5902" max="5902" width="2.6640625" style="95" customWidth="1"/>
    <col min="5903" max="5904" width="9.1640625" style="95"/>
    <col min="5905" max="5905" width="2.5" style="95" customWidth="1"/>
    <col min="5906" max="6144" width="9.1640625" style="95"/>
    <col min="6145" max="6145" width="25.6640625" style="95" customWidth="1"/>
    <col min="6146" max="6146" width="3" style="95" customWidth="1"/>
    <col min="6147" max="6148" width="9.1640625" style="95"/>
    <col min="6149" max="6149" width="2.6640625" style="95" customWidth="1"/>
    <col min="6150" max="6151" width="9.1640625" style="95"/>
    <col min="6152" max="6152" width="2.6640625" style="95" customWidth="1"/>
    <col min="6153" max="6154" width="9.1640625" style="95"/>
    <col min="6155" max="6155" width="2.6640625" style="95" customWidth="1"/>
    <col min="6156" max="6157" width="9.1640625" style="95"/>
    <col min="6158" max="6158" width="2.6640625" style="95" customWidth="1"/>
    <col min="6159" max="6160" width="9.1640625" style="95"/>
    <col min="6161" max="6161" width="2.5" style="95" customWidth="1"/>
    <col min="6162" max="6400" width="9.1640625" style="95"/>
    <col min="6401" max="6401" width="25.6640625" style="95" customWidth="1"/>
    <col min="6402" max="6402" width="3" style="95" customWidth="1"/>
    <col min="6403" max="6404" width="9.1640625" style="95"/>
    <col min="6405" max="6405" width="2.6640625" style="95" customWidth="1"/>
    <col min="6406" max="6407" width="9.1640625" style="95"/>
    <col min="6408" max="6408" width="2.6640625" style="95" customWidth="1"/>
    <col min="6409" max="6410" width="9.1640625" style="95"/>
    <col min="6411" max="6411" width="2.6640625" style="95" customWidth="1"/>
    <col min="6412" max="6413" width="9.1640625" style="95"/>
    <col min="6414" max="6414" width="2.6640625" style="95" customWidth="1"/>
    <col min="6415" max="6416" width="9.1640625" style="95"/>
    <col min="6417" max="6417" width="2.5" style="95" customWidth="1"/>
    <col min="6418" max="6656" width="9.1640625" style="95"/>
    <col min="6657" max="6657" width="25.6640625" style="95" customWidth="1"/>
    <col min="6658" max="6658" width="3" style="95" customWidth="1"/>
    <col min="6659" max="6660" width="9.1640625" style="95"/>
    <col min="6661" max="6661" width="2.6640625" style="95" customWidth="1"/>
    <col min="6662" max="6663" width="9.1640625" style="95"/>
    <col min="6664" max="6664" width="2.6640625" style="95" customWidth="1"/>
    <col min="6665" max="6666" width="9.1640625" style="95"/>
    <col min="6667" max="6667" width="2.6640625" style="95" customWidth="1"/>
    <col min="6668" max="6669" width="9.1640625" style="95"/>
    <col min="6670" max="6670" width="2.6640625" style="95" customWidth="1"/>
    <col min="6671" max="6672" width="9.1640625" style="95"/>
    <col min="6673" max="6673" width="2.5" style="95" customWidth="1"/>
    <col min="6674" max="6912" width="9.1640625" style="95"/>
    <col min="6913" max="6913" width="25.6640625" style="95" customWidth="1"/>
    <col min="6914" max="6914" width="3" style="95" customWidth="1"/>
    <col min="6915" max="6916" width="9.1640625" style="95"/>
    <col min="6917" max="6917" width="2.6640625" style="95" customWidth="1"/>
    <col min="6918" max="6919" width="9.1640625" style="95"/>
    <col min="6920" max="6920" width="2.6640625" style="95" customWidth="1"/>
    <col min="6921" max="6922" width="9.1640625" style="95"/>
    <col min="6923" max="6923" width="2.6640625" style="95" customWidth="1"/>
    <col min="6924" max="6925" width="9.1640625" style="95"/>
    <col min="6926" max="6926" width="2.6640625" style="95" customWidth="1"/>
    <col min="6927" max="6928" width="9.1640625" style="95"/>
    <col min="6929" max="6929" width="2.5" style="95" customWidth="1"/>
    <col min="6930" max="7168" width="9.1640625" style="95"/>
    <col min="7169" max="7169" width="25.6640625" style="95" customWidth="1"/>
    <col min="7170" max="7170" width="3" style="95" customWidth="1"/>
    <col min="7171" max="7172" width="9.1640625" style="95"/>
    <col min="7173" max="7173" width="2.6640625" style="95" customWidth="1"/>
    <col min="7174" max="7175" width="9.1640625" style="95"/>
    <col min="7176" max="7176" width="2.6640625" style="95" customWidth="1"/>
    <col min="7177" max="7178" width="9.1640625" style="95"/>
    <col min="7179" max="7179" width="2.6640625" style="95" customWidth="1"/>
    <col min="7180" max="7181" width="9.1640625" style="95"/>
    <col min="7182" max="7182" width="2.6640625" style="95" customWidth="1"/>
    <col min="7183" max="7184" width="9.1640625" style="95"/>
    <col min="7185" max="7185" width="2.5" style="95" customWidth="1"/>
    <col min="7186" max="7424" width="9.1640625" style="95"/>
    <col min="7425" max="7425" width="25.6640625" style="95" customWidth="1"/>
    <col min="7426" max="7426" width="3" style="95" customWidth="1"/>
    <col min="7427" max="7428" width="9.1640625" style="95"/>
    <col min="7429" max="7429" width="2.6640625" style="95" customWidth="1"/>
    <col min="7430" max="7431" width="9.1640625" style="95"/>
    <col min="7432" max="7432" width="2.6640625" style="95" customWidth="1"/>
    <col min="7433" max="7434" width="9.1640625" style="95"/>
    <col min="7435" max="7435" width="2.6640625" style="95" customWidth="1"/>
    <col min="7436" max="7437" width="9.1640625" style="95"/>
    <col min="7438" max="7438" width="2.6640625" style="95" customWidth="1"/>
    <col min="7439" max="7440" width="9.1640625" style="95"/>
    <col min="7441" max="7441" width="2.5" style="95" customWidth="1"/>
    <col min="7442" max="7680" width="9.1640625" style="95"/>
    <col min="7681" max="7681" width="25.6640625" style="95" customWidth="1"/>
    <col min="7682" max="7682" width="3" style="95" customWidth="1"/>
    <col min="7683" max="7684" width="9.1640625" style="95"/>
    <col min="7685" max="7685" width="2.6640625" style="95" customWidth="1"/>
    <col min="7686" max="7687" width="9.1640625" style="95"/>
    <col min="7688" max="7688" width="2.6640625" style="95" customWidth="1"/>
    <col min="7689" max="7690" width="9.1640625" style="95"/>
    <col min="7691" max="7691" width="2.6640625" style="95" customWidth="1"/>
    <col min="7692" max="7693" width="9.1640625" style="95"/>
    <col min="7694" max="7694" width="2.6640625" style="95" customWidth="1"/>
    <col min="7695" max="7696" width="9.1640625" style="95"/>
    <col min="7697" max="7697" width="2.5" style="95" customWidth="1"/>
    <col min="7698" max="7936" width="9.1640625" style="95"/>
    <col min="7937" max="7937" width="25.6640625" style="95" customWidth="1"/>
    <col min="7938" max="7938" width="3" style="95" customWidth="1"/>
    <col min="7939" max="7940" width="9.1640625" style="95"/>
    <col min="7941" max="7941" width="2.6640625" style="95" customWidth="1"/>
    <col min="7942" max="7943" width="9.1640625" style="95"/>
    <col min="7944" max="7944" width="2.6640625" style="95" customWidth="1"/>
    <col min="7945" max="7946" width="9.1640625" style="95"/>
    <col min="7947" max="7947" width="2.6640625" style="95" customWidth="1"/>
    <col min="7948" max="7949" width="9.1640625" style="95"/>
    <col min="7950" max="7950" width="2.6640625" style="95" customWidth="1"/>
    <col min="7951" max="7952" width="9.1640625" style="95"/>
    <col min="7953" max="7953" width="2.5" style="95" customWidth="1"/>
    <col min="7954" max="8192" width="9.1640625" style="95"/>
    <col min="8193" max="8193" width="25.6640625" style="95" customWidth="1"/>
    <col min="8194" max="8194" width="3" style="95" customWidth="1"/>
    <col min="8195" max="8196" width="9.1640625" style="95"/>
    <col min="8197" max="8197" width="2.6640625" style="95" customWidth="1"/>
    <col min="8198" max="8199" width="9.1640625" style="95"/>
    <col min="8200" max="8200" width="2.6640625" style="95" customWidth="1"/>
    <col min="8201" max="8202" width="9.1640625" style="95"/>
    <col min="8203" max="8203" width="2.6640625" style="95" customWidth="1"/>
    <col min="8204" max="8205" width="9.1640625" style="95"/>
    <col min="8206" max="8206" width="2.6640625" style="95" customWidth="1"/>
    <col min="8207" max="8208" width="9.1640625" style="95"/>
    <col min="8209" max="8209" width="2.5" style="95" customWidth="1"/>
    <col min="8210" max="8448" width="9.1640625" style="95"/>
    <col min="8449" max="8449" width="25.6640625" style="95" customWidth="1"/>
    <col min="8450" max="8450" width="3" style="95" customWidth="1"/>
    <col min="8451" max="8452" width="9.1640625" style="95"/>
    <col min="8453" max="8453" width="2.6640625" style="95" customWidth="1"/>
    <col min="8454" max="8455" width="9.1640625" style="95"/>
    <col min="8456" max="8456" width="2.6640625" style="95" customWidth="1"/>
    <col min="8457" max="8458" width="9.1640625" style="95"/>
    <col min="8459" max="8459" width="2.6640625" style="95" customWidth="1"/>
    <col min="8460" max="8461" width="9.1640625" style="95"/>
    <col min="8462" max="8462" width="2.6640625" style="95" customWidth="1"/>
    <col min="8463" max="8464" width="9.1640625" style="95"/>
    <col min="8465" max="8465" width="2.5" style="95" customWidth="1"/>
    <col min="8466" max="8704" width="9.1640625" style="95"/>
    <col min="8705" max="8705" width="25.6640625" style="95" customWidth="1"/>
    <col min="8706" max="8706" width="3" style="95" customWidth="1"/>
    <col min="8707" max="8708" width="9.1640625" style="95"/>
    <col min="8709" max="8709" width="2.6640625" style="95" customWidth="1"/>
    <col min="8710" max="8711" width="9.1640625" style="95"/>
    <col min="8712" max="8712" width="2.6640625" style="95" customWidth="1"/>
    <col min="8713" max="8714" width="9.1640625" style="95"/>
    <col min="8715" max="8715" width="2.6640625" style="95" customWidth="1"/>
    <col min="8716" max="8717" width="9.1640625" style="95"/>
    <col min="8718" max="8718" width="2.6640625" style="95" customWidth="1"/>
    <col min="8719" max="8720" width="9.1640625" style="95"/>
    <col min="8721" max="8721" width="2.5" style="95" customWidth="1"/>
    <col min="8722" max="8960" width="9.1640625" style="95"/>
    <col min="8961" max="8961" width="25.6640625" style="95" customWidth="1"/>
    <col min="8962" max="8962" width="3" style="95" customWidth="1"/>
    <col min="8963" max="8964" width="9.1640625" style="95"/>
    <col min="8965" max="8965" width="2.6640625" style="95" customWidth="1"/>
    <col min="8966" max="8967" width="9.1640625" style="95"/>
    <col min="8968" max="8968" width="2.6640625" style="95" customWidth="1"/>
    <col min="8969" max="8970" width="9.1640625" style="95"/>
    <col min="8971" max="8971" width="2.6640625" style="95" customWidth="1"/>
    <col min="8972" max="8973" width="9.1640625" style="95"/>
    <col min="8974" max="8974" width="2.6640625" style="95" customWidth="1"/>
    <col min="8975" max="8976" width="9.1640625" style="95"/>
    <col min="8977" max="8977" width="2.5" style="95" customWidth="1"/>
    <col min="8978" max="9216" width="9.1640625" style="95"/>
    <col min="9217" max="9217" width="25.6640625" style="95" customWidth="1"/>
    <col min="9218" max="9218" width="3" style="95" customWidth="1"/>
    <col min="9219" max="9220" width="9.1640625" style="95"/>
    <col min="9221" max="9221" width="2.6640625" style="95" customWidth="1"/>
    <col min="9222" max="9223" width="9.1640625" style="95"/>
    <col min="9224" max="9224" width="2.6640625" style="95" customWidth="1"/>
    <col min="9225" max="9226" width="9.1640625" style="95"/>
    <col min="9227" max="9227" width="2.6640625" style="95" customWidth="1"/>
    <col min="9228" max="9229" width="9.1640625" style="95"/>
    <col min="9230" max="9230" width="2.6640625" style="95" customWidth="1"/>
    <col min="9231" max="9232" width="9.1640625" style="95"/>
    <col min="9233" max="9233" width="2.5" style="95" customWidth="1"/>
    <col min="9234" max="9472" width="9.1640625" style="95"/>
    <col min="9473" max="9473" width="25.6640625" style="95" customWidth="1"/>
    <col min="9474" max="9474" width="3" style="95" customWidth="1"/>
    <col min="9475" max="9476" width="9.1640625" style="95"/>
    <col min="9477" max="9477" width="2.6640625" style="95" customWidth="1"/>
    <col min="9478" max="9479" width="9.1640625" style="95"/>
    <col min="9480" max="9480" width="2.6640625" style="95" customWidth="1"/>
    <col min="9481" max="9482" width="9.1640625" style="95"/>
    <col min="9483" max="9483" width="2.6640625" style="95" customWidth="1"/>
    <col min="9484" max="9485" width="9.1640625" style="95"/>
    <col min="9486" max="9486" width="2.6640625" style="95" customWidth="1"/>
    <col min="9487" max="9488" width="9.1640625" style="95"/>
    <col min="9489" max="9489" width="2.5" style="95" customWidth="1"/>
    <col min="9490" max="9728" width="9.1640625" style="95"/>
    <col min="9729" max="9729" width="25.6640625" style="95" customWidth="1"/>
    <col min="9730" max="9730" width="3" style="95" customWidth="1"/>
    <col min="9731" max="9732" width="9.1640625" style="95"/>
    <col min="9733" max="9733" width="2.6640625" style="95" customWidth="1"/>
    <col min="9734" max="9735" width="9.1640625" style="95"/>
    <col min="9736" max="9736" width="2.6640625" style="95" customWidth="1"/>
    <col min="9737" max="9738" width="9.1640625" style="95"/>
    <col min="9739" max="9739" width="2.6640625" style="95" customWidth="1"/>
    <col min="9740" max="9741" width="9.1640625" style="95"/>
    <col min="9742" max="9742" width="2.6640625" style="95" customWidth="1"/>
    <col min="9743" max="9744" width="9.1640625" style="95"/>
    <col min="9745" max="9745" width="2.5" style="95" customWidth="1"/>
    <col min="9746" max="9984" width="9.1640625" style="95"/>
    <col min="9985" max="9985" width="25.6640625" style="95" customWidth="1"/>
    <col min="9986" max="9986" width="3" style="95" customWidth="1"/>
    <col min="9987" max="9988" width="9.1640625" style="95"/>
    <col min="9989" max="9989" width="2.6640625" style="95" customWidth="1"/>
    <col min="9990" max="9991" width="9.1640625" style="95"/>
    <col min="9992" max="9992" width="2.6640625" style="95" customWidth="1"/>
    <col min="9993" max="9994" width="9.1640625" style="95"/>
    <col min="9995" max="9995" width="2.6640625" style="95" customWidth="1"/>
    <col min="9996" max="9997" width="9.1640625" style="95"/>
    <col min="9998" max="9998" width="2.6640625" style="95" customWidth="1"/>
    <col min="9999" max="10000" width="9.1640625" style="95"/>
    <col min="10001" max="10001" width="2.5" style="95" customWidth="1"/>
    <col min="10002" max="10240" width="9.1640625" style="95"/>
    <col min="10241" max="10241" width="25.6640625" style="95" customWidth="1"/>
    <col min="10242" max="10242" width="3" style="95" customWidth="1"/>
    <col min="10243" max="10244" width="9.1640625" style="95"/>
    <col min="10245" max="10245" width="2.6640625" style="95" customWidth="1"/>
    <col min="10246" max="10247" width="9.1640625" style="95"/>
    <col min="10248" max="10248" width="2.6640625" style="95" customWidth="1"/>
    <col min="10249" max="10250" width="9.1640625" style="95"/>
    <col min="10251" max="10251" width="2.6640625" style="95" customWidth="1"/>
    <col min="10252" max="10253" width="9.1640625" style="95"/>
    <col min="10254" max="10254" width="2.6640625" style="95" customWidth="1"/>
    <col min="10255" max="10256" width="9.1640625" style="95"/>
    <col min="10257" max="10257" width="2.5" style="95" customWidth="1"/>
    <col min="10258" max="10496" width="9.1640625" style="95"/>
    <col min="10497" max="10497" width="25.6640625" style="95" customWidth="1"/>
    <col min="10498" max="10498" width="3" style="95" customWidth="1"/>
    <col min="10499" max="10500" width="9.1640625" style="95"/>
    <col min="10501" max="10501" width="2.6640625" style="95" customWidth="1"/>
    <col min="10502" max="10503" width="9.1640625" style="95"/>
    <col min="10504" max="10504" width="2.6640625" style="95" customWidth="1"/>
    <col min="10505" max="10506" width="9.1640625" style="95"/>
    <col min="10507" max="10507" width="2.6640625" style="95" customWidth="1"/>
    <col min="10508" max="10509" width="9.1640625" style="95"/>
    <col min="10510" max="10510" width="2.6640625" style="95" customWidth="1"/>
    <col min="10511" max="10512" width="9.1640625" style="95"/>
    <col min="10513" max="10513" width="2.5" style="95" customWidth="1"/>
    <col min="10514" max="10752" width="9.1640625" style="95"/>
    <col min="10753" max="10753" width="25.6640625" style="95" customWidth="1"/>
    <col min="10754" max="10754" width="3" style="95" customWidth="1"/>
    <col min="10755" max="10756" width="9.1640625" style="95"/>
    <col min="10757" max="10757" width="2.6640625" style="95" customWidth="1"/>
    <col min="10758" max="10759" width="9.1640625" style="95"/>
    <col min="10760" max="10760" width="2.6640625" style="95" customWidth="1"/>
    <col min="10761" max="10762" width="9.1640625" style="95"/>
    <col min="10763" max="10763" width="2.6640625" style="95" customWidth="1"/>
    <col min="10764" max="10765" width="9.1640625" style="95"/>
    <col min="10766" max="10766" width="2.6640625" style="95" customWidth="1"/>
    <col min="10767" max="10768" width="9.1640625" style="95"/>
    <col min="10769" max="10769" width="2.5" style="95" customWidth="1"/>
    <col min="10770" max="11008" width="9.1640625" style="95"/>
    <col min="11009" max="11009" width="25.6640625" style="95" customWidth="1"/>
    <col min="11010" max="11010" width="3" style="95" customWidth="1"/>
    <col min="11011" max="11012" width="9.1640625" style="95"/>
    <col min="11013" max="11013" width="2.6640625" style="95" customWidth="1"/>
    <col min="11014" max="11015" width="9.1640625" style="95"/>
    <col min="11016" max="11016" width="2.6640625" style="95" customWidth="1"/>
    <col min="11017" max="11018" width="9.1640625" style="95"/>
    <col min="11019" max="11019" width="2.6640625" style="95" customWidth="1"/>
    <col min="11020" max="11021" width="9.1640625" style="95"/>
    <col min="11022" max="11022" width="2.6640625" style="95" customWidth="1"/>
    <col min="11023" max="11024" width="9.1640625" style="95"/>
    <col min="11025" max="11025" width="2.5" style="95" customWidth="1"/>
    <col min="11026" max="11264" width="9.1640625" style="95"/>
    <col min="11265" max="11265" width="25.6640625" style="95" customWidth="1"/>
    <col min="11266" max="11266" width="3" style="95" customWidth="1"/>
    <col min="11267" max="11268" width="9.1640625" style="95"/>
    <col min="11269" max="11269" width="2.6640625" style="95" customWidth="1"/>
    <col min="11270" max="11271" width="9.1640625" style="95"/>
    <col min="11272" max="11272" width="2.6640625" style="95" customWidth="1"/>
    <col min="11273" max="11274" width="9.1640625" style="95"/>
    <col min="11275" max="11275" width="2.6640625" style="95" customWidth="1"/>
    <col min="11276" max="11277" width="9.1640625" style="95"/>
    <col min="11278" max="11278" width="2.6640625" style="95" customWidth="1"/>
    <col min="11279" max="11280" width="9.1640625" style="95"/>
    <col min="11281" max="11281" width="2.5" style="95" customWidth="1"/>
    <col min="11282" max="11520" width="9.1640625" style="95"/>
    <col min="11521" max="11521" width="25.6640625" style="95" customWidth="1"/>
    <col min="11522" max="11522" width="3" style="95" customWidth="1"/>
    <col min="11523" max="11524" width="9.1640625" style="95"/>
    <col min="11525" max="11525" width="2.6640625" style="95" customWidth="1"/>
    <col min="11526" max="11527" width="9.1640625" style="95"/>
    <col min="11528" max="11528" width="2.6640625" style="95" customWidth="1"/>
    <col min="11529" max="11530" width="9.1640625" style="95"/>
    <col min="11531" max="11531" width="2.6640625" style="95" customWidth="1"/>
    <col min="11532" max="11533" width="9.1640625" style="95"/>
    <col min="11534" max="11534" width="2.6640625" style="95" customWidth="1"/>
    <col min="11535" max="11536" width="9.1640625" style="95"/>
    <col min="11537" max="11537" width="2.5" style="95" customWidth="1"/>
    <col min="11538" max="11776" width="9.1640625" style="95"/>
    <col min="11777" max="11777" width="25.6640625" style="95" customWidth="1"/>
    <col min="11778" max="11778" width="3" style="95" customWidth="1"/>
    <col min="11779" max="11780" width="9.1640625" style="95"/>
    <col min="11781" max="11781" width="2.6640625" style="95" customWidth="1"/>
    <col min="11782" max="11783" width="9.1640625" style="95"/>
    <col min="11784" max="11784" width="2.6640625" style="95" customWidth="1"/>
    <col min="11785" max="11786" width="9.1640625" style="95"/>
    <col min="11787" max="11787" width="2.6640625" style="95" customWidth="1"/>
    <col min="11788" max="11789" width="9.1640625" style="95"/>
    <col min="11790" max="11790" width="2.6640625" style="95" customWidth="1"/>
    <col min="11791" max="11792" width="9.1640625" style="95"/>
    <col min="11793" max="11793" width="2.5" style="95" customWidth="1"/>
    <col min="11794" max="12032" width="9.1640625" style="95"/>
    <col min="12033" max="12033" width="25.6640625" style="95" customWidth="1"/>
    <col min="12034" max="12034" width="3" style="95" customWidth="1"/>
    <col min="12035" max="12036" width="9.1640625" style="95"/>
    <col min="12037" max="12037" width="2.6640625" style="95" customWidth="1"/>
    <col min="12038" max="12039" width="9.1640625" style="95"/>
    <col min="12040" max="12040" width="2.6640625" style="95" customWidth="1"/>
    <col min="12041" max="12042" width="9.1640625" style="95"/>
    <col min="12043" max="12043" width="2.6640625" style="95" customWidth="1"/>
    <col min="12044" max="12045" width="9.1640625" style="95"/>
    <col min="12046" max="12046" width="2.6640625" style="95" customWidth="1"/>
    <col min="12047" max="12048" width="9.1640625" style="95"/>
    <col min="12049" max="12049" width="2.5" style="95" customWidth="1"/>
    <col min="12050" max="12288" width="9.1640625" style="95"/>
    <col min="12289" max="12289" width="25.6640625" style="95" customWidth="1"/>
    <col min="12290" max="12290" width="3" style="95" customWidth="1"/>
    <col min="12291" max="12292" width="9.1640625" style="95"/>
    <col min="12293" max="12293" width="2.6640625" style="95" customWidth="1"/>
    <col min="12294" max="12295" width="9.1640625" style="95"/>
    <col min="12296" max="12296" width="2.6640625" style="95" customWidth="1"/>
    <col min="12297" max="12298" width="9.1640625" style="95"/>
    <col min="12299" max="12299" width="2.6640625" style="95" customWidth="1"/>
    <col min="12300" max="12301" width="9.1640625" style="95"/>
    <col min="12302" max="12302" width="2.6640625" style="95" customWidth="1"/>
    <col min="12303" max="12304" width="9.1640625" style="95"/>
    <col min="12305" max="12305" width="2.5" style="95" customWidth="1"/>
    <col min="12306" max="12544" width="9.1640625" style="95"/>
    <col min="12545" max="12545" width="25.6640625" style="95" customWidth="1"/>
    <col min="12546" max="12546" width="3" style="95" customWidth="1"/>
    <col min="12547" max="12548" width="9.1640625" style="95"/>
    <col min="12549" max="12549" width="2.6640625" style="95" customWidth="1"/>
    <col min="12550" max="12551" width="9.1640625" style="95"/>
    <col min="12552" max="12552" width="2.6640625" style="95" customWidth="1"/>
    <col min="12553" max="12554" width="9.1640625" style="95"/>
    <col min="12555" max="12555" width="2.6640625" style="95" customWidth="1"/>
    <col min="12556" max="12557" width="9.1640625" style="95"/>
    <col min="12558" max="12558" width="2.6640625" style="95" customWidth="1"/>
    <col min="12559" max="12560" width="9.1640625" style="95"/>
    <col min="12561" max="12561" width="2.5" style="95" customWidth="1"/>
    <col min="12562" max="12800" width="9.1640625" style="95"/>
    <col min="12801" max="12801" width="25.6640625" style="95" customWidth="1"/>
    <col min="12802" max="12802" width="3" style="95" customWidth="1"/>
    <col min="12803" max="12804" width="9.1640625" style="95"/>
    <col min="12805" max="12805" width="2.6640625" style="95" customWidth="1"/>
    <col min="12806" max="12807" width="9.1640625" style="95"/>
    <col min="12808" max="12808" width="2.6640625" style="95" customWidth="1"/>
    <col min="12809" max="12810" width="9.1640625" style="95"/>
    <col min="12811" max="12811" width="2.6640625" style="95" customWidth="1"/>
    <col min="12812" max="12813" width="9.1640625" style="95"/>
    <col min="12814" max="12814" width="2.6640625" style="95" customWidth="1"/>
    <col min="12815" max="12816" width="9.1640625" style="95"/>
    <col min="12817" max="12817" width="2.5" style="95" customWidth="1"/>
    <col min="12818" max="13056" width="9.1640625" style="95"/>
    <col min="13057" max="13057" width="25.6640625" style="95" customWidth="1"/>
    <col min="13058" max="13058" width="3" style="95" customWidth="1"/>
    <col min="13059" max="13060" width="9.1640625" style="95"/>
    <col min="13061" max="13061" width="2.6640625" style="95" customWidth="1"/>
    <col min="13062" max="13063" width="9.1640625" style="95"/>
    <col min="13064" max="13064" width="2.6640625" style="95" customWidth="1"/>
    <col min="13065" max="13066" width="9.1640625" style="95"/>
    <col min="13067" max="13067" width="2.6640625" style="95" customWidth="1"/>
    <col min="13068" max="13069" width="9.1640625" style="95"/>
    <col min="13070" max="13070" width="2.6640625" style="95" customWidth="1"/>
    <col min="13071" max="13072" width="9.1640625" style="95"/>
    <col min="13073" max="13073" width="2.5" style="95" customWidth="1"/>
    <col min="13074" max="13312" width="9.1640625" style="95"/>
    <col min="13313" max="13313" width="25.6640625" style="95" customWidth="1"/>
    <col min="13314" max="13314" width="3" style="95" customWidth="1"/>
    <col min="13315" max="13316" width="9.1640625" style="95"/>
    <col min="13317" max="13317" width="2.6640625" style="95" customWidth="1"/>
    <col min="13318" max="13319" width="9.1640625" style="95"/>
    <col min="13320" max="13320" width="2.6640625" style="95" customWidth="1"/>
    <col min="13321" max="13322" width="9.1640625" style="95"/>
    <col min="13323" max="13323" width="2.6640625" style="95" customWidth="1"/>
    <col min="13324" max="13325" width="9.1640625" style="95"/>
    <col min="13326" max="13326" width="2.6640625" style="95" customWidth="1"/>
    <col min="13327" max="13328" width="9.1640625" style="95"/>
    <col min="13329" max="13329" width="2.5" style="95" customWidth="1"/>
    <col min="13330" max="13568" width="9.1640625" style="95"/>
    <col min="13569" max="13569" width="25.6640625" style="95" customWidth="1"/>
    <col min="13570" max="13570" width="3" style="95" customWidth="1"/>
    <col min="13571" max="13572" width="9.1640625" style="95"/>
    <col min="13573" max="13573" width="2.6640625" style="95" customWidth="1"/>
    <col min="13574" max="13575" width="9.1640625" style="95"/>
    <col min="13576" max="13576" width="2.6640625" style="95" customWidth="1"/>
    <col min="13577" max="13578" width="9.1640625" style="95"/>
    <col min="13579" max="13579" width="2.6640625" style="95" customWidth="1"/>
    <col min="13580" max="13581" width="9.1640625" style="95"/>
    <col min="13582" max="13582" width="2.6640625" style="95" customWidth="1"/>
    <col min="13583" max="13584" width="9.1640625" style="95"/>
    <col min="13585" max="13585" width="2.5" style="95" customWidth="1"/>
    <col min="13586" max="13824" width="9.1640625" style="95"/>
    <col min="13825" max="13825" width="25.6640625" style="95" customWidth="1"/>
    <col min="13826" max="13826" width="3" style="95" customWidth="1"/>
    <col min="13827" max="13828" width="9.1640625" style="95"/>
    <col min="13829" max="13829" width="2.6640625" style="95" customWidth="1"/>
    <col min="13830" max="13831" width="9.1640625" style="95"/>
    <col min="13832" max="13832" width="2.6640625" style="95" customWidth="1"/>
    <col min="13833" max="13834" width="9.1640625" style="95"/>
    <col min="13835" max="13835" width="2.6640625" style="95" customWidth="1"/>
    <col min="13836" max="13837" width="9.1640625" style="95"/>
    <col min="13838" max="13838" width="2.6640625" style="95" customWidth="1"/>
    <col min="13839" max="13840" width="9.1640625" style="95"/>
    <col min="13841" max="13841" width="2.5" style="95" customWidth="1"/>
    <col min="13842" max="14080" width="9.1640625" style="95"/>
    <col min="14081" max="14081" width="25.6640625" style="95" customWidth="1"/>
    <col min="14082" max="14082" width="3" style="95" customWidth="1"/>
    <col min="14083" max="14084" width="9.1640625" style="95"/>
    <col min="14085" max="14085" width="2.6640625" style="95" customWidth="1"/>
    <col min="14086" max="14087" width="9.1640625" style="95"/>
    <col min="14088" max="14088" width="2.6640625" style="95" customWidth="1"/>
    <col min="14089" max="14090" width="9.1640625" style="95"/>
    <col min="14091" max="14091" width="2.6640625" style="95" customWidth="1"/>
    <col min="14092" max="14093" width="9.1640625" style="95"/>
    <col min="14094" max="14094" width="2.6640625" style="95" customWidth="1"/>
    <col min="14095" max="14096" width="9.1640625" style="95"/>
    <col min="14097" max="14097" width="2.5" style="95" customWidth="1"/>
    <col min="14098" max="14336" width="9.1640625" style="95"/>
    <col min="14337" max="14337" width="25.6640625" style="95" customWidth="1"/>
    <col min="14338" max="14338" width="3" style="95" customWidth="1"/>
    <col min="14339" max="14340" width="9.1640625" style="95"/>
    <col min="14341" max="14341" width="2.6640625" style="95" customWidth="1"/>
    <col min="14342" max="14343" width="9.1640625" style="95"/>
    <col min="14344" max="14344" width="2.6640625" style="95" customWidth="1"/>
    <col min="14345" max="14346" width="9.1640625" style="95"/>
    <col min="14347" max="14347" width="2.6640625" style="95" customWidth="1"/>
    <col min="14348" max="14349" width="9.1640625" style="95"/>
    <col min="14350" max="14350" width="2.6640625" style="95" customWidth="1"/>
    <col min="14351" max="14352" width="9.1640625" style="95"/>
    <col min="14353" max="14353" width="2.5" style="95" customWidth="1"/>
    <col min="14354" max="14592" width="9.1640625" style="95"/>
    <col min="14593" max="14593" width="25.6640625" style="95" customWidth="1"/>
    <col min="14594" max="14594" width="3" style="95" customWidth="1"/>
    <col min="14595" max="14596" width="9.1640625" style="95"/>
    <col min="14597" max="14597" width="2.6640625" style="95" customWidth="1"/>
    <col min="14598" max="14599" width="9.1640625" style="95"/>
    <col min="14600" max="14600" width="2.6640625" style="95" customWidth="1"/>
    <col min="14601" max="14602" width="9.1640625" style="95"/>
    <col min="14603" max="14603" width="2.6640625" style="95" customWidth="1"/>
    <col min="14604" max="14605" width="9.1640625" style="95"/>
    <col min="14606" max="14606" width="2.6640625" style="95" customWidth="1"/>
    <col min="14607" max="14608" width="9.1640625" style="95"/>
    <col min="14609" max="14609" width="2.5" style="95" customWidth="1"/>
    <col min="14610" max="14848" width="9.1640625" style="95"/>
    <col min="14849" max="14849" width="25.6640625" style="95" customWidth="1"/>
    <col min="14850" max="14850" width="3" style="95" customWidth="1"/>
    <col min="14851" max="14852" width="9.1640625" style="95"/>
    <col min="14853" max="14853" width="2.6640625" style="95" customWidth="1"/>
    <col min="14854" max="14855" width="9.1640625" style="95"/>
    <col min="14856" max="14856" width="2.6640625" style="95" customWidth="1"/>
    <col min="14857" max="14858" width="9.1640625" style="95"/>
    <col min="14859" max="14859" width="2.6640625" style="95" customWidth="1"/>
    <col min="14860" max="14861" width="9.1640625" style="95"/>
    <col min="14862" max="14862" width="2.6640625" style="95" customWidth="1"/>
    <col min="14863" max="14864" width="9.1640625" style="95"/>
    <col min="14865" max="14865" width="2.5" style="95" customWidth="1"/>
    <col min="14866" max="15104" width="9.1640625" style="95"/>
    <col min="15105" max="15105" width="25.6640625" style="95" customWidth="1"/>
    <col min="15106" max="15106" width="3" style="95" customWidth="1"/>
    <col min="15107" max="15108" width="9.1640625" style="95"/>
    <col min="15109" max="15109" width="2.6640625" style="95" customWidth="1"/>
    <col min="15110" max="15111" width="9.1640625" style="95"/>
    <col min="15112" max="15112" width="2.6640625" style="95" customWidth="1"/>
    <col min="15113" max="15114" width="9.1640625" style="95"/>
    <col min="15115" max="15115" width="2.6640625" style="95" customWidth="1"/>
    <col min="15116" max="15117" width="9.1640625" style="95"/>
    <col min="15118" max="15118" width="2.6640625" style="95" customWidth="1"/>
    <col min="15119" max="15120" width="9.1640625" style="95"/>
    <col min="15121" max="15121" width="2.5" style="95" customWidth="1"/>
    <col min="15122" max="15360" width="9.1640625" style="95"/>
    <col min="15361" max="15361" width="25.6640625" style="95" customWidth="1"/>
    <col min="15362" max="15362" width="3" style="95" customWidth="1"/>
    <col min="15363" max="15364" width="9.1640625" style="95"/>
    <col min="15365" max="15365" width="2.6640625" style="95" customWidth="1"/>
    <col min="15366" max="15367" width="9.1640625" style="95"/>
    <col min="15368" max="15368" width="2.6640625" style="95" customWidth="1"/>
    <col min="15369" max="15370" width="9.1640625" style="95"/>
    <col min="15371" max="15371" width="2.6640625" style="95" customWidth="1"/>
    <col min="15372" max="15373" width="9.1640625" style="95"/>
    <col min="15374" max="15374" width="2.6640625" style="95" customWidth="1"/>
    <col min="15375" max="15376" width="9.1640625" style="95"/>
    <col min="15377" max="15377" width="2.5" style="95" customWidth="1"/>
    <col min="15378" max="15616" width="9.1640625" style="95"/>
    <col min="15617" max="15617" width="25.6640625" style="95" customWidth="1"/>
    <col min="15618" max="15618" width="3" style="95" customWidth="1"/>
    <col min="15619" max="15620" width="9.1640625" style="95"/>
    <col min="15621" max="15621" width="2.6640625" style="95" customWidth="1"/>
    <col min="15622" max="15623" width="9.1640625" style="95"/>
    <col min="15624" max="15624" width="2.6640625" style="95" customWidth="1"/>
    <col min="15625" max="15626" width="9.1640625" style="95"/>
    <col min="15627" max="15627" width="2.6640625" style="95" customWidth="1"/>
    <col min="15628" max="15629" width="9.1640625" style="95"/>
    <col min="15630" max="15630" width="2.6640625" style="95" customWidth="1"/>
    <col min="15631" max="15632" width="9.1640625" style="95"/>
    <col min="15633" max="15633" width="2.5" style="95" customWidth="1"/>
    <col min="15634" max="15872" width="9.1640625" style="95"/>
    <col min="15873" max="15873" width="25.6640625" style="95" customWidth="1"/>
    <col min="15874" max="15874" width="3" style="95" customWidth="1"/>
    <col min="15875" max="15876" width="9.1640625" style="95"/>
    <col min="15877" max="15877" width="2.6640625" style="95" customWidth="1"/>
    <col min="15878" max="15879" width="9.1640625" style="95"/>
    <col min="15880" max="15880" width="2.6640625" style="95" customWidth="1"/>
    <col min="15881" max="15882" width="9.1640625" style="95"/>
    <col min="15883" max="15883" width="2.6640625" style="95" customWidth="1"/>
    <col min="15884" max="15885" width="9.1640625" style="95"/>
    <col min="15886" max="15886" width="2.6640625" style="95" customWidth="1"/>
    <col min="15887" max="15888" width="9.1640625" style="95"/>
    <col min="15889" max="15889" width="2.5" style="95" customWidth="1"/>
    <col min="15890" max="16128" width="9.1640625" style="95"/>
    <col min="16129" max="16129" width="25.6640625" style="95" customWidth="1"/>
    <col min="16130" max="16130" width="3" style="95" customWidth="1"/>
    <col min="16131" max="16132" width="9.1640625" style="95"/>
    <col min="16133" max="16133" width="2.6640625" style="95" customWidth="1"/>
    <col min="16134" max="16135" width="9.1640625" style="95"/>
    <col min="16136" max="16136" width="2.6640625" style="95" customWidth="1"/>
    <col min="16137" max="16138" width="9.1640625" style="95"/>
    <col min="16139" max="16139" width="2.6640625" style="95" customWidth="1"/>
    <col min="16140" max="16141" width="9.1640625" style="95"/>
    <col min="16142" max="16142" width="2.6640625" style="95" customWidth="1"/>
    <col min="16143" max="16144" width="9.1640625" style="95"/>
    <col min="16145" max="16145" width="2.5" style="95" customWidth="1"/>
    <col min="16146" max="16384" width="9.1640625" style="95"/>
  </cols>
  <sheetData>
    <row r="1" spans="1:17">
      <c r="A1" s="95" t="s">
        <v>466</v>
      </c>
    </row>
    <row r="2" spans="1:17">
      <c r="A2" s="95" t="s">
        <v>467</v>
      </c>
    </row>
    <row r="4" spans="1:17" ht="15.75" customHeight="1">
      <c r="A4" s="14" t="s">
        <v>1850</v>
      </c>
    </row>
    <row r="5" spans="1:17" ht="16.5" customHeight="1" thickBot="1"/>
    <row r="6" spans="1:17" ht="19.5" customHeight="1">
      <c r="A6" s="97"/>
      <c r="B6" s="97"/>
      <c r="C6" s="97"/>
      <c r="D6" s="97"/>
      <c r="E6" s="97"/>
      <c r="F6" s="97"/>
      <c r="G6" s="97"/>
      <c r="H6" s="97"/>
      <c r="I6" s="97"/>
      <c r="J6" s="97"/>
      <c r="K6" s="97"/>
      <c r="L6" s="97"/>
      <c r="M6" s="97"/>
      <c r="N6" s="97"/>
      <c r="O6" s="97"/>
      <c r="P6" s="97"/>
      <c r="Q6" s="97"/>
    </row>
    <row r="7" spans="1:17" ht="20" customHeight="1">
      <c r="A7" s="116" t="s">
        <v>468</v>
      </c>
      <c r="C7" s="1020">
        <v>2015</v>
      </c>
      <c r="D7" s="1020"/>
      <c r="F7" s="1020">
        <v>2016</v>
      </c>
      <c r="G7" s="1020"/>
      <c r="I7" s="1020">
        <v>2017</v>
      </c>
      <c r="J7" s="1020"/>
      <c r="L7" s="1020">
        <v>2018</v>
      </c>
      <c r="M7" s="1020"/>
      <c r="O7" s="1020">
        <v>2018</v>
      </c>
      <c r="P7" s="1020"/>
    </row>
    <row r="8" spans="1:17" ht="20" customHeight="1">
      <c r="A8" s="95" t="s">
        <v>469</v>
      </c>
      <c r="C8" s="170" t="s">
        <v>152</v>
      </c>
      <c r="D8" s="170" t="s">
        <v>153</v>
      </c>
      <c r="F8" s="170" t="s">
        <v>152</v>
      </c>
      <c r="G8" s="170" t="s">
        <v>153</v>
      </c>
      <c r="I8" s="170" t="s">
        <v>152</v>
      </c>
      <c r="J8" s="170" t="s">
        <v>153</v>
      </c>
      <c r="L8" s="170" t="s">
        <v>152</v>
      </c>
      <c r="M8" s="170" t="s">
        <v>153</v>
      </c>
      <c r="O8" s="170" t="s">
        <v>152</v>
      </c>
      <c r="P8" s="170" t="s">
        <v>153</v>
      </c>
    </row>
    <row r="9" spans="1:17" ht="20" customHeight="1" thickBot="1">
      <c r="A9" s="102"/>
      <c r="C9" s="102"/>
      <c r="D9" s="102"/>
      <c r="F9" s="102"/>
      <c r="G9" s="102"/>
      <c r="I9" s="102"/>
      <c r="J9" s="102"/>
      <c r="L9" s="102"/>
      <c r="M9" s="102"/>
      <c r="O9" s="102"/>
      <c r="P9" s="102"/>
    </row>
    <row r="10" spans="1:17" ht="20" customHeight="1">
      <c r="A10" s="116"/>
      <c r="B10" s="97"/>
      <c r="E10" s="97"/>
      <c r="H10" s="97"/>
      <c r="K10" s="97"/>
      <c r="N10" s="97"/>
      <c r="Q10" s="97"/>
    </row>
    <row r="11" spans="1:17" ht="20" customHeight="1">
      <c r="A11" s="68" t="s">
        <v>148</v>
      </c>
      <c r="C11" s="169">
        <f>SUM(C13:C19)</f>
        <v>1852</v>
      </c>
      <c r="D11" s="112">
        <f>SUM(D13:D19)</f>
        <v>100</v>
      </c>
      <c r="F11" s="169">
        <f>SUM(F13:F19)</f>
        <v>1985</v>
      </c>
      <c r="G11" s="112">
        <f>SUM(G13:G19)</f>
        <v>100</v>
      </c>
      <c r="I11" s="169">
        <f>SUM(I13:I19)</f>
        <v>1982</v>
      </c>
      <c r="J11" s="112">
        <f>SUM(J13:J19)</f>
        <v>100</v>
      </c>
      <c r="L11" s="169">
        <f>SUM(L13:L19)</f>
        <v>2022</v>
      </c>
      <c r="M11" s="112">
        <f>SUM(M13:M19)</f>
        <v>100</v>
      </c>
      <c r="O11" s="169">
        <f>SUM(O13:O19)</f>
        <v>2066</v>
      </c>
      <c r="P11" s="112">
        <f>SUM(P13:P19)</f>
        <v>100</v>
      </c>
    </row>
    <row r="12" spans="1:17" ht="20" customHeight="1">
      <c r="A12" s="116"/>
      <c r="C12" s="111"/>
      <c r="D12" s="111"/>
      <c r="F12" s="111"/>
      <c r="G12" s="111"/>
      <c r="I12" s="111"/>
      <c r="J12" s="111"/>
      <c r="L12" s="111"/>
      <c r="M12" s="111"/>
      <c r="O12" s="111"/>
      <c r="P12" s="111"/>
    </row>
    <row r="13" spans="1:17" ht="20" customHeight="1">
      <c r="A13" s="95" t="s">
        <v>458</v>
      </c>
      <c r="C13" s="111">
        <v>459</v>
      </c>
      <c r="D13" s="139">
        <f>IF($A13&lt;&gt;0,C13/C$11*100,"")</f>
        <v>24.784017278617711</v>
      </c>
      <c r="F13" s="111">
        <v>494</v>
      </c>
      <c r="G13" s="139">
        <f>IF($A13&lt;&gt;0,F13/F$11*100,"")</f>
        <v>24.886649874055415</v>
      </c>
      <c r="I13" s="111">
        <v>492</v>
      </c>
      <c r="J13" s="139">
        <f>IF($A13&lt;&gt;0,I13/I$11*100,"")</f>
        <v>24.8234106962664</v>
      </c>
      <c r="L13" s="111">
        <v>486</v>
      </c>
      <c r="M13" s="139">
        <f>IF($A13&lt;&gt;0,L13/L$11*100,"")</f>
        <v>24.03560830860534</v>
      </c>
      <c r="O13" s="111">
        <v>513</v>
      </c>
      <c r="P13" s="139">
        <f>IF($A13&lt;&gt;0,O13/O$11*100,"")</f>
        <v>24.830590513068731</v>
      </c>
    </row>
    <row r="14" spans="1:17" ht="20" customHeight="1">
      <c r="C14" s="111"/>
      <c r="D14" s="139" t="str">
        <f t="shared" ref="D14:D19" si="0">IF($A14&lt;&gt;0,C14/C$11*100,"")</f>
        <v/>
      </c>
      <c r="F14" s="111"/>
      <c r="G14" s="139" t="str">
        <f t="shared" ref="G14:G19" si="1">IF($A14&lt;&gt;0,F14/F$11*100,"")</f>
        <v/>
      </c>
      <c r="I14" s="111"/>
      <c r="J14" s="139" t="str">
        <f t="shared" ref="J14:J19" si="2">IF($A14&lt;&gt;0,I14/I$11*100,"")</f>
        <v/>
      </c>
      <c r="L14" s="111"/>
      <c r="M14" s="139" t="str">
        <f t="shared" ref="M14:M19" si="3">IF($A14&lt;&gt;0,L14/L$11*100,"")</f>
        <v/>
      </c>
      <c r="O14" s="111"/>
      <c r="P14" s="139" t="str">
        <f t="shared" ref="P14:P19" si="4">IF($A14&lt;&gt;0,O14/O$11*100,"")</f>
        <v/>
      </c>
    </row>
    <row r="15" spans="1:17" ht="20" customHeight="1">
      <c r="A15" s="95" t="s">
        <v>460</v>
      </c>
      <c r="C15" s="111">
        <v>472</v>
      </c>
      <c r="D15" s="139">
        <f t="shared" si="0"/>
        <v>25.485961123110151</v>
      </c>
      <c r="F15" s="111">
        <v>504</v>
      </c>
      <c r="G15" s="139">
        <f t="shared" si="1"/>
        <v>25.390428211586901</v>
      </c>
      <c r="I15" s="111">
        <v>494</v>
      </c>
      <c r="J15" s="139">
        <f t="shared" si="2"/>
        <v>24.924318869828458</v>
      </c>
      <c r="L15" s="111">
        <v>490</v>
      </c>
      <c r="M15" s="139">
        <f t="shared" si="3"/>
        <v>24.233432245301682</v>
      </c>
      <c r="O15" s="111">
        <v>477</v>
      </c>
      <c r="P15" s="139">
        <f t="shared" si="4"/>
        <v>23.088092933204258</v>
      </c>
    </row>
    <row r="16" spans="1:17" ht="20" customHeight="1">
      <c r="C16" s="111"/>
      <c r="D16" s="139" t="str">
        <f t="shared" si="0"/>
        <v/>
      </c>
      <c r="F16" s="111"/>
      <c r="G16" s="139" t="str">
        <f t="shared" si="1"/>
        <v/>
      </c>
      <c r="I16" s="111"/>
      <c r="J16" s="139" t="str">
        <f t="shared" si="2"/>
        <v/>
      </c>
      <c r="L16" s="111"/>
      <c r="M16" s="139" t="str">
        <f t="shared" si="3"/>
        <v/>
      </c>
      <c r="O16" s="111"/>
      <c r="P16" s="139" t="str">
        <f t="shared" si="4"/>
        <v/>
      </c>
    </row>
    <row r="17" spans="1:17" ht="20" customHeight="1">
      <c r="A17" s="95" t="s">
        <v>459</v>
      </c>
      <c r="C17" s="111">
        <v>185</v>
      </c>
      <c r="D17" s="139">
        <f t="shared" si="0"/>
        <v>9.9892008639308862</v>
      </c>
      <c r="F17" s="111">
        <v>192</v>
      </c>
      <c r="G17" s="139">
        <f t="shared" si="1"/>
        <v>9.6725440806045331</v>
      </c>
      <c r="I17" s="111">
        <v>191</v>
      </c>
      <c r="J17" s="139">
        <f t="shared" si="2"/>
        <v>9.6367305751765908</v>
      </c>
      <c r="L17" s="111">
        <v>198</v>
      </c>
      <c r="M17" s="139">
        <f t="shared" si="3"/>
        <v>9.792284866468842</v>
      </c>
      <c r="O17" s="111">
        <v>212</v>
      </c>
      <c r="P17" s="139">
        <f t="shared" si="4"/>
        <v>10.261374636979671</v>
      </c>
    </row>
    <row r="18" spans="1:17" ht="20" customHeight="1">
      <c r="C18" s="111"/>
      <c r="D18" s="139" t="str">
        <f t="shared" si="0"/>
        <v/>
      </c>
      <c r="F18" s="111"/>
      <c r="G18" s="139" t="str">
        <f t="shared" si="1"/>
        <v/>
      </c>
      <c r="I18" s="111"/>
      <c r="J18" s="139" t="str">
        <f t="shared" si="2"/>
        <v/>
      </c>
      <c r="L18" s="111"/>
      <c r="M18" s="139" t="str">
        <f t="shared" si="3"/>
        <v/>
      </c>
      <c r="O18" s="111"/>
      <c r="P18" s="139" t="str">
        <f t="shared" si="4"/>
        <v/>
      </c>
    </row>
    <row r="19" spans="1:17" ht="20" customHeight="1">
      <c r="A19" s="95" t="s">
        <v>461</v>
      </c>
      <c r="C19" s="111">
        <v>736</v>
      </c>
      <c r="D19" s="139">
        <f t="shared" si="0"/>
        <v>39.740820734341256</v>
      </c>
      <c r="F19" s="111">
        <v>795</v>
      </c>
      <c r="G19" s="139">
        <f t="shared" si="1"/>
        <v>40.050377833753146</v>
      </c>
      <c r="I19" s="111">
        <v>805</v>
      </c>
      <c r="J19" s="139">
        <f t="shared" si="2"/>
        <v>40.615539858728553</v>
      </c>
      <c r="L19" s="111">
        <v>848</v>
      </c>
      <c r="M19" s="139">
        <f t="shared" si="3"/>
        <v>41.938674579624134</v>
      </c>
      <c r="O19" s="111">
        <v>864</v>
      </c>
      <c r="P19" s="139">
        <f t="shared" si="4"/>
        <v>41.819941916747339</v>
      </c>
    </row>
    <row r="20" spans="1:17" ht="20" customHeight="1" thickBot="1">
      <c r="A20" s="102"/>
      <c r="B20" s="102"/>
      <c r="C20" s="102"/>
      <c r="D20" s="102"/>
      <c r="E20" s="102"/>
      <c r="F20" s="102"/>
      <c r="G20" s="102"/>
      <c r="H20" s="102"/>
      <c r="I20" s="102"/>
      <c r="J20" s="102"/>
      <c r="K20" s="102"/>
      <c r="L20" s="102"/>
      <c r="M20" s="102"/>
      <c r="N20" s="102"/>
      <c r="O20" s="102"/>
      <c r="P20" s="102"/>
      <c r="Q20" s="102"/>
    </row>
    <row r="21" spans="1:17" ht="13.25" customHeight="1"/>
    <row r="22" spans="1:17">
      <c r="A22" s="95" t="s">
        <v>470</v>
      </c>
    </row>
    <row r="23" spans="1:17">
      <c r="A23" s="95" t="s">
        <v>471</v>
      </c>
    </row>
    <row r="24" spans="1:17" ht="13.25" customHeight="1"/>
    <row r="25" spans="1:17" ht="13.25" customHeight="1"/>
    <row r="26" spans="1:17" ht="13.25" customHeight="1"/>
    <row r="27" spans="1:17" ht="13.25" customHeight="1"/>
    <row r="28" spans="1:17" ht="13.25" customHeight="1"/>
    <row r="29" spans="1:17" ht="13.25" customHeight="1"/>
    <row r="30" spans="1:17" ht="13.25" customHeight="1"/>
    <row r="31" spans="1:17" ht="13.25" customHeight="1"/>
    <row r="32" spans="1:17" ht="13.25" customHeight="1"/>
    <row r="33" ht="13.25" customHeight="1"/>
    <row r="34" ht="13.25" customHeight="1"/>
    <row r="35" ht="13.25" customHeight="1"/>
    <row r="36" ht="13.25" customHeight="1"/>
    <row r="37" ht="13.25" customHeight="1"/>
    <row r="38" ht="13.25" customHeight="1"/>
    <row r="39" ht="13.25" customHeight="1"/>
    <row r="40" ht="13.25" customHeight="1"/>
    <row r="41" ht="13.25" customHeight="1"/>
    <row r="42" ht="13.25" customHeight="1"/>
    <row r="43" ht="13.25" customHeight="1"/>
    <row r="44" ht="13.25" customHeight="1"/>
    <row r="45" ht="13.25" customHeight="1"/>
    <row r="46" ht="13.25" customHeight="1"/>
    <row r="47" ht="13.25" customHeight="1"/>
    <row r="48" ht="13.25" customHeight="1"/>
    <row r="49" ht="13.25" customHeight="1"/>
    <row r="50" ht="13.25" customHeight="1"/>
    <row r="51" ht="13.25" customHeight="1"/>
    <row r="52" ht="13.25" customHeight="1"/>
    <row r="53" ht="13.25" customHeight="1"/>
    <row r="54" ht="13.25" customHeight="1"/>
    <row r="55" ht="13.25" customHeight="1"/>
    <row r="56" ht="13.25" customHeight="1"/>
    <row r="57" ht="13.25" customHeight="1"/>
    <row r="58" ht="13.25" customHeight="1"/>
    <row r="59" ht="13.25" customHeight="1"/>
    <row r="60" ht="13.25" customHeight="1"/>
    <row r="61" ht="13.25" customHeight="1"/>
    <row r="62" ht="13.25" customHeight="1"/>
    <row r="63" ht="13.25" customHeight="1"/>
    <row r="64" ht="13.25" customHeight="1"/>
    <row r="65" ht="13.25" customHeight="1"/>
    <row r="66" ht="13.25" customHeight="1"/>
    <row r="67" ht="13.25" customHeight="1"/>
    <row r="68" ht="13.25" customHeight="1"/>
    <row r="69" ht="13.25" customHeight="1"/>
    <row r="70" ht="13.25" customHeight="1"/>
    <row r="71" ht="13.25" customHeight="1"/>
    <row r="72" ht="13.25" customHeight="1"/>
    <row r="73" ht="13.25" customHeight="1"/>
    <row r="74" ht="13.25" customHeight="1"/>
    <row r="75" ht="13.25" customHeight="1"/>
    <row r="76" ht="13.25" customHeight="1"/>
    <row r="77" ht="13.25" customHeight="1"/>
    <row r="78" ht="13.25" customHeight="1"/>
    <row r="79" ht="13.25" customHeight="1"/>
    <row r="80" ht="13.25" customHeight="1"/>
    <row r="81" ht="13.25" customHeight="1"/>
    <row r="82" ht="13.25" customHeight="1"/>
    <row r="83" ht="13.25" customHeight="1"/>
    <row r="84" ht="13.25" customHeight="1"/>
    <row r="85" ht="13.25" customHeight="1"/>
    <row r="86" ht="13.25" customHeight="1"/>
  </sheetData>
  <mergeCells count="5">
    <mergeCell ref="C7:D7"/>
    <mergeCell ref="F7:G7"/>
    <mergeCell ref="I7:J7"/>
    <mergeCell ref="L7:M7"/>
    <mergeCell ref="O7:P7"/>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rgb="FFFFFF00"/>
  </sheetPr>
  <dimension ref="A1:B38"/>
  <sheetViews>
    <sheetView workbookViewId="0">
      <selection activeCell="A2" sqref="A2"/>
    </sheetView>
  </sheetViews>
  <sheetFormatPr baseColWidth="10" defaultColWidth="11.5" defaultRowHeight="15"/>
  <cols>
    <col min="1" max="1" width="14.1640625" style="422" customWidth="1"/>
    <col min="2" max="2" width="117.5" style="422" customWidth="1"/>
    <col min="3" max="16384" width="11.5" style="422"/>
  </cols>
  <sheetData>
    <row r="1" spans="1:2" ht="16">
      <c r="A1" s="5" t="s">
        <v>126</v>
      </c>
      <c r="B1" s="2"/>
    </row>
    <row r="2" spans="1:2" ht="16">
      <c r="A2" s="5" t="s">
        <v>1426</v>
      </c>
      <c r="B2" s="2"/>
    </row>
    <row r="3" spans="1:2">
      <c r="A3" s="498"/>
      <c r="B3" s="2"/>
    </row>
    <row r="4" spans="1:2" ht="16">
      <c r="A4" s="5" t="s">
        <v>651</v>
      </c>
      <c r="B4" s="2"/>
    </row>
    <row r="5" spans="1:2" ht="16">
      <c r="A5" s="10" t="s">
        <v>1427</v>
      </c>
      <c r="B5" s="10" t="s">
        <v>2114</v>
      </c>
    </row>
    <row r="6" spans="1:2">
      <c r="A6" s="498"/>
      <c r="B6" s="2"/>
    </row>
    <row r="7" spans="1:2" ht="16">
      <c r="A7" s="5" t="s">
        <v>1428</v>
      </c>
      <c r="B7" s="2"/>
    </row>
    <row r="8" spans="1:2" ht="16">
      <c r="A8" s="10" t="s">
        <v>1429</v>
      </c>
      <c r="B8" s="10" t="s">
        <v>2115</v>
      </c>
    </row>
    <row r="9" spans="1:2" ht="16">
      <c r="A9" s="10" t="s">
        <v>1430</v>
      </c>
      <c r="B9" s="10" t="s">
        <v>2233</v>
      </c>
    </row>
    <row r="10" spans="1:2" ht="16">
      <c r="A10" s="10" t="s">
        <v>1431</v>
      </c>
      <c r="B10" s="10" t="s">
        <v>2116</v>
      </c>
    </row>
    <row r="11" spans="1:2" ht="16">
      <c r="A11" s="10" t="s">
        <v>1432</v>
      </c>
      <c r="B11" s="10" t="s">
        <v>2234</v>
      </c>
    </row>
    <row r="12" spans="1:2" ht="16">
      <c r="A12" s="10" t="s">
        <v>1433</v>
      </c>
      <c r="B12" s="10" t="s">
        <v>2117</v>
      </c>
    </row>
    <row r="13" spans="1:2" ht="16">
      <c r="A13" s="10" t="s">
        <v>1434</v>
      </c>
      <c r="B13" s="10" t="s">
        <v>2235</v>
      </c>
    </row>
    <row r="14" spans="1:2" ht="16">
      <c r="A14" s="10" t="s">
        <v>1435</v>
      </c>
      <c r="B14" s="10" t="s">
        <v>2118</v>
      </c>
    </row>
    <row r="15" spans="1:2" ht="16">
      <c r="A15" s="10" t="s">
        <v>1436</v>
      </c>
      <c r="B15" s="10" t="s">
        <v>2236</v>
      </c>
    </row>
    <row r="16" spans="1:2" ht="16">
      <c r="A16" s="10" t="s">
        <v>1437</v>
      </c>
      <c r="B16" s="10" t="s">
        <v>2119</v>
      </c>
    </row>
    <row r="17" spans="1:2" ht="16">
      <c r="A17" s="10" t="s">
        <v>1438</v>
      </c>
      <c r="B17" s="10" t="s">
        <v>2237</v>
      </c>
    </row>
    <row r="18" spans="1:2" ht="16">
      <c r="A18" s="10" t="s">
        <v>1439</v>
      </c>
      <c r="B18" s="10" t="s">
        <v>2120</v>
      </c>
    </row>
    <row r="19" spans="1:2" ht="16">
      <c r="A19" s="10" t="s">
        <v>1440</v>
      </c>
      <c r="B19" s="10" t="s">
        <v>2238</v>
      </c>
    </row>
    <row r="20" spans="1:2">
      <c r="A20" s="498"/>
      <c r="B20" s="2"/>
    </row>
    <row r="21" spans="1:2" ht="16">
      <c r="A21" s="5" t="s">
        <v>1441</v>
      </c>
      <c r="B21" s="2"/>
    </row>
    <row r="22" spans="1:2" ht="17">
      <c r="A22" s="10" t="s">
        <v>1442</v>
      </c>
      <c r="B22" s="9" t="s">
        <v>2121</v>
      </c>
    </row>
    <row r="23" spans="1:2" ht="34">
      <c r="A23" s="10" t="s">
        <v>1443</v>
      </c>
      <c r="B23" s="9" t="s">
        <v>2122</v>
      </c>
    </row>
    <row r="24" spans="1:2" ht="16">
      <c r="A24" s="10" t="s">
        <v>1444</v>
      </c>
      <c r="B24" s="10" t="s">
        <v>2123</v>
      </c>
    </row>
    <row r="25" spans="1:2" ht="17">
      <c r="A25" s="10" t="s">
        <v>1445</v>
      </c>
      <c r="B25" s="9" t="s">
        <v>2124</v>
      </c>
    </row>
    <row r="26" spans="1:2" ht="17">
      <c r="A26" s="10" t="s">
        <v>1446</v>
      </c>
      <c r="B26" s="9" t="s">
        <v>2125</v>
      </c>
    </row>
    <row r="27" spans="1:2" ht="34">
      <c r="A27" s="10" t="s">
        <v>1447</v>
      </c>
      <c r="B27" s="9" t="s">
        <v>2126</v>
      </c>
    </row>
    <row r="28" spans="1:2" ht="34">
      <c r="A28" s="10" t="s">
        <v>1448</v>
      </c>
      <c r="B28" s="9" t="s">
        <v>2127</v>
      </c>
    </row>
    <row r="29" spans="1:2" ht="16">
      <c r="A29" s="10" t="s">
        <v>1449</v>
      </c>
      <c r="B29" s="10" t="s">
        <v>2128</v>
      </c>
    </row>
    <row r="30" spans="1:2" ht="16">
      <c r="A30" s="11" t="s">
        <v>1450</v>
      </c>
      <c r="B30" s="11" t="s">
        <v>2129</v>
      </c>
    </row>
    <row r="31" spans="1:2">
      <c r="A31" s="498"/>
      <c r="B31" s="2"/>
    </row>
    <row r="32" spans="1:2" ht="16">
      <c r="A32" s="5" t="s">
        <v>1156</v>
      </c>
      <c r="B32" s="2"/>
    </row>
    <row r="33" spans="1:2" ht="16">
      <c r="A33" s="10" t="s">
        <v>1451</v>
      </c>
      <c r="B33" s="10" t="s">
        <v>2130</v>
      </c>
    </row>
    <row r="34" spans="1:2" ht="16">
      <c r="A34" s="10" t="s">
        <v>1452</v>
      </c>
      <c r="B34" s="10" t="s">
        <v>2131</v>
      </c>
    </row>
    <row r="35" spans="1:2" ht="16">
      <c r="A35" s="10" t="s">
        <v>1453</v>
      </c>
      <c r="B35" s="10" t="s">
        <v>2132</v>
      </c>
    </row>
    <row r="36" spans="1:2" ht="16">
      <c r="A36" s="10" t="s">
        <v>1454</v>
      </c>
      <c r="B36" s="10" t="s">
        <v>2133</v>
      </c>
    </row>
    <row r="37" spans="1:2" ht="16">
      <c r="A37" s="10"/>
      <c r="B37" s="10"/>
    </row>
    <row r="38" spans="1:2">
      <c r="A38" s="498"/>
      <c r="B38" s="2"/>
    </row>
  </sheetData>
  <pageMargins left="0.70866141732283472" right="0.70866141732283472" top="0.55118110236220474" bottom="0.55118110236220474" header="0.31496062992125984" footer="0.31496062992125984"/>
  <pageSetup scale="8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46"/>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2135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122</v>
      </c>
      <c r="C12" s="181">
        <f>IF($A12&lt;&gt;0,F12+I12+L12,"")</f>
        <v>270.75</v>
      </c>
      <c r="D12" s="451">
        <f>IF($A12&lt;&gt;0,G12+J12+M12,"")</f>
        <v>100</v>
      </c>
      <c r="E12" s="17"/>
      <c r="F12" s="181">
        <f>SUM(F14+F26)</f>
        <v>1</v>
      </c>
      <c r="G12" s="181">
        <f>IF($A12&lt;&gt;0,F12/$C12*100,"")</f>
        <v>0.36934441366574328</v>
      </c>
      <c r="H12" s="181"/>
      <c r="I12" s="181">
        <f>SUM(I14+I26)</f>
        <v>52</v>
      </c>
      <c r="J12" s="181">
        <f>IF($A12&lt;&gt;0,I12/$C12*100,"")</f>
        <v>19.205909510618653</v>
      </c>
      <c r="K12" s="181"/>
      <c r="L12" s="181">
        <f>SUM(L14+L26)</f>
        <v>217.75</v>
      </c>
      <c r="M12" s="181">
        <f>IF($A12&lt;&gt;0,L12/$C12*100,"")</f>
        <v>80.424746075715603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81">
        <f t="shared" ref="C14:D28" si="0">IF($A14&lt;&gt;0,F14+I14+L14,"")</f>
        <v>208.5</v>
      </c>
      <c r="D14" s="451">
        <f t="shared" si="0"/>
        <v>100</v>
      </c>
      <c r="E14" s="17"/>
      <c r="F14" s="181">
        <f>SUM(F15:F24)</f>
        <v>0</v>
      </c>
      <c r="G14" s="181">
        <f t="shared" ref="G14:G24" si="1">IF($A14&lt;&gt;0,F14/$C14*100,"")</f>
        <v>0</v>
      </c>
      <c r="H14" s="181"/>
      <c r="I14" s="181">
        <f>SUM(I15:I24)</f>
        <v>38.5</v>
      </c>
      <c r="J14" s="181">
        <f t="shared" ref="J14:J24" si="2">IF($A14&lt;&gt;0,I14/$C14*100,"")</f>
        <v>18.465227817745802</v>
      </c>
      <c r="K14" s="181"/>
      <c r="L14" s="181">
        <f>SUM(L15:L24)</f>
        <v>170</v>
      </c>
      <c r="M14" s="181">
        <f t="shared" ref="M14:M25" si="3">IF($A14&lt;&gt;0,L14/$C14*100,"")</f>
        <v>81.534772182254201</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303</v>
      </c>
      <c r="C16" s="112">
        <f t="shared" si="0"/>
        <v>6.5</v>
      </c>
      <c r="D16" s="139">
        <f t="shared" si="0"/>
        <v>100</v>
      </c>
      <c r="F16" s="112">
        <v>0</v>
      </c>
      <c r="G16" s="112">
        <f t="shared" si="1"/>
        <v>0</v>
      </c>
      <c r="I16" s="112">
        <v>1</v>
      </c>
      <c r="J16" s="112">
        <f t="shared" si="2"/>
        <v>15.384615384615385</v>
      </c>
      <c r="L16" s="112">
        <v>5.5</v>
      </c>
      <c r="M16" s="112">
        <f t="shared" si="3"/>
        <v>84.615384615384613</v>
      </c>
    </row>
    <row r="17" spans="1:13">
      <c r="D17" s="139"/>
    </row>
    <row r="18" spans="1:13">
      <c r="A18" s="111" t="s">
        <v>304</v>
      </c>
      <c r="C18" s="112">
        <f t="shared" si="0"/>
        <v>47</v>
      </c>
      <c r="D18" s="139">
        <f t="shared" si="0"/>
        <v>100</v>
      </c>
      <c r="F18" s="112">
        <v>0</v>
      </c>
      <c r="G18" s="112">
        <f t="shared" si="1"/>
        <v>0</v>
      </c>
      <c r="I18" s="112">
        <v>0</v>
      </c>
      <c r="J18" s="112">
        <f t="shared" si="2"/>
        <v>0</v>
      </c>
      <c r="L18" s="112">
        <v>47</v>
      </c>
      <c r="M18" s="112">
        <f t="shared" si="3"/>
        <v>100</v>
      </c>
    </row>
    <row r="19" spans="1:13">
      <c r="D19" s="139"/>
    </row>
    <row r="20" spans="1:13">
      <c r="A20" s="111" t="s">
        <v>305</v>
      </c>
      <c r="C20" s="112">
        <f t="shared" si="0"/>
        <v>41.75</v>
      </c>
      <c r="D20" s="139">
        <f t="shared" si="0"/>
        <v>100</v>
      </c>
      <c r="F20" s="112">
        <v>0</v>
      </c>
      <c r="G20" s="112">
        <f t="shared" si="1"/>
        <v>0</v>
      </c>
      <c r="I20" s="112">
        <v>3.5</v>
      </c>
      <c r="J20" s="112">
        <f t="shared" si="2"/>
        <v>8.3832335329341312</v>
      </c>
      <c r="L20" s="112">
        <v>38.25</v>
      </c>
      <c r="M20" s="112">
        <f t="shared" si="3"/>
        <v>91.616766467065872</v>
      </c>
    </row>
    <row r="21" spans="1:13">
      <c r="D21" s="139"/>
    </row>
    <row r="22" spans="1:13">
      <c r="A22" s="111" t="s">
        <v>306</v>
      </c>
      <c r="C22" s="112">
        <f t="shared" si="0"/>
        <v>40</v>
      </c>
      <c r="D22" s="139">
        <f t="shared" si="0"/>
        <v>100</v>
      </c>
      <c r="F22" s="112">
        <v>0</v>
      </c>
      <c r="G22" s="112">
        <f t="shared" si="1"/>
        <v>0</v>
      </c>
      <c r="I22" s="112">
        <v>30.5</v>
      </c>
      <c r="J22" s="112">
        <f t="shared" si="2"/>
        <v>76.25</v>
      </c>
      <c r="L22" s="112">
        <v>9.5</v>
      </c>
      <c r="M22" s="112">
        <f t="shared" si="3"/>
        <v>23.75</v>
      </c>
    </row>
    <row r="23" spans="1:13">
      <c r="D23" s="139"/>
    </row>
    <row r="24" spans="1:13">
      <c r="A24" s="111" t="s">
        <v>307</v>
      </c>
      <c r="C24" s="112">
        <f t="shared" si="0"/>
        <v>73.25</v>
      </c>
      <c r="D24" s="139">
        <f t="shared" si="0"/>
        <v>100</v>
      </c>
      <c r="F24" s="112">
        <v>0</v>
      </c>
      <c r="G24" s="112">
        <f t="shared" si="1"/>
        <v>0</v>
      </c>
      <c r="I24" s="112">
        <v>3.5</v>
      </c>
      <c r="J24" s="112">
        <f t="shared" si="2"/>
        <v>4.7781569965870307</v>
      </c>
      <c r="L24" s="112">
        <v>69.75</v>
      </c>
      <c r="M24" s="112">
        <f t="shared" si="3"/>
        <v>95.221843003412971</v>
      </c>
    </row>
    <row r="25" spans="1:13" ht="10.5" customHeight="1">
      <c r="C25" s="112" t="str">
        <f t="shared" si="0"/>
        <v/>
      </c>
      <c r="D25" s="139" t="str">
        <f t="shared" si="0"/>
        <v/>
      </c>
      <c r="L25" s="112" t="s">
        <v>154</v>
      </c>
      <c r="M25" s="112" t="str">
        <f t="shared" si="3"/>
        <v/>
      </c>
    </row>
    <row r="26" spans="1:13">
      <c r="A26" s="17" t="s">
        <v>351</v>
      </c>
      <c r="C26" s="181">
        <f t="shared" si="0"/>
        <v>62.25</v>
      </c>
      <c r="D26" s="451">
        <f t="shared" si="0"/>
        <v>100</v>
      </c>
      <c r="E26" s="17"/>
      <c r="F26" s="181">
        <f>SUM(F28:F36)</f>
        <v>1</v>
      </c>
      <c r="G26" s="181">
        <f>IF($A26&lt;&gt;0,F26/$C26*100,"")</f>
        <v>1.6064257028112447</v>
      </c>
      <c r="H26" s="181"/>
      <c r="I26" s="181">
        <f>SUM(I28:I36)</f>
        <v>13.5</v>
      </c>
      <c r="J26" s="181">
        <f>IF($A26&lt;&gt;0,I26/$C26*100,"")</f>
        <v>21.686746987951807</v>
      </c>
      <c r="K26" s="181"/>
      <c r="L26" s="181">
        <f>SUM(L28:L36)</f>
        <v>47.75</v>
      </c>
      <c r="M26" s="181">
        <f>IF($A26&lt;&gt;0,L26/$C26*100,"")</f>
        <v>76.706827309236942</v>
      </c>
    </row>
    <row r="27" spans="1:13" ht="9.75" customHeight="1">
      <c r="C27" s="112" t="str">
        <f t="shared" si="0"/>
        <v/>
      </c>
      <c r="D27" s="139" t="str">
        <f t="shared" si="0"/>
        <v/>
      </c>
      <c r="G27" s="112" t="str">
        <f>IF($A27&lt;&gt;0,F27/$C27*100,"")</f>
        <v/>
      </c>
      <c r="J27" s="112" t="str">
        <f>IF($A27&lt;&gt;0,I27/$C27*100,"")</f>
        <v/>
      </c>
      <c r="L27" s="112" t="s">
        <v>154</v>
      </c>
      <c r="M27" s="112" t="str">
        <f>IF($A27&lt;&gt;0,L27/$C27*100,"")</f>
        <v/>
      </c>
    </row>
    <row r="28" spans="1:13">
      <c r="A28" s="26" t="s">
        <v>356</v>
      </c>
      <c r="C28" s="112">
        <f t="shared" si="0"/>
        <v>20.5</v>
      </c>
      <c r="D28" s="139">
        <f t="shared" si="0"/>
        <v>100</v>
      </c>
      <c r="F28" s="156">
        <v>0</v>
      </c>
      <c r="G28" s="112">
        <f>IF($A28&lt;&gt;0,F28/$C28*100,"")</f>
        <v>0</v>
      </c>
      <c r="I28" s="25">
        <v>5</v>
      </c>
      <c r="J28" s="112">
        <f>IF($A28&lt;&gt;0,I28/$C28*100,"")</f>
        <v>24.390243902439025</v>
      </c>
      <c r="L28" s="112">
        <v>15.5</v>
      </c>
      <c r="M28" s="112">
        <f>IF($A28&lt;&gt;0,L28/$C28*100,"")</f>
        <v>75.609756097560975</v>
      </c>
    </row>
    <row r="29" spans="1:13">
      <c r="A29" s="26"/>
      <c r="D29" s="139"/>
      <c r="F29" s="156"/>
      <c r="I29" s="25"/>
    </row>
    <row r="30" spans="1:13">
      <c r="A30" s="26" t="s">
        <v>362</v>
      </c>
      <c r="C30" s="112">
        <f t="shared" ref="C30:D30" si="4">IF($A30&lt;&gt;0,F30+I30+L30,"")</f>
        <v>11</v>
      </c>
      <c r="D30" s="139">
        <f t="shared" si="4"/>
        <v>100</v>
      </c>
      <c r="F30" s="112">
        <v>0.5</v>
      </c>
      <c r="G30" s="112">
        <f>IF($A30&lt;&gt;0,F30/$C30*100,"")</f>
        <v>4.5454545454545459</v>
      </c>
      <c r="I30" s="112">
        <v>2</v>
      </c>
      <c r="J30" s="112">
        <f>IF($A30&lt;&gt;0,I30/$C30*100,"")</f>
        <v>18.181818181818183</v>
      </c>
      <c r="L30" s="112">
        <v>8.5</v>
      </c>
      <c r="M30" s="112">
        <f>IF($A30&lt;&gt;0,L30/$C30*100,"")</f>
        <v>77.272727272727266</v>
      </c>
    </row>
    <row r="31" spans="1:13">
      <c r="A31" s="26"/>
      <c r="D31" s="139"/>
    </row>
    <row r="32" spans="1:13">
      <c r="A32" s="26" t="s">
        <v>368</v>
      </c>
      <c r="C32" s="112">
        <f t="shared" ref="C32:D36" si="5">IF($A32&lt;&gt;0,F32+I32+L32,"")</f>
        <v>14</v>
      </c>
      <c r="D32" s="139">
        <f t="shared" si="5"/>
        <v>100</v>
      </c>
      <c r="F32" s="156">
        <v>0.5</v>
      </c>
      <c r="G32" s="112">
        <f>IF($A32&lt;&gt;0,F32/$C32*100,"")</f>
        <v>3.5714285714285712</v>
      </c>
      <c r="I32" s="112">
        <v>3.25</v>
      </c>
      <c r="J32" s="112">
        <f>IF($A32&lt;&gt;0,I32/$C32*100,"")</f>
        <v>23.214285714285715</v>
      </c>
      <c r="L32" s="112">
        <v>10.25</v>
      </c>
      <c r="M32" s="112">
        <f>IF($A32&lt;&gt;0,L32/$C32*100,"")</f>
        <v>73.214285714285708</v>
      </c>
    </row>
    <row r="33" spans="1:13">
      <c r="A33" s="26"/>
      <c r="D33" s="139"/>
      <c r="F33" s="156"/>
    </row>
    <row r="34" spans="1:13">
      <c r="A34" s="26" t="s">
        <v>374</v>
      </c>
      <c r="C34" s="112">
        <f t="shared" si="5"/>
        <v>10.5</v>
      </c>
      <c r="D34" s="139">
        <f t="shared" si="5"/>
        <v>100</v>
      </c>
      <c r="F34" s="112">
        <v>0</v>
      </c>
      <c r="G34" s="112">
        <f>IF($A34&lt;&gt;0,F34/$C34*100,"")</f>
        <v>0</v>
      </c>
      <c r="I34" s="112">
        <v>1.5</v>
      </c>
      <c r="J34" s="112">
        <f>IF($A34&lt;&gt;0,I34/$C34*100,"")</f>
        <v>14.285714285714285</v>
      </c>
      <c r="L34" s="112">
        <v>9</v>
      </c>
      <c r="M34" s="112">
        <f>IF($A34&lt;&gt;0,L34/$C34*100,"")</f>
        <v>85.714285714285708</v>
      </c>
    </row>
    <row r="35" spans="1:13">
      <c r="A35" s="26"/>
      <c r="D35" s="139"/>
    </row>
    <row r="36" spans="1:13">
      <c r="A36" s="26" t="s">
        <v>380</v>
      </c>
      <c r="C36" s="112">
        <f t="shared" si="5"/>
        <v>6.25</v>
      </c>
      <c r="D36" s="139">
        <f t="shared" si="5"/>
        <v>100</v>
      </c>
      <c r="F36" s="112">
        <v>0</v>
      </c>
      <c r="G36" s="112">
        <f>IF($A36&lt;&gt;0,F36/$C36*100,"")</f>
        <v>0</v>
      </c>
      <c r="I36" s="112">
        <v>1.75</v>
      </c>
      <c r="J36" s="112">
        <f>IF($A36&lt;&gt;0,I36/$C36*100,"")</f>
        <v>28.000000000000004</v>
      </c>
      <c r="L36" s="112">
        <v>4.5</v>
      </c>
      <c r="M36" s="112">
        <f>IF($A36&lt;&gt;0,L36/$C36*100,"")</f>
        <v>72</v>
      </c>
    </row>
    <row r="37" spans="1:13" ht="7" customHeight="1" thickBot="1">
      <c r="A37" s="124"/>
      <c r="B37" s="102"/>
      <c r="C37" s="136"/>
      <c r="D37" s="124"/>
      <c r="E37" s="124"/>
      <c r="F37" s="136"/>
      <c r="G37" s="136"/>
      <c r="H37" s="136"/>
      <c r="I37" s="136"/>
      <c r="J37" s="136"/>
      <c r="K37" s="136"/>
      <c r="L37" s="136"/>
      <c r="M37" s="136"/>
    </row>
    <row r="38" spans="1:13" ht="7" customHeight="1"/>
    <row r="39" spans="1:13" ht="13.5" customHeight="1">
      <c r="A39" s="27" t="s">
        <v>1841</v>
      </c>
    </row>
    <row r="40" spans="1:13" ht="15" customHeight="1">
      <c r="A40" s="27" t="s">
        <v>383</v>
      </c>
    </row>
    <row r="41" spans="1:13" ht="15" customHeight="1">
      <c r="A41" s="27" t="s">
        <v>384</v>
      </c>
    </row>
    <row r="42" spans="1:13" ht="9.75" customHeight="1">
      <c r="A42" s="27"/>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0" priority="1" operator="equal">
      <formula>0</formula>
    </cfRule>
  </conditionalFormatting>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5" tint="-0.249977111117893"/>
  </sheetPr>
  <dimension ref="B2:K4"/>
  <sheetViews>
    <sheetView workbookViewId="0">
      <selection activeCell="J5" sqref="J5"/>
    </sheetView>
  </sheetViews>
  <sheetFormatPr baseColWidth="10" defaultRowHeight="15"/>
  <sheetData>
    <row r="2" spans="2:11" ht="23">
      <c r="J2" s="29"/>
    </row>
    <row r="3" spans="2:11" ht="23">
      <c r="B3" s="33"/>
      <c r="C3" s="33"/>
      <c r="D3" s="33"/>
      <c r="H3" s="30"/>
    </row>
    <row r="4" spans="2:11" ht="23">
      <c r="B4" s="546"/>
      <c r="C4" s="546"/>
      <c r="D4" s="546"/>
      <c r="H4" s="31"/>
      <c r="K4" s="32"/>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108"/>
  <sheetViews>
    <sheetView topLeftCell="A73" workbookViewId="0">
      <selection activeCell="J5" sqref="J5"/>
    </sheetView>
  </sheetViews>
  <sheetFormatPr baseColWidth="10" defaultColWidth="9.1640625" defaultRowHeight="13"/>
  <cols>
    <col min="1" max="1" width="35.6640625" style="95" customWidth="1"/>
    <col min="2" max="2" width="8.6640625" style="155" customWidth="1"/>
    <col min="3" max="3" width="8.6640625" style="139" customWidth="1"/>
    <col min="4" max="4" width="2.6640625" style="155" customWidth="1"/>
    <col min="5" max="5" width="8.6640625" style="217" customWidth="1"/>
    <col min="6" max="6" width="8.6640625" style="218" customWidth="1"/>
    <col min="7" max="7" width="2.6640625" style="140" customWidth="1"/>
    <col min="8" max="8" width="8.6640625" style="217" customWidth="1"/>
    <col min="9" max="9" width="8.83203125" style="218" customWidth="1"/>
    <col min="10" max="10" width="2.6640625" style="95" customWidth="1"/>
    <col min="11" max="11" width="6" style="95" customWidth="1"/>
    <col min="12" max="256" width="9.1640625" style="95"/>
    <col min="257" max="257" width="35.6640625" style="95" customWidth="1"/>
    <col min="258" max="259" width="8.6640625" style="95" customWidth="1"/>
    <col min="260" max="260" width="2.6640625" style="95" customWidth="1"/>
    <col min="261" max="262" width="8.6640625" style="95" customWidth="1"/>
    <col min="263" max="263" width="2.6640625" style="95" customWidth="1"/>
    <col min="264" max="264" width="8.6640625" style="95" customWidth="1"/>
    <col min="265" max="265" width="8.83203125" style="95" customWidth="1"/>
    <col min="266" max="266" width="2.6640625" style="95" customWidth="1"/>
    <col min="267" max="267" width="6" style="95" customWidth="1"/>
    <col min="268" max="512" width="9.1640625" style="95"/>
    <col min="513" max="513" width="35.6640625" style="95" customWidth="1"/>
    <col min="514" max="515" width="8.6640625" style="95" customWidth="1"/>
    <col min="516" max="516" width="2.6640625" style="95" customWidth="1"/>
    <col min="517" max="518" width="8.6640625" style="95" customWidth="1"/>
    <col min="519" max="519" width="2.6640625" style="95" customWidth="1"/>
    <col min="520" max="520" width="8.6640625" style="95" customWidth="1"/>
    <col min="521" max="521" width="8.83203125" style="95" customWidth="1"/>
    <col min="522" max="522" width="2.6640625" style="95" customWidth="1"/>
    <col min="523" max="523" width="6" style="95" customWidth="1"/>
    <col min="524" max="768" width="9.1640625" style="95"/>
    <col min="769" max="769" width="35.6640625" style="95" customWidth="1"/>
    <col min="770" max="771" width="8.6640625" style="95" customWidth="1"/>
    <col min="772" max="772" width="2.6640625" style="95" customWidth="1"/>
    <col min="773" max="774" width="8.6640625" style="95" customWidth="1"/>
    <col min="775" max="775" width="2.6640625" style="95" customWidth="1"/>
    <col min="776" max="776" width="8.6640625" style="95" customWidth="1"/>
    <col min="777" max="777" width="8.83203125" style="95" customWidth="1"/>
    <col min="778" max="778" width="2.6640625" style="95" customWidth="1"/>
    <col min="779" max="779" width="6" style="95" customWidth="1"/>
    <col min="780" max="1024" width="9.1640625" style="95"/>
    <col min="1025" max="1025" width="35.6640625" style="95" customWidth="1"/>
    <col min="1026" max="1027" width="8.6640625" style="95" customWidth="1"/>
    <col min="1028" max="1028" width="2.6640625" style="95" customWidth="1"/>
    <col min="1029" max="1030" width="8.6640625" style="95" customWidth="1"/>
    <col min="1031" max="1031" width="2.6640625" style="95" customWidth="1"/>
    <col min="1032" max="1032" width="8.6640625" style="95" customWidth="1"/>
    <col min="1033" max="1033" width="8.83203125" style="95" customWidth="1"/>
    <col min="1034" max="1034" width="2.6640625" style="95" customWidth="1"/>
    <col min="1035" max="1035" width="6" style="95" customWidth="1"/>
    <col min="1036" max="1280" width="9.1640625" style="95"/>
    <col min="1281" max="1281" width="35.6640625" style="95" customWidth="1"/>
    <col min="1282" max="1283" width="8.6640625" style="95" customWidth="1"/>
    <col min="1284" max="1284" width="2.6640625" style="95" customWidth="1"/>
    <col min="1285" max="1286" width="8.6640625" style="95" customWidth="1"/>
    <col min="1287" max="1287" width="2.6640625" style="95" customWidth="1"/>
    <col min="1288" max="1288" width="8.6640625" style="95" customWidth="1"/>
    <col min="1289" max="1289" width="8.83203125" style="95" customWidth="1"/>
    <col min="1290" max="1290" width="2.6640625" style="95" customWidth="1"/>
    <col min="1291" max="1291" width="6" style="95" customWidth="1"/>
    <col min="1292" max="1536" width="9.1640625" style="95"/>
    <col min="1537" max="1537" width="35.6640625" style="95" customWidth="1"/>
    <col min="1538" max="1539" width="8.6640625" style="95" customWidth="1"/>
    <col min="1540" max="1540" width="2.6640625" style="95" customWidth="1"/>
    <col min="1541" max="1542" width="8.6640625" style="95" customWidth="1"/>
    <col min="1543" max="1543" width="2.6640625" style="95" customWidth="1"/>
    <col min="1544" max="1544" width="8.6640625" style="95" customWidth="1"/>
    <col min="1545" max="1545" width="8.83203125" style="95" customWidth="1"/>
    <col min="1546" max="1546" width="2.6640625" style="95" customWidth="1"/>
    <col min="1547" max="1547" width="6" style="95" customWidth="1"/>
    <col min="1548" max="1792" width="9.1640625" style="95"/>
    <col min="1793" max="1793" width="35.6640625" style="95" customWidth="1"/>
    <col min="1794" max="1795" width="8.6640625" style="95" customWidth="1"/>
    <col min="1796" max="1796" width="2.6640625" style="95" customWidth="1"/>
    <col min="1797" max="1798" width="8.6640625" style="95" customWidth="1"/>
    <col min="1799" max="1799" width="2.6640625" style="95" customWidth="1"/>
    <col min="1800" max="1800" width="8.6640625" style="95" customWidth="1"/>
    <col min="1801" max="1801" width="8.83203125" style="95" customWidth="1"/>
    <col min="1802" max="1802" width="2.6640625" style="95" customWidth="1"/>
    <col min="1803" max="1803" width="6" style="95" customWidth="1"/>
    <col min="1804" max="2048" width="9.1640625" style="95"/>
    <col min="2049" max="2049" width="35.6640625" style="95" customWidth="1"/>
    <col min="2050" max="2051" width="8.6640625" style="95" customWidth="1"/>
    <col min="2052" max="2052" width="2.6640625" style="95" customWidth="1"/>
    <col min="2053" max="2054" width="8.6640625" style="95" customWidth="1"/>
    <col min="2055" max="2055" width="2.6640625" style="95" customWidth="1"/>
    <col min="2056" max="2056" width="8.6640625" style="95" customWidth="1"/>
    <col min="2057" max="2057" width="8.83203125" style="95" customWidth="1"/>
    <col min="2058" max="2058" width="2.6640625" style="95" customWidth="1"/>
    <col min="2059" max="2059" width="6" style="95" customWidth="1"/>
    <col min="2060" max="2304" width="9.1640625" style="95"/>
    <col min="2305" max="2305" width="35.6640625" style="95" customWidth="1"/>
    <col min="2306" max="2307" width="8.6640625" style="95" customWidth="1"/>
    <col min="2308" max="2308" width="2.6640625" style="95" customWidth="1"/>
    <col min="2309" max="2310" width="8.6640625" style="95" customWidth="1"/>
    <col min="2311" max="2311" width="2.6640625" style="95" customWidth="1"/>
    <col min="2312" max="2312" width="8.6640625" style="95" customWidth="1"/>
    <col min="2313" max="2313" width="8.83203125" style="95" customWidth="1"/>
    <col min="2314" max="2314" width="2.6640625" style="95" customWidth="1"/>
    <col min="2315" max="2315" width="6" style="95" customWidth="1"/>
    <col min="2316" max="2560" width="9.1640625" style="95"/>
    <col min="2561" max="2561" width="35.6640625" style="95" customWidth="1"/>
    <col min="2562" max="2563" width="8.6640625" style="95" customWidth="1"/>
    <col min="2564" max="2564" width="2.6640625" style="95" customWidth="1"/>
    <col min="2565" max="2566" width="8.6640625" style="95" customWidth="1"/>
    <col min="2567" max="2567" width="2.6640625" style="95" customWidth="1"/>
    <col min="2568" max="2568" width="8.6640625" style="95" customWidth="1"/>
    <col min="2569" max="2569" width="8.83203125" style="95" customWidth="1"/>
    <col min="2570" max="2570" width="2.6640625" style="95" customWidth="1"/>
    <col min="2571" max="2571" width="6" style="95" customWidth="1"/>
    <col min="2572" max="2816" width="9.1640625" style="95"/>
    <col min="2817" max="2817" width="35.6640625" style="95" customWidth="1"/>
    <col min="2818" max="2819" width="8.6640625" style="95" customWidth="1"/>
    <col min="2820" max="2820" width="2.6640625" style="95" customWidth="1"/>
    <col min="2821" max="2822" width="8.6640625" style="95" customWidth="1"/>
    <col min="2823" max="2823" width="2.6640625" style="95" customWidth="1"/>
    <col min="2824" max="2824" width="8.6640625" style="95" customWidth="1"/>
    <col min="2825" max="2825" width="8.83203125" style="95" customWidth="1"/>
    <col min="2826" max="2826" width="2.6640625" style="95" customWidth="1"/>
    <col min="2827" max="2827" width="6" style="95" customWidth="1"/>
    <col min="2828" max="3072" width="9.1640625" style="95"/>
    <col min="3073" max="3073" width="35.6640625" style="95" customWidth="1"/>
    <col min="3074" max="3075" width="8.6640625" style="95" customWidth="1"/>
    <col min="3076" max="3076" width="2.6640625" style="95" customWidth="1"/>
    <col min="3077" max="3078" width="8.6640625" style="95" customWidth="1"/>
    <col min="3079" max="3079" width="2.6640625" style="95" customWidth="1"/>
    <col min="3080" max="3080" width="8.6640625" style="95" customWidth="1"/>
    <col min="3081" max="3081" width="8.83203125" style="95" customWidth="1"/>
    <col min="3082" max="3082" width="2.6640625" style="95" customWidth="1"/>
    <col min="3083" max="3083" width="6" style="95" customWidth="1"/>
    <col min="3084" max="3328" width="9.1640625" style="95"/>
    <col min="3329" max="3329" width="35.6640625" style="95" customWidth="1"/>
    <col min="3330" max="3331" width="8.6640625" style="95" customWidth="1"/>
    <col min="3332" max="3332" width="2.6640625" style="95" customWidth="1"/>
    <col min="3333" max="3334" width="8.6640625" style="95" customWidth="1"/>
    <col min="3335" max="3335" width="2.6640625" style="95" customWidth="1"/>
    <col min="3336" max="3336" width="8.6640625" style="95" customWidth="1"/>
    <col min="3337" max="3337" width="8.83203125" style="95" customWidth="1"/>
    <col min="3338" max="3338" width="2.6640625" style="95" customWidth="1"/>
    <col min="3339" max="3339" width="6" style="95" customWidth="1"/>
    <col min="3340" max="3584" width="9.1640625" style="95"/>
    <col min="3585" max="3585" width="35.6640625" style="95" customWidth="1"/>
    <col min="3586" max="3587" width="8.6640625" style="95" customWidth="1"/>
    <col min="3588" max="3588" width="2.6640625" style="95" customWidth="1"/>
    <col min="3589" max="3590" width="8.6640625" style="95" customWidth="1"/>
    <col min="3591" max="3591" width="2.6640625" style="95" customWidth="1"/>
    <col min="3592" max="3592" width="8.6640625" style="95" customWidth="1"/>
    <col min="3593" max="3593" width="8.83203125" style="95" customWidth="1"/>
    <col min="3594" max="3594" width="2.6640625" style="95" customWidth="1"/>
    <col min="3595" max="3595" width="6" style="95" customWidth="1"/>
    <col min="3596" max="3840" width="9.1640625" style="95"/>
    <col min="3841" max="3841" width="35.6640625" style="95" customWidth="1"/>
    <col min="3842" max="3843" width="8.6640625" style="95" customWidth="1"/>
    <col min="3844" max="3844" width="2.6640625" style="95" customWidth="1"/>
    <col min="3845" max="3846" width="8.6640625" style="95" customWidth="1"/>
    <col min="3847" max="3847" width="2.6640625" style="95" customWidth="1"/>
    <col min="3848" max="3848" width="8.6640625" style="95" customWidth="1"/>
    <col min="3849" max="3849" width="8.83203125" style="95" customWidth="1"/>
    <col min="3850" max="3850" width="2.6640625" style="95" customWidth="1"/>
    <col min="3851" max="3851" width="6" style="95" customWidth="1"/>
    <col min="3852" max="4096" width="9.1640625" style="95"/>
    <col min="4097" max="4097" width="35.6640625" style="95" customWidth="1"/>
    <col min="4098" max="4099" width="8.6640625" style="95" customWidth="1"/>
    <col min="4100" max="4100" width="2.6640625" style="95" customWidth="1"/>
    <col min="4101" max="4102" width="8.6640625" style="95" customWidth="1"/>
    <col min="4103" max="4103" width="2.6640625" style="95" customWidth="1"/>
    <col min="4104" max="4104" width="8.6640625" style="95" customWidth="1"/>
    <col min="4105" max="4105" width="8.83203125" style="95" customWidth="1"/>
    <col min="4106" max="4106" width="2.6640625" style="95" customWidth="1"/>
    <col min="4107" max="4107" width="6" style="95" customWidth="1"/>
    <col min="4108" max="4352" width="9.1640625" style="95"/>
    <col min="4353" max="4353" width="35.6640625" style="95" customWidth="1"/>
    <col min="4354" max="4355" width="8.6640625" style="95" customWidth="1"/>
    <col min="4356" max="4356" width="2.6640625" style="95" customWidth="1"/>
    <col min="4357" max="4358" width="8.6640625" style="95" customWidth="1"/>
    <col min="4359" max="4359" width="2.6640625" style="95" customWidth="1"/>
    <col min="4360" max="4360" width="8.6640625" style="95" customWidth="1"/>
    <col min="4361" max="4361" width="8.83203125" style="95" customWidth="1"/>
    <col min="4362" max="4362" width="2.6640625" style="95" customWidth="1"/>
    <col min="4363" max="4363" width="6" style="95" customWidth="1"/>
    <col min="4364" max="4608" width="9.1640625" style="95"/>
    <col min="4609" max="4609" width="35.6640625" style="95" customWidth="1"/>
    <col min="4610" max="4611" width="8.6640625" style="95" customWidth="1"/>
    <col min="4612" max="4612" width="2.6640625" style="95" customWidth="1"/>
    <col min="4613" max="4614" width="8.6640625" style="95" customWidth="1"/>
    <col min="4615" max="4615" width="2.6640625" style="95" customWidth="1"/>
    <col min="4616" max="4616" width="8.6640625" style="95" customWidth="1"/>
    <col min="4617" max="4617" width="8.83203125" style="95" customWidth="1"/>
    <col min="4618" max="4618" width="2.6640625" style="95" customWidth="1"/>
    <col min="4619" max="4619" width="6" style="95" customWidth="1"/>
    <col min="4620" max="4864" width="9.1640625" style="95"/>
    <col min="4865" max="4865" width="35.6640625" style="95" customWidth="1"/>
    <col min="4866" max="4867" width="8.6640625" style="95" customWidth="1"/>
    <col min="4868" max="4868" width="2.6640625" style="95" customWidth="1"/>
    <col min="4869" max="4870" width="8.6640625" style="95" customWidth="1"/>
    <col min="4871" max="4871" width="2.6640625" style="95" customWidth="1"/>
    <col min="4872" max="4872" width="8.6640625" style="95" customWidth="1"/>
    <col min="4873" max="4873" width="8.83203125" style="95" customWidth="1"/>
    <col min="4874" max="4874" width="2.6640625" style="95" customWidth="1"/>
    <col min="4875" max="4875" width="6" style="95" customWidth="1"/>
    <col min="4876" max="5120" width="9.1640625" style="95"/>
    <col min="5121" max="5121" width="35.6640625" style="95" customWidth="1"/>
    <col min="5122" max="5123" width="8.6640625" style="95" customWidth="1"/>
    <col min="5124" max="5124" width="2.6640625" style="95" customWidth="1"/>
    <col min="5125" max="5126" width="8.6640625" style="95" customWidth="1"/>
    <col min="5127" max="5127" width="2.6640625" style="95" customWidth="1"/>
    <col min="5128" max="5128" width="8.6640625" style="95" customWidth="1"/>
    <col min="5129" max="5129" width="8.83203125" style="95" customWidth="1"/>
    <col min="5130" max="5130" width="2.6640625" style="95" customWidth="1"/>
    <col min="5131" max="5131" width="6" style="95" customWidth="1"/>
    <col min="5132" max="5376" width="9.1640625" style="95"/>
    <col min="5377" max="5377" width="35.6640625" style="95" customWidth="1"/>
    <col min="5378" max="5379" width="8.6640625" style="95" customWidth="1"/>
    <col min="5380" max="5380" width="2.6640625" style="95" customWidth="1"/>
    <col min="5381" max="5382" width="8.6640625" style="95" customWidth="1"/>
    <col min="5383" max="5383" width="2.6640625" style="95" customWidth="1"/>
    <col min="5384" max="5384" width="8.6640625" style="95" customWidth="1"/>
    <col min="5385" max="5385" width="8.83203125" style="95" customWidth="1"/>
    <col min="5386" max="5386" width="2.6640625" style="95" customWidth="1"/>
    <col min="5387" max="5387" width="6" style="95" customWidth="1"/>
    <col min="5388" max="5632" width="9.1640625" style="95"/>
    <col min="5633" max="5633" width="35.6640625" style="95" customWidth="1"/>
    <col min="5634" max="5635" width="8.6640625" style="95" customWidth="1"/>
    <col min="5636" max="5636" width="2.6640625" style="95" customWidth="1"/>
    <col min="5637" max="5638" width="8.6640625" style="95" customWidth="1"/>
    <col min="5639" max="5639" width="2.6640625" style="95" customWidth="1"/>
    <col min="5640" max="5640" width="8.6640625" style="95" customWidth="1"/>
    <col min="5641" max="5641" width="8.83203125" style="95" customWidth="1"/>
    <col min="5642" max="5642" width="2.6640625" style="95" customWidth="1"/>
    <col min="5643" max="5643" width="6" style="95" customWidth="1"/>
    <col min="5644" max="5888" width="9.1640625" style="95"/>
    <col min="5889" max="5889" width="35.6640625" style="95" customWidth="1"/>
    <col min="5890" max="5891" width="8.6640625" style="95" customWidth="1"/>
    <col min="5892" max="5892" width="2.6640625" style="95" customWidth="1"/>
    <col min="5893" max="5894" width="8.6640625" style="95" customWidth="1"/>
    <col min="5895" max="5895" width="2.6640625" style="95" customWidth="1"/>
    <col min="5896" max="5896" width="8.6640625" style="95" customWidth="1"/>
    <col min="5897" max="5897" width="8.83203125" style="95" customWidth="1"/>
    <col min="5898" max="5898" width="2.6640625" style="95" customWidth="1"/>
    <col min="5899" max="5899" width="6" style="95" customWidth="1"/>
    <col min="5900" max="6144" width="9.1640625" style="95"/>
    <col min="6145" max="6145" width="35.6640625" style="95" customWidth="1"/>
    <col min="6146" max="6147" width="8.6640625" style="95" customWidth="1"/>
    <col min="6148" max="6148" width="2.6640625" style="95" customWidth="1"/>
    <col min="6149" max="6150" width="8.6640625" style="95" customWidth="1"/>
    <col min="6151" max="6151" width="2.6640625" style="95" customWidth="1"/>
    <col min="6152" max="6152" width="8.6640625" style="95" customWidth="1"/>
    <col min="6153" max="6153" width="8.83203125" style="95" customWidth="1"/>
    <col min="6154" max="6154" width="2.6640625" style="95" customWidth="1"/>
    <col min="6155" max="6155" width="6" style="95" customWidth="1"/>
    <col min="6156" max="6400" width="9.1640625" style="95"/>
    <col min="6401" max="6401" width="35.6640625" style="95" customWidth="1"/>
    <col min="6402" max="6403" width="8.6640625" style="95" customWidth="1"/>
    <col min="6404" max="6404" width="2.6640625" style="95" customWidth="1"/>
    <col min="6405" max="6406" width="8.6640625" style="95" customWidth="1"/>
    <col min="6407" max="6407" width="2.6640625" style="95" customWidth="1"/>
    <col min="6408" max="6408" width="8.6640625" style="95" customWidth="1"/>
    <col min="6409" max="6409" width="8.83203125" style="95" customWidth="1"/>
    <col min="6410" max="6410" width="2.6640625" style="95" customWidth="1"/>
    <col min="6411" max="6411" width="6" style="95" customWidth="1"/>
    <col min="6412" max="6656" width="9.1640625" style="95"/>
    <col min="6657" max="6657" width="35.6640625" style="95" customWidth="1"/>
    <col min="6658" max="6659" width="8.6640625" style="95" customWidth="1"/>
    <col min="6660" max="6660" width="2.6640625" style="95" customWidth="1"/>
    <col min="6661" max="6662" width="8.6640625" style="95" customWidth="1"/>
    <col min="6663" max="6663" width="2.6640625" style="95" customWidth="1"/>
    <col min="6664" max="6664" width="8.6640625" style="95" customWidth="1"/>
    <col min="6665" max="6665" width="8.83203125" style="95" customWidth="1"/>
    <col min="6666" max="6666" width="2.6640625" style="95" customWidth="1"/>
    <col min="6667" max="6667" width="6" style="95" customWidth="1"/>
    <col min="6668" max="6912" width="9.1640625" style="95"/>
    <col min="6913" max="6913" width="35.6640625" style="95" customWidth="1"/>
    <col min="6914" max="6915" width="8.6640625" style="95" customWidth="1"/>
    <col min="6916" max="6916" width="2.6640625" style="95" customWidth="1"/>
    <col min="6917" max="6918" width="8.6640625" style="95" customWidth="1"/>
    <col min="6919" max="6919" width="2.6640625" style="95" customWidth="1"/>
    <col min="6920" max="6920" width="8.6640625" style="95" customWidth="1"/>
    <col min="6921" max="6921" width="8.83203125" style="95" customWidth="1"/>
    <col min="6922" max="6922" width="2.6640625" style="95" customWidth="1"/>
    <col min="6923" max="6923" width="6" style="95" customWidth="1"/>
    <col min="6924" max="7168" width="9.1640625" style="95"/>
    <col min="7169" max="7169" width="35.6640625" style="95" customWidth="1"/>
    <col min="7170" max="7171" width="8.6640625" style="95" customWidth="1"/>
    <col min="7172" max="7172" width="2.6640625" style="95" customWidth="1"/>
    <col min="7173" max="7174" width="8.6640625" style="95" customWidth="1"/>
    <col min="7175" max="7175" width="2.6640625" style="95" customWidth="1"/>
    <col min="7176" max="7176" width="8.6640625" style="95" customWidth="1"/>
    <col min="7177" max="7177" width="8.83203125" style="95" customWidth="1"/>
    <col min="7178" max="7178" width="2.6640625" style="95" customWidth="1"/>
    <col min="7179" max="7179" width="6" style="95" customWidth="1"/>
    <col min="7180" max="7424" width="9.1640625" style="95"/>
    <col min="7425" max="7425" width="35.6640625" style="95" customWidth="1"/>
    <col min="7426" max="7427" width="8.6640625" style="95" customWidth="1"/>
    <col min="7428" max="7428" width="2.6640625" style="95" customWidth="1"/>
    <col min="7429" max="7430" width="8.6640625" style="95" customWidth="1"/>
    <col min="7431" max="7431" width="2.6640625" style="95" customWidth="1"/>
    <col min="7432" max="7432" width="8.6640625" style="95" customWidth="1"/>
    <col min="7433" max="7433" width="8.83203125" style="95" customWidth="1"/>
    <col min="7434" max="7434" width="2.6640625" style="95" customWidth="1"/>
    <col min="7435" max="7435" width="6" style="95" customWidth="1"/>
    <col min="7436" max="7680" width="9.1640625" style="95"/>
    <col min="7681" max="7681" width="35.6640625" style="95" customWidth="1"/>
    <col min="7682" max="7683" width="8.6640625" style="95" customWidth="1"/>
    <col min="7684" max="7684" width="2.6640625" style="95" customWidth="1"/>
    <col min="7685" max="7686" width="8.6640625" style="95" customWidth="1"/>
    <col min="7687" max="7687" width="2.6640625" style="95" customWidth="1"/>
    <col min="7688" max="7688" width="8.6640625" style="95" customWidth="1"/>
    <col min="7689" max="7689" width="8.83203125" style="95" customWidth="1"/>
    <col min="7690" max="7690" width="2.6640625" style="95" customWidth="1"/>
    <col min="7691" max="7691" width="6" style="95" customWidth="1"/>
    <col min="7692" max="7936" width="9.1640625" style="95"/>
    <col min="7937" max="7937" width="35.6640625" style="95" customWidth="1"/>
    <col min="7938" max="7939" width="8.6640625" style="95" customWidth="1"/>
    <col min="7940" max="7940" width="2.6640625" style="95" customWidth="1"/>
    <col min="7941" max="7942" width="8.6640625" style="95" customWidth="1"/>
    <col min="7943" max="7943" width="2.6640625" style="95" customWidth="1"/>
    <col min="7944" max="7944" width="8.6640625" style="95" customWidth="1"/>
    <col min="7945" max="7945" width="8.83203125" style="95" customWidth="1"/>
    <col min="7946" max="7946" width="2.6640625" style="95" customWidth="1"/>
    <col min="7947" max="7947" width="6" style="95" customWidth="1"/>
    <col min="7948" max="8192" width="9.1640625" style="95"/>
    <col min="8193" max="8193" width="35.6640625" style="95" customWidth="1"/>
    <col min="8194" max="8195" width="8.6640625" style="95" customWidth="1"/>
    <col min="8196" max="8196" width="2.6640625" style="95" customWidth="1"/>
    <col min="8197" max="8198" width="8.6640625" style="95" customWidth="1"/>
    <col min="8199" max="8199" width="2.6640625" style="95" customWidth="1"/>
    <col min="8200" max="8200" width="8.6640625" style="95" customWidth="1"/>
    <col min="8201" max="8201" width="8.83203125" style="95" customWidth="1"/>
    <col min="8202" max="8202" width="2.6640625" style="95" customWidth="1"/>
    <col min="8203" max="8203" width="6" style="95" customWidth="1"/>
    <col min="8204" max="8448" width="9.1640625" style="95"/>
    <col min="8449" max="8449" width="35.6640625" style="95" customWidth="1"/>
    <col min="8450" max="8451" width="8.6640625" style="95" customWidth="1"/>
    <col min="8452" max="8452" width="2.6640625" style="95" customWidth="1"/>
    <col min="8453" max="8454" width="8.6640625" style="95" customWidth="1"/>
    <col min="8455" max="8455" width="2.6640625" style="95" customWidth="1"/>
    <col min="8456" max="8456" width="8.6640625" style="95" customWidth="1"/>
    <col min="8457" max="8457" width="8.83203125" style="95" customWidth="1"/>
    <col min="8458" max="8458" width="2.6640625" style="95" customWidth="1"/>
    <col min="8459" max="8459" width="6" style="95" customWidth="1"/>
    <col min="8460" max="8704" width="9.1640625" style="95"/>
    <col min="8705" max="8705" width="35.6640625" style="95" customWidth="1"/>
    <col min="8706" max="8707" width="8.6640625" style="95" customWidth="1"/>
    <col min="8708" max="8708" width="2.6640625" style="95" customWidth="1"/>
    <col min="8709" max="8710" width="8.6640625" style="95" customWidth="1"/>
    <col min="8711" max="8711" width="2.6640625" style="95" customWidth="1"/>
    <col min="8712" max="8712" width="8.6640625" style="95" customWidth="1"/>
    <col min="8713" max="8713" width="8.83203125" style="95" customWidth="1"/>
    <col min="8714" max="8714" width="2.6640625" style="95" customWidth="1"/>
    <col min="8715" max="8715" width="6" style="95" customWidth="1"/>
    <col min="8716" max="8960" width="9.1640625" style="95"/>
    <col min="8961" max="8961" width="35.6640625" style="95" customWidth="1"/>
    <col min="8962" max="8963" width="8.6640625" style="95" customWidth="1"/>
    <col min="8964" max="8964" width="2.6640625" style="95" customWidth="1"/>
    <col min="8965" max="8966" width="8.6640625" style="95" customWidth="1"/>
    <col min="8967" max="8967" width="2.6640625" style="95" customWidth="1"/>
    <col min="8968" max="8968" width="8.6640625" style="95" customWidth="1"/>
    <col min="8969" max="8969" width="8.83203125" style="95" customWidth="1"/>
    <col min="8970" max="8970" width="2.6640625" style="95" customWidth="1"/>
    <col min="8971" max="8971" width="6" style="95" customWidth="1"/>
    <col min="8972" max="9216" width="9.1640625" style="95"/>
    <col min="9217" max="9217" width="35.6640625" style="95" customWidth="1"/>
    <col min="9218" max="9219" width="8.6640625" style="95" customWidth="1"/>
    <col min="9220" max="9220" width="2.6640625" style="95" customWidth="1"/>
    <col min="9221" max="9222" width="8.6640625" style="95" customWidth="1"/>
    <col min="9223" max="9223" width="2.6640625" style="95" customWidth="1"/>
    <col min="9224" max="9224" width="8.6640625" style="95" customWidth="1"/>
    <col min="9225" max="9225" width="8.83203125" style="95" customWidth="1"/>
    <col min="9226" max="9226" width="2.6640625" style="95" customWidth="1"/>
    <col min="9227" max="9227" width="6" style="95" customWidth="1"/>
    <col min="9228" max="9472" width="9.1640625" style="95"/>
    <col min="9473" max="9473" width="35.6640625" style="95" customWidth="1"/>
    <col min="9474" max="9475" width="8.6640625" style="95" customWidth="1"/>
    <col min="9476" max="9476" width="2.6640625" style="95" customWidth="1"/>
    <col min="9477" max="9478" width="8.6640625" style="95" customWidth="1"/>
    <col min="9479" max="9479" width="2.6640625" style="95" customWidth="1"/>
    <col min="9480" max="9480" width="8.6640625" style="95" customWidth="1"/>
    <col min="9481" max="9481" width="8.83203125" style="95" customWidth="1"/>
    <col min="9482" max="9482" width="2.6640625" style="95" customWidth="1"/>
    <col min="9483" max="9483" width="6" style="95" customWidth="1"/>
    <col min="9484" max="9728" width="9.1640625" style="95"/>
    <col min="9729" max="9729" width="35.6640625" style="95" customWidth="1"/>
    <col min="9730" max="9731" width="8.6640625" style="95" customWidth="1"/>
    <col min="9732" max="9732" width="2.6640625" style="95" customWidth="1"/>
    <col min="9733" max="9734" width="8.6640625" style="95" customWidth="1"/>
    <col min="9735" max="9735" width="2.6640625" style="95" customWidth="1"/>
    <col min="9736" max="9736" width="8.6640625" style="95" customWidth="1"/>
    <col min="9737" max="9737" width="8.83203125" style="95" customWidth="1"/>
    <col min="9738" max="9738" width="2.6640625" style="95" customWidth="1"/>
    <col min="9739" max="9739" width="6" style="95" customWidth="1"/>
    <col min="9740" max="9984" width="9.1640625" style="95"/>
    <col min="9985" max="9985" width="35.6640625" style="95" customWidth="1"/>
    <col min="9986" max="9987" width="8.6640625" style="95" customWidth="1"/>
    <col min="9988" max="9988" width="2.6640625" style="95" customWidth="1"/>
    <col min="9989" max="9990" width="8.6640625" style="95" customWidth="1"/>
    <col min="9991" max="9991" width="2.6640625" style="95" customWidth="1"/>
    <col min="9992" max="9992" width="8.6640625" style="95" customWidth="1"/>
    <col min="9993" max="9993" width="8.83203125" style="95" customWidth="1"/>
    <col min="9994" max="9994" width="2.6640625" style="95" customWidth="1"/>
    <col min="9995" max="9995" width="6" style="95" customWidth="1"/>
    <col min="9996" max="10240" width="9.1640625" style="95"/>
    <col min="10241" max="10241" width="35.6640625" style="95" customWidth="1"/>
    <col min="10242" max="10243" width="8.6640625" style="95" customWidth="1"/>
    <col min="10244" max="10244" width="2.6640625" style="95" customWidth="1"/>
    <col min="10245" max="10246" width="8.6640625" style="95" customWidth="1"/>
    <col min="10247" max="10247" width="2.6640625" style="95" customWidth="1"/>
    <col min="10248" max="10248" width="8.6640625" style="95" customWidth="1"/>
    <col min="10249" max="10249" width="8.83203125" style="95" customWidth="1"/>
    <col min="10250" max="10250" width="2.6640625" style="95" customWidth="1"/>
    <col min="10251" max="10251" width="6" style="95" customWidth="1"/>
    <col min="10252" max="10496" width="9.1640625" style="95"/>
    <col min="10497" max="10497" width="35.6640625" style="95" customWidth="1"/>
    <col min="10498" max="10499" width="8.6640625" style="95" customWidth="1"/>
    <col min="10500" max="10500" width="2.6640625" style="95" customWidth="1"/>
    <col min="10501" max="10502" width="8.6640625" style="95" customWidth="1"/>
    <col min="10503" max="10503" width="2.6640625" style="95" customWidth="1"/>
    <col min="10504" max="10504" width="8.6640625" style="95" customWidth="1"/>
    <col min="10505" max="10505" width="8.83203125" style="95" customWidth="1"/>
    <col min="10506" max="10506" width="2.6640625" style="95" customWidth="1"/>
    <col min="10507" max="10507" width="6" style="95" customWidth="1"/>
    <col min="10508" max="10752" width="9.1640625" style="95"/>
    <col min="10753" max="10753" width="35.6640625" style="95" customWidth="1"/>
    <col min="10754" max="10755" width="8.6640625" style="95" customWidth="1"/>
    <col min="10756" max="10756" width="2.6640625" style="95" customWidth="1"/>
    <col min="10757" max="10758" width="8.6640625" style="95" customWidth="1"/>
    <col min="10759" max="10759" width="2.6640625" style="95" customWidth="1"/>
    <col min="10760" max="10760" width="8.6640625" style="95" customWidth="1"/>
    <col min="10761" max="10761" width="8.83203125" style="95" customWidth="1"/>
    <col min="10762" max="10762" width="2.6640625" style="95" customWidth="1"/>
    <col min="10763" max="10763" width="6" style="95" customWidth="1"/>
    <col min="10764" max="11008" width="9.1640625" style="95"/>
    <col min="11009" max="11009" width="35.6640625" style="95" customWidth="1"/>
    <col min="11010" max="11011" width="8.6640625" style="95" customWidth="1"/>
    <col min="11012" max="11012" width="2.6640625" style="95" customWidth="1"/>
    <col min="11013" max="11014" width="8.6640625" style="95" customWidth="1"/>
    <col min="11015" max="11015" width="2.6640625" style="95" customWidth="1"/>
    <col min="11016" max="11016" width="8.6640625" style="95" customWidth="1"/>
    <col min="11017" max="11017" width="8.83203125" style="95" customWidth="1"/>
    <col min="11018" max="11018" width="2.6640625" style="95" customWidth="1"/>
    <col min="11019" max="11019" width="6" style="95" customWidth="1"/>
    <col min="11020" max="11264" width="9.1640625" style="95"/>
    <col min="11265" max="11265" width="35.6640625" style="95" customWidth="1"/>
    <col min="11266" max="11267" width="8.6640625" style="95" customWidth="1"/>
    <col min="11268" max="11268" width="2.6640625" style="95" customWidth="1"/>
    <col min="11269" max="11270" width="8.6640625" style="95" customWidth="1"/>
    <col min="11271" max="11271" width="2.6640625" style="95" customWidth="1"/>
    <col min="11272" max="11272" width="8.6640625" style="95" customWidth="1"/>
    <col min="11273" max="11273" width="8.83203125" style="95" customWidth="1"/>
    <col min="11274" max="11274" width="2.6640625" style="95" customWidth="1"/>
    <col min="11275" max="11275" width="6" style="95" customWidth="1"/>
    <col min="11276" max="11520" width="9.1640625" style="95"/>
    <col min="11521" max="11521" width="35.6640625" style="95" customWidth="1"/>
    <col min="11522" max="11523" width="8.6640625" style="95" customWidth="1"/>
    <col min="11524" max="11524" width="2.6640625" style="95" customWidth="1"/>
    <col min="11525" max="11526" width="8.6640625" style="95" customWidth="1"/>
    <col min="11527" max="11527" width="2.6640625" style="95" customWidth="1"/>
    <col min="11528" max="11528" width="8.6640625" style="95" customWidth="1"/>
    <col min="11529" max="11529" width="8.83203125" style="95" customWidth="1"/>
    <col min="11530" max="11530" width="2.6640625" style="95" customWidth="1"/>
    <col min="11531" max="11531" width="6" style="95" customWidth="1"/>
    <col min="11532" max="11776" width="9.1640625" style="95"/>
    <col min="11777" max="11777" width="35.6640625" style="95" customWidth="1"/>
    <col min="11778" max="11779" width="8.6640625" style="95" customWidth="1"/>
    <col min="11780" max="11780" width="2.6640625" style="95" customWidth="1"/>
    <col min="11781" max="11782" width="8.6640625" style="95" customWidth="1"/>
    <col min="11783" max="11783" width="2.6640625" style="95" customWidth="1"/>
    <col min="11784" max="11784" width="8.6640625" style="95" customWidth="1"/>
    <col min="11785" max="11785" width="8.83203125" style="95" customWidth="1"/>
    <col min="11786" max="11786" width="2.6640625" style="95" customWidth="1"/>
    <col min="11787" max="11787" width="6" style="95" customWidth="1"/>
    <col min="11788" max="12032" width="9.1640625" style="95"/>
    <col min="12033" max="12033" width="35.6640625" style="95" customWidth="1"/>
    <col min="12034" max="12035" width="8.6640625" style="95" customWidth="1"/>
    <col min="12036" max="12036" width="2.6640625" style="95" customWidth="1"/>
    <col min="12037" max="12038" width="8.6640625" style="95" customWidth="1"/>
    <col min="12039" max="12039" width="2.6640625" style="95" customWidth="1"/>
    <col min="12040" max="12040" width="8.6640625" style="95" customWidth="1"/>
    <col min="12041" max="12041" width="8.83203125" style="95" customWidth="1"/>
    <col min="12042" max="12042" width="2.6640625" style="95" customWidth="1"/>
    <col min="12043" max="12043" width="6" style="95" customWidth="1"/>
    <col min="12044" max="12288" width="9.1640625" style="95"/>
    <col min="12289" max="12289" width="35.6640625" style="95" customWidth="1"/>
    <col min="12290" max="12291" width="8.6640625" style="95" customWidth="1"/>
    <col min="12292" max="12292" width="2.6640625" style="95" customWidth="1"/>
    <col min="12293" max="12294" width="8.6640625" style="95" customWidth="1"/>
    <col min="12295" max="12295" width="2.6640625" style="95" customWidth="1"/>
    <col min="12296" max="12296" width="8.6640625" style="95" customWidth="1"/>
    <col min="12297" max="12297" width="8.83203125" style="95" customWidth="1"/>
    <col min="12298" max="12298" width="2.6640625" style="95" customWidth="1"/>
    <col min="12299" max="12299" width="6" style="95" customWidth="1"/>
    <col min="12300" max="12544" width="9.1640625" style="95"/>
    <col min="12545" max="12545" width="35.6640625" style="95" customWidth="1"/>
    <col min="12546" max="12547" width="8.6640625" style="95" customWidth="1"/>
    <col min="12548" max="12548" width="2.6640625" style="95" customWidth="1"/>
    <col min="12549" max="12550" width="8.6640625" style="95" customWidth="1"/>
    <col min="12551" max="12551" width="2.6640625" style="95" customWidth="1"/>
    <col min="12552" max="12552" width="8.6640625" style="95" customWidth="1"/>
    <col min="12553" max="12553" width="8.83203125" style="95" customWidth="1"/>
    <col min="12554" max="12554" width="2.6640625" style="95" customWidth="1"/>
    <col min="12555" max="12555" width="6" style="95" customWidth="1"/>
    <col min="12556" max="12800" width="9.1640625" style="95"/>
    <col min="12801" max="12801" width="35.6640625" style="95" customWidth="1"/>
    <col min="12802" max="12803" width="8.6640625" style="95" customWidth="1"/>
    <col min="12804" max="12804" width="2.6640625" style="95" customWidth="1"/>
    <col min="12805" max="12806" width="8.6640625" style="95" customWidth="1"/>
    <col min="12807" max="12807" width="2.6640625" style="95" customWidth="1"/>
    <col min="12808" max="12808" width="8.6640625" style="95" customWidth="1"/>
    <col min="12809" max="12809" width="8.83203125" style="95" customWidth="1"/>
    <col min="12810" max="12810" width="2.6640625" style="95" customWidth="1"/>
    <col min="12811" max="12811" width="6" style="95" customWidth="1"/>
    <col min="12812" max="13056" width="9.1640625" style="95"/>
    <col min="13057" max="13057" width="35.6640625" style="95" customWidth="1"/>
    <col min="13058" max="13059" width="8.6640625" style="95" customWidth="1"/>
    <col min="13060" max="13060" width="2.6640625" style="95" customWidth="1"/>
    <col min="13061" max="13062" width="8.6640625" style="95" customWidth="1"/>
    <col min="13063" max="13063" width="2.6640625" style="95" customWidth="1"/>
    <col min="13064" max="13064" width="8.6640625" style="95" customWidth="1"/>
    <col min="13065" max="13065" width="8.83203125" style="95" customWidth="1"/>
    <col min="13066" max="13066" width="2.6640625" style="95" customWidth="1"/>
    <col min="13067" max="13067" width="6" style="95" customWidth="1"/>
    <col min="13068" max="13312" width="9.1640625" style="95"/>
    <col min="13313" max="13313" width="35.6640625" style="95" customWidth="1"/>
    <col min="13314" max="13315" width="8.6640625" style="95" customWidth="1"/>
    <col min="13316" max="13316" width="2.6640625" style="95" customWidth="1"/>
    <col min="13317" max="13318" width="8.6640625" style="95" customWidth="1"/>
    <col min="13319" max="13319" width="2.6640625" style="95" customWidth="1"/>
    <col min="13320" max="13320" width="8.6640625" style="95" customWidth="1"/>
    <col min="13321" max="13321" width="8.83203125" style="95" customWidth="1"/>
    <col min="13322" max="13322" width="2.6640625" style="95" customWidth="1"/>
    <col min="13323" max="13323" width="6" style="95" customWidth="1"/>
    <col min="13324" max="13568" width="9.1640625" style="95"/>
    <col min="13569" max="13569" width="35.6640625" style="95" customWidth="1"/>
    <col min="13570" max="13571" width="8.6640625" style="95" customWidth="1"/>
    <col min="13572" max="13572" width="2.6640625" style="95" customWidth="1"/>
    <col min="13573" max="13574" width="8.6640625" style="95" customWidth="1"/>
    <col min="13575" max="13575" width="2.6640625" style="95" customWidth="1"/>
    <col min="13576" max="13576" width="8.6640625" style="95" customWidth="1"/>
    <col min="13577" max="13577" width="8.83203125" style="95" customWidth="1"/>
    <col min="13578" max="13578" width="2.6640625" style="95" customWidth="1"/>
    <col min="13579" max="13579" width="6" style="95" customWidth="1"/>
    <col min="13580" max="13824" width="9.1640625" style="95"/>
    <col min="13825" max="13825" width="35.6640625" style="95" customWidth="1"/>
    <col min="13826" max="13827" width="8.6640625" style="95" customWidth="1"/>
    <col min="13828" max="13828" width="2.6640625" style="95" customWidth="1"/>
    <col min="13829" max="13830" width="8.6640625" style="95" customWidth="1"/>
    <col min="13831" max="13831" width="2.6640625" style="95" customWidth="1"/>
    <col min="13832" max="13832" width="8.6640625" style="95" customWidth="1"/>
    <col min="13833" max="13833" width="8.83203125" style="95" customWidth="1"/>
    <col min="13834" max="13834" width="2.6640625" style="95" customWidth="1"/>
    <col min="13835" max="13835" width="6" style="95" customWidth="1"/>
    <col min="13836" max="14080" width="9.1640625" style="95"/>
    <col min="14081" max="14081" width="35.6640625" style="95" customWidth="1"/>
    <col min="14082" max="14083" width="8.6640625" style="95" customWidth="1"/>
    <col min="14084" max="14084" width="2.6640625" style="95" customWidth="1"/>
    <col min="14085" max="14086" width="8.6640625" style="95" customWidth="1"/>
    <col min="14087" max="14087" width="2.6640625" style="95" customWidth="1"/>
    <col min="14088" max="14088" width="8.6640625" style="95" customWidth="1"/>
    <col min="14089" max="14089" width="8.83203125" style="95" customWidth="1"/>
    <col min="14090" max="14090" width="2.6640625" style="95" customWidth="1"/>
    <col min="14091" max="14091" width="6" style="95" customWidth="1"/>
    <col min="14092" max="14336" width="9.1640625" style="95"/>
    <col min="14337" max="14337" width="35.6640625" style="95" customWidth="1"/>
    <col min="14338" max="14339" width="8.6640625" style="95" customWidth="1"/>
    <col min="14340" max="14340" width="2.6640625" style="95" customWidth="1"/>
    <col min="14341" max="14342" width="8.6640625" style="95" customWidth="1"/>
    <col min="14343" max="14343" width="2.6640625" style="95" customWidth="1"/>
    <col min="14344" max="14344" width="8.6640625" style="95" customWidth="1"/>
    <col min="14345" max="14345" width="8.83203125" style="95" customWidth="1"/>
    <col min="14346" max="14346" width="2.6640625" style="95" customWidth="1"/>
    <col min="14347" max="14347" width="6" style="95" customWidth="1"/>
    <col min="14348" max="14592" width="9.1640625" style="95"/>
    <col min="14593" max="14593" width="35.6640625" style="95" customWidth="1"/>
    <col min="14594" max="14595" width="8.6640625" style="95" customWidth="1"/>
    <col min="14596" max="14596" width="2.6640625" style="95" customWidth="1"/>
    <col min="14597" max="14598" width="8.6640625" style="95" customWidth="1"/>
    <col min="14599" max="14599" width="2.6640625" style="95" customWidth="1"/>
    <col min="14600" max="14600" width="8.6640625" style="95" customWidth="1"/>
    <col min="14601" max="14601" width="8.83203125" style="95" customWidth="1"/>
    <col min="14602" max="14602" width="2.6640625" style="95" customWidth="1"/>
    <col min="14603" max="14603" width="6" style="95" customWidth="1"/>
    <col min="14604" max="14848" width="9.1640625" style="95"/>
    <col min="14849" max="14849" width="35.6640625" style="95" customWidth="1"/>
    <col min="14850" max="14851" width="8.6640625" style="95" customWidth="1"/>
    <col min="14852" max="14852" width="2.6640625" style="95" customWidth="1"/>
    <col min="14853" max="14854" width="8.6640625" style="95" customWidth="1"/>
    <col min="14855" max="14855" width="2.6640625" style="95" customWidth="1"/>
    <col min="14856" max="14856" width="8.6640625" style="95" customWidth="1"/>
    <col min="14857" max="14857" width="8.83203125" style="95" customWidth="1"/>
    <col min="14858" max="14858" width="2.6640625" style="95" customWidth="1"/>
    <col min="14859" max="14859" width="6" style="95" customWidth="1"/>
    <col min="14860" max="15104" width="9.1640625" style="95"/>
    <col min="15105" max="15105" width="35.6640625" style="95" customWidth="1"/>
    <col min="15106" max="15107" width="8.6640625" style="95" customWidth="1"/>
    <col min="15108" max="15108" width="2.6640625" style="95" customWidth="1"/>
    <col min="15109" max="15110" width="8.6640625" style="95" customWidth="1"/>
    <col min="15111" max="15111" width="2.6640625" style="95" customWidth="1"/>
    <col min="15112" max="15112" width="8.6640625" style="95" customWidth="1"/>
    <col min="15113" max="15113" width="8.83203125" style="95" customWidth="1"/>
    <col min="15114" max="15114" width="2.6640625" style="95" customWidth="1"/>
    <col min="15115" max="15115" width="6" style="95" customWidth="1"/>
    <col min="15116" max="15360" width="9.1640625" style="95"/>
    <col min="15361" max="15361" width="35.6640625" style="95" customWidth="1"/>
    <col min="15362" max="15363" width="8.6640625" style="95" customWidth="1"/>
    <col min="15364" max="15364" width="2.6640625" style="95" customWidth="1"/>
    <col min="15365" max="15366" width="8.6640625" style="95" customWidth="1"/>
    <col min="15367" max="15367" width="2.6640625" style="95" customWidth="1"/>
    <col min="15368" max="15368" width="8.6640625" style="95" customWidth="1"/>
    <col min="15369" max="15369" width="8.83203125" style="95" customWidth="1"/>
    <col min="15370" max="15370" width="2.6640625" style="95" customWidth="1"/>
    <col min="15371" max="15371" width="6" style="95" customWidth="1"/>
    <col min="15372" max="15616" width="9.1640625" style="95"/>
    <col min="15617" max="15617" width="35.6640625" style="95" customWidth="1"/>
    <col min="15618" max="15619" width="8.6640625" style="95" customWidth="1"/>
    <col min="15620" max="15620" width="2.6640625" style="95" customWidth="1"/>
    <col min="15621" max="15622" width="8.6640625" style="95" customWidth="1"/>
    <col min="15623" max="15623" width="2.6640625" style="95" customWidth="1"/>
    <col min="15624" max="15624" width="8.6640625" style="95" customWidth="1"/>
    <col min="15625" max="15625" width="8.83203125" style="95" customWidth="1"/>
    <col min="15626" max="15626" width="2.6640625" style="95" customWidth="1"/>
    <col min="15627" max="15627" width="6" style="95" customWidth="1"/>
    <col min="15628" max="15872" width="9.1640625" style="95"/>
    <col min="15873" max="15873" width="35.6640625" style="95" customWidth="1"/>
    <col min="15874" max="15875" width="8.6640625" style="95" customWidth="1"/>
    <col min="15876" max="15876" width="2.6640625" style="95" customWidth="1"/>
    <col min="15877" max="15878" width="8.6640625" style="95" customWidth="1"/>
    <col min="15879" max="15879" width="2.6640625" style="95" customWidth="1"/>
    <col min="15880" max="15880" width="8.6640625" style="95" customWidth="1"/>
    <col min="15881" max="15881" width="8.83203125" style="95" customWidth="1"/>
    <col min="15882" max="15882" width="2.6640625" style="95" customWidth="1"/>
    <col min="15883" max="15883" width="6" style="95" customWidth="1"/>
    <col min="15884" max="16128" width="9.1640625" style="95"/>
    <col min="16129" max="16129" width="35.6640625" style="95" customWidth="1"/>
    <col min="16130" max="16131" width="8.6640625" style="95" customWidth="1"/>
    <col min="16132" max="16132" width="2.6640625" style="95" customWidth="1"/>
    <col min="16133" max="16134" width="8.6640625" style="95" customWidth="1"/>
    <col min="16135" max="16135" width="2.6640625" style="95" customWidth="1"/>
    <col min="16136" max="16136" width="8.6640625" style="95" customWidth="1"/>
    <col min="16137" max="16137" width="8.83203125" style="95" customWidth="1"/>
    <col min="16138" max="16138" width="2.6640625" style="95" customWidth="1"/>
    <col min="16139" max="16139" width="6" style="95" customWidth="1"/>
    <col min="16140" max="16384" width="9.1640625" style="95"/>
  </cols>
  <sheetData>
    <row r="1" spans="1:11" ht="12.75" customHeight="1">
      <c r="A1" s="95" t="s">
        <v>1007</v>
      </c>
    </row>
    <row r="2" spans="1:11">
      <c r="A2" s="95" t="s">
        <v>1008</v>
      </c>
      <c r="E2" s="221"/>
    </row>
    <row r="3" spans="1:11" ht="10" customHeight="1"/>
    <row r="4" spans="1:11" ht="15">
      <c r="A4" s="33" t="s">
        <v>2136</v>
      </c>
    </row>
    <row r="5" spans="1:11" ht="10" customHeight="1" thickBot="1">
      <c r="J5" s="105"/>
      <c r="K5" s="105"/>
    </row>
    <row r="6" spans="1:11" ht="10.5" customHeight="1">
      <c r="A6" s="97"/>
      <c r="B6" s="115"/>
      <c r="C6" s="143"/>
      <c r="D6" s="115"/>
      <c r="E6" s="550"/>
      <c r="F6" s="551"/>
      <c r="G6" s="144"/>
      <c r="H6" s="550"/>
      <c r="I6" s="551"/>
      <c r="J6" s="99"/>
      <c r="K6" s="135"/>
    </row>
    <row r="7" spans="1:11" ht="15">
      <c r="A7" s="95" t="s">
        <v>147</v>
      </c>
      <c r="B7" s="1068" t="s">
        <v>1525</v>
      </c>
      <c r="C7" s="1068"/>
      <c r="D7" s="119"/>
      <c r="E7" s="1019" t="s">
        <v>1526</v>
      </c>
      <c r="F7" s="1019"/>
      <c r="G7" s="154"/>
      <c r="H7" s="1019" t="s">
        <v>1161</v>
      </c>
      <c r="I7" s="1019"/>
    </row>
    <row r="8" spans="1:11">
      <c r="A8" s="116" t="s">
        <v>1527</v>
      </c>
      <c r="B8" s="294" t="s">
        <v>400</v>
      </c>
      <c r="C8" s="148" t="s">
        <v>401</v>
      </c>
      <c r="D8" s="119"/>
      <c r="E8" s="552" t="s">
        <v>400</v>
      </c>
      <c r="F8" s="101" t="s">
        <v>401</v>
      </c>
      <c r="G8" s="903"/>
      <c r="H8" s="552" t="s">
        <v>400</v>
      </c>
      <c r="I8" s="101" t="s">
        <v>153</v>
      </c>
    </row>
    <row r="9" spans="1:11" ht="13.5" customHeight="1" thickBot="1">
      <c r="A9" s="102"/>
      <c r="B9" s="125"/>
      <c r="C9" s="152"/>
      <c r="D9" s="125"/>
      <c r="E9" s="553"/>
      <c r="F9" s="295"/>
      <c r="G9" s="153"/>
      <c r="H9" s="553"/>
      <c r="I9" s="295"/>
    </row>
    <row r="10" spans="1:11" ht="10" customHeight="1">
      <c r="A10" s="116"/>
      <c r="B10" s="119"/>
      <c r="C10" s="146"/>
      <c r="D10" s="119"/>
      <c r="E10" s="220"/>
      <c r="F10" s="554"/>
      <c r="G10" s="154"/>
      <c r="H10" s="220"/>
      <c r="I10" s="554"/>
      <c r="J10" s="99"/>
      <c r="K10" s="135"/>
    </row>
    <row r="11" spans="1:11">
      <c r="A11" s="55" t="s">
        <v>402</v>
      </c>
      <c r="B11" s="155">
        <f>IF($A11&lt;&gt;0,E11+H11,"")</f>
        <v>23131</v>
      </c>
      <c r="C11" s="139">
        <f>SUM(C13+C96)</f>
        <v>100</v>
      </c>
      <c r="E11" s="217">
        <f>E13+E96</f>
        <v>10785</v>
      </c>
      <c r="F11" s="218">
        <f t="shared" ref="F11:F16" si="0">IF($A11&lt;&gt;0,E11/$B11*100,"")</f>
        <v>46.625740348450137</v>
      </c>
      <c r="H11" s="217">
        <f>H13+H96</f>
        <v>12346</v>
      </c>
      <c r="I11" s="218">
        <f>IF($A11&lt;&gt;0,H11/$B11*100,"")</f>
        <v>53.37425965154987</v>
      </c>
    </row>
    <row r="12" spans="1:11">
      <c r="A12" s="33"/>
      <c r="B12" s="155" t="str">
        <f t="shared" ref="B12:B79" si="1">IF($A12&lt;&gt;0,E12+H12,"")</f>
        <v/>
      </c>
      <c r="C12" s="139" t="str">
        <f t="shared" ref="C12:C79" si="2">IF($A12&lt;&gt;0,B12/$B$11*100,"")</f>
        <v/>
      </c>
      <c r="F12" s="218" t="str">
        <f t="shared" si="0"/>
        <v/>
      </c>
      <c r="I12" s="218" t="str">
        <f t="shared" ref="I12:I79" si="3">IF($A12&lt;&gt;0,H12/$B12*100,"")</f>
        <v/>
      </c>
    </row>
    <row r="13" spans="1:11">
      <c r="A13" s="55" t="s">
        <v>1462</v>
      </c>
      <c r="B13" s="155">
        <f t="shared" si="1"/>
        <v>15209</v>
      </c>
      <c r="C13" s="139">
        <f t="shared" si="2"/>
        <v>65.751588776965974</v>
      </c>
      <c r="E13" s="217">
        <f>E15+E26+E34+E60+E74+E81+E93+E94</f>
        <v>7174</v>
      </c>
      <c r="F13" s="218">
        <f t="shared" si="0"/>
        <v>47.169439147872971</v>
      </c>
      <c r="H13" s="217">
        <f>H15+H26+H34+H60+H74+H81+H93+H94</f>
        <v>8035</v>
      </c>
      <c r="I13" s="218">
        <f t="shared" si="3"/>
        <v>52.830560852127029</v>
      </c>
    </row>
    <row r="14" spans="1:11">
      <c r="A14" s="55"/>
      <c r="F14" s="218" t="str">
        <f t="shared" si="0"/>
        <v/>
      </c>
    </row>
    <row r="15" spans="1:11">
      <c r="A15" s="55" t="s">
        <v>404</v>
      </c>
      <c r="B15" s="155">
        <f t="shared" si="1"/>
        <v>1417</v>
      </c>
      <c r="C15" s="139">
        <f t="shared" si="2"/>
        <v>6.1259781245946998</v>
      </c>
      <c r="E15" s="217">
        <f>E16+E21</f>
        <v>596</v>
      </c>
      <c r="F15" s="218">
        <f t="shared" si="0"/>
        <v>42.060691601976011</v>
      </c>
      <c r="H15" s="217">
        <f>H16+H21</f>
        <v>821</v>
      </c>
      <c r="I15" s="218">
        <f t="shared" si="3"/>
        <v>57.939308398023989</v>
      </c>
    </row>
    <row r="16" spans="1:11">
      <c r="A16" s="33" t="s">
        <v>162</v>
      </c>
      <c r="B16" s="155">
        <f t="shared" si="1"/>
        <v>429</v>
      </c>
      <c r="C16" s="139">
        <f t="shared" si="2"/>
        <v>1.8546539276295879</v>
      </c>
      <c r="E16" s="217">
        <f>SUM(E17:E19)</f>
        <v>213</v>
      </c>
      <c r="F16" s="218">
        <f t="shared" si="0"/>
        <v>49.650349650349654</v>
      </c>
      <c r="H16" s="217">
        <f>SUM(H17:H19)</f>
        <v>216</v>
      </c>
      <c r="I16" s="218">
        <f t="shared" si="3"/>
        <v>50.349650349650354</v>
      </c>
    </row>
    <row r="17" spans="1:9">
      <c r="A17" s="33" t="s">
        <v>163</v>
      </c>
      <c r="B17" s="155">
        <f>IF($A17&lt;&gt;0,E17+H17,"")</f>
        <v>71</v>
      </c>
      <c r="C17" s="139">
        <f t="shared" si="2"/>
        <v>0.30694738662401105</v>
      </c>
      <c r="E17" s="918">
        <v>31</v>
      </c>
      <c r="F17" s="919"/>
      <c r="G17" s="919"/>
      <c r="H17" s="920">
        <v>40</v>
      </c>
      <c r="I17" s="218">
        <f>IF($A17&lt;&gt;0,H17/$B17*100,"")</f>
        <v>56.338028169014088</v>
      </c>
    </row>
    <row r="18" spans="1:9">
      <c r="A18" s="33" t="s">
        <v>165</v>
      </c>
      <c r="B18" s="155">
        <f>IF($A18&lt;&gt;0,E18+H18,"")</f>
        <v>258</v>
      </c>
      <c r="C18" s="139">
        <f t="shared" si="2"/>
        <v>1.1153862781548571</v>
      </c>
      <c r="E18" s="918">
        <v>110</v>
      </c>
      <c r="F18" s="919"/>
      <c r="G18" s="919"/>
      <c r="H18" s="920">
        <v>148</v>
      </c>
      <c r="I18" s="218">
        <f>IF($A18&lt;&gt;0,H18/$B18*100,"")</f>
        <v>57.36434108527132</v>
      </c>
    </row>
    <row r="19" spans="1:9">
      <c r="A19" s="33" t="s">
        <v>164</v>
      </c>
      <c r="B19" s="155">
        <f>IF($A19&lt;&gt;0,E19+H19,"")</f>
        <v>100</v>
      </c>
      <c r="C19" s="139">
        <f t="shared" si="2"/>
        <v>0.43232026285071984</v>
      </c>
      <c r="E19" s="918">
        <v>72</v>
      </c>
      <c r="F19" s="919"/>
      <c r="G19" s="919"/>
      <c r="H19" s="920">
        <v>28</v>
      </c>
      <c r="I19" s="218">
        <f>IF($A19&lt;&gt;0,H19/$B19*100,"")</f>
        <v>28.000000000000004</v>
      </c>
    </row>
    <row r="20" spans="1:9">
      <c r="A20" s="33"/>
      <c r="B20" s="155" t="str">
        <f t="shared" si="1"/>
        <v/>
      </c>
      <c r="C20" s="139" t="str">
        <f t="shared" si="2"/>
        <v/>
      </c>
      <c r="F20" s="218" t="str">
        <f>IF($A20&lt;&gt;0,E20/$B20*100,"")</f>
        <v/>
      </c>
      <c r="I20" s="218" t="str">
        <f t="shared" si="3"/>
        <v/>
      </c>
    </row>
    <row r="21" spans="1:9">
      <c r="A21" s="33" t="s">
        <v>166</v>
      </c>
      <c r="B21" s="155">
        <f t="shared" si="1"/>
        <v>988</v>
      </c>
      <c r="C21" s="139">
        <f t="shared" si="2"/>
        <v>4.2713241969651117</v>
      </c>
      <c r="E21" s="217">
        <f>SUM(E22:E24)</f>
        <v>383</v>
      </c>
      <c r="F21" s="218">
        <f>IF($A21&lt;&gt;0,E21/$B21*100,"")</f>
        <v>38.765182186234817</v>
      </c>
      <c r="H21" s="217">
        <f>SUM(H22:H24)</f>
        <v>605</v>
      </c>
      <c r="I21" s="218">
        <f t="shared" si="3"/>
        <v>61.234817813765183</v>
      </c>
    </row>
    <row r="22" spans="1:9">
      <c r="A22" s="33" t="s">
        <v>167</v>
      </c>
      <c r="B22" s="155">
        <f t="shared" si="1"/>
        <v>336</v>
      </c>
      <c r="C22" s="139">
        <f t="shared" si="2"/>
        <v>1.4525960831784186</v>
      </c>
      <c r="E22" s="918">
        <v>99</v>
      </c>
      <c r="F22" s="921"/>
      <c r="G22" s="921"/>
      <c r="H22" s="922">
        <v>237</v>
      </c>
      <c r="I22" s="104">
        <v>67.515923566878982</v>
      </c>
    </row>
    <row r="23" spans="1:9">
      <c r="A23" s="33" t="s">
        <v>168</v>
      </c>
      <c r="B23" s="155">
        <f t="shared" si="1"/>
        <v>123</v>
      </c>
      <c r="C23" s="139">
        <f t="shared" si="2"/>
        <v>0.53175392330638538</v>
      </c>
      <c r="E23" s="918">
        <v>78</v>
      </c>
      <c r="F23" s="921"/>
      <c r="G23" s="921"/>
      <c r="H23" s="922">
        <v>45</v>
      </c>
      <c r="I23" s="104">
        <v>32.121212121212125</v>
      </c>
    </row>
    <row r="24" spans="1:9">
      <c r="A24" s="33" t="s">
        <v>169</v>
      </c>
      <c r="B24" s="155">
        <f t="shared" si="1"/>
        <v>529</v>
      </c>
      <c r="C24" s="139">
        <f t="shared" si="2"/>
        <v>2.2869741904803078</v>
      </c>
      <c r="E24" s="918">
        <v>206</v>
      </c>
      <c r="F24" s="921"/>
      <c r="G24" s="921"/>
      <c r="H24" s="922">
        <v>323</v>
      </c>
      <c r="I24" s="104">
        <v>65.376782077393074</v>
      </c>
    </row>
    <row r="25" spans="1:9">
      <c r="A25" s="33"/>
      <c r="B25" s="155" t="str">
        <f t="shared" si="1"/>
        <v/>
      </c>
      <c r="C25" s="139" t="str">
        <f t="shared" si="2"/>
        <v/>
      </c>
      <c r="F25" s="218" t="str">
        <f>IF($A25&lt;&gt;0,E25/$B25*100,"")</f>
        <v/>
      </c>
      <c r="I25" s="218" t="str">
        <f t="shared" si="3"/>
        <v/>
      </c>
    </row>
    <row r="26" spans="1:9">
      <c r="A26" s="55" t="s">
        <v>464</v>
      </c>
      <c r="B26" s="155">
        <f t="shared" si="1"/>
        <v>986</v>
      </c>
      <c r="C26" s="139">
        <f t="shared" si="2"/>
        <v>4.2626777917080974</v>
      </c>
      <c r="E26" s="217">
        <f>SUM(E27)</f>
        <v>578</v>
      </c>
      <c r="F26" s="218">
        <f>IF($A26&lt;&gt;0,E26/$B26*100,"")</f>
        <v>58.620689655172406</v>
      </c>
      <c r="H26" s="217">
        <f>SUM(H27)</f>
        <v>408</v>
      </c>
      <c r="I26" s="218">
        <f t="shared" si="3"/>
        <v>41.379310344827587</v>
      </c>
    </row>
    <row r="27" spans="1:9">
      <c r="A27" s="33" t="s">
        <v>171</v>
      </c>
      <c r="B27" s="155">
        <f t="shared" si="1"/>
        <v>986</v>
      </c>
      <c r="C27" s="139">
        <f t="shared" si="2"/>
        <v>4.2626777917080974</v>
      </c>
      <c r="E27" s="217">
        <f>SUM(E28:E32)</f>
        <v>578</v>
      </c>
      <c r="F27" s="218">
        <f>IF($A27&lt;&gt;0,E27/$B27*100,"")</f>
        <v>58.620689655172406</v>
      </c>
      <c r="H27" s="217">
        <f>SUM(H28:H32)</f>
        <v>408</v>
      </c>
      <c r="I27" s="218">
        <f t="shared" si="3"/>
        <v>41.379310344827587</v>
      </c>
    </row>
    <row r="28" spans="1:9">
      <c r="A28" s="33" t="s">
        <v>172</v>
      </c>
      <c r="B28" s="155">
        <f>IF($A28&lt;&gt;0,E28+H28,"")</f>
        <v>152</v>
      </c>
      <c r="C28" s="139">
        <f t="shared" si="2"/>
        <v>0.65712679953309416</v>
      </c>
      <c r="E28" s="918">
        <v>72</v>
      </c>
      <c r="F28" s="921"/>
      <c r="G28" s="921"/>
      <c r="H28" s="922">
        <v>80</v>
      </c>
      <c r="I28" s="218">
        <f t="shared" si="3"/>
        <v>52.631578947368418</v>
      </c>
    </row>
    <row r="29" spans="1:9">
      <c r="A29" s="33" t="s">
        <v>173</v>
      </c>
      <c r="B29" s="155">
        <f>IF($A29&lt;&gt;0,E29+H29,"")</f>
        <v>237</v>
      </c>
      <c r="C29" s="139">
        <f t="shared" si="2"/>
        <v>1.0245990229562061</v>
      </c>
      <c r="E29" s="918">
        <v>161</v>
      </c>
      <c r="F29" s="921"/>
      <c r="G29" s="921"/>
      <c r="H29" s="922">
        <v>76</v>
      </c>
      <c r="I29" s="218">
        <f t="shared" si="3"/>
        <v>32.067510548523209</v>
      </c>
    </row>
    <row r="30" spans="1:9">
      <c r="A30" s="33" t="s">
        <v>174</v>
      </c>
      <c r="B30" s="155">
        <f>IF($A30&lt;&gt;0,E30+H30,"")</f>
        <v>175</v>
      </c>
      <c r="C30" s="139">
        <f t="shared" si="2"/>
        <v>0.75656045998875976</v>
      </c>
      <c r="E30" s="918">
        <v>85</v>
      </c>
      <c r="F30" s="921"/>
      <c r="G30" s="921"/>
      <c r="H30" s="922">
        <v>90</v>
      </c>
      <c r="I30" s="218">
        <f t="shared" si="3"/>
        <v>51.428571428571423</v>
      </c>
    </row>
    <row r="31" spans="1:9">
      <c r="A31" s="33" t="s">
        <v>175</v>
      </c>
      <c r="B31" s="155">
        <f>IF($A31&lt;&gt;0,E31+H31,"")</f>
        <v>254</v>
      </c>
      <c r="C31" s="139">
        <f t="shared" si="2"/>
        <v>1.0980934676408283</v>
      </c>
      <c r="E31" s="918">
        <v>165</v>
      </c>
      <c r="F31" s="921"/>
      <c r="G31" s="921"/>
      <c r="H31" s="922">
        <v>89</v>
      </c>
      <c r="I31" s="218">
        <f t="shared" si="3"/>
        <v>35.039370078740156</v>
      </c>
    </row>
    <row r="32" spans="1:9">
      <c r="A32" s="33" t="s">
        <v>176</v>
      </c>
      <c r="B32" s="155">
        <f>IF($A32&lt;&gt;0,E32+H32,"")</f>
        <v>168</v>
      </c>
      <c r="C32" s="139">
        <f t="shared" si="2"/>
        <v>0.7262980415892093</v>
      </c>
      <c r="D32" s="119"/>
      <c r="E32" s="918">
        <v>95</v>
      </c>
      <c r="F32" s="921"/>
      <c r="G32" s="921"/>
      <c r="H32" s="922">
        <v>73</v>
      </c>
      <c r="I32" s="218">
        <f t="shared" si="3"/>
        <v>43.452380952380956</v>
      </c>
    </row>
    <row r="33" spans="1:9">
      <c r="A33" s="33"/>
      <c r="B33" s="155" t="str">
        <f t="shared" si="1"/>
        <v/>
      </c>
      <c r="C33" s="139" t="str">
        <f t="shared" si="2"/>
        <v/>
      </c>
      <c r="D33" s="119"/>
      <c r="E33" s="220"/>
      <c r="F33" s="218" t="str">
        <f>IF($A33&lt;&gt;0,E33/$B33*100,"")</f>
        <v/>
      </c>
      <c r="G33" s="154"/>
      <c r="H33" s="220"/>
      <c r="I33" s="218" t="str">
        <f t="shared" si="3"/>
        <v/>
      </c>
    </row>
    <row r="34" spans="1:9">
      <c r="A34" s="55" t="s">
        <v>406</v>
      </c>
      <c r="B34" s="155">
        <f t="shared" si="1"/>
        <v>6682</v>
      </c>
      <c r="C34" s="139">
        <f t="shared" si="2"/>
        <v>28.887639963685096</v>
      </c>
      <c r="D34" s="119"/>
      <c r="E34" s="220">
        <f>E35+E41+E51+E53</f>
        <v>2839</v>
      </c>
      <c r="F34" s="218">
        <f>IF($A34&lt;&gt;0,E34/$B34*100,"")</f>
        <v>42.487279257707272</v>
      </c>
      <c r="G34" s="154"/>
      <c r="H34" s="220">
        <f>H35+H41+H51+H53</f>
        <v>3843</v>
      </c>
      <c r="I34" s="218">
        <f t="shared" si="3"/>
        <v>57.512720742292721</v>
      </c>
    </row>
    <row r="35" spans="1:9">
      <c r="A35" s="33" t="s">
        <v>1528</v>
      </c>
      <c r="B35" s="155">
        <f t="shared" si="1"/>
        <v>2259</v>
      </c>
      <c r="C35" s="139">
        <f t="shared" si="2"/>
        <v>9.7661147377977606</v>
      </c>
      <c r="D35" s="119"/>
      <c r="E35" s="220">
        <f>SUM(E36:E39)</f>
        <v>1026</v>
      </c>
      <c r="F35" s="218">
        <f>IF($A35&lt;&gt;0,E35/$B35*100,"")</f>
        <v>45.418326693227087</v>
      </c>
      <c r="G35" s="154"/>
      <c r="H35" s="220">
        <f>SUM(H36:H39)</f>
        <v>1233</v>
      </c>
      <c r="I35" s="218">
        <f t="shared" si="3"/>
        <v>54.581673306772906</v>
      </c>
    </row>
    <row r="36" spans="1:9">
      <c r="A36" s="33" t="s">
        <v>179</v>
      </c>
      <c r="B36" s="155">
        <f t="shared" si="1"/>
        <v>1222</v>
      </c>
      <c r="C36" s="139">
        <f t="shared" si="2"/>
        <v>5.2829536120357963</v>
      </c>
      <c r="D36" s="119"/>
      <c r="E36" s="918">
        <v>549</v>
      </c>
      <c r="F36" s="921"/>
      <c r="G36" s="921"/>
      <c r="H36" s="922">
        <v>673</v>
      </c>
      <c r="I36" s="218">
        <f t="shared" si="3"/>
        <v>55.073649754500821</v>
      </c>
    </row>
    <row r="37" spans="1:9">
      <c r="A37" s="33" t="s">
        <v>180</v>
      </c>
      <c r="B37" s="155">
        <f t="shared" si="1"/>
        <v>600</v>
      </c>
      <c r="C37" s="139">
        <f t="shared" si="2"/>
        <v>2.5939215771043189</v>
      </c>
      <c r="D37" s="119"/>
      <c r="E37" s="918">
        <v>244</v>
      </c>
      <c r="F37" s="921"/>
      <c r="G37" s="921"/>
      <c r="H37" s="922">
        <v>356</v>
      </c>
      <c r="I37" s="218">
        <f t="shared" si="3"/>
        <v>59.333333333333336</v>
      </c>
    </row>
    <row r="38" spans="1:9">
      <c r="A38" s="33" t="s">
        <v>181</v>
      </c>
      <c r="B38" s="155">
        <f t="shared" si="1"/>
        <v>188</v>
      </c>
      <c r="C38" s="139">
        <f t="shared" si="2"/>
        <v>0.8127620941593533</v>
      </c>
      <c r="D38" s="119"/>
      <c r="E38" s="918">
        <v>110</v>
      </c>
      <c r="F38" s="921"/>
      <c r="G38" s="921"/>
      <c r="H38" s="922">
        <v>78</v>
      </c>
      <c r="I38" s="218">
        <f t="shared" si="3"/>
        <v>41.48936170212766</v>
      </c>
    </row>
    <row r="39" spans="1:9">
      <c r="A39" s="33" t="s">
        <v>182</v>
      </c>
      <c r="B39" s="155">
        <f t="shared" si="1"/>
        <v>249</v>
      </c>
      <c r="C39" s="139">
        <f t="shared" si="2"/>
        <v>1.0764774544982922</v>
      </c>
      <c r="E39" s="918">
        <v>123</v>
      </c>
      <c r="F39" s="921"/>
      <c r="G39" s="921"/>
      <c r="H39" s="922">
        <v>126</v>
      </c>
      <c r="I39" s="218">
        <f t="shared" si="3"/>
        <v>50.602409638554214</v>
      </c>
    </row>
    <row r="40" spans="1:9">
      <c r="A40" s="33"/>
      <c r="B40" s="155" t="str">
        <f t="shared" si="1"/>
        <v/>
      </c>
      <c r="C40" s="139" t="str">
        <f t="shared" si="2"/>
        <v/>
      </c>
      <c r="F40" s="218" t="str">
        <f>IF($A40&lt;&gt;0,E40/$B40*100,"")</f>
        <v/>
      </c>
      <c r="I40" s="218" t="str">
        <f t="shared" si="3"/>
        <v/>
      </c>
    </row>
    <row r="41" spans="1:9">
      <c r="A41" s="33" t="s">
        <v>183</v>
      </c>
      <c r="B41" s="155">
        <f t="shared" si="1"/>
        <v>1937</v>
      </c>
      <c r="C41" s="139">
        <f t="shared" si="2"/>
        <v>8.3740434914184423</v>
      </c>
      <c r="E41" s="217">
        <f>SUM(E42:E49)</f>
        <v>820</v>
      </c>
      <c r="F41" s="218">
        <f>IF($A41&lt;&gt;0,E41/$B41*100,"")</f>
        <v>42.333505420753745</v>
      </c>
      <c r="H41" s="217">
        <f>SUM(H42:H49)</f>
        <v>1117</v>
      </c>
      <c r="I41" s="218">
        <f t="shared" si="3"/>
        <v>57.666494579246255</v>
      </c>
    </row>
    <row r="42" spans="1:9">
      <c r="A42" s="33" t="s">
        <v>184</v>
      </c>
      <c r="B42" s="155">
        <f t="shared" si="1"/>
        <v>222</v>
      </c>
      <c r="C42" s="139">
        <f t="shared" si="2"/>
        <v>0.959750983528598</v>
      </c>
      <c r="E42" s="918">
        <v>93</v>
      </c>
      <c r="F42" s="921"/>
      <c r="G42" s="921"/>
      <c r="H42" s="922">
        <v>129</v>
      </c>
      <c r="I42" s="218">
        <f t="shared" si="3"/>
        <v>58.108108108108105</v>
      </c>
    </row>
    <row r="43" spans="1:9">
      <c r="A43" s="33" t="s">
        <v>407</v>
      </c>
      <c r="B43" s="155">
        <f t="shared" si="1"/>
        <v>224</v>
      </c>
      <c r="C43" s="139">
        <f t="shared" si="2"/>
        <v>0.96839738878561243</v>
      </c>
      <c r="E43" s="918">
        <v>101</v>
      </c>
      <c r="F43" s="921"/>
      <c r="G43" s="921"/>
      <c r="H43" s="922">
        <v>123</v>
      </c>
      <c r="I43" s="218">
        <f t="shared" si="3"/>
        <v>54.910714285714292</v>
      </c>
    </row>
    <row r="44" spans="1:9">
      <c r="A44" s="33" t="s">
        <v>185</v>
      </c>
      <c r="B44" s="155">
        <f t="shared" si="1"/>
        <v>124</v>
      </c>
      <c r="C44" s="139">
        <f t="shared" si="2"/>
        <v>0.53607712593489254</v>
      </c>
      <c r="E44" s="918">
        <v>62</v>
      </c>
      <c r="F44" s="921"/>
      <c r="G44" s="921"/>
      <c r="H44" s="922">
        <v>62</v>
      </c>
      <c r="I44" s="218">
        <f t="shared" si="3"/>
        <v>50</v>
      </c>
    </row>
    <row r="45" spans="1:9">
      <c r="A45" s="33" t="s">
        <v>186</v>
      </c>
      <c r="B45" s="155">
        <f t="shared" si="1"/>
        <v>282</v>
      </c>
      <c r="C45" s="139">
        <f t="shared" si="2"/>
        <v>1.2191431412390299</v>
      </c>
      <c r="E45" s="918">
        <v>150</v>
      </c>
      <c r="F45" s="921"/>
      <c r="G45" s="921"/>
      <c r="H45" s="922">
        <v>132</v>
      </c>
      <c r="I45" s="218">
        <f t="shared" si="3"/>
        <v>46.808510638297875</v>
      </c>
    </row>
    <row r="46" spans="1:9">
      <c r="A46" s="33" t="s">
        <v>1529</v>
      </c>
      <c r="B46" s="155">
        <f>IF($A46&lt;&gt;0,E46+H46,"")</f>
        <v>214</v>
      </c>
      <c r="C46" s="139">
        <f>IF($A46&lt;&gt;0,B46/$B$11*100,"")</f>
        <v>0.92516536250054038</v>
      </c>
      <c r="E46" s="918">
        <v>136</v>
      </c>
      <c r="F46" s="921"/>
      <c r="G46" s="921"/>
      <c r="H46" s="922">
        <v>78</v>
      </c>
      <c r="I46" s="218">
        <f>IF($A46&lt;&gt;0,H46/$B46*100,"")</f>
        <v>36.44859813084112</v>
      </c>
    </row>
    <row r="47" spans="1:9">
      <c r="A47" s="33" t="s">
        <v>408</v>
      </c>
      <c r="B47" s="155">
        <f>IF($A47&lt;&gt;0,E47+H47,"")</f>
        <v>405</v>
      </c>
      <c r="C47" s="139">
        <f>IF($A47&lt;&gt;0,B47/$B$11*100,"")</f>
        <v>1.7508970645454154</v>
      </c>
      <c r="E47" s="918">
        <v>186</v>
      </c>
      <c r="F47" s="921"/>
      <c r="G47" s="921"/>
      <c r="H47" s="922">
        <v>219</v>
      </c>
      <c r="I47" s="218">
        <f>IF($A47&lt;&gt;0,H47/$B47*100,"")</f>
        <v>54.074074074074076</v>
      </c>
    </row>
    <row r="48" spans="1:9">
      <c r="A48" s="33" t="s">
        <v>189</v>
      </c>
      <c r="B48" s="155">
        <f t="shared" si="1"/>
        <v>158</v>
      </c>
      <c r="C48" s="139">
        <f t="shared" si="2"/>
        <v>0.68306601530413724</v>
      </c>
      <c r="E48" s="918">
        <v>45</v>
      </c>
      <c r="F48" s="921"/>
      <c r="G48" s="921"/>
      <c r="H48" s="922">
        <v>113</v>
      </c>
      <c r="I48" s="218">
        <f t="shared" si="3"/>
        <v>71.51898734177216</v>
      </c>
    </row>
    <row r="49" spans="1:9">
      <c r="A49" s="33" t="s">
        <v>188</v>
      </c>
      <c r="B49" s="155">
        <f t="shared" si="1"/>
        <v>308</v>
      </c>
      <c r="C49" s="139">
        <f t="shared" si="2"/>
        <v>1.3315464095802172</v>
      </c>
      <c r="E49" s="918">
        <v>47</v>
      </c>
      <c r="F49" s="921"/>
      <c r="G49" s="921"/>
      <c r="H49" s="922">
        <v>261</v>
      </c>
      <c r="I49" s="218">
        <f t="shared" si="3"/>
        <v>84.740259740259745</v>
      </c>
    </row>
    <row r="50" spans="1:9">
      <c r="A50" s="33"/>
      <c r="B50" s="155" t="str">
        <f t="shared" si="1"/>
        <v/>
      </c>
      <c r="C50" s="139" t="str">
        <f t="shared" si="2"/>
        <v/>
      </c>
      <c r="E50" s="589"/>
      <c r="F50" s="589"/>
      <c r="G50" s="589"/>
      <c r="H50" s="589"/>
      <c r="I50" s="218" t="str">
        <f t="shared" si="3"/>
        <v/>
      </c>
    </row>
    <row r="51" spans="1:9">
      <c r="A51" s="33" t="s">
        <v>192</v>
      </c>
      <c r="B51" s="155">
        <f t="shared" si="1"/>
        <v>411</v>
      </c>
      <c r="C51" s="139">
        <f t="shared" si="2"/>
        <v>1.7768362803164583</v>
      </c>
      <c r="E51" s="918">
        <v>163</v>
      </c>
      <c r="F51" s="921"/>
      <c r="G51" s="921"/>
      <c r="H51" s="922">
        <v>248</v>
      </c>
      <c r="I51" s="218">
        <f t="shared" si="3"/>
        <v>60.340632603406327</v>
      </c>
    </row>
    <row r="52" spans="1:9">
      <c r="A52" s="33"/>
      <c r="B52" s="155" t="str">
        <f t="shared" si="1"/>
        <v/>
      </c>
      <c r="C52" s="139" t="str">
        <f t="shared" si="2"/>
        <v/>
      </c>
      <c r="F52" s="218" t="str">
        <f>IF($A52&lt;&gt;0,E52/$B52*100,"")</f>
        <v/>
      </c>
      <c r="I52" s="218" t="str">
        <f t="shared" si="3"/>
        <v/>
      </c>
    </row>
    <row r="53" spans="1:9">
      <c r="A53" s="33" t="s">
        <v>193</v>
      </c>
      <c r="B53" s="155">
        <f t="shared" si="1"/>
        <v>2075</v>
      </c>
      <c r="C53" s="139">
        <f t="shared" si="2"/>
        <v>8.9706454541524359</v>
      </c>
      <c r="E53" s="217">
        <f>SUM(E54:E58)</f>
        <v>830</v>
      </c>
      <c r="F53" s="218">
        <f>IF($A53&lt;&gt;0,E53/$B53*100,"")</f>
        <v>40</v>
      </c>
      <c r="H53" s="217">
        <f>SUM(H54:H58)</f>
        <v>1245</v>
      </c>
      <c r="I53" s="218">
        <f t="shared" si="3"/>
        <v>60</v>
      </c>
    </row>
    <row r="54" spans="1:9">
      <c r="A54" s="33" t="s">
        <v>194</v>
      </c>
      <c r="B54" s="155">
        <f t="shared" si="1"/>
        <v>55</v>
      </c>
      <c r="C54" s="139">
        <f t="shared" si="2"/>
        <v>0.23777614456789589</v>
      </c>
      <c r="E54" s="918">
        <v>17</v>
      </c>
      <c r="F54" s="921"/>
      <c r="G54" s="921"/>
      <c r="H54" s="922">
        <v>38</v>
      </c>
      <c r="I54" s="218">
        <f t="shared" si="3"/>
        <v>69.090909090909093</v>
      </c>
    </row>
    <row r="55" spans="1:9">
      <c r="A55" s="33" t="s">
        <v>195</v>
      </c>
      <c r="B55" s="155">
        <f t="shared" si="1"/>
        <v>1300</v>
      </c>
      <c r="C55" s="139">
        <f t="shared" si="2"/>
        <v>5.6201634170593575</v>
      </c>
      <c r="E55" s="918">
        <v>555</v>
      </c>
      <c r="F55" s="921"/>
      <c r="G55" s="921"/>
      <c r="H55" s="922">
        <v>745</v>
      </c>
      <c r="I55" s="218">
        <f t="shared" si="3"/>
        <v>57.307692307692307</v>
      </c>
    </row>
    <row r="56" spans="1:9">
      <c r="A56" s="33" t="s">
        <v>196</v>
      </c>
      <c r="B56" s="155">
        <f t="shared" si="1"/>
        <v>236</v>
      </c>
      <c r="C56" s="139">
        <f t="shared" si="2"/>
        <v>1.0202758203276989</v>
      </c>
      <c r="E56" s="918">
        <v>45</v>
      </c>
      <c r="F56" s="921"/>
      <c r="G56" s="921"/>
      <c r="H56" s="922">
        <v>191</v>
      </c>
      <c r="I56" s="218">
        <f t="shared" si="3"/>
        <v>80.932203389830505</v>
      </c>
    </row>
    <row r="57" spans="1:9">
      <c r="A57" s="33" t="s">
        <v>409</v>
      </c>
      <c r="B57" s="155">
        <f t="shared" si="1"/>
        <v>323</v>
      </c>
      <c r="C57" s="139">
        <f t="shared" si="2"/>
        <v>1.3963944490078251</v>
      </c>
      <c r="E57" s="918">
        <v>99</v>
      </c>
      <c r="F57" s="921"/>
      <c r="G57" s="921"/>
      <c r="H57" s="922">
        <v>224</v>
      </c>
      <c r="I57" s="218">
        <f t="shared" si="3"/>
        <v>69.349845201238395</v>
      </c>
    </row>
    <row r="58" spans="1:9">
      <c r="A58" s="33" t="s">
        <v>198</v>
      </c>
      <c r="B58" s="155">
        <f t="shared" si="1"/>
        <v>161</v>
      </c>
      <c r="C58" s="139">
        <f t="shared" si="2"/>
        <v>0.69603562318965884</v>
      </c>
      <c r="E58" s="918">
        <v>114</v>
      </c>
      <c r="F58" s="921"/>
      <c r="G58" s="921"/>
      <c r="H58" s="922">
        <v>47</v>
      </c>
      <c r="I58" s="218">
        <f t="shared" si="3"/>
        <v>29.19254658385093</v>
      </c>
    </row>
    <row r="59" spans="1:9">
      <c r="A59" s="33"/>
      <c r="B59" s="155" t="str">
        <f t="shared" si="1"/>
        <v/>
      </c>
      <c r="C59" s="139" t="str">
        <f t="shared" si="2"/>
        <v/>
      </c>
      <c r="F59" s="218" t="str">
        <f>IF($A59&lt;&gt;0,E59/$B59*100,"")</f>
        <v/>
      </c>
      <c r="I59" s="218" t="str">
        <f t="shared" si="3"/>
        <v/>
      </c>
    </row>
    <row r="60" spans="1:9">
      <c r="A60" s="55" t="s">
        <v>410</v>
      </c>
      <c r="B60" s="155">
        <f t="shared" si="1"/>
        <v>1852</v>
      </c>
      <c r="C60" s="139">
        <f t="shared" si="2"/>
        <v>8.0065712679953318</v>
      </c>
      <c r="E60" s="217">
        <f>E61+E63+E70+E72</f>
        <v>570</v>
      </c>
      <c r="F60" s="218">
        <f>IF($A60&lt;&gt;0,E60/$B60*100,"")</f>
        <v>30.77753779697624</v>
      </c>
      <c r="H60" s="217">
        <f>H61+H63+H70+H72</f>
        <v>1282</v>
      </c>
      <c r="I60" s="218">
        <f t="shared" si="3"/>
        <v>69.222462203023767</v>
      </c>
    </row>
    <row r="61" spans="1:9">
      <c r="A61" s="33" t="s">
        <v>411</v>
      </c>
      <c r="B61" s="155">
        <f>IF($A61&lt;&gt;0,E61+H61,"")</f>
        <v>263</v>
      </c>
      <c r="C61" s="139">
        <f t="shared" si="2"/>
        <v>1.1370022912973932</v>
      </c>
      <c r="E61" s="918">
        <v>88</v>
      </c>
      <c r="F61" s="921"/>
      <c r="G61" s="921"/>
      <c r="H61" s="922">
        <v>175</v>
      </c>
      <c r="I61" s="218">
        <f>IF($A61&lt;&gt;0,H61/$B61*100,"")</f>
        <v>66.539923954372625</v>
      </c>
    </row>
    <row r="62" spans="1:9">
      <c r="A62" s="33"/>
      <c r="B62" s="155" t="str">
        <f t="shared" si="1"/>
        <v/>
      </c>
      <c r="C62" s="139" t="str">
        <f t="shared" si="2"/>
        <v/>
      </c>
      <c r="F62" s="218" t="str">
        <f>IF($A62&lt;&gt;0,E62/$B62*100,"")</f>
        <v/>
      </c>
      <c r="I62" s="218" t="str">
        <f t="shared" si="3"/>
        <v/>
      </c>
    </row>
    <row r="63" spans="1:9">
      <c r="A63" s="33" t="s">
        <v>202</v>
      </c>
      <c r="B63" s="155">
        <f t="shared" si="1"/>
        <v>1113</v>
      </c>
      <c r="C63" s="139">
        <f t="shared" si="2"/>
        <v>4.8117245255285113</v>
      </c>
      <c r="E63" s="217">
        <f>SUM(E64:E68)</f>
        <v>326</v>
      </c>
      <c r="F63" s="218">
        <f>IF($A63&lt;&gt;0,E63/$B63*100,"")</f>
        <v>29.290206648697215</v>
      </c>
      <c r="H63" s="217">
        <f>SUM(H64:H68)</f>
        <v>787</v>
      </c>
      <c r="I63" s="218">
        <f t="shared" si="3"/>
        <v>70.709793351302778</v>
      </c>
    </row>
    <row r="64" spans="1:9">
      <c r="A64" s="33" t="s">
        <v>203</v>
      </c>
      <c r="B64" s="155">
        <f t="shared" si="1"/>
        <v>239</v>
      </c>
      <c r="C64" s="139">
        <f t="shared" si="2"/>
        <v>1.0332454282132204</v>
      </c>
      <c r="E64" s="918">
        <v>98</v>
      </c>
      <c r="F64" s="921"/>
      <c r="G64" s="921"/>
      <c r="H64" s="922">
        <v>141</v>
      </c>
      <c r="I64" s="218">
        <f t="shared" si="3"/>
        <v>58.995815899581594</v>
      </c>
    </row>
    <row r="65" spans="1:9">
      <c r="A65" s="33" t="s">
        <v>204</v>
      </c>
      <c r="B65" s="155">
        <f t="shared" si="1"/>
        <v>277</v>
      </c>
      <c r="C65" s="139">
        <f t="shared" si="2"/>
        <v>1.1975271280964939</v>
      </c>
      <c r="E65" s="918">
        <v>67</v>
      </c>
      <c r="F65" s="921"/>
      <c r="G65" s="921"/>
      <c r="H65" s="922">
        <v>210</v>
      </c>
      <c r="I65" s="218">
        <f t="shared" si="3"/>
        <v>75.812274368231044</v>
      </c>
    </row>
    <row r="66" spans="1:9">
      <c r="A66" s="33" t="s">
        <v>206</v>
      </c>
      <c r="B66" s="155">
        <f t="shared" si="1"/>
        <v>119</v>
      </c>
      <c r="C66" s="139">
        <f t="shared" si="2"/>
        <v>0.51446111279235662</v>
      </c>
      <c r="E66" s="918">
        <v>23</v>
      </c>
      <c r="F66" s="921"/>
      <c r="G66" s="921"/>
      <c r="H66" s="922">
        <v>96</v>
      </c>
      <c r="I66" s="218">
        <f t="shared" si="3"/>
        <v>80.672268907563023</v>
      </c>
    </row>
    <row r="67" spans="1:9">
      <c r="A67" s="33" t="s">
        <v>205</v>
      </c>
      <c r="B67" s="155">
        <f t="shared" si="1"/>
        <v>88</v>
      </c>
      <c r="C67" s="139">
        <f t="shared" si="2"/>
        <v>0.3804418313086334</v>
      </c>
      <c r="E67" s="918">
        <v>26</v>
      </c>
      <c r="F67" s="921"/>
      <c r="G67" s="921"/>
      <c r="H67" s="922">
        <v>62</v>
      </c>
      <c r="I67" s="218">
        <f t="shared" si="3"/>
        <v>70.454545454545453</v>
      </c>
    </row>
    <row r="68" spans="1:9">
      <c r="A68" s="33" t="s">
        <v>1530</v>
      </c>
      <c r="B68" s="155">
        <f>IF($A68&lt;&gt;0,E68+H68,"")</f>
        <v>390</v>
      </c>
      <c r="C68" s="139">
        <f>IF($A68&lt;&gt;0,B68/$B$11*100,"")</f>
        <v>1.6860490251178073</v>
      </c>
      <c r="E68" s="918">
        <v>112</v>
      </c>
      <c r="F68" s="921"/>
      <c r="G68" s="921"/>
      <c r="H68" s="922">
        <v>278</v>
      </c>
      <c r="I68" s="218">
        <f>IF($A68&lt;&gt;0,H68/$B68*100,"")</f>
        <v>71.282051282051285</v>
      </c>
    </row>
    <row r="69" spans="1:9">
      <c r="A69" s="33"/>
      <c r="B69" s="155" t="str">
        <f t="shared" si="1"/>
        <v/>
      </c>
      <c r="C69" s="139" t="str">
        <f t="shared" si="2"/>
        <v/>
      </c>
      <c r="E69" s="589"/>
      <c r="F69" s="589"/>
      <c r="G69" s="589"/>
      <c r="H69" s="589"/>
      <c r="I69" s="218" t="str">
        <f t="shared" si="3"/>
        <v/>
      </c>
    </row>
    <row r="70" spans="1:9">
      <c r="A70" s="33" t="s">
        <v>208</v>
      </c>
      <c r="B70" s="155">
        <f>IF($A70&lt;&gt;0,E70+H70,"")</f>
        <v>201</v>
      </c>
      <c r="C70" s="139">
        <f t="shared" si="2"/>
        <v>0.86896372832994695</v>
      </c>
      <c r="E70" s="918">
        <v>77</v>
      </c>
      <c r="F70" s="921"/>
      <c r="G70" s="921"/>
      <c r="H70" s="922">
        <v>124</v>
      </c>
      <c r="I70" s="218">
        <f t="shared" si="3"/>
        <v>61.691542288557208</v>
      </c>
    </row>
    <row r="71" spans="1:9">
      <c r="A71" s="33"/>
      <c r="B71" s="155" t="str">
        <f t="shared" si="1"/>
        <v/>
      </c>
      <c r="C71" s="139" t="str">
        <f t="shared" si="2"/>
        <v/>
      </c>
      <c r="E71" s="589"/>
      <c r="F71" s="589"/>
      <c r="G71" s="589"/>
      <c r="H71" s="589"/>
      <c r="I71" s="218" t="str">
        <f t="shared" si="3"/>
        <v/>
      </c>
    </row>
    <row r="72" spans="1:9">
      <c r="A72" s="33" t="s">
        <v>209</v>
      </c>
      <c r="B72" s="155">
        <f t="shared" si="1"/>
        <v>275</v>
      </c>
      <c r="C72" s="139">
        <f t="shared" si="2"/>
        <v>1.1888807228394795</v>
      </c>
      <c r="E72" s="918">
        <v>79</v>
      </c>
      <c r="F72" s="921"/>
      <c r="G72" s="921"/>
      <c r="H72" s="922">
        <v>196</v>
      </c>
      <c r="I72" s="218">
        <f t="shared" si="3"/>
        <v>71.27272727272728</v>
      </c>
    </row>
    <row r="73" spans="1:9">
      <c r="A73" s="33"/>
      <c r="B73" s="155" t="str">
        <f t="shared" si="1"/>
        <v/>
      </c>
      <c r="C73" s="139" t="str">
        <f t="shared" si="2"/>
        <v/>
      </c>
      <c r="E73" s="220"/>
      <c r="F73" s="218" t="str">
        <f>IF($A73&lt;&gt;0,E73/$B73*100,"")</f>
        <v/>
      </c>
      <c r="G73" s="154"/>
      <c r="H73" s="220"/>
      <c r="I73" s="218" t="str">
        <f t="shared" si="3"/>
        <v/>
      </c>
    </row>
    <row r="74" spans="1:9">
      <c r="A74" s="55" t="s">
        <v>210</v>
      </c>
      <c r="B74" s="155">
        <f>IF($A74&lt;&gt;0,E74+H74,"")</f>
        <v>739</v>
      </c>
      <c r="C74" s="139">
        <f>IF($A74&lt;&gt;0,B74/$B$11*100,"")</f>
        <v>3.1948467424668197</v>
      </c>
      <c r="E74" s="217">
        <f>E75</f>
        <v>364</v>
      </c>
      <c r="F74" s="218">
        <f>IF($A74&lt;&gt;0,E74/$B74*100,"")</f>
        <v>49.255751014884979</v>
      </c>
      <c r="H74" s="217">
        <f>H75</f>
        <v>375</v>
      </c>
      <c r="I74" s="218">
        <f>IF($A74&lt;&gt;0,H74/$B74*100,"")</f>
        <v>50.744248985115028</v>
      </c>
    </row>
    <row r="75" spans="1:9">
      <c r="A75" s="33" t="s">
        <v>414</v>
      </c>
      <c r="B75" s="155">
        <f t="shared" si="1"/>
        <v>739</v>
      </c>
      <c r="C75" s="139">
        <f t="shared" si="2"/>
        <v>3.1948467424668197</v>
      </c>
      <c r="E75" s="217">
        <f>SUM(E76:E79)</f>
        <v>364</v>
      </c>
      <c r="F75" s="218">
        <f>IF($A75&lt;&gt;0,E75/$B75*100,"")</f>
        <v>49.255751014884979</v>
      </c>
      <c r="H75" s="217">
        <f>SUM(H76:H79)</f>
        <v>375</v>
      </c>
      <c r="I75" s="218">
        <f t="shared" si="3"/>
        <v>50.744248985115028</v>
      </c>
    </row>
    <row r="76" spans="1:9">
      <c r="A76" s="33" t="s">
        <v>212</v>
      </c>
      <c r="B76" s="155">
        <f t="shared" si="1"/>
        <v>224</v>
      </c>
      <c r="C76" s="139">
        <f t="shared" si="2"/>
        <v>0.96839738878561243</v>
      </c>
      <c r="E76" s="918">
        <v>108</v>
      </c>
      <c r="F76" s="921"/>
      <c r="G76" s="921"/>
      <c r="H76" s="922">
        <v>116</v>
      </c>
      <c r="I76" s="218">
        <f t="shared" si="3"/>
        <v>51.785714285714292</v>
      </c>
    </row>
    <row r="77" spans="1:9">
      <c r="A77" s="33" t="s">
        <v>213</v>
      </c>
      <c r="B77" s="155">
        <f t="shared" si="1"/>
        <v>255</v>
      </c>
      <c r="C77" s="139">
        <f t="shared" si="2"/>
        <v>1.1024166702693354</v>
      </c>
      <c r="E77" s="918">
        <v>142</v>
      </c>
      <c r="F77" s="921"/>
      <c r="G77" s="921"/>
      <c r="H77" s="922">
        <v>113</v>
      </c>
      <c r="I77" s="218">
        <f t="shared" si="3"/>
        <v>44.313725490196077</v>
      </c>
    </row>
    <row r="78" spans="1:9">
      <c r="A78" s="33" t="s">
        <v>214</v>
      </c>
      <c r="B78" s="155">
        <f t="shared" si="1"/>
        <v>190</v>
      </c>
      <c r="C78" s="139">
        <f t="shared" si="2"/>
        <v>0.82140849941636762</v>
      </c>
      <c r="E78" s="918">
        <v>94</v>
      </c>
      <c r="F78" s="921"/>
      <c r="G78" s="921"/>
      <c r="H78" s="922">
        <v>96</v>
      </c>
      <c r="I78" s="218">
        <f t="shared" si="3"/>
        <v>50.526315789473685</v>
      </c>
    </row>
    <row r="79" spans="1:9">
      <c r="A79" s="33" t="s">
        <v>215</v>
      </c>
      <c r="B79" s="155">
        <f t="shared" si="1"/>
        <v>70</v>
      </c>
      <c r="C79" s="139">
        <f t="shared" si="2"/>
        <v>0.30262418399550384</v>
      </c>
      <c r="E79" s="918">
        <v>20</v>
      </c>
      <c r="F79" s="921"/>
      <c r="G79" s="921"/>
      <c r="H79" s="922">
        <v>50</v>
      </c>
      <c r="I79" s="218">
        <f t="shared" si="3"/>
        <v>71.428571428571431</v>
      </c>
    </row>
    <row r="80" spans="1:9">
      <c r="A80" s="33"/>
      <c r="F80" s="218" t="str">
        <f>IF($A80&lt;&gt;0,E80/$B80*100,"")</f>
        <v/>
      </c>
    </row>
    <row r="81" spans="1:9">
      <c r="A81" s="55" t="s">
        <v>483</v>
      </c>
      <c r="B81" s="155">
        <f>IF(A81&lt;&gt;0,E81+H81,"")</f>
        <v>2684</v>
      </c>
      <c r="C81" s="139">
        <f>IF(A81&lt;&gt;0,B81/$B$11*100,"")</f>
        <v>11.60347585491332</v>
      </c>
      <c r="E81" s="217">
        <f>E82</f>
        <v>1810</v>
      </c>
      <c r="F81" s="218">
        <f>IF($A81&lt;&gt;0,E81/$B81*100,"")</f>
        <v>67.436661698956783</v>
      </c>
      <c r="H81" s="217">
        <f>H82</f>
        <v>874</v>
      </c>
      <c r="I81" s="218">
        <f>IF(A81&lt;&gt;0,H81/$B81*100,"")</f>
        <v>32.563338301043224</v>
      </c>
    </row>
    <row r="82" spans="1:9">
      <c r="A82" s="33" t="s">
        <v>217</v>
      </c>
      <c r="B82" s="155">
        <f t="shared" ref="B82:B101" si="4">IF($A82&lt;&gt;0,E82+H82,"")</f>
        <v>2684</v>
      </c>
      <c r="C82" s="139">
        <f t="shared" ref="C82:C101" si="5">IF($A82&lt;&gt;0,B82/$B$11*100,"")</f>
        <v>11.60347585491332</v>
      </c>
      <c r="E82" s="217">
        <f>SUM(E83:E91)</f>
        <v>1810</v>
      </c>
      <c r="F82" s="218">
        <f>IF($A82&lt;&gt;0,E82/$B82*100,"")</f>
        <v>67.436661698956783</v>
      </c>
      <c r="H82" s="217">
        <f>SUM(H83:H91)</f>
        <v>874</v>
      </c>
      <c r="I82" s="218">
        <f t="shared" ref="I82:I101" si="6">IF($A82&lt;&gt;0,H82/$B82*100,"")</f>
        <v>32.563338301043224</v>
      </c>
    </row>
    <row r="83" spans="1:9" ht="14">
      <c r="A83" s="923" t="s">
        <v>1921</v>
      </c>
      <c r="B83" s="155">
        <f t="shared" si="4"/>
        <v>298</v>
      </c>
      <c r="C83" s="139">
        <f t="shared" si="5"/>
        <v>1.2883143832951451</v>
      </c>
      <c r="E83" s="918">
        <v>190</v>
      </c>
      <c r="F83" s="921"/>
      <c r="G83" s="921"/>
      <c r="H83" s="922">
        <v>108</v>
      </c>
      <c r="I83" s="218">
        <f t="shared" si="6"/>
        <v>36.241610738255034</v>
      </c>
    </row>
    <row r="84" spans="1:9">
      <c r="A84" s="33" t="s">
        <v>218</v>
      </c>
      <c r="B84" s="155">
        <f t="shared" si="4"/>
        <v>401</v>
      </c>
      <c r="C84" s="139">
        <f t="shared" si="5"/>
        <v>1.7336042540313865</v>
      </c>
      <c r="E84" s="918">
        <v>271</v>
      </c>
      <c r="F84" s="921"/>
      <c r="G84" s="921"/>
      <c r="H84" s="922">
        <v>130</v>
      </c>
      <c r="I84" s="218">
        <f t="shared" si="6"/>
        <v>32.418952618453865</v>
      </c>
    </row>
    <row r="85" spans="1:9">
      <c r="A85" s="33" t="s">
        <v>220</v>
      </c>
      <c r="B85" s="155">
        <f t="shared" si="4"/>
        <v>500</v>
      </c>
      <c r="C85" s="139">
        <f t="shared" si="5"/>
        <v>2.1616013142535988</v>
      </c>
      <c r="E85" s="918">
        <v>391</v>
      </c>
      <c r="F85" s="921"/>
      <c r="G85" s="921"/>
      <c r="H85" s="922">
        <v>109</v>
      </c>
      <c r="I85" s="218">
        <f t="shared" si="6"/>
        <v>21.8</v>
      </c>
    </row>
    <row r="86" spans="1:9">
      <c r="A86" s="33" t="s">
        <v>222</v>
      </c>
      <c r="B86" s="155">
        <f t="shared" si="4"/>
        <v>149</v>
      </c>
      <c r="C86" s="139">
        <f t="shared" si="5"/>
        <v>0.64415719164757257</v>
      </c>
      <c r="E86" s="918">
        <v>74</v>
      </c>
      <c r="F86" s="921"/>
      <c r="G86" s="921"/>
      <c r="H86" s="922">
        <v>75</v>
      </c>
      <c r="I86" s="218">
        <f t="shared" si="6"/>
        <v>50.335570469798661</v>
      </c>
    </row>
    <row r="87" spans="1:9">
      <c r="A87" s="33" t="s">
        <v>221</v>
      </c>
      <c r="B87" s="155">
        <f t="shared" si="4"/>
        <v>197</v>
      </c>
      <c r="C87" s="139">
        <f t="shared" si="5"/>
        <v>0.85167091781591808</v>
      </c>
      <c r="E87" s="918">
        <v>161</v>
      </c>
      <c r="F87" s="921"/>
      <c r="G87" s="921"/>
      <c r="H87" s="922">
        <v>36</v>
      </c>
      <c r="I87" s="218">
        <f t="shared" si="6"/>
        <v>18.274111675126903</v>
      </c>
    </row>
    <row r="88" spans="1:9">
      <c r="A88" s="33" t="s">
        <v>219</v>
      </c>
      <c r="B88" s="155">
        <f t="shared" si="4"/>
        <v>282</v>
      </c>
      <c r="C88" s="139">
        <f t="shared" si="5"/>
        <v>1.2191431412390299</v>
      </c>
      <c r="E88" s="918">
        <v>148</v>
      </c>
      <c r="F88" s="921"/>
      <c r="G88" s="921"/>
      <c r="H88" s="922">
        <v>134</v>
      </c>
      <c r="I88" s="218">
        <f t="shared" si="6"/>
        <v>47.5177304964539</v>
      </c>
    </row>
    <row r="89" spans="1:9">
      <c r="A89" s="33" t="s">
        <v>223</v>
      </c>
      <c r="B89" s="155">
        <f t="shared" si="4"/>
        <v>298</v>
      </c>
      <c r="C89" s="139">
        <f t="shared" si="5"/>
        <v>1.2883143832951451</v>
      </c>
      <c r="E89" s="918">
        <v>154</v>
      </c>
      <c r="F89" s="921"/>
      <c r="G89" s="921"/>
      <c r="H89" s="922">
        <v>144</v>
      </c>
      <c r="I89" s="218">
        <f t="shared" si="6"/>
        <v>48.322147651006716</v>
      </c>
    </row>
    <row r="90" spans="1:9">
      <c r="A90" s="116" t="s">
        <v>1183</v>
      </c>
      <c r="B90" s="155">
        <f t="shared" si="4"/>
        <v>264</v>
      </c>
      <c r="C90" s="139">
        <f t="shared" si="5"/>
        <v>1.1413254939259003</v>
      </c>
      <c r="E90" s="918">
        <v>181</v>
      </c>
      <c r="F90" s="921"/>
      <c r="G90" s="921"/>
      <c r="H90" s="922">
        <v>83</v>
      </c>
      <c r="I90" s="218">
        <f t="shared" si="6"/>
        <v>31.439393939393938</v>
      </c>
    </row>
    <row r="91" spans="1:9">
      <c r="A91" s="33" t="s">
        <v>416</v>
      </c>
      <c r="B91" s="155">
        <f t="shared" si="4"/>
        <v>295</v>
      </c>
      <c r="C91" s="139">
        <f t="shared" si="5"/>
        <v>1.2753447754096234</v>
      </c>
      <c r="E91" s="918">
        <v>240</v>
      </c>
      <c r="F91" s="921"/>
      <c r="G91" s="921"/>
      <c r="H91" s="922">
        <v>55</v>
      </c>
      <c r="I91" s="218">
        <f t="shared" si="6"/>
        <v>18.64406779661017</v>
      </c>
    </row>
    <row r="92" spans="1:9">
      <c r="A92" s="33"/>
      <c r="E92" s="589"/>
      <c r="F92" s="589"/>
      <c r="G92" s="589"/>
      <c r="H92" s="589"/>
    </row>
    <row r="93" spans="1:9">
      <c r="A93" s="95" t="s">
        <v>535</v>
      </c>
      <c r="B93" s="155">
        <f t="shared" si="4"/>
        <v>418</v>
      </c>
      <c r="C93" s="139">
        <f t="shared" si="5"/>
        <v>1.8070986987160087</v>
      </c>
      <c r="E93" s="918">
        <v>182</v>
      </c>
      <c r="F93" s="921"/>
      <c r="G93" s="921"/>
      <c r="H93" s="922">
        <v>236</v>
      </c>
      <c r="I93" s="218">
        <f t="shared" si="6"/>
        <v>56.459330143540662</v>
      </c>
    </row>
    <row r="94" spans="1:9">
      <c r="A94" s="95" t="s">
        <v>2224</v>
      </c>
      <c r="B94" s="155">
        <f t="shared" si="4"/>
        <v>431</v>
      </c>
      <c r="C94" s="139">
        <f t="shared" si="5"/>
        <v>1.8633003328866022</v>
      </c>
      <c r="E94" s="918">
        <v>235</v>
      </c>
      <c r="F94" s="921"/>
      <c r="G94" s="921"/>
      <c r="H94" s="922">
        <v>196</v>
      </c>
      <c r="I94" s="218">
        <f t="shared" si="6"/>
        <v>45.475638051044079</v>
      </c>
    </row>
    <row r="95" spans="1:9">
      <c r="A95" s="33"/>
      <c r="B95" s="155" t="str">
        <f t="shared" si="4"/>
        <v/>
      </c>
      <c r="C95" s="139" t="str">
        <f t="shared" si="5"/>
        <v/>
      </c>
      <c r="F95" s="218" t="str">
        <f>IF($A95&lt;&gt;0,E95/$B95*100,"")</f>
        <v/>
      </c>
      <c r="I95" s="218" t="str">
        <f t="shared" si="6"/>
        <v/>
      </c>
    </row>
    <row r="96" spans="1:9">
      <c r="A96" s="55" t="s">
        <v>1531</v>
      </c>
      <c r="B96" s="155">
        <f t="shared" si="4"/>
        <v>7922</v>
      </c>
      <c r="C96" s="139">
        <f t="shared" si="5"/>
        <v>34.248411223034026</v>
      </c>
      <c r="E96" s="217">
        <f>SUM(E97:E101)</f>
        <v>3611</v>
      </c>
      <c r="F96" s="218">
        <f>IF($A96&lt;&gt;0,E96/$B96*100,"")</f>
        <v>45.581923756627113</v>
      </c>
      <c r="H96" s="217">
        <f>SUM(H97:H101)</f>
        <v>4311</v>
      </c>
      <c r="I96" s="218">
        <f t="shared" si="6"/>
        <v>54.41807624337288</v>
      </c>
    </row>
    <row r="97" spans="1:11">
      <c r="A97" s="33" t="s">
        <v>424</v>
      </c>
      <c r="B97" s="155">
        <f t="shared" si="4"/>
        <v>2347</v>
      </c>
      <c r="C97" s="139">
        <f t="shared" si="5"/>
        <v>10.146556569106394</v>
      </c>
      <c r="E97" s="918">
        <v>899</v>
      </c>
      <c r="F97" s="921"/>
      <c r="G97" s="921"/>
      <c r="H97" s="922">
        <v>1448</v>
      </c>
      <c r="I97" s="218">
        <f t="shared" si="6"/>
        <v>61.695781849169151</v>
      </c>
    </row>
    <row r="98" spans="1:11">
      <c r="A98" s="33" t="s">
        <v>425</v>
      </c>
      <c r="B98" s="155">
        <f t="shared" si="4"/>
        <v>1657</v>
      </c>
      <c r="C98" s="139">
        <f t="shared" si="5"/>
        <v>7.1635467554364274</v>
      </c>
      <c r="E98" s="918">
        <v>836</v>
      </c>
      <c r="F98" s="921"/>
      <c r="G98" s="921"/>
      <c r="H98" s="922">
        <v>821</v>
      </c>
      <c r="I98" s="218">
        <f t="shared" si="6"/>
        <v>49.547374773687388</v>
      </c>
    </row>
    <row r="99" spans="1:11">
      <c r="A99" s="33" t="s">
        <v>426</v>
      </c>
      <c r="B99" s="155">
        <f t="shared" si="4"/>
        <v>1682</v>
      </c>
      <c r="C99" s="139">
        <f t="shared" si="5"/>
        <v>7.2716268211491073</v>
      </c>
      <c r="E99" s="918">
        <v>748</v>
      </c>
      <c r="F99" s="921"/>
      <c r="G99" s="921"/>
      <c r="H99" s="922">
        <v>934</v>
      </c>
      <c r="I99" s="218">
        <f t="shared" si="6"/>
        <v>55.529131985731276</v>
      </c>
    </row>
    <row r="100" spans="1:11">
      <c r="A100" s="33" t="s">
        <v>427</v>
      </c>
      <c r="B100" s="155">
        <f t="shared" si="4"/>
        <v>1182</v>
      </c>
      <c r="C100" s="139">
        <f t="shared" si="5"/>
        <v>5.1100255068955081</v>
      </c>
      <c r="E100" s="918">
        <v>515</v>
      </c>
      <c r="F100" s="921"/>
      <c r="G100" s="921"/>
      <c r="H100" s="922">
        <v>667</v>
      </c>
      <c r="I100" s="218">
        <f t="shared" si="6"/>
        <v>56.429780033840949</v>
      </c>
    </row>
    <row r="101" spans="1:11">
      <c r="A101" s="33" t="s">
        <v>428</v>
      </c>
      <c r="B101" s="155">
        <f t="shared" si="4"/>
        <v>1054</v>
      </c>
      <c r="C101" s="139">
        <f t="shared" si="5"/>
        <v>4.556655570446587</v>
      </c>
      <c r="E101" s="918">
        <v>613</v>
      </c>
      <c r="F101" s="921"/>
      <c r="G101" s="921"/>
      <c r="H101" s="922">
        <v>441</v>
      </c>
      <c r="I101" s="218">
        <f t="shared" si="6"/>
        <v>41.840607210626182</v>
      </c>
    </row>
    <row r="102" spans="1:11" ht="14" thickBot="1">
      <c r="A102" s="96"/>
      <c r="B102" s="152"/>
      <c r="C102" s="152"/>
      <c r="D102" s="152"/>
      <c r="E102" s="295"/>
      <c r="F102" s="295"/>
      <c r="G102" s="96"/>
      <c r="H102" s="295"/>
      <c r="I102" s="295"/>
      <c r="J102" s="96"/>
      <c r="K102" s="135"/>
    </row>
    <row r="103" spans="1:11">
      <c r="A103" s="135"/>
      <c r="B103" s="146"/>
      <c r="C103" s="146"/>
      <c r="D103" s="146"/>
      <c r="E103" s="554"/>
      <c r="F103" s="554"/>
      <c r="G103" s="135"/>
      <c r="H103" s="554"/>
      <c r="I103" s="554"/>
      <c r="J103" s="135"/>
      <c r="K103" s="135"/>
    </row>
    <row r="104" spans="1:11">
      <c r="A104" s="33" t="s">
        <v>2137</v>
      </c>
      <c r="B104" s="146"/>
      <c r="C104" s="146"/>
      <c r="D104" s="146"/>
      <c r="E104" s="554"/>
      <c r="F104" s="554"/>
      <c r="G104" s="135"/>
      <c r="H104" s="554"/>
      <c r="I104" s="554"/>
      <c r="J104" s="135"/>
      <c r="K104" s="135"/>
    </row>
    <row r="105" spans="1:11">
      <c r="A105" s="95" t="s">
        <v>1532</v>
      </c>
    </row>
    <row r="107" spans="1:11">
      <c r="A107" s="95" t="s">
        <v>1533</v>
      </c>
    </row>
    <row r="108" spans="1:11">
      <c r="A108" s="95" t="s">
        <v>1534</v>
      </c>
    </row>
  </sheetData>
  <mergeCells count="3">
    <mergeCell ref="B7:C7"/>
    <mergeCell ref="E7:F7"/>
    <mergeCell ref="H7:I7"/>
  </mergeCells>
  <conditionalFormatting sqref="A1:XFD1048576">
    <cfRule type="cellIs" dxfId="9" priority="1" operator="equal">
      <formula>0</formula>
    </cfRule>
  </conditionalFormatting>
  <pageMargins left="0.70866141732283472" right="0.70866141732283472" top="0.74803149606299213" bottom="0.74803149606299213" header="0.31496062992125984" footer="0.31496062992125984"/>
  <pageSetup scale="85"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57"/>
  <sheetViews>
    <sheetView zoomScaleNormal="100" workbookViewId="0">
      <selection activeCell="J5" sqref="J5"/>
    </sheetView>
  </sheetViews>
  <sheetFormatPr baseColWidth="10" defaultColWidth="9.1640625" defaultRowHeight="13"/>
  <cols>
    <col min="1" max="1" width="37.6640625" style="95" customWidth="1"/>
    <col min="2" max="2" width="8.6640625" style="155" customWidth="1"/>
    <col min="3" max="3" width="8.6640625" style="139" customWidth="1"/>
    <col min="4" max="4" width="3.83203125" style="140" customWidth="1"/>
    <col min="5" max="5" width="10.1640625" style="217" customWidth="1"/>
    <col min="6" max="6" width="9.33203125" style="105" customWidth="1"/>
    <col min="7" max="7" width="2.6640625" style="140" customWidth="1"/>
    <col min="8" max="8" width="8.6640625" style="217" customWidth="1"/>
    <col min="9" max="9" width="8.6640625" style="105" customWidth="1"/>
    <col min="10" max="10" width="2.6640625" style="95" customWidth="1"/>
    <col min="11" max="256" width="9.1640625" style="95"/>
    <col min="257" max="257" width="37.6640625" style="95" customWidth="1"/>
    <col min="258" max="259" width="8.6640625" style="95" customWidth="1"/>
    <col min="260" max="260" width="3.83203125" style="95" customWidth="1"/>
    <col min="261" max="261" width="10.1640625" style="95" customWidth="1"/>
    <col min="262" max="262" width="9.33203125" style="95" customWidth="1"/>
    <col min="263" max="263" width="2.6640625" style="95" customWidth="1"/>
    <col min="264" max="265" width="8.6640625" style="95" customWidth="1"/>
    <col min="266" max="266" width="2.6640625" style="95" customWidth="1"/>
    <col min="267" max="512" width="9.1640625" style="95"/>
    <col min="513" max="513" width="37.6640625" style="95" customWidth="1"/>
    <col min="514" max="515" width="8.6640625" style="95" customWidth="1"/>
    <col min="516" max="516" width="3.83203125" style="95" customWidth="1"/>
    <col min="517" max="517" width="10.1640625" style="95" customWidth="1"/>
    <col min="518" max="518" width="9.33203125" style="95" customWidth="1"/>
    <col min="519" max="519" width="2.6640625" style="95" customWidth="1"/>
    <col min="520" max="521" width="8.6640625" style="95" customWidth="1"/>
    <col min="522" max="522" width="2.6640625" style="95" customWidth="1"/>
    <col min="523" max="768" width="9.1640625" style="95"/>
    <col min="769" max="769" width="37.6640625" style="95" customWidth="1"/>
    <col min="770" max="771" width="8.6640625" style="95" customWidth="1"/>
    <col min="772" max="772" width="3.83203125" style="95" customWidth="1"/>
    <col min="773" max="773" width="10.1640625" style="95" customWidth="1"/>
    <col min="774" max="774" width="9.33203125" style="95" customWidth="1"/>
    <col min="775" max="775" width="2.6640625" style="95" customWidth="1"/>
    <col min="776" max="777" width="8.6640625" style="95" customWidth="1"/>
    <col min="778" max="778" width="2.6640625" style="95" customWidth="1"/>
    <col min="779" max="1024" width="9.1640625" style="95"/>
    <col min="1025" max="1025" width="37.6640625" style="95" customWidth="1"/>
    <col min="1026" max="1027" width="8.6640625" style="95" customWidth="1"/>
    <col min="1028" max="1028" width="3.83203125" style="95" customWidth="1"/>
    <col min="1029" max="1029" width="10.1640625" style="95" customWidth="1"/>
    <col min="1030" max="1030" width="9.33203125" style="95" customWidth="1"/>
    <col min="1031" max="1031" width="2.6640625" style="95" customWidth="1"/>
    <col min="1032" max="1033" width="8.6640625" style="95" customWidth="1"/>
    <col min="1034" max="1034" width="2.6640625" style="95" customWidth="1"/>
    <col min="1035" max="1280" width="9.1640625" style="95"/>
    <col min="1281" max="1281" width="37.6640625" style="95" customWidth="1"/>
    <col min="1282" max="1283" width="8.6640625" style="95" customWidth="1"/>
    <col min="1284" max="1284" width="3.83203125" style="95" customWidth="1"/>
    <col min="1285" max="1285" width="10.1640625" style="95" customWidth="1"/>
    <col min="1286" max="1286" width="9.33203125" style="95" customWidth="1"/>
    <col min="1287" max="1287" width="2.6640625" style="95" customWidth="1"/>
    <col min="1288" max="1289" width="8.6640625" style="95" customWidth="1"/>
    <col min="1290" max="1290" width="2.6640625" style="95" customWidth="1"/>
    <col min="1291" max="1536" width="9.1640625" style="95"/>
    <col min="1537" max="1537" width="37.6640625" style="95" customWidth="1"/>
    <col min="1538" max="1539" width="8.6640625" style="95" customWidth="1"/>
    <col min="1540" max="1540" width="3.83203125" style="95" customWidth="1"/>
    <col min="1541" max="1541" width="10.1640625" style="95" customWidth="1"/>
    <col min="1542" max="1542" width="9.33203125" style="95" customWidth="1"/>
    <col min="1543" max="1543" width="2.6640625" style="95" customWidth="1"/>
    <col min="1544" max="1545" width="8.6640625" style="95" customWidth="1"/>
    <col min="1546" max="1546" width="2.6640625" style="95" customWidth="1"/>
    <col min="1547" max="1792" width="9.1640625" style="95"/>
    <col min="1793" max="1793" width="37.6640625" style="95" customWidth="1"/>
    <col min="1794" max="1795" width="8.6640625" style="95" customWidth="1"/>
    <col min="1796" max="1796" width="3.83203125" style="95" customWidth="1"/>
    <col min="1797" max="1797" width="10.1640625" style="95" customWidth="1"/>
    <col min="1798" max="1798" width="9.33203125" style="95" customWidth="1"/>
    <col min="1799" max="1799" width="2.6640625" style="95" customWidth="1"/>
    <col min="1800" max="1801" width="8.6640625" style="95" customWidth="1"/>
    <col min="1802" max="1802" width="2.6640625" style="95" customWidth="1"/>
    <col min="1803" max="2048" width="9.1640625" style="95"/>
    <col min="2049" max="2049" width="37.6640625" style="95" customWidth="1"/>
    <col min="2050" max="2051" width="8.6640625" style="95" customWidth="1"/>
    <col min="2052" max="2052" width="3.83203125" style="95" customWidth="1"/>
    <col min="2053" max="2053" width="10.1640625" style="95" customWidth="1"/>
    <col min="2054" max="2054" width="9.33203125" style="95" customWidth="1"/>
    <col min="2055" max="2055" width="2.6640625" style="95" customWidth="1"/>
    <col min="2056" max="2057" width="8.6640625" style="95" customWidth="1"/>
    <col min="2058" max="2058" width="2.6640625" style="95" customWidth="1"/>
    <col min="2059" max="2304" width="9.1640625" style="95"/>
    <col min="2305" max="2305" width="37.6640625" style="95" customWidth="1"/>
    <col min="2306" max="2307" width="8.6640625" style="95" customWidth="1"/>
    <col min="2308" max="2308" width="3.83203125" style="95" customWidth="1"/>
    <col min="2309" max="2309" width="10.1640625" style="95" customWidth="1"/>
    <col min="2310" max="2310" width="9.33203125" style="95" customWidth="1"/>
    <col min="2311" max="2311" width="2.6640625" style="95" customWidth="1"/>
    <col min="2312" max="2313" width="8.6640625" style="95" customWidth="1"/>
    <col min="2314" max="2314" width="2.6640625" style="95" customWidth="1"/>
    <col min="2315" max="2560" width="9.1640625" style="95"/>
    <col min="2561" max="2561" width="37.6640625" style="95" customWidth="1"/>
    <col min="2562" max="2563" width="8.6640625" style="95" customWidth="1"/>
    <col min="2564" max="2564" width="3.83203125" style="95" customWidth="1"/>
    <col min="2565" max="2565" width="10.1640625" style="95" customWidth="1"/>
    <col min="2566" max="2566" width="9.33203125" style="95" customWidth="1"/>
    <col min="2567" max="2567" width="2.6640625" style="95" customWidth="1"/>
    <col min="2568" max="2569" width="8.6640625" style="95" customWidth="1"/>
    <col min="2570" max="2570" width="2.6640625" style="95" customWidth="1"/>
    <col min="2571" max="2816" width="9.1640625" style="95"/>
    <col min="2817" max="2817" width="37.6640625" style="95" customWidth="1"/>
    <col min="2818" max="2819" width="8.6640625" style="95" customWidth="1"/>
    <col min="2820" max="2820" width="3.83203125" style="95" customWidth="1"/>
    <col min="2821" max="2821" width="10.1640625" style="95" customWidth="1"/>
    <col min="2822" max="2822" width="9.33203125" style="95" customWidth="1"/>
    <col min="2823" max="2823" width="2.6640625" style="95" customWidth="1"/>
    <col min="2824" max="2825" width="8.6640625" style="95" customWidth="1"/>
    <col min="2826" max="2826" width="2.6640625" style="95" customWidth="1"/>
    <col min="2827" max="3072" width="9.1640625" style="95"/>
    <col min="3073" max="3073" width="37.6640625" style="95" customWidth="1"/>
    <col min="3074" max="3075" width="8.6640625" style="95" customWidth="1"/>
    <col min="3076" max="3076" width="3.83203125" style="95" customWidth="1"/>
    <col min="3077" max="3077" width="10.1640625" style="95" customWidth="1"/>
    <col min="3078" max="3078" width="9.33203125" style="95" customWidth="1"/>
    <col min="3079" max="3079" width="2.6640625" style="95" customWidth="1"/>
    <col min="3080" max="3081" width="8.6640625" style="95" customWidth="1"/>
    <col min="3082" max="3082" width="2.6640625" style="95" customWidth="1"/>
    <col min="3083" max="3328" width="9.1640625" style="95"/>
    <col min="3329" max="3329" width="37.6640625" style="95" customWidth="1"/>
    <col min="3330" max="3331" width="8.6640625" style="95" customWidth="1"/>
    <col min="3332" max="3332" width="3.83203125" style="95" customWidth="1"/>
    <col min="3333" max="3333" width="10.1640625" style="95" customWidth="1"/>
    <col min="3334" max="3334" width="9.33203125" style="95" customWidth="1"/>
    <col min="3335" max="3335" width="2.6640625" style="95" customWidth="1"/>
    <col min="3336" max="3337" width="8.6640625" style="95" customWidth="1"/>
    <col min="3338" max="3338" width="2.6640625" style="95" customWidth="1"/>
    <col min="3339" max="3584" width="9.1640625" style="95"/>
    <col min="3585" max="3585" width="37.6640625" style="95" customWidth="1"/>
    <col min="3586" max="3587" width="8.6640625" style="95" customWidth="1"/>
    <col min="3588" max="3588" width="3.83203125" style="95" customWidth="1"/>
    <col min="3589" max="3589" width="10.1640625" style="95" customWidth="1"/>
    <col min="3590" max="3590" width="9.33203125" style="95" customWidth="1"/>
    <col min="3591" max="3591" width="2.6640625" style="95" customWidth="1"/>
    <col min="3592" max="3593" width="8.6640625" style="95" customWidth="1"/>
    <col min="3594" max="3594" width="2.6640625" style="95" customWidth="1"/>
    <col min="3595" max="3840" width="9.1640625" style="95"/>
    <col min="3841" max="3841" width="37.6640625" style="95" customWidth="1"/>
    <col min="3842" max="3843" width="8.6640625" style="95" customWidth="1"/>
    <col min="3844" max="3844" width="3.83203125" style="95" customWidth="1"/>
    <col min="3845" max="3845" width="10.1640625" style="95" customWidth="1"/>
    <col min="3846" max="3846" width="9.33203125" style="95" customWidth="1"/>
    <col min="3847" max="3847" width="2.6640625" style="95" customWidth="1"/>
    <col min="3848" max="3849" width="8.6640625" style="95" customWidth="1"/>
    <col min="3850" max="3850" width="2.6640625" style="95" customWidth="1"/>
    <col min="3851" max="4096" width="9.1640625" style="95"/>
    <col min="4097" max="4097" width="37.6640625" style="95" customWidth="1"/>
    <col min="4098" max="4099" width="8.6640625" style="95" customWidth="1"/>
    <col min="4100" max="4100" width="3.83203125" style="95" customWidth="1"/>
    <col min="4101" max="4101" width="10.1640625" style="95" customWidth="1"/>
    <col min="4102" max="4102" width="9.33203125" style="95" customWidth="1"/>
    <col min="4103" max="4103" width="2.6640625" style="95" customWidth="1"/>
    <col min="4104" max="4105" width="8.6640625" style="95" customWidth="1"/>
    <col min="4106" max="4106" width="2.6640625" style="95" customWidth="1"/>
    <col min="4107" max="4352" width="9.1640625" style="95"/>
    <col min="4353" max="4353" width="37.6640625" style="95" customWidth="1"/>
    <col min="4354" max="4355" width="8.6640625" style="95" customWidth="1"/>
    <col min="4356" max="4356" width="3.83203125" style="95" customWidth="1"/>
    <col min="4357" max="4357" width="10.1640625" style="95" customWidth="1"/>
    <col min="4358" max="4358" width="9.33203125" style="95" customWidth="1"/>
    <col min="4359" max="4359" width="2.6640625" style="95" customWidth="1"/>
    <col min="4360" max="4361" width="8.6640625" style="95" customWidth="1"/>
    <col min="4362" max="4362" width="2.6640625" style="95" customWidth="1"/>
    <col min="4363" max="4608" width="9.1640625" style="95"/>
    <col min="4609" max="4609" width="37.6640625" style="95" customWidth="1"/>
    <col min="4610" max="4611" width="8.6640625" style="95" customWidth="1"/>
    <col min="4612" max="4612" width="3.83203125" style="95" customWidth="1"/>
    <col min="4613" max="4613" width="10.1640625" style="95" customWidth="1"/>
    <col min="4614" max="4614" width="9.33203125" style="95" customWidth="1"/>
    <col min="4615" max="4615" width="2.6640625" style="95" customWidth="1"/>
    <col min="4616" max="4617" width="8.6640625" style="95" customWidth="1"/>
    <col min="4618" max="4618" width="2.6640625" style="95" customWidth="1"/>
    <col min="4619" max="4864" width="9.1640625" style="95"/>
    <col min="4865" max="4865" width="37.6640625" style="95" customWidth="1"/>
    <col min="4866" max="4867" width="8.6640625" style="95" customWidth="1"/>
    <col min="4868" max="4868" width="3.83203125" style="95" customWidth="1"/>
    <col min="4869" max="4869" width="10.1640625" style="95" customWidth="1"/>
    <col min="4870" max="4870" width="9.33203125" style="95" customWidth="1"/>
    <col min="4871" max="4871" width="2.6640625" style="95" customWidth="1"/>
    <col min="4872" max="4873" width="8.6640625" style="95" customWidth="1"/>
    <col min="4874" max="4874" width="2.6640625" style="95" customWidth="1"/>
    <col min="4875" max="5120" width="9.1640625" style="95"/>
    <col min="5121" max="5121" width="37.6640625" style="95" customWidth="1"/>
    <col min="5122" max="5123" width="8.6640625" style="95" customWidth="1"/>
    <col min="5124" max="5124" width="3.83203125" style="95" customWidth="1"/>
    <col min="5125" max="5125" width="10.1640625" style="95" customWidth="1"/>
    <col min="5126" max="5126" width="9.33203125" style="95" customWidth="1"/>
    <col min="5127" max="5127" width="2.6640625" style="95" customWidth="1"/>
    <col min="5128" max="5129" width="8.6640625" style="95" customWidth="1"/>
    <col min="5130" max="5130" width="2.6640625" style="95" customWidth="1"/>
    <col min="5131" max="5376" width="9.1640625" style="95"/>
    <col min="5377" max="5377" width="37.6640625" style="95" customWidth="1"/>
    <col min="5378" max="5379" width="8.6640625" style="95" customWidth="1"/>
    <col min="5380" max="5380" width="3.83203125" style="95" customWidth="1"/>
    <col min="5381" max="5381" width="10.1640625" style="95" customWidth="1"/>
    <col min="5382" max="5382" width="9.33203125" style="95" customWidth="1"/>
    <col min="5383" max="5383" width="2.6640625" style="95" customWidth="1"/>
    <col min="5384" max="5385" width="8.6640625" style="95" customWidth="1"/>
    <col min="5386" max="5386" width="2.6640625" style="95" customWidth="1"/>
    <col min="5387" max="5632" width="9.1640625" style="95"/>
    <col min="5633" max="5633" width="37.6640625" style="95" customWidth="1"/>
    <col min="5634" max="5635" width="8.6640625" style="95" customWidth="1"/>
    <col min="5636" max="5636" width="3.83203125" style="95" customWidth="1"/>
    <col min="5637" max="5637" width="10.1640625" style="95" customWidth="1"/>
    <col min="5638" max="5638" width="9.33203125" style="95" customWidth="1"/>
    <col min="5639" max="5639" width="2.6640625" style="95" customWidth="1"/>
    <col min="5640" max="5641" width="8.6640625" style="95" customWidth="1"/>
    <col min="5642" max="5642" width="2.6640625" style="95" customWidth="1"/>
    <col min="5643" max="5888" width="9.1640625" style="95"/>
    <col min="5889" max="5889" width="37.6640625" style="95" customWidth="1"/>
    <col min="5890" max="5891" width="8.6640625" style="95" customWidth="1"/>
    <col min="5892" max="5892" width="3.83203125" style="95" customWidth="1"/>
    <col min="5893" max="5893" width="10.1640625" style="95" customWidth="1"/>
    <col min="5894" max="5894" width="9.33203125" style="95" customWidth="1"/>
    <col min="5895" max="5895" width="2.6640625" style="95" customWidth="1"/>
    <col min="5896" max="5897" width="8.6640625" style="95" customWidth="1"/>
    <col min="5898" max="5898" width="2.6640625" style="95" customWidth="1"/>
    <col min="5899" max="6144" width="9.1640625" style="95"/>
    <col min="6145" max="6145" width="37.6640625" style="95" customWidth="1"/>
    <col min="6146" max="6147" width="8.6640625" style="95" customWidth="1"/>
    <col min="6148" max="6148" width="3.83203125" style="95" customWidth="1"/>
    <col min="6149" max="6149" width="10.1640625" style="95" customWidth="1"/>
    <col min="6150" max="6150" width="9.33203125" style="95" customWidth="1"/>
    <col min="6151" max="6151" width="2.6640625" style="95" customWidth="1"/>
    <col min="6152" max="6153" width="8.6640625" style="95" customWidth="1"/>
    <col min="6154" max="6154" width="2.6640625" style="95" customWidth="1"/>
    <col min="6155" max="6400" width="9.1640625" style="95"/>
    <col min="6401" max="6401" width="37.6640625" style="95" customWidth="1"/>
    <col min="6402" max="6403" width="8.6640625" style="95" customWidth="1"/>
    <col min="6404" max="6404" width="3.83203125" style="95" customWidth="1"/>
    <col min="6405" max="6405" width="10.1640625" style="95" customWidth="1"/>
    <col min="6406" max="6406" width="9.33203125" style="95" customWidth="1"/>
    <col min="6407" max="6407" width="2.6640625" style="95" customWidth="1"/>
    <col min="6408" max="6409" width="8.6640625" style="95" customWidth="1"/>
    <col min="6410" max="6410" width="2.6640625" style="95" customWidth="1"/>
    <col min="6411" max="6656" width="9.1640625" style="95"/>
    <col min="6657" max="6657" width="37.6640625" style="95" customWidth="1"/>
    <col min="6658" max="6659" width="8.6640625" style="95" customWidth="1"/>
    <col min="6660" max="6660" width="3.83203125" style="95" customWidth="1"/>
    <col min="6661" max="6661" width="10.1640625" style="95" customWidth="1"/>
    <col min="6662" max="6662" width="9.33203125" style="95" customWidth="1"/>
    <col min="6663" max="6663" width="2.6640625" style="95" customWidth="1"/>
    <col min="6664" max="6665" width="8.6640625" style="95" customWidth="1"/>
    <col min="6666" max="6666" width="2.6640625" style="95" customWidth="1"/>
    <col min="6667" max="6912" width="9.1640625" style="95"/>
    <col min="6913" max="6913" width="37.6640625" style="95" customWidth="1"/>
    <col min="6914" max="6915" width="8.6640625" style="95" customWidth="1"/>
    <col min="6916" max="6916" width="3.83203125" style="95" customWidth="1"/>
    <col min="6917" max="6917" width="10.1640625" style="95" customWidth="1"/>
    <col min="6918" max="6918" width="9.33203125" style="95" customWidth="1"/>
    <col min="6919" max="6919" width="2.6640625" style="95" customWidth="1"/>
    <col min="6920" max="6921" width="8.6640625" style="95" customWidth="1"/>
    <col min="6922" max="6922" width="2.6640625" style="95" customWidth="1"/>
    <col min="6923" max="7168" width="9.1640625" style="95"/>
    <col min="7169" max="7169" width="37.6640625" style="95" customWidth="1"/>
    <col min="7170" max="7171" width="8.6640625" style="95" customWidth="1"/>
    <col min="7172" max="7172" width="3.83203125" style="95" customWidth="1"/>
    <col min="7173" max="7173" width="10.1640625" style="95" customWidth="1"/>
    <col min="7174" max="7174" width="9.33203125" style="95" customWidth="1"/>
    <col min="7175" max="7175" width="2.6640625" style="95" customWidth="1"/>
    <col min="7176" max="7177" width="8.6640625" style="95" customWidth="1"/>
    <col min="7178" max="7178" width="2.6640625" style="95" customWidth="1"/>
    <col min="7179" max="7424" width="9.1640625" style="95"/>
    <col min="7425" max="7425" width="37.6640625" style="95" customWidth="1"/>
    <col min="7426" max="7427" width="8.6640625" style="95" customWidth="1"/>
    <col min="7428" max="7428" width="3.83203125" style="95" customWidth="1"/>
    <col min="7429" max="7429" width="10.1640625" style="95" customWidth="1"/>
    <col min="7430" max="7430" width="9.33203125" style="95" customWidth="1"/>
    <col min="7431" max="7431" width="2.6640625" style="95" customWidth="1"/>
    <col min="7432" max="7433" width="8.6640625" style="95" customWidth="1"/>
    <col min="7434" max="7434" width="2.6640625" style="95" customWidth="1"/>
    <col min="7435" max="7680" width="9.1640625" style="95"/>
    <col min="7681" max="7681" width="37.6640625" style="95" customWidth="1"/>
    <col min="7682" max="7683" width="8.6640625" style="95" customWidth="1"/>
    <col min="7684" max="7684" width="3.83203125" style="95" customWidth="1"/>
    <col min="7685" max="7685" width="10.1640625" style="95" customWidth="1"/>
    <col min="7686" max="7686" width="9.33203125" style="95" customWidth="1"/>
    <col min="7687" max="7687" width="2.6640625" style="95" customWidth="1"/>
    <col min="7688" max="7689" width="8.6640625" style="95" customWidth="1"/>
    <col min="7690" max="7690" width="2.6640625" style="95" customWidth="1"/>
    <col min="7691" max="7936" width="9.1640625" style="95"/>
    <col min="7937" max="7937" width="37.6640625" style="95" customWidth="1"/>
    <col min="7938" max="7939" width="8.6640625" style="95" customWidth="1"/>
    <col min="7940" max="7940" width="3.83203125" style="95" customWidth="1"/>
    <col min="7941" max="7941" width="10.1640625" style="95" customWidth="1"/>
    <col min="7942" max="7942" width="9.33203125" style="95" customWidth="1"/>
    <col min="7943" max="7943" width="2.6640625" style="95" customWidth="1"/>
    <col min="7944" max="7945" width="8.6640625" style="95" customWidth="1"/>
    <col min="7946" max="7946" width="2.6640625" style="95" customWidth="1"/>
    <col min="7947" max="8192" width="9.1640625" style="95"/>
    <col min="8193" max="8193" width="37.6640625" style="95" customWidth="1"/>
    <col min="8194" max="8195" width="8.6640625" style="95" customWidth="1"/>
    <col min="8196" max="8196" width="3.83203125" style="95" customWidth="1"/>
    <col min="8197" max="8197" width="10.1640625" style="95" customWidth="1"/>
    <col min="8198" max="8198" width="9.33203125" style="95" customWidth="1"/>
    <col min="8199" max="8199" width="2.6640625" style="95" customWidth="1"/>
    <col min="8200" max="8201" width="8.6640625" style="95" customWidth="1"/>
    <col min="8202" max="8202" width="2.6640625" style="95" customWidth="1"/>
    <col min="8203" max="8448" width="9.1640625" style="95"/>
    <col min="8449" max="8449" width="37.6640625" style="95" customWidth="1"/>
    <col min="8450" max="8451" width="8.6640625" style="95" customWidth="1"/>
    <col min="8452" max="8452" width="3.83203125" style="95" customWidth="1"/>
    <col min="8453" max="8453" width="10.1640625" style="95" customWidth="1"/>
    <col min="8454" max="8454" width="9.33203125" style="95" customWidth="1"/>
    <col min="8455" max="8455" width="2.6640625" style="95" customWidth="1"/>
    <col min="8456" max="8457" width="8.6640625" style="95" customWidth="1"/>
    <col min="8458" max="8458" width="2.6640625" style="95" customWidth="1"/>
    <col min="8459" max="8704" width="9.1640625" style="95"/>
    <col min="8705" max="8705" width="37.6640625" style="95" customWidth="1"/>
    <col min="8706" max="8707" width="8.6640625" style="95" customWidth="1"/>
    <col min="8708" max="8708" width="3.83203125" style="95" customWidth="1"/>
    <col min="8709" max="8709" width="10.1640625" style="95" customWidth="1"/>
    <col min="8710" max="8710" width="9.33203125" style="95" customWidth="1"/>
    <col min="8711" max="8711" width="2.6640625" style="95" customWidth="1"/>
    <col min="8712" max="8713" width="8.6640625" style="95" customWidth="1"/>
    <col min="8714" max="8714" width="2.6640625" style="95" customWidth="1"/>
    <col min="8715" max="8960" width="9.1640625" style="95"/>
    <col min="8961" max="8961" width="37.6640625" style="95" customWidth="1"/>
    <col min="8962" max="8963" width="8.6640625" style="95" customWidth="1"/>
    <col min="8964" max="8964" width="3.83203125" style="95" customWidth="1"/>
    <col min="8965" max="8965" width="10.1640625" style="95" customWidth="1"/>
    <col min="8966" max="8966" width="9.33203125" style="95" customWidth="1"/>
    <col min="8967" max="8967" width="2.6640625" style="95" customWidth="1"/>
    <col min="8968" max="8969" width="8.6640625" style="95" customWidth="1"/>
    <col min="8970" max="8970" width="2.6640625" style="95" customWidth="1"/>
    <col min="8971" max="9216" width="9.1640625" style="95"/>
    <col min="9217" max="9217" width="37.6640625" style="95" customWidth="1"/>
    <col min="9218" max="9219" width="8.6640625" style="95" customWidth="1"/>
    <col min="9220" max="9220" width="3.83203125" style="95" customWidth="1"/>
    <col min="9221" max="9221" width="10.1640625" style="95" customWidth="1"/>
    <col min="9222" max="9222" width="9.33203125" style="95" customWidth="1"/>
    <col min="9223" max="9223" width="2.6640625" style="95" customWidth="1"/>
    <col min="9224" max="9225" width="8.6640625" style="95" customWidth="1"/>
    <col min="9226" max="9226" width="2.6640625" style="95" customWidth="1"/>
    <col min="9227" max="9472" width="9.1640625" style="95"/>
    <col min="9473" max="9473" width="37.6640625" style="95" customWidth="1"/>
    <col min="9474" max="9475" width="8.6640625" style="95" customWidth="1"/>
    <col min="9476" max="9476" width="3.83203125" style="95" customWidth="1"/>
    <col min="9477" max="9477" width="10.1640625" style="95" customWidth="1"/>
    <col min="9478" max="9478" width="9.33203125" style="95" customWidth="1"/>
    <col min="9479" max="9479" width="2.6640625" style="95" customWidth="1"/>
    <col min="9480" max="9481" width="8.6640625" style="95" customWidth="1"/>
    <col min="9482" max="9482" width="2.6640625" style="95" customWidth="1"/>
    <col min="9483" max="9728" width="9.1640625" style="95"/>
    <col min="9729" max="9729" width="37.6640625" style="95" customWidth="1"/>
    <col min="9730" max="9731" width="8.6640625" style="95" customWidth="1"/>
    <col min="9732" max="9732" width="3.83203125" style="95" customWidth="1"/>
    <col min="9733" max="9733" width="10.1640625" style="95" customWidth="1"/>
    <col min="9734" max="9734" width="9.33203125" style="95" customWidth="1"/>
    <col min="9735" max="9735" width="2.6640625" style="95" customWidth="1"/>
    <col min="9736" max="9737" width="8.6640625" style="95" customWidth="1"/>
    <col min="9738" max="9738" width="2.6640625" style="95" customWidth="1"/>
    <col min="9739" max="9984" width="9.1640625" style="95"/>
    <col min="9985" max="9985" width="37.6640625" style="95" customWidth="1"/>
    <col min="9986" max="9987" width="8.6640625" style="95" customWidth="1"/>
    <col min="9988" max="9988" width="3.83203125" style="95" customWidth="1"/>
    <col min="9989" max="9989" width="10.1640625" style="95" customWidth="1"/>
    <col min="9990" max="9990" width="9.33203125" style="95" customWidth="1"/>
    <col min="9991" max="9991" width="2.6640625" style="95" customWidth="1"/>
    <col min="9992" max="9993" width="8.6640625" style="95" customWidth="1"/>
    <col min="9994" max="9994" width="2.6640625" style="95" customWidth="1"/>
    <col min="9995" max="10240" width="9.1640625" style="95"/>
    <col min="10241" max="10241" width="37.6640625" style="95" customWidth="1"/>
    <col min="10242" max="10243" width="8.6640625" style="95" customWidth="1"/>
    <col min="10244" max="10244" width="3.83203125" style="95" customWidth="1"/>
    <col min="10245" max="10245" width="10.1640625" style="95" customWidth="1"/>
    <col min="10246" max="10246" width="9.33203125" style="95" customWidth="1"/>
    <col min="10247" max="10247" width="2.6640625" style="95" customWidth="1"/>
    <col min="10248" max="10249" width="8.6640625" style="95" customWidth="1"/>
    <col min="10250" max="10250" width="2.6640625" style="95" customWidth="1"/>
    <col min="10251" max="10496" width="9.1640625" style="95"/>
    <col min="10497" max="10497" width="37.6640625" style="95" customWidth="1"/>
    <col min="10498" max="10499" width="8.6640625" style="95" customWidth="1"/>
    <col min="10500" max="10500" width="3.83203125" style="95" customWidth="1"/>
    <col min="10501" max="10501" width="10.1640625" style="95" customWidth="1"/>
    <col min="10502" max="10502" width="9.33203125" style="95" customWidth="1"/>
    <col min="10503" max="10503" width="2.6640625" style="95" customWidth="1"/>
    <col min="10504" max="10505" width="8.6640625" style="95" customWidth="1"/>
    <col min="10506" max="10506" width="2.6640625" style="95" customWidth="1"/>
    <col min="10507" max="10752" width="9.1640625" style="95"/>
    <col min="10753" max="10753" width="37.6640625" style="95" customWidth="1"/>
    <col min="10754" max="10755" width="8.6640625" style="95" customWidth="1"/>
    <col min="10756" max="10756" width="3.83203125" style="95" customWidth="1"/>
    <col min="10757" max="10757" width="10.1640625" style="95" customWidth="1"/>
    <col min="10758" max="10758" width="9.33203125" style="95" customWidth="1"/>
    <col min="10759" max="10759" width="2.6640625" style="95" customWidth="1"/>
    <col min="10760" max="10761" width="8.6640625" style="95" customWidth="1"/>
    <col min="10762" max="10762" width="2.6640625" style="95" customWidth="1"/>
    <col min="10763" max="11008" width="9.1640625" style="95"/>
    <col min="11009" max="11009" width="37.6640625" style="95" customWidth="1"/>
    <col min="11010" max="11011" width="8.6640625" style="95" customWidth="1"/>
    <col min="11012" max="11012" width="3.83203125" style="95" customWidth="1"/>
    <col min="11013" max="11013" width="10.1640625" style="95" customWidth="1"/>
    <col min="11014" max="11014" width="9.33203125" style="95" customWidth="1"/>
    <col min="11015" max="11015" width="2.6640625" style="95" customWidth="1"/>
    <col min="11016" max="11017" width="8.6640625" style="95" customWidth="1"/>
    <col min="11018" max="11018" width="2.6640625" style="95" customWidth="1"/>
    <col min="11019" max="11264" width="9.1640625" style="95"/>
    <col min="11265" max="11265" width="37.6640625" style="95" customWidth="1"/>
    <col min="11266" max="11267" width="8.6640625" style="95" customWidth="1"/>
    <col min="11268" max="11268" width="3.83203125" style="95" customWidth="1"/>
    <col min="11269" max="11269" width="10.1640625" style="95" customWidth="1"/>
    <col min="11270" max="11270" width="9.33203125" style="95" customWidth="1"/>
    <col min="11271" max="11271" width="2.6640625" style="95" customWidth="1"/>
    <col min="11272" max="11273" width="8.6640625" style="95" customWidth="1"/>
    <col min="11274" max="11274" width="2.6640625" style="95" customWidth="1"/>
    <col min="11275" max="11520" width="9.1640625" style="95"/>
    <col min="11521" max="11521" width="37.6640625" style="95" customWidth="1"/>
    <col min="11522" max="11523" width="8.6640625" style="95" customWidth="1"/>
    <col min="11524" max="11524" width="3.83203125" style="95" customWidth="1"/>
    <col min="11525" max="11525" width="10.1640625" style="95" customWidth="1"/>
    <col min="11526" max="11526" width="9.33203125" style="95" customWidth="1"/>
    <col min="11527" max="11527" width="2.6640625" style="95" customWidth="1"/>
    <col min="11528" max="11529" width="8.6640625" style="95" customWidth="1"/>
    <col min="11530" max="11530" width="2.6640625" style="95" customWidth="1"/>
    <col min="11531" max="11776" width="9.1640625" style="95"/>
    <col min="11777" max="11777" width="37.6640625" style="95" customWidth="1"/>
    <col min="11778" max="11779" width="8.6640625" style="95" customWidth="1"/>
    <col min="11780" max="11780" width="3.83203125" style="95" customWidth="1"/>
    <col min="11781" max="11781" width="10.1640625" style="95" customWidth="1"/>
    <col min="11782" max="11782" width="9.33203125" style="95" customWidth="1"/>
    <col min="11783" max="11783" width="2.6640625" style="95" customWidth="1"/>
    <col min="11784" max="11785" width="8.6640625" style="95" customWidth="1"/>
    <col min="11786" max="11786" width="2.6640625" style="95" customWidth="1"/>
    <col min="11787" max="12032" width="9.1640625" style="95"/>
    <col min="12033" max="12033" width="37.6640625" style="95" customWidth="1"/>
    <col min="12034" max="12035" width="8.6640625" style="95" customWidth="1"/>
    <col min="12036" max="12036" width="3.83203125" style="95" customWidth="1"/>
    <col min="12037" max="12037" width="10.1640625" style="95" customWidth="1"/>
    <col min="12038" max="12038" width="9.33203125" style="95" customWidth="1"/>
    <col min="12039" max="12039" width="2.6640625" style="95" customWidth="1"/>
    <col min="12040" max="12041" width="8.6640625" style="95" customWidth="1"/>
    <col min="12042" max="12042" width="2.6640625" style="95" customWidth="1"/>
    <col min="12043" max="12288" width="9.1640625" style="95"/>
    <col min="12289" max="12289" width="37.6640625" style="95" customWidth="1"/>
    <col min="12290" max="12291" width="8.6640625" style="95" customWidth="1"/>
    <col min="12292" max="12292" width="3.83203125" style="95" customWidth="1"/>
    <col min="12293" max="12293" width="10.1640625" style="95" customWidth="1"/>
    <col min="12294" max="12294" width="9.33203125" style="95" customWidth="1"/>
    <col min="12295" max="12295" width="2.6640625" style="95" customWidth="1"/>
    <col min="12296" max="12297" width="8.6640625" style="95" customWidth="1"/>
    <col min="12298" max="12298" width="2.6640625" style="95" customWidth="1"/>
    <col min="12299" max="12544" width="9.1640625" style="95"/>
    <col min="12545" max="12545" width="37.6640625" style="95" customWidth="1"/>
    <col min="12546" max="12547" width="8.6640625" style="95" customWidth="1"/>
    <col min="12548" max="12548" width="3.83203125" style="95" customWidth="1"/>
    <col min="12549" max="12549" width="10.1640625" style="95" customWidth="1"/>
    <col min="12550" max="12550" width="9.33203125" style="95" customWidth="1"/>
    <col min="12551" max="12551" width="2.6640625" style="95" customWidth="1"/>
    <col min="12552" max="12553" width="8.6640625" style="95" customWidth="1"/>
    <col min="12554" max="12554" width="2.6640625" style="95" customWidth="1"/>
    <col min="12555" max="12800" width="9.1640625" style="95"/>
    <col min="12801" max="12801" width="37.6640625" style="95" customWidth="1"/>
    <col min="12802" max="12803" width="8.6640625" style="95" customWidth="1"/>
    <col min="12804" max="12804" width="3.83203125" style="95" customWidth="1"/>
    <col min="12805" max="12805" width="10.1640625" style="95" customWidth="1"/>
    <col min="12806" max="12806" width="9.33203125" style="95" customWidth="1"/>
    <col min="12807" max="12807" width="2.6640625" style="95" customWidth="1"/>
    <col min="12808" max="12809" width="8.6640625" style="95" customWidth="1"/>
    <col min="12810" max="12810" width="2.6640625" style="95" customWidth="1"/>
    <col min="12811" max="13056" width="9.1640625" style="95"/>
    <col min="13057" max="13057" width="37.6640625" style="95" customWidth="1"/>
    <col min="13058" max="13059" width="8.6640625" style="95" customWidth="1"/>
    <col min="13060" max="13060" width="3.83203125" style="95" customWidth="1"/>
    <col min="13061" max="13061" width="10.1640625" style="95" customWidth="1"/>
    <col min="13062" max="13062" width="9.33203125" style="95" customWidth="1"/>
    <col min="13063" max="13063" width="2.6640625" style="95" customWidth="1"/>
    <col min="13064" max="13065" width="8.6640625" style="95" customWidth="1"/>
    <col min="13066" max="13066" width="2.6640625" style="95" customWidth="1"/>
    <col min="13067" max="13312" width="9.1640625" style="95"/>
    <col min="13313" max="13313" width="37.6640625" style="95" customWidth="1"/>
    <col min="13314" max="13315" width="8.6640625" style="95" customWidth="1"/>
    <col min="13316" max="13316" width="3.83203125" style="95" customWidth="1"/>
    <col min="13317" max="13317" width="10.1640625" style="95" customWidth="1"/>
    <col min="13318" max="13318" width="9.33203125" style="95" customWidth="1"/>
    <col min="13319" max="13319" width="2.6640625" style="95" customWidth="1"/>
    <col min="13320" max="13321" width="8.6640625" style="95" customWidth="1"/>
    <col min="13322" max="13322" width="2.6640625" style="95" customWidth="1"/>
    <col min="13323" max="13568" width="9.1640625" style="95"/>
    <col min="13569" max="13569" width="37.6640625" style="95" customWidth="1"/>
    <col min="13570" max="13571" width="8.6640625" style="95" customWidth="1"/>
    <col min="13572" max="13572" width="3.83203125" style="95" customWidth="1"/>
    <col min="13573" max="13573" width="10.1640625" style="95" customWidth="1"/>
    <col min="13574" max="13574" width="9.33203125" style="95" customWidth="1"/>
    <col min="13575" max="13575" width="2.6640625" style="95" customWidth="1"/>
    <col min="13576" max="13577" width="8.6640625" style="95" customWidth="1"/>
    <col min="13578" max="13578" width="2.6640625" style="95" customWidth="1"/>
    <col min="13579" max="13824" width="9.1640625" style="95"/>
    <col min="13825" max="13825" width="37.6640625" style="95" customWidth="1"/>
    <col min="13826" max="13827" width="8.6640625" style="95" customWidth="1"/>
    <col min="13828" max="13828" width="3.83203125" style="95" customWidth="1"/>
    <col min="13829" max="13829" width="10.1640625" style="95" customWidth="1"/>
    <col min="13830" max="13830" width="9.33203125" style="95" customWidth="1"/>
    <col min="13831" max="13831" width="2.6640625" style="95" customWidth="1"/>
    <col min="13832" max="13833" width="8.6640625" style="95" customWidth="1"/>
    <col min="13834" max="13834" width="2.6640625" style="95" customWidth="1"/>
    <col min="13835" max="14080" width="9.1640625" style="95"/>
    <col min="14081" max="14081" width="37.6640625" style="95" customWidth="1"/>
    <col min="14082" max="14083" width="8.6640625" style="95" customWidth="1"/>
    <col min="14084" max="14084" width="3.83203125" style="95" customWidth="1"/>
    <col min="14085" max="14085" width="10.1640625" style="95" customWidth="1"/>
    <col min="14086" max="14086" width="9.33203125" style="95" customWidth="1"/>
    <col min="14087" max="14087" width="2.6640625" style="95" customWidth="1"/>
    <col min="14088" max="14089" width="8.6640625" style="95" customWidth="1"/>
    <col min="14090" max="14090" width="2.6640625" style="95" customWidth="1"/>
    <col min="14091" max="14336" width="9.1640625" style="95"/>
    <col min="14337" max="14337" width="37.6640625" style="95" customWidth="1"/>
    <col min="14338" max="14339" width="8.6640625" style="95" customWidth="1"/>
    <col min="14340" max="14340" width="3.83203125" style="95" customWidth="1"/>
    <col min="14341" max="14341" width="10.1640625" style="95" customWidth="1"/>
    <col min="14342" max="14342" width="9.33203125" style="95" customWidth="1"/>
    <col min="14343" max="14343" width="2.6640625" style="95" customWidth="1"/>
    <col min="14344" max="14345" width="8.6640625" style="95" customWidth="1"/>
    <col min="14346" max="14346" width="2.6640625" style="95" customWidth="1"/>
    <col min="14347" max="14592" width="9.1640625" style="95"/>
    <col min="14593" max="14593" width="37.6640625" style="95" customWidth="1"/>
    <col min="14594" max="14595" width="8.6640625" style="95" customWidth="1"/>
    <col min="14596" max="14596" width="3.83203125" style="95" customWidth="1"/>
    <col min="14597" max="14597" width="10.1640625" style="95" customWidth="1"/>
    <col min="14598" max="14598" width="9.33203125" style="95" customWidth="1"/>
    <col min="14599" max="14599" width="2.6640625" style="95" customWidth="1"/>
    <col min="14600" max="14601" width="8.6640625" style="95" customWidth="1"/>
    <col min="14602" max="14602" width="2.6640625" style="95" customWidth="1"/>
    <col min="14603" max="14848" width="9.1640625" style="95"/>
    <col min="14849" max="14849" width="37.6640625" style="95" customWidth="1"/>
    <col min="14850" max="14851" width="8.6640625" style="95" customWidth="1"/>
    <col min="14852" max="14852" width="3.83203125" style="95" customWidth="1"/>
    <col min="14853" max="14853" width="10.1640625" style="95" customWidth="1"/>
    <col min="14854" max="14854" width="9.33203125" style="95" customWidth="1"/>
    <col min="14855" max="14855" width="2.6640625" style="95" customWidth="1"/>
    <col min="14856" max="14857" width="8.6640625" style="95" customWidth="1"/>
    <col min="14858" max="14858" width="2.6640625" style="95" customWidth="1"/>
    <col min="14859" max="15104" width="9.1640625" style="95"/>
    <col min="15105" max="15105" width="37.6640625" style="95" customWidth="1"/>
    <col min="15106" max="15107" width="8.6640625" style="95" customWidth="1"/>
    <col min="15108" max="15108" width="3.83203125" style="95" customWidth="1"/>
    <col min="15109" max="15109" width="10.1640625" style="95" customWidth="1"/>
    <col min="15110" max="15110" width="9.33203125" style="95" customWidth="1"/>
    <col min="15111" max="15111" width="2.6640625" style="95" customWidth="1"/>
    <col min="15112" max="15113" width="8.6640625" style="95" customWidth="1"/>
    <col min="15114" max="15114" width="2.6640625" style="95" customWidth="1"/>
    <col min="15115" max="15360" width="9.1640625" style="95"/>
    <col min="15361" max="15361" width="37.6640625" style="95" customWidth="1"/>
    <col min="15362" max="15363" width="8.6640625" style="95" customWidth="1"/>
    <col min="15364" max="15364" width="3.83203125" style="95" customWidth="1"/>
    <col min="15365" max="15365" width="10.1640625" style="95" customWidth="1"/>
    <col min="15366" max="15366" width="9.33203125" style="95" customWidth="1"/>
    <col min="15367" max="15367" width="2.6640625" style="95" customWidth="1"/>
    <col min="15368" max="15369" width="8.6640625" style="95" customWidth="1"/>
    <col min="15370" max="15370" width="2.6640625" style="95" customWidth="1"/>
    <col min="15371" max="15616" width="9.1640625" style="95"/>
    <col min="15617" max="15617" width="37.6640625" style="95" customWidth="1"/>
    <col min="15618" max="15619" width="8.6640625" style="95" customWidth="1"/>
    <col min="15620" max="15620" width="3.83203125" style="95" customWidth="1"/>
    <col min="15621" max="15621" width="10.1640625" style="95" customWidth="1"/>
    <col min="15622" max="15622" width="9.33203125" style="95" customWidth="1"/>
    <col min="15623" max="15623" width="2.6640625" style="95" customWidth="1"/>
    <col min="15624" max="15625" width="8.6640625" style="95" customWidth="1"/>
    <col min="15626" max="15626" width="2.6640625" style="95" customWidth="1"/>
    <col min="15627" max="15872" width="9.1640625" style="95"/>
    <col min="15873" max="15873" width="37.6640625" style="95" customWidth="1"/>
    <col min="15874" max="15875" width="8.6640625" style="95" customWidth="1"/>
    <col min="15876" max="15876" width="3.83203125" style="95" customWidth="1"/>
    <col min="15877" max="15877" width="10.1640625" style="95" customWidth="1"/>
    <col min="15878" max="15878" width="9.33203125" style="95" customWidth="1"/>
    <col min="15879" max="15879" width="2.6640625" style="95" customWidth="1"/>
    <col min="15880" max="15881" width="8.6640625" style="95" customWidth="1"/>
    <col min="15882" max="15882" width="2.6640625" style="95" customWidth="1"/>
    <col min="15883" max="16128" width="9.1640625" style="95"/>
    <col min="16129" max="16129" width="37.6640625" style="95" customWidth="1"/>
    <col min="16130" max="16131" width="8.6640625" style="95" customWidth="1"/>
    <col min="16132" max="16132" width="3.83203125" style="95" customWidth="1"/>
    <col min="16133" max="16133" width="10.1640625" style="95" customWidth="1"/>
    <col min="16134" max="16134" width="9.33203125" style="95" customWidth="1"/>
    <col min="16135" max="16135" width="2.6640625" style="95" customWidth="1"/>
    <col min="16136" max="16137" width="8.6640625" style="95" customWidth="1"/>
    <col min="16138" max="16138" width="2.6640625" style="95" customWidth="1"/>
    <col min="16139" max="16384" width="9.1640625" style="95"/>
  </cols>
  <sheetData>
    <row r="1" spans="1:10">
      <c r="A1" s="95" t="s">
        <v>1007</v>
      </c>
    </row>
    <row r="2" spans="1:10">
      <c r="A2" s="95" t="s">
        <v>1008</v>
      </c>
    </row>
    <row r="4" spans="1:10" ht="15">
      <c r="A4" s="33" t="s">
        <v>2239</v>
      </c>
    </row>
    <row r="5" spans="1:10" ht="14" thickBot="1">
      <c r="J5" s="105"/>
    </row>
    <row r="6" spans="1:10">
      <c r="A6" s="97"/>
      <c r="B6" s="115"/>
      <c r="C6" s="143"/>
      <c r="D6" s="144"/>
      <c r="E6" s="550"/>
      <c r="F6" s="99"/>
      <c r="G6" s="144"/>
      <c r="H6" s="550"/>
      <c r="I6" s="99"/>
      <c r="J6" s="99"/>
    </row>
    <row r="7" spans="1:10" ht="15">
      <c r="A7" s="116" t="s">
        <v>1535</v>
      </c>
      <c r="B7" s="1068" t="s">
        <v>2138</v>
      </c>
      <c r="C7" s="1068"/>
      <c r="D7" s="154"/>
      <c r="E7" s="1021" t="s">
        <v>1162</v>
      </c>
      <c r="F7" s="1019"/>
      <c r="G7" s="154"/>
      <c r="H7" s="1021" t="s">
        <v>1161</v>
      </c>
      <c r="I7" s="1019"/>
    </row>
    <row r="8" spans="1:10" ht="15" customHeight="1">
      <c r="B8" s="557" t="s">
        <v>400</v>
      </c>
      <c r="C8" s="148" t="s">
        <v>401</v>
      </c>
      <c r="D8" s="154"/>
      <c r="E8" s="552" t="s">
        <v>400</v>
      </c>
      <c r="F8" s="101" t="s">
        <v>401</v>
      </c>
      <c r="G8" s="154"/>
      <c r="H8" s="552" t="s">
        <v>400</v>
      </c>
      <c r="I8" s="101" t="s">
        <v>401</v>
      </c>
    </row>
    <row r="9" spans="1:10" ht="15" customHeight="1" thickBot="1">
      <c r="A9" s="102"/>
      <c r="B9" s="125"/>
      <c r="C9" s="152"/>
      <c r="D9" s="153"/>
      <c r="E9" s="553"/>
      <c r="F9" s="96"/>
      <c r="G9" s="153"/>
      <c r="H9" s="553"/>
      <c r="I9" s="96"/>
    </row>
    <row r="10" spans="1:10" ht="15" customHeight="1">
      <c r="A10" s="116"/>
      <c r="B10" s="119"/>
      <c r="C10" s="146"/>
      <c r="D10" s="154"/>
      <c r="E10" s="220"/>
      <c r="F10" s="135"/>
      <c r="G10" s="154"/>
      <c r="H10" s="220"/>
      <c r="I10" s="135"/>
      <c r="J10" s="99"/>
    </row>
    <row r="11" spans="1:10" ht="15" customHeight="1">
      <c r="A11" s="55" t="s">
        <v>290</v>
      </c>
      <c r="B11" s="221">
        <f>IF($A11&lt;&gt;0,E11+H11,"")</f>
        <v>164</v>
      </c>
      <c r="C11" s="110">
        <f>SUM(C13:C50)</f>
        <v>99.999999999999972</v>
      </c>
      <c r="D11" s="217"/>
      <c r="E11" s="555">
        <f>SUM(E13:E50)</f>
        <v>90</v>
      </c>
      <c r="F11" s="289">
        <f>IF($A11&lt;&gt;0,E11/B11*100,"")</f>
        <v>54.878048780487809</v>
      </c>
      <c r="G11" s="288"/>
      <c r="H11" s="555">
        <f>SUM(H13:H50)</f>
        <v>74</v>
      </c>
      <c r="I11" s="218">
        <f t="shared" ref="I11:I50" si="0">IF($A11&lt;&gt;0,H11/B11*100,"")</f>
        <v>45.121951219512198</v>
      </c>
    </row>
    <row r="12" spans="1:10" ht="15" customHeight="1">
      <c r="A12" s="55"/>
      <c r="B12" s="221"/>
      <c r="C12" s="558"/>
      <c r="D12" s="217"/>
      <c r="E12" s="232"/>
      <c r="F12" s="289" t="str">
        <f t="shared" ref="F12:F50" si="1">IF($A12&lt;&gt;0,E12/B12*100,"")</f>
        <v/>
      </c>
      <c r="G12" s="232"/>
      <c r="H12" s="232"/>
      <c r="I12" s="218"/>
    </row>
    <row r="13" spans="1:10" ht="15" customHeight="1">
      <c r="A13" s="405" t="s">
        <v>715</v>
      </c>
      <c r="B13" s="221">
        <f t="shared" ref="B13:B50" si="2">IF($A13&lt;&gt;0,E13+H13,"")</f>
        <v>3</v>
      </c>
      <c r="C13" s="558">
        <f t="shared" ref="C13:C50" si="3">IF(A13&lt;&gt;0,B13/$B$11*100,"")</f>
        <v>1.8292682926829267</v>
      </c>
      <c r="D13" s="217"/>
      <c r="E13" s="924">
        <v>2</v>
      </c>
      <c r="F13" s="289">
        <f t="shared" si="1"/>
        <v>66.666666666666657</v>
      </c>
      <c r="G13" s="556"/>
      <c r="H13" s="924">
        <v>1</v>
      </c>
      <c r="I13" s="289">
        <f t="shared" si="0"/>
        <v>33.333333333333329</v>
      </c>
    </row>
    <row r="14" spans="1:10" ht="15" customHeight="1">
      <c r="A14" s="925" t="s">
        <v>716</v>
      </c>
      <c r="B14" s="221">
        <f t="shared" si="2"/>
        <v>1</v>
      </c>
      <c r="C14" s="558">
        <f t="shared" si="3"/>
        <v>0.6097560975609756</v>
      </c>
      <c r="D14" s="217"/>
      <c r="E14" s="924">
        <v>0</v>
      </c>
      <c r="F14" s="289">
        <f t="shared" si="1"/>
        <v>0</v>
      </c>
      <c r="G14" s="556"/>
      <c r="H14" s="924">
        <v>1</v>
      </c>
      <c r="I14" s="289">
        <f t="shared" si="0"/>
        <v>100</v>
      </c>
    </row>
    <row r="15" spans="1:10" ht="15" customHeight="1">
      <c r="A15" s="405" t="s">
        <v>1536</v>
      </c>
      <c r="B15" s="221">
        <f t="shared" si="2"/>
        <v>1</v>
      </c>
      <c r="C15" s="558">
        <f t="shared" si="3"/>
        <v>0.6097560975609756</v>
      </c>
      <c r="D15" s="217"/>
      <c r="E15" s="924">
        <v>1</v>
      </c>
      <c r="F15" s="289">
        <f t="shared" si="1"/>
        <v>100</v>
      </c>
      <c r="G15" s="556"/>
      <c r="H15" s="924">
        <v>0</v>
      </c>
      <c r="I15" s="289">
        <f t="shared" si="0"/>
        <v>0</v>
      </c>
    </row>
    <row r="16" spans="1:10" ht="15" customHeight="1">
      <c r="A16" s="405" t="s">
        <v>718</v>
      </c>
      <c r="B16" s="221">
        <f t="shared" si="2"/>
        <v>13</v>
      </c>
      <c r="C16" s="558">
        <f t="shared" si="3"/>
        <v>7.9268292682926829</v>
      </c>
      <c r="D16" s="217"/>
      <c r="E16" s="924">
        <v>2</v>
      </c>
      <c r="F16" s="289">
        <f t="shared" si="1"/>
        <v>15.384615384615385</v>
      </c>
      <c r="G16" s="556"/>
      <c r="H16" s="924">
        <v>11</v>
      </c>
      <c r="I16" s="289">
        <f t="shared" si="0"/>
        <v>84.615384615384613</v>
      </c>
    </row>
    <row r="17" spans="1:9" ht="15" customHeight="1">
      <c r="A17" s="405" t="s">
        <v>720</v>
      </c>
      <c r="B17" s="221">
        <f t="shared" si="2"/>
        <v>3</v>
      </c>
      <c r="C17" s="558">
        <f t="shared" si="3"/>
        <v>1.8292682926829267</v>
      </c>
      <c r="D17" s="217"/>
      <c r="E17" s="924">
        <v>1</v>
      </c>
      <c r="F17" s="289">
        <f t="shared" si="1"/>
        <v>33.333333333333329</v>
      </c>
      <c r="G17" s="556"/>
      <c r="H17" s="924">
        <v>2</v>
      </c>
      <c r="I17" s="289">
        <f t="shared" si="0"/>
        <v>66.666666666666657</v>
      </c>
    </row>
    <row r="18" spans="1:9" ht="15" customHeight="1">
      <c r="A18" s="405" t="s">
        <v>722</v>
      </c>
      <c r="B18" s="221">
        <f t="shared" si="2"/>
        <v>12</v>
      </c>
      <c r="C18" s="558">
        <f t="shared" si="3"/>
        <v>7.3170731707317067</v>
      </c>
      <c r="D18" s="217"/>
      <c r="E18" s="924">
        <v>6</v>
      </c>
      <c r="F18" s="289">
        <f t="shared" si="1"/>
        <v>50</v>
      </c>
      <c r="G18" s="556"/>
      <c r="H18" s="924">
        <v>6</v>
      </c>
      <c r="I18" s="289">
        <f t="shared" si="0"/>
        <v>50</v>
      </c>
    </row>
    <row r="19" spans="1:9" ht="15" customHeight="1">
      <c r="A19" s="405" t="s">
        <v>1537</v>
      </c>
      <c r="B19" s="221">
        <f t="shared" si="2"/>
        <v>6</v>
      </c>
      <c r="C19" s="558">
        <f t="shared" si="3"/>
        <v>3.6585365853658534</v>
      </c>
      <c r="D19" s="217"/>
      <c r="E19" s="924">
        <v>4</v>
      </c>
      <c r="F19" s="289">
        <f t="shared" si="1"/>
        <v>66.666666666666657</v>
      </c>
      <c r="G19" s="556"/>
      <c r="H19" s="924">
        <v>2</v>
      </c>
      <c r="I19" s="289">
        <f t="shared" si="0"/>
        <v>33.333333333333329</v>
      </c>
    </row>
    <row r="20" spans="1:9" ht="15" customHeight="1">
      <c r="A20" s="405" t="s">
        <v>726</v>
      </c>
      <c r="B20" s="221">
        <f t="shared" si="2"/>
        <v>1</v>
      </c>
      <c r="C20" s="558">
        <f t="shared" si="3"/>
        <v>0.6097560975609756</v>
      </c>
      <c r="D20" s="217"/>
      <c r="E20" s="924">
        <v>1</v>
      </c>
      <c r="F20" s="289">
        <f t="shared" si="1"/>
        <v>100</v>
      </c>
      <c r="G20" s="556"/>
      <c r="H20" s="924">
        <v>0</v>
      </c>
      <c r="I20" s="289">
        <f t="shared" si="0"/>
        <v>0</v>
      </c>
    </row>
    <row r="21" spans="1:9" ht="15" customHeight="1">
      <c r="A21" s="926" t="s">
        <v>2139</v>
      </c>
      <c r="B21" s="221">
        <f t="shared" si="2"/>
        <v>1</v>
      </c>
      <c r="C21" s="558">
        <f t="shared" si="3"/>
        <v>0.6097560975609756</v>
      </c>
      <c r="D21" s="217"/>
      <c r="E21" s="924">
        <v>1</v>
      </c>
      <c r="F21" s="289">
        <f t="shared" si="1"/>
        <v>100</v>
      </c>
      <c r="G21" s="556"/>
      <c r="H21" s="924">
        <v>0</v>
      </c>
      <c r="I21" s="289">
        <f t="shared" si="0"/>
        <v>0</v>
      </c>
    </row>
    <row r="22" spans="1:9" ht="15" customHeight="1">
      <c r="A22" s="405" t="s">
        <v>727</v>
      </c>
      <c r="B22" s="221">
        <f t="shared" si="2"/>
        <v>2</v>
      </c>
      <c r="C22" s="558">
        <f t="shared" si="3"/>
        <v>1.2195121951219512</v>
      </c>
      <c r="D22" s="217"/>
      <c r="E22" s="924">
        <v>1</v>
      </c>
      <c r="F22" s="289">
        <f t="shared" si="1"/>
        <v>50</v>
      </c>
      <c r="G22" s="556"/>
      <c r="H22" s="924">
        <v>1</v>
      </c>
      <c r="I22" s="289">
        <f t="shared" si="0"/>
        <v>50</v>
      </c>
    </row>
    <row r="23" spans="1:9" ht="15" customHeight="1">
      <c r="A23" s="405" t="s">
        <v>1538</v>
      </c>
      <c r="B23" s="221">
        <f t="shared" si="2"/>
        <v>9</v>
      </c>
      <c r="C23" s="558">
        <f t="shared" si="3"/>
        <v>5.4878048780487809</v>
      </c>
      <c r="D23" s="217"/>
      <c r="E23" s="924">
        <v>6</v>
      </c>
      <c r="F23" s="289">
        <f t="shared" si="1"/>
        <v>66.666666666666657</v>
      </c>
      <c r="G23" s="556"/>
      <c r="H23" s="924">
        <v>3</v>
      </c>
      <c r="I23" s="289">
        <f t="shared" si="0"/>
        <v>33.333333333333329</v>
      </c>
    </row>
    <row r="24" spans="1:9" ht="15" customHeight="1">
      <c r="A24" s="405" t="s">
        <v>730</v>
      </c>
      <c r="B24" s="221">
        <f t="shared" si="2"/>
        <v>3</v>
      </c>
      <c r="C24" s="558">
        <f t="shared" si="3"/>
        <v>1.8292682926829267</v>
      </c>
      <c r="D24" s="217"/>
      <c r="E24" s="924">
        <v>2</v>
      </c>
      <c r="F24" s="289">
        <f t="shared" si="1"/>
        <v>66.666666666666657</v>
      </c>
      <c r="G24" s="556"/>
      <c r="H24" s="924">
        <v>1</v>
      </c>
      <c r="I24" s="289">
        <f t="shared" si="0"/>
        <v>33.333333333333329</v>
      </c>
    </row>
    <row r="25" spans="1:9" ht="15" customHeight="1">
      <c r="A25" s="405" t="s">
        <v>731</v>
      </c>
      <c r="B25" s="221">
        <f t="shared" si="2"/>
        <v>4</v>
      </c>
      <c r="C25" s="558">
        <f t="shared" si="3"/>
        <v>2.4390243902439024</v>
      </c>
      <c r="D25" s="217"/>
      <c r="E25" s="924">
        <v>3</v>
      </c>
      <c r="F25" s="289">
        <f t="shared" si="1"/>
        <v>75</v>
      </c>
      <c r="G25" s="556"/>
      <c r="H25" s="924">
        <v>1</v>
      </c>
      <c r="I25" s="289">
        <f t="shared" si="0"/>
        <v>25</v>
      </c>
    </row>
    <row r="26" spans="1:9" ht="15" customHeight="1">
      <c r="A26" s="405" t="s">
        <v>732</v>
      </c>
      <c r="B26" s="221">
        <f t="shared" si="2"/>
        <v>3</v>
      </c>
      <c r="C26" s="558">
        <f t="shared" si="3"/>
        <v>1.8292682926829267</v>
      </c>
      <c r="D26" s="217"/>
      <c r="E26" s="924">
        <v>1</v>
      </c>
      <c r="F26" s="289">
        <f t="shared" si="1"/>
        <v>33.333333333333329</v>
      </c>
      <c r="G26" s="556"/>
      <c r="H26" s="924">
        <v>2</v>
      </c>
      <c r="I26" s="289">
        <f t="shared" si="0"/>
        <v>66.666666666666657</v>
      </c>
    </row>
    <row r="27" spans="1:9" ht="15" customHeight="1">
      <c r="A27" s="925" t="s">
        <v>2140</v>
      </c>
      <c r="B27" s="221">
        <f t="shared" si="2"/>
        <v>1</v>
      </c>
      <c r="C27" s="558">
        <f t="shared" si="3"/>
        <v>0.6097560975609756</v>
      </c>
      <c r="D27" s="217"/>
      <c r="E27" s="924">
        <v>0</v>
      </c>
      <c r="F27" s="289">
        <f t="shared" si="1"/>
        <v>0</v>
      </c>
      <c r="G27" s="556"/>
      <c r="H27" s="924">
        <v>1</v>
      </c>
      <c r="I27" s="289">
        <f t="shared" si="0"/>
        <v>100</v>
      </c>
    </row>
    <row r="28" spans="1:9" ht="15" customHeight="1">
      <c r="A28" s="925" t="s">
        <v>2141</v>
      </c>
      <c r="B28" s="221">
        <f t="shared" si="2"/>
        <v>2</v>
      </c>
      <c r="C28" s="558">
        <f t="shared" si="3"/>
        <v>1.2195121951219512</v>
      </c>
      <c r="D28" s="217"/>
      <c r="E28" s="924">
        <v>2</v>
      </c>
      <c r="F28" s="289">
        <f t="shared" si="1"/>
        <v>100</v>
      </c>
      <c r="G28" s="556"/>
      <c r="H28" s="924">
        <v>0</v>
      </c>
      <c r="I28" s="289">
        <f t="shared" si="0"/>
        <v>0</v>
      </c>
    </row>
    <row r="29" spans="1:9" ht="15" customHeight="1">
      <c r="A29" s="405" t="s">
        <v>1539</v>
      </c>
      <c r="B29" s="221">
        <f t="shared" si="2"/>
        <v>4</v>
      </c>
      <c r="C29" s="558">
        <f t="shared" si="3"/>
        <v>2.4390243902439024</v>
      </c>
      <c r="D29" s="217"/>
      <c r="E29" s="924">
        <v>0</v>
      </c>
      <c r="F29" s="289">
        <f t="shared" si="1"/>
        <v>0</v>
      </c>
      <c r="G29" s="556"/>
      <c r="H29" s="924">
        <v>4</v>
      </c>
      <c r="I29" s="289">
        <f t="shared" si="0"/>
        <v>100</v>
      </c>
    </row>
    <row r="30" spans="1:9" ht="15" customHeight="1">
      <c r="A30" s="405" t="s">
        <v>736</v>
      </c>
      <c r="B30" s="221">
        <f t="shared" si="2"/>
        <v>2</v>
      </c>
      <c r="C30" s="558">
        <f t="shared" si="3"/>
        <v>1.2195121951219512</v>
      </c>
      <c r="D30" s="217"/>
      <c r="E30" s="924">
        <v>2</v>
      </c>
      <c r="F30" s="289">
        <f t="shared" si="1"/>
        <v>100</v>
      </c>
      <c r="G30" s="556"/>
      <c r="H30" s="924">
        <v>0</v>
      </c>
      <c r="I30" s="289">
        <f t="shared" si="0"/>
        <v>0</v>
      </c>
    </row>
    <row r="31" spans="1:9" ht="15" customHeight="1">
      <c r="A31" s="405" t="s">
        <v>1540</v>
      </c>
      <c r="B31" s="221">
        <f t="shared" si="2"/>
        <v>7</v>
      </c>
      <c r="C31" s="558">
        <f t="shared" si="3"/>
        <v>4.2682926829268295</v>
      </c>
      <c r="D31" s="217"/>
      <c r="E31" s="924">
        <v>1</v>
      </c>
      <c r="F31" s="289">
        <f t="shared" si="1"/>
        <v>14.285714285714285</v>
      </c>
      <c r="G31" s="556"/>
      <c r="H31" s="924">
        <v>6</v>
      </c>
      <c r="I31" s="289">
        <f t="shared" si="0"/>
        <v>85.714285714285708</v>
      </c>
    </row>
    <row r="32" spans="1:9" ht="15" customHeight="1">
      <c r="A32" s="405" t="s">
        <v>739</v>
      </c>
      <c r="B32" s="221">
        <f t="shared" si="2"/>
        <v>2</v>
      </c>
      <c r="C32" s="558">
        <f t="shared" si="3"/>
        <v>1.2195121951219512</v>
      </c>
      <c r="D32" s="217"/>
      <c r="E32" s="924">
        <v>0</v>
      </c>
      <c r="F32" s="289">
        <f t="shared" si="1"/>
        <v>0</v>
      </c>
      <c r="G32" s="556"/>
      <c r="H32" s="924">
        <v>2</v>
      </c>
      <c r="I32" s="289">
        <f t="shared" si="0"/>
        <v>100</v>
      </c>
    </row>
    <row r="33" spans="1:9" ht="15" customHeight="1">
      <c r="A33" s="405" t="s">
        <v>740</v>
      </c>
      <c r="B33" s="221">
        <f t="shared" si="2"/>
        <v>6</v>
      </c>
      <c r="C33" s="558">
        <f t="shared" si="3"/>
        <v>3.6585365853658534</v>
      </c>
      <c r="D33" s="217"/>
      <c r="E33" s="924">
        <v>4</v>
      </c>
      <c r="F33" s="289">
        <f t="shared" si="1"/>
        <v>66.666666666666657</v>
      </c>
      <c r="G33" s="556"/>
      <c r="H33" s="924">
        <v>2</v>
      </c>
      <c r="I33" s="289">
        <f t="shared" si="0"/>
        <v>33.333333333333329</v>
      </c>
    </row>
    <row r="34" spans="1:9" ht="15" customHeight="1">
      <c r="A34" s="926" t="s">
        <v>2142</v>
      </c>
      <c r="B34" s="221">
        <f t="shared" si="2"/>
        <v>7</v>
      </c>
      <c r="C34" s="558">
        <f t="shared" si="3"/>
        <v>4.2682926829268295</v>
      </c>
      <c r="D34" s="217"/>
      <c r="E34" s="924">
        <v>2</v>
      </c>
      <c r="F34" s="289">
        <f t="shared" si="1"/>
        <v>28.571428571428569</v>
      </c>
      <c r="G34" s="556"/>
      <c r="H34" s="924">
        <v>5</v>
      </c>
      <c r="I34" s="289">
        <f t="shared" si="0"/>
        <v>71.428571428571431</v>
      </c>
    </row>
    <row r="35" spans="1:9" ht="15" customHeight="1">
      <c r="A35" s="925" t="s">
        <v>2143</v>
      </c>
      <c r="B35" s="221">
        <f t="shared" si="2"/>
        <v>2</v>
      </c>
      <c r="C35" s="558">
        <f t="shared" si="3"/>
        <v>1.2195121951219512</v>
      </c>
      <c r="D35" s="217"/>
      <c r="E35" s="924">
        <v>1</v>
      </c>
      <c r="F35" s="289">
        <f t="shared" si="1"/>
        <v>50</v>
      </c>
      <c r="G35" s="556"/>
      <c r="H35" s="924">
        <v>1</v>
      </c>
      <c r="I35" s="289">
        <f t="shared" si="0"/>
        <v>50</v>
      </c>
    </row>
    <row r="36" spans="1:9" ht="15" customHeight="1">
      <c r="A36" s="405" t="s">
        <v>746</v>
      </c>
      <c r="B36" s="221">
        <f t="shared" si="2"/>
        <v>11</v>
      </c>
      <c r="C36" s="558">
        <f t="shared" si="3"/>
        <v>6.7073170731707323</v>
      </c>
      <c r="D36" s="217"/>
      <c r="E36" s="924">
        <v>10</v>
      </c>
      <c r="F36" s="289">
        <f t="shared" si="1"/>
        <v>90.909090909090907</v>
      </c>
      <c r="G36" s="556"/>
      <c r="H36" s="924">
        <v>1</v>
      </c>
      <c r="I36" s="289">
        <f t="shared" si="0"/>
        <v>9.0909090909090917</v>
      </c>
    </row>
    <row r="37" spans="1:9" ht="15" customHeight="1">
      <c r="A37" s="405" t="s">
        <v>747</v>
      </c>
      <c r="B37" s="221">
        <f t="shared" si="2"/>
        <v>2</v>
      </c>
      <c r="C37" s="558">
        <f t="shared" si="3"/>
        <v>1.2195121951219512</v>
      </c>
      <c r="D37" s="217"/>
      <c r="E37" s="924">
        <v>2</v>
      </c>
      <c r="F37" s="289">
        <f t="shared" si="1"/>
        <v>100</v>
      </c>
      <c r="G37" s="556"/>
      <c r="H37" s="924">
        <v>0</v>
      </c>
      <c r="I37" s="289">
        <f t="shared" si="0"/>
        <v>0</v>
      </c>
    </row>
    <row r="38" spans="1:9" ht="15" customHeight="1">
      <c r="A38" s="405" t="s">
        <v>748</v>
      </c>
      <c r="B38" s="221">
        <f t="shared" si="2"/>
        <v>4</v>
      </c>
      <c r="C38" s="558">
        <f t="shared" si="3"/>
        <v>2.4390243902439024</v>
      </c>
      <c r="D38" s="217"/>
      <c r="E38" s="924">
        <v>4</v>
      </c>
      <c r="F38" s="289">
        <f t="shared" si="1"/>
        <v>100</v>
      </c>
      <c r="G38" s="556"/>
      <c r="H38" s="924">
        <v>0</v>
      </c>
      <c r="I38" s="289">
        <f t="shared" si="0"/>
        <v>0</v>
      </c>
    </row>
    <row r="39" spans="1:9" ht="15" customHeight="1">
      <c r="A39" s="405" t="s">
        <v>749</v>
      </c>
      <c r="B39" s="221">
        <f>IF($A39&lt;&gt;0,E39+H39,"")</f>
        <v>1</v>
      </c>
      <c r="C39" s="558">
        <f>IF(A39&lt;&gt;0,B39/$B$11*100,"")</f>
        <v>0.6097560975609756</v>
      </c>
      <c r="D39" s="217"/>
      <c r="E39" s="924">
        <v>1</v>
      </c>
      <c r="F39" s="289">
        <f t="shared" si="1"/>
        <v>100</v>
      </c>
      <c r="G39" s="556"/>
      <c r="H39" s="924">
        <v>0</v>
      </c>
      <c r="I39" s="289">
        <f t="shared" si="0"/>
        <v>0</v>
      </c>
    </row>
    <row r="40" spans="1:9" ht="15" customHeight="1">
      <c r="A40" s="926" t="s">
        <v>751</v>
      </c>
      <c r="B40" s="221">
        <f t="shared" si="2"/>
        <v>3</v>
      </c>
      <c r="C40" s="558">
        <f t="shared" si="3"/>
        <v>1.8292682926829267</v>
      </c>
      <c r="D40" s="217"/>
      <c r="E40" s="924">
        <v>1</v>
      </c>
      <c r="F40" s="289">
        <f t="shared" si="1"/>
        <v>33.333333333333329</v>
      </c>
      <c r="G40" s="556"/>
      <c r="H40" s="924">
        <v>2</v>
      </c>
      <c r="I40" s="289">
        <f t="shared" si="0"/>
        <v>66.666666666666657</v>
      </c>
    </row>
    <row r="41" spans="1:9" ht="15" customHeight="1">
      <c r="A41" s="405" t="s">
        <v>752</v>
      </c>
      <c r="B41" s="221">
        <f t="shared" si="2"/>
        <v>1</v>
      </c>
      <c r="C41" s="558">
        <f t="shared" si="3"/>
        <v>0.6097560975609756</v>
      </c>
      <c r="D41" s="217"/>
      <c r="E41" s="924">
        <v>1</v>
      </c>
      <c r="F41" s="289">
        <f t="shared" si="1"/>
        <v>100</v>
      </c>
      <c r="G41" s="556"/>
      <c r="H41" s="924">
        <v>0</v>
      </c>
      <c r="I41" s="289">
        <f t="shared" si="0"/>
        <v>0</v>
      </c>
    </row>
    <row r="42" spans="1:9" ht="15" customHeight="1">
      <c r="A42" s="405" t="s">
        <v>755</v>
      </c>
      <c r="B42" s="221">
        <f t="shared" si="2"/>
        <v>8</v>
      </c>
      <c r="C42" s="558">
        <f t="shared" si="3"/>
        <v>4.8780487804878048</v>
      </c>
      <c r="D42" s="217"/>
      <c r="E42" s="924">
        <v>5</v>
      </c>
      <c r="F42" s="289">
        <f t="shared" si="1"/>
        <v>62.5</v>
      </c>
      <c r="G42" s="556"/>
      <c r="H42" s="924">
        <v>3</v>
      </c>
      <c r="I42" s="289">
        <f t="shared" si="0"/>
        <v>37.5</v>
      </c>
    </row>
    <row r="43" spans="1:9" ht="15" customHeight="1">
      <c r="A43" s="405" t="s">
        <v>757</v>
      </c>
      <c r="B43" s="221">
        <f t="shared" si="2"/>
        <v>3</v>
      </c>
      <c r="C43" s="558">
        <f t="shared" si="3"/>
        <v>1.8292682926829267</v>
      </c>
      <c r="D43" s="217"/>
      <c r="E43" s="924">
        <v>3</v>
      </c>
      <c r="F43" s="289">
        <f t="shared" si="1"/>
        <v>100</v>
      </c>
      <c r="G43" s="556"/>
      <c r="H43" s="924">
        <v>0</v>
      </c>
      <c r="I43" s="289">
        <f t="shared" si="0"/>
        <v>0</v>
      </c>
    </row>
    <row r="44" spans="1:9" ht="15" customHeight="1">
      <c r="A44" s="926" t="s">
        <v>2144</v>
      </c>
      <c r="B44" s="221">
        <f t="shared" si="2"/>
        <v>1</v>
      </c>
      <c r="C44" s="558">
        <f t="shared" si="3"/>
        <v>0.6097560975609756</v>
      </c>
      <c r="D44" s="217"/>
      <c r="E44" s="924">
        <v>1</v>
      </c>
      <c r="F44" s="289">
        <f t="shared" si="1"/>
        <v>100</v>
      </c>
      <c r="G44" s="556"/>
      <c r="H44" s="924">
        <v>0</v>
      </c>
      <c r="I44" s="289">
        <f t="shared" si="0"/>
        <v>0</v>
      </c>
    </row>
    <row r="45" spans="1:9" ht="15" customHeight="1">
      <c r="A45" s="405" t="s">
        <v>761</v>
      </c>
      <c r="B45" s="221">
        <f t="shared" si="2"/>
        <v>10</v>
      </c>
      <c r="C45" s="558">
        <f t="shared" si="3"/>
        <v>6.0975609756097562</v>
      </c>
      <c r="D45" s="217"/>
      <c r="E45" s="924">
        <v>3</v>
      </c>
      <c r="F45" s="289">
        <f t="shared" si="1"/>
        <v>30</v>
      </c>
      <c r="G45" s="556"/>
      <c r="H45" s="924">
        <v>7</v>
      </c>
      <c r="I45" s="289">
        <f t="shared" si="0"/>
        <v>70</v>
      </c>
    </row>
    <row r="46" spans="1:9" ht="15" customHeight="1">
      <c r="A46" s="405" t="s">
        <v>762</v>
      </c>
      <c r="B46" s="221">
        <f t="shared" si="2"/>
        <v>14</v>
      </c>
      <c r="C46" s="558">
        <f t="shared" si="3"/>
        <v>8.536585365853659</v>
      </c>
      <c r="D46" s="217"/>
      <c r="E46" s="924">
        <v>6</v>
      </c>
      <c r="F46" s="289">
        <f t="shared" si="1"/>
        <v>42.857142857142854</v>
      </c>
      <c r="G46" s="556"/>
      <c r="H46" s="924">
        <v>8</v>
      </c>
      <c r="I46" s="289">
        <f t="shared" si="0"/>
        <v>57.142857142857139</v>
      </c>
    </row>
    <row r="47" spans="1:9" ht="15" customHeight="1">
      <c r="A47" s="405" t="s">
        <v>763</v>
      </c>
      <c r="B47" s="221">
        <f t="shared" si="2"/>
        <v>3</v>
      </c>
      <c r="C47" s="558">
        <f t="shared" si="3"/>
        <v>1.8292682926829267</v>
      </c>
      <c r="D47" s="217"/>
      <c r="E47" s="924">
        <v>3</v>
      </c>
      <c r="F47" s="289">
        <f t="shared" si="1"/>
        <v>100</v>
      </c>
      <c r="G47" s="556"/>
      <c r="H47" s="924">
        <v>0</v>
      </c>
      <c r="I47" s="289">
        <f t="shared" si="0"/>
        <v>0</v>
      </c>
    </row>
    <row r="48" spans="1:9" ht="15" customHeight="1">
      <c r="A48" s="925" t="s">
        <v>768</v>
      </c>
      <c r="B48" s="221">
        <f t="shared" si="2"/>
        <v>3</v>
      </c>
      <c r="C48" s="558">
        <f t="shared" si="3"/>
        <v>1.8292682926829267</v>
      </c>
      <c r="D48" s="217"/>
      <c r="E48" s="924">
        <v>2</v>
      </c>
      <c r="F48" s="289">
        <f t="shared" si="1"/>
        <v>66.666666666666657</v>
      </c>
      <c r="G48" s="556"/>
      <c r="H48" s="924">
        <v>1</v>
      </c>
      <c r="I48" s="289">
        <f t="shared" si="0"/>
        <v>33.333333333333329</v>
      </c>
    </row>
    <row r="49" spans="1:10" ht="15" customHeight="1">
      <c r="A49" s="405" t="s">
        <v>769</v>
      </c>
      <c r="B49" s="221">
        <f t="shared" si="2"/>
        <v>2</v>
      </c>
      <c r="C49" s="558">
        <f t="shared" si="3"/>
        <v>1.2195121951219512</v>
      </c>
      <c r="D49" s="217"/>
      <c r="E49" s="924">
        <v>2</v>
      </c>
      <c r="F49" s="289">
        <f t="shared" si="1"/>
        <v>100</v>
      </c>
      <c r="G49" s="556"/>
      <c r="H49" s="924">
        <v>0</v>
      </c>
      <c r="I49" s="289">
        <f t="shared" si="0"/>
        <v>0</v>
      </c>
    </row>
    <row r="50" spans="1:10" ht="15" customHeight="1">
      <c r="A50" s="405" t="s">
        <v>771</v>
      </c>
      <c r="B50" s="221">
        <f t="shared" si="2"/>
        <v>3</v>
      </c>
      <c r="C50" s="558">
        <f t="shared" si="3"/>
        <v>1.8292682926829267</v>
      </c>
      <c r="D50" s="217"/>
      <c r="E50" s="924">
        <v>3</v>
      </c>
      <c r="F50" s="289">
        <f t="shared" si="1"/>
        <v>100</v>
      </c>
      <c r="G50" s="556"/>
      <c r="H50" s="924">
        <v>0</v>
      </c>
      <c r="I50" s="289">
        <f t="shared" si="0"/>
        <v>0</v>
      </c>
    </row>
    <row r="51" spans="1:10" ht="7.5" customHeight="1" thickBot="1">
      <c r="A51" s="102"/>
      <c r="B51" s="124"/>
      <c r="C51" s="124"/>
      <c r="D51" s="102"/>
      <c r="E51" s="102"/>
      <c r="F51" s="102"/>
      <c r="G51" s="102"/>
      <c r="H51" s="102"/>
      <c r="I51" s="102"/>
      <c r="J51" s="102"/>
    </row>
    <row r="52" spans="1:10" ht="9" customHeight="1">
      <c r="A52" s="135"/>
      <c r="H52" s="140"/>
      <c r="I52" s="140"/>
      <c r="J52" s="140"/>
    </row>
    <row r="53" spans="1:10">
      <c r="A53" s="33" t="s">
        <v>2145</v>
      </c>
    </row>
    <row r="54" spans="1:10">
      <c r="A54" s="95" t="s">
        <v>1532</v>
      </c>
    </row>
    <row r="56" spans="1:10">
      <c r="A56" s="95" t="s">
        <v>1533</v>
      </c>
    </row>
    <row r="57" spans="1:10">
      <c r="A57" s="95" t="s">
        <v>1534</v>
      </c>
    </row>
  </sheetData>
  <mergeCells count="3">
    <mergeCell ref="B7:C7"/>
    <mergeCell ref="E7:F7"/>
    <mergeCell ref="H7:I7"/>
  </mergeCells>
  <pageMargins left="0.70866141732283472" right="0.70866141732283472" top="0.55118110236220474" bottom="0.55118110236220474" header="0.31496062992125984" footer="0.31496062992125984"/>
  <pageSetup scale="85" orientation="portrait" horizontalDpi="4294967293" vertic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5" tint="-0.249977111117893"/>
  </sheetPr>
  <dimension ref="A1:I43"/>
  <sheetViews>
    <sheetView workbookViewId="0">
      <selection activeCell="J5" sqref="J5"/>
    </sheetView>
  </sheetViews>
  <sheetFormatPr baseColWidth="10" defaultRowHeight="15"/>
  <sheetData>
    <row r="1" spans="1:9">
      <c r="F1" s="3"/>
      <c r="G1" s="3"/>
    </row>
    <row r="2" spans="1:9">
      <c r="C2" s="33" t="s">
        <v>1161</v>
      </c>
      <c r="D2" s="33" t="s">
        <v>1162</v>
      </c>
      <c r="H2" s="61"/>
      <c r="I2" s="61"/>
    </row>
    <row r="3" spans="1:9">
      <c r="B3" s="33" t="s">
        <v>1603</v>
      </c>
      <c r="C3" s="428">
        <v>74</v>
      </c>
      <c r="D3" s="428">
        <v>90</v>
      </c>
      <c r="G3" s="33"/>
      <c r="H3" s="428"/>
      <c r="I3" s="428"/>
    </row>
    <row r="4" spans="1:9">
      <c r="B4" s="33" t="s">
        <v>1152</v>
      </c>
      <c r="C4" s="428">
        <v>375</v>
      </c>
      <c r="D4" s="428">
        <v>364</v>
      </c>
      <c r="E4" s="55"/>
      <c r="F4" s="562"/>
      <c r="G4" s="33"/>
      <c r="H4" s="428"/>
      <c r="I4" s="428"/>
    </row>
    <row r="5" spans="1:9">
      <c r="B5" s="14" t="s">
        <v>1153</v>
      </c>
      <c r="C5" s="428">
        <v>408</v>
      </c>
      <c r="D5" s="428">
        <v>578</v>
      </c>
      <c r="E5" s="33"/>
      <c r="F5" s="428"/>
      <c r="G5" s="14"/>
      <c r="H5" s="428"/>
      <c r="I5" s="428"/>
    </row>
    <row r="6" spans="1:9">
      <c r="B6" s="33" t="s">
        <v>1158</v>
      </c>
      <c r="C6">
        <v>432</v>
      </c>
      <c r="D6">
        <v>417</v>
      </c>
      <c r="E6" s="55"/>
      <c r="F6" s="428"/>
      <c r="G6" s="33"/>
    </row>
    <row r="7" spans="1:9">
      <c r="B7" s="14" t="s">
        <v>1155</v>
      </c>
      <c r="C7" s="428">
        <v>821</v>
      </c>
      <c r="D7" s="428">
        <v>596</v>
      </c>
      <c r="E7" s="636"/>
      <c r="F7" s="428"/>
      <c r="G7" s="14"/>
      <c r="H7" s="428"/>
      <c r="I7" s="428"/>
    </row>
    <row r="8" spans="1:9">
      <c r="B8" s="33" t="s">
        <v>1154</v>
      </c>
      <c r="C8" s="428">
        <v>874</v>
      </c>
      <c r="D8" s="428">
        <v>1810</v>
      </c>
      <c r="E8" s="33"/>
      <c r="F8" s="428"/>
      <c r="G8" s="33"/>
      <c r="H8" s="428"/>
      <c r="I8" s="428"/>
    </row>
    <row r="9" spans="1:9">
      <c r="B9" s="33" t="s">
        <v>1156</v>
      </c>
      <c r="C9" s="428">
        <v>1282</v>
      </c>
      <c r="D9" s="428">
        <v>570</v>
      </c>
      <c r="E9" s="55"/>
      <c r="F9" s="428"/>
      <c r="G9" s="33"/>
      <c r="H9" s="428"/>
      <c r="I9" s="428"/>
    </row>
    <row r="10" spans="1:9">
      <c r="B10" s="33" t="s">
        <v>1157</v>
      </c>
      <c r="C10" s="547">
        <v>3843</v>
      </c>
      <c r="D10" s="547">
        <v>2839</v>
      </c>
      <c r="E10" s="55"/>
      <c r="F10" s="547"/>
      <c r="G10" s="33"/>
      <c r="H10" s="547"/>
      <c r="I10" s="547"/>
    </row>
    <row r="11" spans="1:9">
      <c r="B11" s="33" t="s">
        <v>423</v>
      </c>
      <c r="C11" s="428">
        <v>4311</v>
      </c>
      <c r="D11" s="428">
        <v>3611</v>
      </c>
      <c r="E11" s="55"/>
      <c r="F11" s="428"/>
      <c r="G11" s="33"/>
      <c r="H11" s="428"/>
      <c r="I11" s="428"/>
    </row>
    <row r="12" spans="1:9">
      <c r="E12" s="33"/>
      <c r="F12" s="12"/>
      <c r="G12" s="12"/>
    </row>
    <row r="13" spans="1:9">
      <c r="E13" s="33"/>
      <c r="F13" s="12"/>
      <c r="G13" s="12"/>
    </row>
    <row r="15" spans="1:9">
      <c r="A15" s="55"/>
      <c r="B15" s="33"/>
      <c r="C15" s="555"/>
      <c r="D15" s="555"/>
    </row>
    <row r="16" spans="1:9">
      <c r="A16" s="55"/>
      <c r="B16" s="14"/>
      <c r="C16" s="428"/>
      <c r="D16" s="428"/>
    </row>
    <row r="17" spans="1:4">
      <c r="A17" s="33"/>
      <c r="B17" s="33"/>
      <c r="C17" s="635"/>
      <c r="D17" s="635"/>
    </row>
    <row r="18" spans="1:4">
      <c r="A18" s="55"/>
      <c r="B18" s="33"/>
      <c r="C18" s="428"/>
      <c r="D18" s="428"/>
    </row>
    <row r="19" spans="1:4">
      <c r="A19" s="55"/>
      <c r="B19" s="33"/>
      <c r="C19" s="428"/>
      <c r="D19" s="428"/>
    </row>
    <row r="20" spans="1:4">
      <c r="A20" s="55"/>
      <c r="B20" s="14"/>
      <c r="C20" s="428"/>
      <c r="D20" s="428"/>
    </row>
    <row r="21" spans="1:4">
      <c r="A21" s="55"/>
      <c r="B21" s="33"/>
      <c r="C21" s="428"/>
      <c r="D21" s="428"/>
    </row>
    <row r="22" spans="1:4">
      <c r="A22" s="55"/>
      <c r="B22" s="33"/>
      <c r="C22" s="547"/>
      <c r="D22" s="547"/>
    </row>
    <row r="23" spans="1:4">
      <c r="A23" s="55"/>
      <c r="B23" s="33"/>
      <c r="C23" s="428"/>
      <c r="D23" s="428"/>
    </row>
    <row r="32" spans="1:4">
      <c r="C32" s="33"/>
      <c r="D32" s="33"/>
    </row>
    <row r="35" spans="1:4">
      <c r="A35" s="55"/>
      <c r="C35" s="547"/>
      <c r="D35" s="547"/>
    </row>
    <row r="42" spans="1:4">
      <c r="C42" s="549"/>
      <c r="D42" s="549"/>
    </row>
    <row r="43" spans="1:4">
      <c r="C43" s="549"/>
      <c r="D43" s="549"/>
    </row>
  </sheetData>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S108"/>
  <sheetViews>
    <sheetView topLeftCell="A58" workbookViewId="0">
      <selection activeCell="J5" sqref="J5"/>
    </sheetView>
  </sheetViews>
  <sheetFormatPr baseColWidth="10" defaultColWidth="9.1640625" defaultRowHeight="13"/>
  <cols>
    <col min="1" max="1" width="34.5" style="95" customWidth="1"/>
    <col min="2" max="2" width="7.6640625" style="58" customWidth="1"/>
    <col min="3" max="3" width="7.6640625" style="204" customWidth="1"/>
    <col min="4" max="4" width="1.6640625" style="33" customWidth="1"/>
    <col min="5" max="5" width="7.6640625" style="72" customWidth="1"/>
    <col min="6" max="6" width="8.5" style="73" customWidth="1"/>
    <col min="7" max="7" width="1.6640625" style="33" customWidth="1"/>
    <col min="8" max="8" width="7.6640625" style="72" customWidth="1"/>
    <col min="9" max="9" width="9" style="73" customWidth="1"/>
    <col min="10" max="10" width="1.6640625" style="73" customWidth="1"/>
    <col min="11" max="11" width="7.6640625" style="72" customWidth="1"/>
    <col min="12" max="12" width="8" style="33" customWidth="1"/>
    <col min="13" max="13" width="1.6640625" style="33" customWidth="1"/>
    <col min="14" max="14" width="7.6640625" style="72" customWidth="1"/>
    <col min="15" max="15" width="9" style="33" customWidth="1"/>
    <col min="16" max="16" width="1.6640625" style="33" customWidth="1"/>
    <col min="17" max="17" width="7.6640625" style="72" customWidth="1"/>
    <col min="18" max="18" width="7.6640625" style="95" customWidth="1"/>
    <col min="19" max="19" width="1.6640625" style="95" customWidth="1"/>
    <col min="20" max="256" width="9.1640625" style="95"/>
    <col min="257" max="257" width="34.5" style="95" customWidth="1"/>
    <col min="258" max="259" width="7.6640625" style="95" customWidth="1"/>
    <col min="260" max="260" width="1.6640625" style="95" customWidth="1"/>
    <col min="261" max="261" width="7.6640625" style="95" customWidth="1"/>
    <col min="262" max="262" width="8.5" style="95" customWidth="1"/>
    <col min="263" max="263" width="1.6640625" style="95" customWidth="1"/>
    <col min="264" max="264" width="7.6640625" style="95" customWidth="1"/>
    <col min="265" max="265" width="9" style="95" customWidth="1"/>
    <col min="266" max="266" width="1.6640625" style="95" customWidth="1"/>
    <col min="267" max="267" width="7.6640625" style="95" customWidth="1"/>
    <col min="268" max="268" width="8" style="95" customWidth="1"/>
    <col min="269" max="269" width="1.6640625" style="95" customWidth="1"/>
    <col min="270" max="270" width="7.6640625" style="95" customWidth="1"/>
    <col min="271" max="271" width="9" style="95" customWidth="1"/>
    <col min="272" max="272" width="1.6640625" style="95" customWidth="1"/>
    <col min="273" max="274" width="7.6640625" style="95" customWidth="1"/>
    <col min="275" max="275" width="1.6640625" style="95" customWidth="1"/>
    <col min="276" max="512" width="9.1640625" style="95"/>
    <col min="513" max="513" width="34.5" style="95" customWidth="1"/>
    <col min="514" max="515" width="7.6640625" style="95" customWidth="1"/>
    <col min="516" max="516" width="1.6640625" style="95" customWidth="1"/>
    <col min="517" max="517" width="7.6640625" style="95" customWidth="1"/>
    <col min="518" max="518" width="8.5" style="95" customWidth="1"/>
    <col min="519" max="519" width="1.6640625" style="95" customWidth="1"/>
    <col min="520" max="520" width="7.6640625" style="95" customWidth="1"/>
    <col min="521" max="521" width="9" style="95" customWidth="1"/>
    <col min="522" max="522" width="1.6640625" style="95" customWidth="1"/>
    <col min="523" max="523" width="7.6640625" style="95" customWidth="1"/>
    <col min="524" max="524" width="8" style="95" customWidth="1"/>
    <col min="525" max="525" width="1.6640625" style="95" customWidth="1"/>
    <col min="526" max="526" width="7.6640625" style="95" customWidth="1"/>
    <col min="527" max="527" width="9" style="95" customWidth="1"/>
    <col min="528" max="528" width="1.6640625" style="95" customWidth="1"/>
    <col min="529" max="530" width="7.6640625" style="95" customWidth="1"/>
    <col min="531" max="531" width="1.6640625" style="95" customWidth="1"/>
    <col min="532" max="768" width="9.1640625" style="95"/>
    <col min="769" max="769" width="34.5" style="95" customWidth="1"/>
    <col min="770" max="771" width="7.6640625" style="95" customWidth="1"/>
    <col min="772" max="772" width="1.6640625" style="95" customWidth="1"/>
    <col min="773" max="773" width="7.6640625" style="95" customWidth="1"/>
    <col min="774" max="774" width="8.5" style="95" customWidth="1"/>
    <col min="775" max="775" width="1.6640625" style="95" customWidth="1"/>
    <col min="776" max="776" width="7.6640625" style="95" customWidth="1"/>
    <col min="777" max="777" width="9" style="95" customWidth="1"/>
    <col min="778" max="778" width="1.6640625" style="95" customWidth="1"/>
    <col min="779" max="779" width="7.6640625" style="95" customWidth="1"/>
    <col min="780" max="780" width="8" style="95" customWidth="1"/>
    <col min="781" max="781" width="1.6640625" style="95" customWidth="1"/>
    <col min="782" max="782" width="7.6640625" style="95" customWidth="1"/>
    <col min="783" max="783" width="9" style="95" customWidth="1"/>
    <col min="784" max="784" width="1.6640625" style="95" customWidth="1"/>
    <col min="785" max="786" width="7.6640625" style="95" customWidth="1"/>
    <col min="787" max="787" width="1.6640625" style="95" customWidth="1"/>
    <col min="788" max="1024" width="9.1640625" style="95"/>
    <col min="1025" max="1025" width="34.5" style="95" customWidth="1"/>
    <col min="1026" max="1027" width="7.6640625" style="95" customWidth="1"/>
    <col min="1028" max="1028" width="1.6640625" style="95" customWidth="1"/>
    <col min="1029" max="1029" width="7.6640625" style="95" customWidth="1"/>
    <col min="1030" max="1030" width="8.5" style="95" customWidth="1"/>
    <col min="1031" max="1031" width="1.6640625" style="95" customWidth="1"/>
    <col min="1032" max="1032" width="7.6640625" style="95" customWidth="1"/>
    <col min="1033" max="1033" width="9" style="95" customWidth="1"/>
    <col min="1034" max="1034" width="1.6640625" style="95" customWidth="1"/>
    <col min="1035" max="1035" width="7.6640625" style="95" customWidth="1"/>
    <col min="1036" max="1036" width="8" style="95" customWidth="1"/>
    <col min="1037" max="1037" width="1.6640625" style="95" customWidth="1"/>
    <col min="1038" max="1038" width="7.6640625" style="95" customWidth="1"/>
    <col min="1039" max="1039" width="9" style="95" customWidth="1"/>
    <col min="1040" max="1040" width="1.6640625" style="95" customWidth="1"/>
    <col min="1041" max="1042" width="7.6640625" style="95" customWidth="1"/>
    <col min="1043" max="1043" width="1.6640625" style="95" customWidth="1"/>
    <col min="1044" max="1280" width="9.1640625" style="95"/>
    <col min="1281" max="1281" width="34.5" style="95" customWidth="1"/>
    <col min="1282" max="1283" width="7.6640625" style="95" customWidth="1"/>
    <col min="1284" max="1284" width="1.6640625" style="95" customWidth="1"/>
    <col min="1285" max="1285" width="7.6640625" style="95" customWidth="1"/>
    <col min="1286" max="1286" width="8.5" style="95" customWidth="1"/>
    <col min="1287" max="1287" width="1.6640625" style="95" customWidth="1"/>
    <col min="1288" max="1288" width="7.6640625" style="95" customWidth="1"/>
    <col min="1289" max="1289" width="9" style="95" customWidth="1"/>
    <col min="1290" max="1290" width="1.6640625" style="95" customWidth="1"/>
    <col min="1291" max="1291" width="7.6640625" style="95" customWidth="1"/>
    <col min="1292" max="1292" width="8" style="95" customWidth="1"/>
    <col min="1293" max="1293" width="1.6640625" style="95" customWidth="1"/>
    <col min="1294" max="1294" width="7.6640625" style="95" customWidth="1"/>
    <col min="1295" max="1295" width="9" style="95" customWidth="1"/>
    <col min="1296" max="1296" width="1.6640625" style="95" customWidth="1"/>
    <col min="1297" max="1298" width="7.6640625" style="95" customWidth="1"/>
    <col min="1299" max="1299" width="1.6640625" style="95" customWidth="1"/>
    <col min="1300" max="1536" width="9.1640625" style="95"/>
    <col min="1537" max="1537" width="34.5" style="95" customWidth="1"/>
    <col min="1538" max="1539" width="7.6640625" style="95" customWidth="1"/>
    <col min="1540" max="1540" width="1.6640625" style="95" customWidth="1"/>
    <col min="1541" max="1541" width="7.6640625" style="95" customWidth="1"/>
    <col min="1542" max="1542" width="8.5" style="95" customWidth="1"/>
    <col min="1543" max="1543" width="1.6640625" style="95" customWidth="1"/>
    <col min="1544" max="1544" width="7.6640625" style="95" customWidth="1"/>
    <col min="1545" max="1545" width="9" style="95" customWidth="1"/>
    <col min="1546" max="1546" width="1.6640625" style="95" customWidth="1"/>
    <col min="1547" max="1547" width="7.6640625" style="95" customWidth="1"/>
    <col min="1548" max="1548" width="8" style="95" customWidth="1"/>
    <col min="1549" max="1549" width="1.6640625" style="95" customWidth="1"/>
    <col min="1550" max="1550" width="7.6640625" style="95" customWidth="1"/>
    <col min="1551" max="1551" width="9" style="95" customWidth="1"/>
    <col min="1552" max="1552" width="1.6640625" style="95" customWidth="1"/>
    <col min="1553" max="1554" width="7.6640625" style="95" customWidth="1"/>
    <col min="1555" max="1555" width="1.6640625" style="95" customWidth="1"/>
    <col min="1556" max="1792" width="9.1640625" style="95"/>
    <col min="1793" max="1793" width="34.5" style="95" customWidth="1"/>
    <col min="1794" max="1795" width="7.6640625" style="95" customWidth="1"/>
    <col min="1796" max="1796" width="1.6640625" style="95" customWidth="1"/>
    <col min="1797" max="1797" width="7.6640625" style="95" customWidth="1"/>
    <col min="1798" max="1798" width="8.5" style="95" customWidth="1"/>
    <col min="1799" max="1799" width="1.6640625" style="95" customWidth="1"/>
    <col min="1800" max="1800" width="7.6640625" style="95" customWidth="1"/>
    <col min="1801" max="1801" width="9" style="95" customWidth="1"/>
    <col min="1802" max="1802" width="1.6640625" style="95" customWidth="1"/>
    <col min="1803" max="1803" width="7.6640625" style="95" customWidth="1"/>
    <col min="1804" max="1804" width="8" style="95" customWidth="1"/>
    <col min="1805" max="1805" width="1.6640625" style="95" customWidth="1"/>
    <col min="1806" max="1806" width="7.6640625" style="95" customWidth="1"/>
    <col min="1807" max="1807" width="9" style="95" customWidth="1"/>
    <col min="1808" max="1808" width="1.6640625" style="95" customWidth="1"/>
    <col min="1809" max="1810" width="7.6640625" style="95" customWidth="1"/>
    <col min="1811" max="1811" width="1.6640625" style="95" customWidth="1"/>
    <col min="1812" max="2048" width="9.1640625" style="95"/>
    <col min="2049" max="2049" width="34.5" style="95" customWidth="1"/>
    <col min="2050" max="2051" width="7.6640625" style="95" customWidth="1"/>
    <col min="2052" max="2052" width="1.6640625" style="95" customWidth="1"/>
    <col min="2053" max="2053" width="7.6640625" style="95" customWidth="1"/>
    <col min="2054" max="2054" width="8.5" style="95" customWidth="1"/>
    <col min="2055" max="2055" width="1.6640625" style="95" customWidth="1"/>
    <col min="2056" max="2056" width="7.6640625" style="95" customWidth="1"/>
    <col min="2057" max="2057" width="9" style="95" customWidth="1"/>
    <col min="2058" max="2058" width="1.6640625" style="95" customWidth="1"/>
    <col min="2059" max="2059" width="7.6640625" style="95" customWidth="1"/>
    <col min="2060" max="2060" width="8" style="95" customWidth="1"/>
    <col min="2061" max="2061" width="1.6640625" style="95" customWidth="1"/>
    <col min="2062" max="2062" width="7.6640625" style="95" customWidth="1"/>
    <col min="2063" max="2063" width="9" style="95" customWidth="1"/>
    <col min="2064" max="2064" width="1.6640625" style="95" customWidth="1"/>
    <col min="2065" max="2066" width="7.6640625" style="95" customWidth="1"/>
    <col min="2067" max="2067" width="1.6640625" style="95" customWidth="1"/>
    <col min="2068" max="2304" width="9.1640625" style="95"/>
    <col min="2305" max="2305" width="34.5" style="95" customWidth="1"/>
    <col min="2306" max="2307" width="7.6640625" style="95" customWidth="1"/>
    <col min="2308" max="2308" width="1.6640625" style="95" customWidth="1"/>
    <col min="2309" max="2309" width="7.6640625" style="95" customWidth="1"/>
    <col min="2310" max="2310" width="8.5" style="95" customWidth="1"/>
    <col min="2311" max="2311" width="1.6640625" style="95" customWidth="1"/>
    <col min="2312" max="2312" width="7.6640625" style="95" customWidth="1"/>
    <col min="2313" max="2313" width="9" style="95" customWidth="1"/>
    <col min="2314" max="2314" width="1.6640625" style="95" customWidth="1"/>
    <col min="2315" max="2315" width="7.6640625" style="95" customWidth="1"/>
    <col min="2316" max="2316" width="8" style="95" customWidth="1"/>
    <col min="2317" max="2317" width="1.6640625" style="95" customWidth="1"/>
    <col min="2318" max="2318" width="7.6640625" style="95" customWidth="1"/>
    <col min="2319" max="2319" width="9" style="95" customWidth="1"/>
    <col min="2320" max="2320" width="1.6640625" style="95" customWidth="1"/>
    <col min="2321" max="2322" width="7.6640625" style="95" customWidth="1"/>
    <col min="2323" max="2323" width="1.6640625" style="95" customWidth="1"/>
    <col min="2324" max="2560" width="9.1640625" style="95"/>
    <col min="2561" max="2561" width="34.5" style="95" customWidth="1"/>
    <col min="2562" max="2563" width="7.6640625" style="95" customWidth="1"/>
    <col min="2564" max="2564" width="1.6640625" style="95" customWidth="1"/>
    <col min="2565" max="2565" width="7.6640625" style="95" customWidth="1"/>
    <col min="2566" max="2566" width="8.5" style="95" customWidth="1"/>
    <col min="2567" max="2567" width="1.6640625" style="95" customWidth="1"/>
    <col min="2568" max="2568" width="7.6640625" style="95" customWidth="1"/>
    <col min="2569" max="2569" width="9" style="95" customWidth="1"/>
    <col min="2570" max="2570" width="1.6640625" style="95" customWidth="1"/>
    <col min="2571" max="2571" width="7.6640625" style="95" customWidth="1"/>
    <col min="2572" max="2572" width="8" style="95" customWidth="1"/>
    <col min="2573" max="2573" width="1.6640625" style="95" customWidth="1"/>
    <col min="2574" max="2574" width="7.6640625" style="95" customWidth="1"/>
    <col min="2575" max="2575" width="9" style="95" customWidth="1"/>
    <col min="2576" max="2576" width="1.6640625" style="95" customWidth="1"/>
    <col min="2577" max="2578" width="7.6640625" style="95" customWidth="1"/>
    <col min="2579" max="2579" width="1.6640625" style="95" customWidth="1"/>
    <col min="2580" max="2816" width="9.1640625" style="95"/>
    <col min="2817" max="2817" width="34.5" style="95" customWidth="1"/>
    <col min="2818" max="2819" width="7.6640625" style="95" customWidth="1"/>
    <col min="2820" max="2820" width="1.6640625" style="95" customWidth="1"/>
    <col min="2821" max="2821" width="7.6640625" style="95" customWidth="1"/>
    <col min="2822" max="2822" width="8.5" style="95" customWidth="1"/>
    <col min="2823" max="2823" width="1.6640625" style="95" customWidth="1"/>
    <col min="2824" max="2824" width="7.6640625" style="95" customWidth="1"/>
    <col min="2825" max="2825" width="9" style="95" customWidth="1"/>
    <col min="2826" max="2826" width="1.6640625" style="95" customWidth="1"/>
    <col min="2827" max="2827" width="7.6640625" style="95" customWidth="1"/>
    <col min="2828" max="2828" width="8" style="95" customWidth="1"/>
    <col min="2829" max="2829" width="1.6640625" style="95" customWidth="1"/>
    <col min="2830" max="2830" width="7.6640625" style="95" customWidth="1"/>
    <col min="2831" max="2831" width="9" style="95" customWidth="1"/>
    <col min="2832" max="2832" width="1.6640625" style="95" customWidth="1"/>
    <col min="2833" max="2834" width="7.6640625" style="95" customWidth="1"/>
    <col min="2835" max="2835" width="1.6640625" style="95" customWidth="1"/>
    <col min="2836" max="3072" width="9.1640625" style="95"/>
    <col min="3073" max="3073" width="34.5" style="95" customWidth="1"/>
    <col min="3074" max="3075" width="7.6640625" style="95" customWidth="1"/>
    <col min="3076" max="3076" width="1.6640625" style="95" customWidth="1"/>
    <col min="3077" max="3077" width="7.6640625" style="95" customWidth="1"/>
    <col min="3078" max="3078" width="8.5" style="95" customWidth="1"/>
    <col min="3079" max="3079" width="1.6640625" style="95" customWidth="1"/>
    <col min="3080" max="3080" width="7.6640625" style="95" customWidth="1"/>
    <col min="3081" max="3081" width="9" style="95" customWidth="1"/>
    <col min="3082" max="3082" width="1.6640625" style="95" customWidth="1"/>
    <col min="3083" max="3083" width="7.6640625" style="95" customWidth="1"/>
    <col min="3084" max="3084" width="8" style="95" customWidth="1"/>
    <col min="3085" max="3085" width="1.6640625" style="95" customWidth="1"/>
    <col min="3086" max="3086" width="7.6640625" style="95" customWidth="1"/>
    <col min="3087" max="3087" width="9" style="95" customWidth="1"/>
    <col min="3088" max="3088" width="1.6640625" style="95" customWidth="1"/>
    <col min="3089" max="3090" width="7.6640625" style="95" customWidth="1"/>
    <col min="3091" max="3091" width="1.6640625" style="95" customWidth="1"/>
    <col min="3092" max="3328" width="9.1640625" style="95"/>
    <col min="3329" max="3329" width="34.5" style="95" customWidth="1"/>
    <col min="3330" max="3331" width="7.6640625" style="95" customWidth="1"/>
    <col min="3332" max="3332" width="1.6640625" style="95" customWidth="1"/>
    <col min="3333" max="3333" width="7.6640625" style="95" customWidth="1"/>
    <col min="3334" max="3334" width="8.5" style="95" customWidth="1"/>
    <col min="3335" max="3335" width="1.6640625" style="95" customWidth="1"/>
    <col min="3336" max="3336" width="7.6640625" style="95" customWidth="1"/>
    <col min="3337" max="3337" width="9" style="95" customWidth="1"/>
    <col min="3338" max="3338" width="1.6640625" style="95" customWidth="1"/>
    <col min="3339" max="3339" width="7.6640625" style="95" customWidth="1"/>
    <col min="3340" max="3340" width="8" style="95" customWidth="1"/>
    <col min="3341" max="3341" width="1.6640625" style="95" customWidth="1"/>
    <col min="3342" max="3342" width="7.6640625" style="95" customWidth="1"/>
    <col min="3343" max="3343" width="9" style="95" customWidth="1"/>
    <col min="3344" max="3344" width="1.6640625" style="95" customWidth="1"/>
    <col min="3345" max="3346" width="7.6640625" style="95" customWidth="1"/>
    <col min="3347" max="3347" width="1.6640625" style="95" customWidth="1"/>
    <col min="3348" max="3584" width="9.1640625" style="95"/>
    <col min="3585" max="3585" width="34.5" style="95" customWidth="1"/>
    <col min="3586" max="3587" width="7.6640625" style="95" customWidth="1"/>
    <col min="3588" max="3588" width="1.6640625" style="95" customWidth="1"/>
    <col min="3589" max="3589" width="7.6640625" style="95" customWidth="1"/>
    <col min="3590" max="3590" width="8.5" style="95" customWidth="1"/>
    <col min="3591" max="3591" width="1.6640625" style="95" customWidth="1"/>
    <col min="3592" max="3592" width="7.6640625" style="95" customWidth="1"/>
    <col min="3593" max="3593" width="9" style="95" customWidth="1"/>
    <col min="3594" max="3594" width="1.6640625" style="95" customWidth="1"/>
    <col min="3595" max="3595" width="7.6640625" style="95" customWidth="1"/>
    <col min="3596" max="3596" width="8" style="95" customWidth="1"/>
    <col min="3597" max="3597" width="1.6640625" style="95" customWidth="1"/>
    <col min="3598" max="3598" width="7.6640625" style="95" customWidth="1"/>
    <col min="3599" max="3599" width="9" style="95" customWidth="1"/>
    <col min="3600" max="3600" width="1.6640625" style="95" customWidth="1"/>
    <col min="3601" max="3602" width="7.6640625" style="95" customWidth="1"/>
    <col min="3603" max="3603" width="1.6640625" style="95" customWidth="1"/>
    <col min="3604" max="3840" width="9.1640625" style="95"/>
    <col min="3841" max="3841" width="34.5" style="95" customWidth="1"/>
    <col min="3842" max="3843" width="7.6640625" style="95" customWidth="1"/>
    <col min="3844" max="3844" width="1.6640625" style="95" customWidth="1"/>
    <col min="3845" max="3845" width="7.6640625" style="95" customWidth="1"/>
    <col min="3846" max="3846" width="8.5" style="95" customWidth="1"/>
    <col min="3847" max="3847" width="1.6640625" style="95" customWidth="1"/>
    <col min="3848" max="3848" width="7.6640625" style="95" customWidth="1"/>
    <col min="3849" max="3849" width="9" style="95" customWidth="1"/>
    <col min="3850" max="3850" width="1.6640625" style="95" customWidth="1"/>
    <col min="3851" max="3851" width="7.6640625" style="95" customWidth="1"/>
    <col min="3852" max="3852" width="8" style="95" customWidth="1"/>
    <col min="3853" max="3853" width="1.6640625" style="95" customWidth="1"/>
    <col min="3854" max="3854" width="7.6640625" style="95" customWidth="1"/>
    <col min="3855" max="3855" width="9" style="95" customWidth="1"/>
    <col min="3856" max="3856" width="1.6640625" style="95" customWidth="1"/>
    <col min="3857" max="3858" width="7.6640625" style="95" customWidth="1"/>
    <col min="3859" max="3859" width="1.6640625" style="95" customWidth="1"/>
    <col min="3860" max="4096" width="9.1640625" style="95"/>
    <col min="4097" max="4097" width="34.5" style="95" customWidth="1"/>
    <col min="4098" max="4099" width="7.6640625" style="95" customWidth="1"/>
    <col min="4100" max="4100" width="1.6640625" style="95" customWidth="1"/>
    <col min="4101" max="4101" width="7.6640625" style="95" customWidth="1"/>
    <col min="4102" max="4102" width="8.5" style="95" customWidth="1"/>
    <col min="4103" max="4103" width="1.6640625" style="95" customWidth="1"/>
    <col min="4104" max="4104" width="7.6640625" style="95" customWidth="1"/>
    <col min="4105" max="4105" width="9" style="95" customWidth="1"/>
    <col min="4106" max="4106" width="1.6640625" style="95" customWidth="1"/>
    <col min="4107" max="4107" width="7.6640625" style="95" customWidth="1"/>
    <col min="4108" max="4108" width="8" style="95" customWidth="1"/>
    <col min="4109" max="4109" width="1.6640625" style="95" customWidth="1"/>
    <col min="4110" max="4110" width="7.6640625" style="95" customWidth="1"/>
    <col min="4111" max="4111" width="9" style="95" customWidth="1"/>
    <col min="4112" max="4112" width="1.6640625" style="95" customWidth="1"/>
    <col min="4113" max="4114" width="7.6640625" style="95" customWidth="1"/>
    <col min="4115" max="4115" width="1.6640625" style="95" customWidth="1"/>
    <col min="4116" max="4352" width="9.1640625" style="95"/>
    <col min="4353" max="4353" width="34.5" style="95" customWidth="1"/>
    <col min="4354" max="4355" width="7.6640625" style="95" customWidth="1"/>
    <col min="4356" max="4356" width="1.6640625" style="95" customWidth="1"/>
    <col min="4357" max="4357" width="7.6640625" style="95" customWidth="1"/>
    <col min="4358" max="4358" width="8.5" style="95" customWidth="1"/>
    <col min="4359" max="4359" width="1.6640625" style="95" customWidth="1"/>
    <col min="4360" max="4360" width="7.6640625" style="95" customWidth="1"/>
    <col min="4361" max="4361" width="9" style="95" customWidth="1"/>
    <col min="4362" max="4362" width="1.6640625" style="95" customWidth="1"/>
    <col min="4363" max="4363" width="7.6640625" style="95" customWidth="1"/>
    <col min="4364" max="4364" width="8" style="95" customWidth="1"/>
    <col min="4365" max="4365" width="1.6640625" style="95" customWidth="1"/>
    <col min="4366" max="4366" width="7.6640625" style="95" customWidth="1"/>
    <col min="4367" max="4367" width="9" style="95" customWidth="1"/>
    <col min="4368" max="4368" width="1.6640625" style="95" customWidth="1"/>
    <col min="4369" max="4370" width="7.6640625" style="95" customWidth="1"/>
    <col min="4371" max="4371" width="1.6640625" style="95" customWidth="1"/>
    <col min="4372" max="4608" width="9.1640625" style="95"/>
    <col min="4609" max="4609" width="34.5" style="95" customWidth="1"/>
    <col min="4610" max="4611" width="7.6640625" style="95" customWidth="1"/>
    <col min="4612" max="4612" width="1.6640625" style="95" customWidth="1"/>
    <col min="4613" max="4613" width="7.6640625" style="95" customWidth="1"/>
    <col min="4614" max="4614" width="8.5" style="95" customWidth="1"/>
    <col min="4615" max="4615" width="1.6640625" style="95" customWidth="1"/>
    <col min="4616" max="4616" width="7.6640625" style="95" customWidth="1"/>
    <col min="4617" max="4617" width="9" style="95" customWidth="1"/>
    <col min="4618" max="4618" width="1.6640625" style="95" customWidth="1"/>
    <col min="4619" max="4619" width="7.6640625" style="95" customWidth="1"/>
    <col min="4620" max="4620" width="8" style="95" customWidth="1"/>
    <col min="4621" max="4621" width="1.6640625" style="95" customWidth="1"/>
    <col min="4622" max="4622" width="7.6640625" style="95" customWidth="1"/>
    <col min="4623" max="4623" width="9" style="95" customWidth="1"/>
    <col min="4624" max="4624" width="1.6640625" style="95" customWidth="1"/>
    <col min="4625" max="4626" width="7.6640625" style="95" customWidth="1"/>
    <col min="4627" max="4627" width="1.6640625" style="95" customWidth="1"/>
    <col min="4628" max="4864" width="9.1640625" style="95"/>
    <col min="4865" max="4865" width="34.5" style="95" customWidth="1"/>
    <col min="4866" max="4867" width="7.6640625" style="95" customWidth="1"/>
    <col min="4868" max="4868" width="1.6640625" style="95" customWidth="1"/>
    <col min="4869" max="4869" width="7.6640625" style="95" customWidth="1"/>
    <col min="4870" max="4870" width="8.5" style="95" customWidth="1"/>
    <col min="4871" max="4871" width="1.6640625" style="95" customWidth="1"/>
    <col min="4872" max="4872" width="7.6640625" style="95" customWidth="1"/>
    <col min="4873" max="4873" width="9" style="95" customWidth="1"/>
    <col min="4874" max="4874" width="1.6640625" style="95" customWidth="1"/>
    <col min="4875" max="4875" width="7.6640625" style="95" customWidth="1"/>
    <col min="4876" max="4876" width="8" style="95" customWidth="1"/>
    <col min="4877" max="4877" width="1.6640625" style="95" customWidth="1"/>
    <col min="4878" max="4878" width="7.6640625" style="95" customWidth="1"/>
    <col min="4879" max="4879" width="9" style="95" customWidth="1"/>
    <col min="4880" max="4880" width="1.6640625" style="95" customWidth="1"/>
    <col min="4881" max="4882" width="7.6640625" style="95" customWidth="1"/>
    <col min="4883" max="4883" width="1.6640625" style="95" customWidth="1"/>
    <col min="4884" max="5120" width="9.1640625" style="95"/>
    <col min="5121" max="5121" width="34.5" style="95" customWidth="1"/>
    <col min="5122" max="5123" width="7.6640625" style="95" customWidth="1"/>
    <col min="5124" max="5124" width="1.6640625" style="95" customWidth="1"/>
    <col min="5125" max="5125" width="7.6640625" style="95" customWidth="1"/>
    <col min="5126" max="5126" width="8.5" style="95" customWidth="1"/>
    <col min="5127" max="5127" width="1.6640625" style="95" customWidth="1"/>
    <col min="5128" max="5128" width="7.6640625" style="95" customWidth="1"/>
    <col min="5129" max="5129" width="9" style="95" customWidth="1"/>
    <col min="5130" max="5130" width="1.6640625" style="95" customWidth="1"/>
    <col min="5131" max="5131" width="7.6640625" style="95" customWidth="1"/>
    <col min="5132" max="5132" width="8" style="95" customWidth="1"/>
    <col min="5133" max="5133" width="1.6640625" style="95" customWidth="1"/>
    <col min="5134" max="5134" width="7.6640625" style="95" customWidth="1"/>
    <col min="5135" max="5135" width="9" style="95" customWidth="1"/>
    <col min="5136" max="5136" width="1.6640625" style="95" customWidth="1"/>
    <col min="5137" max="5138" width="7.6640625" style="95" customWidth="1"/>
    <col min="5139" max="5139" width="1.6640625" style="95" customWidth="1"/>
    <col min="5140" max="5376" width="9.1640625" style="95"/>
    <col min="5377" max="5377" width="34.5" style="95" customWidth="1"/>
    <col min="5378" max="5379" width="7.6640625" style="95" customWidth="1"/>
    <col min="5380" max="5380" width="1.6640625" style="95" customWidth="1"/>
    <col min="5381" max="5381" width="7.6640625" style="95" customWidth="1"/>
    <col min="5382" max="5382" width="8.5" style="95" customWidth="1"/>
    <col min="5383" max="5383" width="1.6640625" style="95" customWidth="1"/>
    <col min="5384" max="5384" width="7.6640625" style="95" customWidth="1"/>
    <col min="5385" max="5385" width="9" style="95" customWidth="1"/>
    <col min="5386" max="5386" width="1.6640625" style="95" customWidth="1"/>
    <col min="5387" max="5387" width="7.6640625" style="95" customWidth="1"/>
    <col min="5388" max="5388" width="8" style="95" customWidth="1"/>
    <col min="5389" max="5389" width="1.6640625" style="95" customWidth="1"/>
    <col min="5390" max="5390" width="7.6640625" style="95" customWidth="1"/>
    <col min="5391" max="5391" width="9" style="95" customWidth="1"/>
    <col min="5392" max="5392" width="1.6640625" style="95" customWidth="1"/>
    <col min="5393" max="5394" width="7.6640625" style="95" customWidth="1"/>
    <col min="5395" max="5395" width="1.6640625" style="95" customWidth="1"/>
    <col min="5396" max="5632" width="9.1640625" style="95"/>
    <col min="5633" max="5633" width="34.5" style="95" customWidth="1"/>
    <col min="5634" max="5635" width="7.6640625" style="95" customWidth="1"/>
    <col min="5636" max="5636" width="1.6640625" style="95" customWidth="1"/>
    <col min="5637" max="5637" width="7.6640625" style="95" customWidth="1"/>
    <col min="5638" max="5638" width="8.5" style="95" customWidth="1"/>
    <col min="5639" max="5639" width="1.6640625" style="95" customWidth="1"/>
    <col min="5640" max="5640" width="7.6640625" style="95" customWidth="1"/>
    <col min="5641" max="5641" width="9" style="95" customWidth="1"/>
    <col min="5642" max="5642" width="1.6640625" style="95" customWidth="1"/>
    <col min="5643" max="5643" width="7.6640625" style="95" customWidth="1"/>
    <col min="5644" max="5644" width="8" style="95" customWidth="1"/>
    <col min="5645" max="5645" width="1.6640625" style="95" customWidth="1"/>
    <col min="5646" max="5646" width="7.6640625" style="95" customWidth="1"/>
    <col min="5647" max="5647" width="9" style="95" customWidth="1"/>
    <col min="5648" max="5648" width="1.6640625" style="95" customWidth="1"/>
    <col min="5649" max="5650" width="7.6640625" style="95" customWidth="1"/>
    <col min="5651" max="5651" width="1.6640625" style="95" customWidth="1"/>
    <col min="5652" max="5888" width="9.1640625" style="95"/>
    <col min="5889" max="5889" width="34.5" style="95" customWidth="1"/>
    <col min="5890" max="5891" width="7.6640625" style="95" customWidth="1"/>
    <col min="5892" max="5892" width="1.6640625" style="95" customWidth="1"/>
    <col min="5893" max="5893" width="7.6640625" style="95" customWidth="1"/>
    <col min="5894" max="5894" width="8.5" style="95" customWidth="1"/>
    <col min="5895" max="5895" width="1.6640625" style="95" customWidth="1"/>
    <col min="5896" max="5896" width="7.6640625" style="95" customWidth="1"/>
    <col min="5897" max="5897" width="9" style="95" customWidth="1"/>
    <col min="5898" max="5898" width="1.6640625" style="95" customWidth="1"/>
    <col min="5899" max="5899" width="7.6640625" style="95" customWidth="1"/>
    <col min="5900" max="5900" width="8" style="95" customWidth="1"/>
    <col min="5901" max="5901" width="1.6640625" style="95" customWidth="1"/>
    <col min="5902" max="5902" width="7.6640625" style="95" customWidth="1"/>
    <col min="5903" max="5903" width="9" style="95" customWidth="1"/>
    <col min="5904" max="5904" width="1.6640625" style="95" customWidth="1"/>
    <col min="5905" max="5906" width="7.6640625" style="95" customWidth="1"/>
    <col min="5907" max="5907" width="1.6640625" style="95" customWidth="1"/>
    <col min="5908" max="6144" width="9.1640625" style="95"/>
    <col min="6145" max="6145" width="34.5" style="95" customWidth="1"/>
    <col min="6146" max="6147" width="7.6640625" style="95" customWidth="1"/>
    <col min="6148" max="6148" width="1.6640625" style="95" customWidth="1"/>
    <col min="6149" max="6149" width="7.6640625" style="95" customWidth="1"/>
    <col min="6150" max="6150" width="8.5" style="95" customWidth="1"/>
    <col min="6151" max="6151" width="1.6640625" style="95" customWidth="1"/>
    <col min="6152" max="6152" width="7.6640625" style="95" customWidth="1"/>
    <col min="6153" max="6153" width="9" style="95" customWidth="1"/>
    <col min="6154" max="6154" width="1.6640625" style="95" customWidth="1"/>
    <col min="6155" max="6155" width="7.6640625" style="95" customWidth="1"/>
    <col min="6156" max="6156" width="8" style="95" customWidth="1"/>
    <col min="6157" max="6157" width="1.6640625" style="95" customWidth="1"/>
    <col min="6158" max="6158" width="7.6640625" style="95" customWidth="1"/>
    <col min="6159" max="6159" width="9" style="95" customWidth="1"/>
    <col min="6160" max="6160" width="1.6640625" style="95" customWidth="1"/>
    <col min="6161" max="6162" width="7.6640625" style="95" customWidth="1"/>
    <col min="6163" max="6163" width="1.6640625" style="95" customWidth="1"/>
    <col min="6164" max="6400" width="9.1640625" style="95"/>
    <col min="6401" max="6401" width="34.5" style="95" customWidth="1"/>
    <col min="6402" max="6403" width="7.6640625" style="95" customWidth="1"/>
    <col min="6404" max="6404" width="1.6640625" style="95" customWidth="1"/>
    <col min="6405" max="6405" width="7.6640625" style="95" customWidth="1"/>
    <col min="6406" max="6406" width="8.5" style="95" customWidth="1"/>
    <col min="6407" max="6407" width="1.6640625" style="95" customWidth="1"/>
    <col min="6408" max="6408" width="7.6640625" style="95" customWidth="1"/>
    <col min="6409" max="6409" width="9" style="95" customWidth="1"/>
    <col min="6410" max="6410" width="1.6640625" style="95" customWidth="1"/>
    <col min="6411" max="6411" width="7.6640625" style="95" customWidth="1"/>
    <col min="6412" max="6412" width="8" style="95" customWidth="1"/>
    <col min="6413" max="6413" width="1.6640625" style="95" customWidth="1"/>
    <col min="6414" max="6414" width="7.6640625" style="95" customWidth="1"/>
    <col min="6415" max="6415" width="9" style="95" customWidth="1"/>
    <col min="6416" max="6416" width="1.6640625" style="95" customWidth="1"/>
    <col min="6417" max="6418" width="7.6640625" style="95" customWidth="1"/>
    <col min="6419" max="6419" width="1.6640625" style="95" customWidth="1"/>
    <col min="6420" max="6656" width="9.1640625" style="95"/>
    <col min="6657" max="6657" width="34.5" style="95" customWidth="1"/>
    <col min="6658" max="6659" width="7.6640625" style="95" customWidth="1"/>
    <col min="6660" max="6660" width="1.6640625" style="95" customWidth="1"/>
    <col min="6661" max="6661" width="7.6640625" style="95" customWidth="1"/>
    <col min="6662" max="6662" width="8.5" style="95" customWidth="1"/>
    <col min="6663" max="6663" width="1.6640625" style="95" customWidth="1"/>
    <col min="6664" max="6664" width="7.6640625" style="95" customWidth="1"/>
    <col min="6665" max="6665" width="9" style="95" customWidth="1"/>
    <col min="6666" max="6666" width="1.6640625" style="95" customWidth="1"/>
    <col min="6667" max="6667" width="7.6640625" style="95" customWidth="1"/>
    <col min="6668" max="6668" width="8" style="95" customWidth="1"/>
    <col min="6669" max="6669" width="1.6640625" style="95" customWidth="1"/>
    <col min="6670" max="6670" width="7.6640625" style="95" customWidth="1"/>
    <col min="6671" max="6671" width="9" style="95" customWidth="1"/>
    <col min="6672" max="6672" width="1.6640625" style="95" customWidth="1"/>
    <col min="6673" max="6674" width="7.6640625" style="95" customWidth="1"/>
    <col min="6675" max="6675" width="1.6640625" style="95" customWidth="1"/>
    <col min="6676" max="6912" width="9.1640625" style="95"/>
    <col min="6913" max="6913" width="34.5" style="95" customWidth="1"/>
    <col min="6914" max="6915" width="7.6640625" style="95" customWidth="1"/>
    <col min="6916" max="6916" width="1.6640625" style="95" customWidth="1"/>
    <col min="6917" max="6917" width="7.6640625" style="95" customWidth="1"/>
    <col min="6918" max="6918" width="8.5" style="95" customWidth="1"/>
    <col min="6919" max="6919" width="1.6640625" style="95" customWidth="1"/>
    <col min="6920" max="6920" width="7.6640625" style="95" customWidth="1"/>
    <col min="6921" max="6921" width="9" style="95" customWidth="1"/>
    <col min="6922" max="6922" width="1.6640625" style="95" customWidth="1"/>
    <col min="6923" max="6923" width="7.6640625" style="95" customWidth="1"/>
    <col min="6924" max="6924" width="8" style="95" customWidth="1"/>
    <col min="6925" max="6925" width="1.6640625" style="95" customWidth="1"/>
    <col min="6926" max="6926" width="7.6640625" style="95" customWidth="1"/>
    <col min="6927" max="6927" width="9" style="95" customWidth="1"/>
    <col min="6928" max="6928" width="1.6640625" style="95" customWidth="1"/>
    <col min="6929" max="6930" width="7.6640625" style="95" customWidth="1"/>
    <col min="6931" max="6931" width="1.6640625" style="95" customWidth="1"/>
    <col min="6932" max="7168" width="9.1640625" style="95"/>
    <col min="7169" max="7169" width="34.5" style="95" customWidth="1"/>
    <col min="7170" max="7171" width="7.6640625" style="95" customWidth="1"/>
    <col min="7172" max="7172" width="1.6640625" style="95" customWidth="1"/>
    <col min="7173" max="7173" width="7.6640625" style="95" customWidth="1"/>
    <col min="7174" max="7174" width="8.5" style="95" customWidth="1"/>
    <col min="7175" max="7175" width="1.6640625" style="95" customWidth="1"/>
    <col min="7176" max="7176" width="7.6640625" style="95" customWidth="1"/>
    <col min="7177" max="7177" width="9" style="95" customWidth="1"/>
    <col min="7178" max="7178" width="1.6640625" style="95" customWidth="1"/>
    <col min="7179" max="7179" width="7.6640625" style="95" customWidth="1"/>
    <col min="7180" max="7180" width="8" style="95" customWidth="1"/>
    <col min="7181" max="7181" width="1.6640625" style="95" customWidth="1"/>
    <col min="7182" max="7182" width="7.6640625" style="95" customWidth="1"/>
    <col min="7183" max="7183" width="9" style="95" customWidth="1"/>
    <col min="7184" max="7184" width="1.6640625" style="95" customWidth="1"/>
    <col min="7185" max="7186" width="7.6640625" style="95" customWidth="1"/>
    <col min="7187" max="7187" width="1.6640625" style="95" customWidth="1"/>
    <col min="7188" max="7424" width="9.1640625" style="95"/>
    <col min="7425" max="7425" width="34.5" style="95" customWidth="1"/>
    <col min="7426" max="7427" width="7.6640625" style="95" customWidth="1"/>
    <col min="7428" max="7428" width="1.6640625" style="95" customWidth="1"/>
    <col min="7429" max="7429" width="7.6640625" style="95" customWidth="1"/>
    <col min="7430" max="7430" width="8.5" style="95" customWidth="1"/>
    <col min="7431" max="7431" width="1.6640625" style="95" customWidth="1"/>
    <col min="7432" max="7432" width="7.6640625" style="95" customWidth="1"/>
    <col min="7433" max="7433" width="9" style="95" customWidth="1"/>
    <col min="7434" max="7434" width="1.6640625" style="95" customWidth="1"/>
    <col min="7435" max="7435" width="7.6640625" style="95" customWidth="1"/>
    <col min="7436" max="7436" width="8" style="95" customWidth="1"/>
    <col min="7437" max="7437" width="1.6640625" style="95" customWidth="1"/>
    <col min="7438" max="7438" width="7.6640625" style="95" customWidth="1"/>
    <col min="7439" max="7439" width="9" style="95" customWidth="1"/>
    <col min="7440" max="7440" width="1.6640625" style="95" customWidth="1"/>
    <col min="7441" max="7442" width="7.6640625" style="95" customWidth="1"/>
    <col min="7443" max="7443" width="1.6640625" style="95" customWidth="1"/>
    <col min="7444" max="7680" width="9.1640625" style="95"/>
    <col min="7681" max="7681" width="34.5" style="95" customWidth="1"/>
    <col min="7682" max="7683" width="7.6640625" style="95" customWidth="1"/>
    <col min="7684" max="7684" width="1.6640625" style="95" customWidth="1"/>
    <col min="7685" max="7685" width="7.6640625" style="95" customWidth="1"/>
    <col min="7686" max="7686" width="8.5" style="95" customWidth="1"/>
    <col min="7687" max="7687" width="1.6640625" style="95" customWidth="1"/>
    <col min="7688" max="7688" width="7.6640625" style="95" customWidth="1"/>
    <col min="7689" max="7689" width="9" style="95" customWidth="1"/>
    <col min="7690" max="7690" width="1.6640625" style="95" customWidth="1"/>
    <col min="7691" max="7691" width="7.6640625" style="95" customWidth="1"/>
    <col min="7692" max="7692" width="8" style="95" customWidth="1"/>
    <col min="7693" max="7693" width="1.6640625" style="95" customWidth="1"/>
    <col min="7694" max="7694" width="7.6640625" style="95" customWidth="1"/>
    <col min="7695" max="7695" width="9" style="95" customWidth="1"/>
    <col min="7696" max="7696" width="1.6640625" style="95" customWidth="1"/>
    <col min="7697" max="7698" width="7.6640625" style="95" customWidth="1"/>
    <col min="7699" max="7699" width="1.6640625" style="95" customWidth="1"/>
    <col min="7700" max="7936" width="9.1640625" style="95"/>
    <col min="7937" max="7937" width="34.5" style="95" customWidth="1"/>
    <col min="7938" max="7939" width="7.6640625" style="95" customWidth="1"/>
    <col min="7940" max="7940" width="1.6640625" style="95" customWidth="1"/>
    <col min="7941" max="7941" width="7.6640625" style="95" customWidth="1"/>
    <col min="7942" max="7942" width="8.5" style="95" customWidth="1"/>
    <col min="7943" max="7943" width="1.6640625" style="95" customWidth="1"/>
    <col min="7944" max="7944" width="7.6640625" style="95" customWidth="1"/>
    <col min="7945" max="7945" width="9" style="95" customWidth="1"/>
    <col min="7946" max="7946" width="1.6640625" style="95" customWidth="1"/>
    <col min="7947" max="7947" width="7.6640625" style="95" customWidth="1"/>
    <col min="7948" max="7948" width="8" style="95" customWidth="1"/>
    <col min="7949" max="7949" width="1.6640625" style="95" customWidth="1"/>
    <col min="7950" max="7950" width="7.6640625" style="95" customWidth="1"/>
    <col min="7951" max="7951" width="9" style="95" customWidth="1"/>
    <col min="7952" max="7952" width="1.6640625" style="95" customWidth="1"/>
    <col min="7953" max="7954" width="7.6640625" style="95" customWidth="1"/>
    <col min="7955" max="7955" width="1.6640625" style="95" customWidth="1"/>
    <col min="7956" max="8192" width="9.1640625" style="95"/>
    <col min="8193" max="8193" width="34.5" style="95" customWidth="1"/>
    <col min="8194" max="8195" width="7.6640625" style="95" customWidth="1"/>
    <col min="8196" max="8196" width="1.6640625" style="95" customWidth="1"/>
    <col min="8197" max="8197" width="7.6640625" style="95" customWidth="1"/>
    <col min="8198" max="8198" width="8.5" style="95" customWidth="1"/>
    <col min="8199" max="8199" width="1.6640625" style="95" customWidth="1"/>
    <col min="8200" max="8200" width="7.6640625" style="95" customWidth="1"/>
    <col min="8201" max="8201" width="9" style="95" customWidth="1"/>
    <col min="8202" max="8202" width="1.6640625" style="95" customWidth="1"/>
    <col min="8203" max="8203" width="7.6640625" style="95" customWidth="1"/>
    <col min="8204" max="8204" width="8" style="95" customWidth="1"/>
    <col min="8205" max="8205" width="1.6640625" style="95" customWidth="1"/>
    <col min="8206" max="8206" width="7.6640625" style="95" customWidth="1"/>
    <col min="8207" max="8207" width="9" style="95" customWidth="1"/>
    <col min="8208" max="8208" width="1.6640625" style="95" customWidth="1"/>
    <col min="8209" max="8210" width="7.6640625" style="95" customWidth="1"/>
    <col min="8211" max="8211" width="1.6640625" style="95" customWidth="1"/>
    <col min="8212" max="8448" width="9.1640625" style="95"/>
    <col min="8449" max="8449" width="34.5" style="95" customWidth="1"/>
    <col min="8450" max="8451" width="7.6640625" style="95" customWidth="1"/>
    <col min="8452" max="8452" width="1.6640625" style="95" customWidth="1"/>
    <col min="8453" max="8453" width="7.6640625" style="95" customWidth="1"/>
    <col min="8454" max="8454" width="8.5" style="95" customWidth="1"/>
    <col min="8455" max="8455" width="1.6640625" style="95" customWidth="1"/>
    <col min="8456" max="8456" width="7.6640625" style="95" customWidth="1"/>
    <col min="8457" max="8457" width="9" style="95" customWidth="1"/>
    <col min="8458" max="8458" width="1.6640625" style="95" customWidth="1"/>
    <col min="8459" max="8459" width="7.6640625" style="95" customWidth="1"/>
    <col min="8460" max="8460" width="8" style="95" customWidth="1"/>
    <col min="8461" max="8461" width="1.6640625" style="95" customWidth="1"/>
    <col min="8462" max="8462" width="7.6640625" style="95" customWidth="1"/>
    <col min="8463" max="8463" width="9" style="95" customWidth="1"/>
    <col min="8464" max="8464" width="1.6640625" style="95" customWidth="1"/>
    <col min="8465" max="8466" width="7.6640625" style="95" customWidth="1"/>
    <col min="8467" max="8467" width="1.6640625" style="95" customWidth="1"/>
    <col min="8468" max="8704" width="9.1640625" style="95"/>
    <col min="8705" max="8705" width="34.5" style="95" customWidth="1"/>
    <col min="8706" max="8707" width="7.6640625" style="95" customWidth="1"/>
    <col min="8708" max="8708" width="1.6640625" style="95" customWidth="1"/>
    <col min="8709" max="8709" width="7.6640625" style="95" customWidth="1"/>
    <col min="8710" max="8710" width="8.5" style="95" customWidth="1"/>
    <col min="8711" max="8711" width="1.6640625" style="95" customWidth="1"/>
    <col min="8712" max="8712" width="7.6640625" style="95" customWidth="1"/>
    <col min="8713" max="8713" width="9" style="95" customWidth="1"/>
    <col min="8714" max="8714" width="1.6640625" style="95" customWidth="1"/>
    <col min="8715" max="8715" width="7.6640625" style="95" customWidth="1"/>
    <col min="8716" max="8716" width="8" style="95" customWidth="1"/>
    <col min="8717" max="8717" width="1.6640625" style="95" customWidth="1"/>
    <col min="8718" max="8718" width="7.6640625" style="95" customWidth="1"/>
    <col min="8719" max="8719" width="9" style="95" customWidth="1"/>
    <col min="8720" max="8720" width="1.6640625" style="95" customWidth="1"/>
    <col min="8721" max="8722" width="7.6640625" style="95" customWidth="1"/>
    <col min="8723" max="8723" width="1.6640625" style="95" customWidth="1"/>
    <col min="8724" max="8960" width="9.1640625" style="95"/>
    <col min="8961" max="8961" width="34.5" style="95" customWidth="1"/>
    <col min="8962" max="8963" width="7.6640625" style="95" customWidth="1"/>
    <col min="8964" max="8964" width="1.6640625" style="95" customWidth="1"/>
    <col min="8965" max="8965" width="7.6640625" style="95" customWidth="1"/>
    <col min="8966" max="8966" width="8.5" style="95" customWidth="1"/>
    <col min="8967" max="8967" width="1.6640625" style="95" customWidth="1"/>
    <col min="8968" max="8968" width="7.6640625" style="95" customWidth="1"/>
    <col min="8969" max="8969" width="9" style="95" customWidth="1"/>
    <col min="8970" max="8970" width="1.6640625" style="95" customWidth="1"/>
    <col min="8971" max="8971" width="7.6640625" style="95" customWidth="1"/>
    <col min="8972" max="8972" width="8" style="95" customWidth="1"/>
    <col min="8973" max="8973" width="1.6640625" style="95" customWidth="1"/>
    <col min="8974" max="8974" width="7.6640625" style="95" customWidth="1"/>
    <col min="8975" max="8975" width="9" style="95" customWidth="1"/>
    <col min="8976" max="8976" width="1.6640625" style="95" customWidth="1"/>
    <col min="8977" max="8978" width="7.6640625" style="95" customWidth="1"/>
    <col min="8979" max="8979" width="1.6640625" style="95" customWidth="1"/>
    <col min="8980" max="9216" width="9.1640625" style="95"/>
    <col min="9217" max="9217" width="34.5" style="95" customWidth="1"/>
    <col min="9218" max="9219" width="7.6640625" style="95" customWidth="1"/>
    <col min="9220" max="9220" width="1.6640625" style="95" customWidth="1"/>
    <col min="9221" max="9221" width="7.6640625" style="95" customWidth="1"/>
    <col min="9222" max="9222" width="8.5" style="95" customWidth="1"/>
    <col min="9223" max="9223" width="1.6640625" style="95" customWidth="1"/>
    <col min="9224" max="9224" width="7.6640625" style="95" customWidth="1"/>
    <col min="9225" max="9225" width="9" style="95" customWidth="1"/>
    <col min="9226" max="9226" width="1.6640625" style="95" customWidth="1"/>
    <col min="9227" max="9227" width="7.6640625" style="95" customWidth="1"/>
    <col min="9228" max="9228" width="8" style="95" customWidth="1"/>
    <col min="9229" max="9229" width="1.6640625" style="95" customWidth="1"/>
    <col min="9230" max="9230" width="7.6640625" style="95" customWidth="1"/>
    <col min="9231" max="9231" width="9" style="95" customWidth="1"/>
    <col min="9232" max="9232" width="1.6640625" style="95" customWidth="1"/>
    <col min="9233" max="9234" width="7.6640625" style="95" customWidth="1"/>
    <col min="9235" max="9235" width="1.6640625" style="95" customWidth="1"/>
    <col min="9236" max="9472" width="9.1640625" style="95"/>
    <col min="9473" max="9473" width="34.5" style="95" customWidth="1"/>
    <col min="9474" max="9475" width="7.6640625" style="95" customWidth="1"/>
    <col min="9476" max="9476" width="1.6640625" style="95" customWidth="1"/>
    <col min="9477" max="9477" width="7.6640625" style="95" customWidth="1"/>
    <col min="9478" max="9478" width="8.5" style="95" customWidth="1"/>
    <col min="9479" max="9479" width="1.6640625" style="95" customWidth="1"/>
    <col min="9480" max="9480" width="7.6640625" style="95" customWidth="1"/>
    <col min="9481" max="9481" width="9" style="95" customWidth="1"/>
    <col min="9482" max="9482" width="1.6640625" style="95" customWidth="1"/>
    <col min="9483" max="9483" width="7.6640625" style="95" customWidth="1"/>
    <col min="9484" max="9484" width="8" style="95" customWidth="1"/>
    <col min="9485" max="9485" width="1.6640625" style="95" customWidth="1"/>
    <col min="9486" max="9486" width="7.6640625" style="95" customWidth="1"/>
    <col min="9487" max="9487" width="9" style="95" customWidth="1"/>
    <col min="9488" max="9488" width="1.6640625" style="95" customWidth="1"/>
    <col min="9489" max="9490" width="7.6640625" style="95" customWidth="1"/>
    <col min="9491" max="9491" width="1.6640625" style="95" customWidth="1"/>
    <col min="9492" max="9728" width="9.1640625" style="95"/>
    <col min="9729" max="9729" width="34.5" style="95" customWidth="1"/>
    <col min="9730" max="9731" width="7.6640625" style="95" customWidth="1"/>
    <col min="9732" max="9732" width="1.6640625" style="95" customWidth="1"/>
    <col min="9733" max="9733" width="7.6640625" style="95" customWidth="1"/>
    <col min="9734" max="9734" width="8.5" style="95" customWidth="1"/>
    <col min="9735" max="9735" width="1.6640625" style="95" customWidth="1"/>
    <col min="9736" max="9736" width="7.6640625" style="95" customWidth="1"/>
    <col min="9737" max="9737" width="9" style="95" customWidth="1"/>
    <col min="9738" max="9738" width="1.6640625" style="95" customWidth="1"/>
    <col min="9739" max="9739" width="7.6640625" style="95" customWidth="1"/>
    <col min="9740" max="9740" width="8" style="95" customWidth="1"/>
    <col min="9741" max="9741" width="1.6640625" style="95" customWidth="1"/>
    <col min="9742" max="9742" width="7.6640625" style="95" customWidth="1"/>
    <col min="9743" max="9743" width="9" style="95" customWidth="1"/>
    <col min="9744" max="9744" width="1.6640625" style="95" customWidth="1"/>
    <col min="9745" max="9746" width="7.6640625" style="95" customWidth="1"/>
    <col min="9747" max="9747" width="1.6640625" style="95" customWidth="1"/>
    <col min="9748" max="9984" width="9.1640625" style="95"/>
    <col min="9985" max="9985" width="34.5" style="95" customWidth="1"/>
    <col min="9986" max="9987" width="7.6640625" style="95" customWidth="1"/>
    <col min="9988" max="9988" width="1.6640625" style="95" customWidth="1"/>
    <col min="9989" max="9989" width="7.6640625" style="95" customWidth="1"/>
    <col min="9990" max="9990" width="8.5" style="95" customWidth="1"/>
    <col min="9991" max="9991" width="1.6640625" style="95" customWidth="1"/>
    <col min="9992" max="9992" width="7.6640625" style="95" customWidth="1"/>
    <col min="9993" max="9993" width="9" style="95" customWidth="1"/>
    <col min="9994" max="9994" width="1.6640625" style="95" customWidth="1"/>
    <col min="9995" max="9995" width="7.6640625" style="95" customWidth="1"/>
    <col min="9996" max="9996" width="8" style="95" customWidth="1"/>
    <col min="9997" max="9997" width="1.6640625" style="95" customWidth="1"/>
    <col min="9998" max="9998" width="7.6640625" style="95" customWidth="1"/>
    <col min="9999" max="9999" width="9" style="95" customWidth="1"/>
    <col min="10000" max="10000" width="1.6640625" style="95" customWidth="1"/>
    <col min="10001" max="10002" width="7.6640625" style="95" customWidth="1"/>
    <col min="10003" max="10003" width="1.6640625" style="95" customWidth="1"/>
    <col min="10004" max="10240" width="9.1640625" style="95"/>
    <col min="10241" max="10241" width="34.5" style="95" customWidth="1"/>
    <col min="10242" max="10243" width="7.6640625" style="95" customWidth="1"/>
    <col min="10244" max="10244" width="1.6640625" style="95" customWidth="1"/>
    <col min="10245" max="10245" width="7.6640625" style="95" customWidth="1"/>
    <col min="10246" max="10246" width="8.5" style="95" customWidth="1"/>
    <col min="10247" max="10247" width="1.6640625" style="95" customWidth="1"/>
    <col min="10248" max="10248" width="7.6640625" style="95" customWidth="1"/>
    <col min="10249" max="10249" width="9" style="95" customWidth="1"/>
    <col min="10250" max="10250" width="1.6640625" style="95" customWidth="1"/>
    <col min="10251" max="10251" width="7.6640625" style="95" customWidth="1"/>
    <col min="10252" max="10252" width="8" style="95" customWidth="1"/>
    <col min="10253" max="10253" width="1.6640625" style="95" customWidth="1"/>
    <col min="10254" max="10254" width="7.6640625" style="95" customWidth="1"/>
    <col min="10255" max="10255" width="9" style="95" customWidth="1"/>
    <col min="10256" max="10256" width="1.6640625" style="95" customWidth="1"/>
    <col min="10257" max="10258" width="7.6640625" style="95" customWidth="1"/>
    <col min="10259" max="10259" width="1.6640625" style="95" customWidth="1"/>
    <col min="10260" max="10496" width="9.1640625" style="95"/>
    <col min="10497" max="10497" width="34.5" style="95" customWidth="1"/>
    <col min="10498" max="10499" width="7.6640625" style="95" customWidth="1"/>
    <col min="10500" max="10500" width="1.6640625" style="95" customWidth="1"/>
    <col min="10501" max="10501" width="7.6640625" style="95" customWidth="1"/>
    <col min="10502" max="10502" width="8.5" style="95" customWidth="1"/>
    <col min="10503" max="10503" width="1.6640625" style="95" customWidth="1"/>
    <col min="10504" max="10504" width="7.6640625" style="95" customWidth="1"/>
    <col min="10505" max="10505" width="9" style="95" customWidth="1"/>
    <col min="10506" max="10506" width="1.6640625" style="95" customWidth="1"/>
    <col min="10507" max="10507" width="7.6640625" style="95" customWidth="1"/>
    <col min="10508" max="10508" width="8" style="95" customWidth="1"/>
    <col min="10509" max="10509" width="1.6640625" style="95" customWidth="1"/>
    <col min="10510" max="10510" width="7.6640625" style="95" customWidth="1"/>
    <col min="10511" max="10511" width="9" style="95" customWidth="1"/>
    <col min="10512" max="10512" width="1.6640625" style="95" customWidth="1"/>
    <col min="10513" max="10514" width="7.6640625" style="95" customWidth="1"/>
    <col min="10515" max="10515" width="1.6640625" style="95" customWidth="1"/>
    <col min="10516" max="10752" width="9.1640625" style="95"/>
    <col min="10753" max="10753" width="34.5" style="95" customWidth="1"/>
    <col min="10754" max="10755" width="7.6640625" style="95" customWidth="1"/>
    <col min="10756" max="10756" width="1.6640625" style="95" customWidth="1"/>
    <col min="10757" max="10757" width="7.6640625" style="95" customWidth="1"/>
    <col min="10758" max="10758" width="8.5" style="95" customWidth="1"/>
    <col min="10759" max="10759" width="1.6640625" style="95" customWidth="1"/>
    <col min="10760" max="10760" width="7.6640625" style="95" customWidth="1"/>
    <col min="10761" max="10761" width="9" style="95" customWidth="1"/>
    <col min="10762" max="10762" width="1.6640625" style="95" customWidth="1"/>
    <col min="10763" max="10763" width="7.6640625" style="95" customWidth="1"/>
    <col min="10764" max="10764" width="8" style="95" customWidth="1"/>
    <col min="10765" max="10765" width="1.6640625" style="95" customWidth="1"/>
    <col min="10766" max="10766" width="7.6640625" style="95" customWidth="1"/>
    <col min="10767" max="10767" width="9" style="95" customWidth="1"/>
    <col min="10768" max="10768" width="1.6640625" style="95" customWidth="1"/>
    <col min="10769" max="10770" width="7.6640625" style="95" customWidth="1"/>
    <col min="10771" max="10771" width="1.6640625" style="95" customWidth="1"/>
    <col min="10772" max="11008" width="9.1640625" style="95"/>
    <col min="11009" max="11009" width="34.5" style="95" customWidth="1"/>
    <col min="11010" max="11011" width="7.6640625" style="95" customWidth="1"/>
    <col min="11012" max="11012" width="1.6640625" style="95" customWidth="1"/>
    <col min="11013" max="11013" width="7.6640625" style="95" customWidth="1"/>
    <col min="11014" max="11014" width="8.5" style="95" customWidth="1"/>
    <col min="11015" max="11015" width="1.6640625" style="95" customWidth="1"/>
    <col min="11016" max="11016" width="7.6640625" style="95" customWidth="1"/>
    <col min="11017" max="11017" width="9" style="95" customWidth="1"/>
    <col min="11018" max="11018" width="1.6640625" style="95" customWidth="1"/>
    <col min="11019" max="11019" width="7.6640625" style="95" customWidth="1"/>
    <col min="11020" max="11020" width="8" style="95" customWidth="1"/>
    <col min="11021" max="11021" width="1.6640625" style="95" customWidth="1"/>
    <col min="11022" max="11022" width="7.6640625" style="95" customWidth="1"/>
    <col min="11023" max="11023" width="9" style="95" customWidth="1"/>
    <col min="11024" max="11024" width="1.6640625" style="95" customWidth="1"/>
    <col min="11025" max="11026" width="7.6640625" style="95" customWidth="1"/>
    <col min="11027" max="11027" width="1.6640625" style="95" customWidth="1"/>
    <col min="11028" max="11264" width="9.1640625" style="95"/>
    <col min="11265" max="11265" width="34.5" style="95" customWidth="1"/>
    <col min="11266" max="11267" width="7.6640625" style="95" customWidth="1"/>
    <col min="11268" max="11268" width="1.6640625" style="95" customWidth="1"/>
    <col min="11269" max="11269" width="7.6640625" style="95" customWidth="1"/>
    <col min="11270" max="11270" width="8.5" style="95" customWidth="1"/>
    <col min="11271" max="11271" width="1.6640625" style="95" customWidth="1"/>
    <col min="11272" max="11272" width="7.6640625" style="95" customWidth="1"/>
    <col min="11273" max="11273" width="9" style="95" customWidth="1"/>
    <col min="11274" max="11274" width="1.6640625" style="95" customWidth="1"/>
    <col min="11275" max="11275" width="7.6640625" style="95" customWidth="1"/>
    <col min="11276" max="11276" width="8" style="95" customWidth="1"/>
    <col min="11277" max="11277" width="1.6640625" style="95" customWidth="1"/>
    <col min="11278" max="11278" width="7.6640625" style="95" customWidth="1"/>
    <col min="11279" max="11279" width="9" style="95" customWidth="1"/>
    <col min="11280" max="11280" width="1.6640625" style="95" customWidth="1"/>
    <col min="11281" max="11282" width="7.6640625" style="95" customWidth="1"/>
    <col min="11283" max="11283" width="1.6640625" style="95" customWidth="1"/>
    <col min="11284" max="11520" width="9.1640625" style="95"/>
    <col min="11521" max="11521" width="34.5" style="95" customWidth="1"/>
    <col min="11522" max="11523" width="7.6640625" style="95" customWidth="1"/>
    <col min="11524" max="11524" width="1.6640625" style="95" customWidth="1"/>
    <col min="11525" max="11525" width="7.6640625" style="95" customWidth="1"/>
    <col min="11526" max="11526" width="8.5" style="95" customWidth="1"/>
    <col min="11527" max="11527" width="1.6640625" style="95" customWidth="1"/>
    <col min="11528" max="11528" width="7.6640625" style="95" customWidth="1"/>
    <col min="11529" max="11529" width="9" style="95" customWidth="1"/>
    <col min="11530" max="11530" width="1.6640625" style="95" customWidth="1"/>
    <col min="11531" max="11531" width="7.6640625" style="95" customWidth="1"/>
    <col min="11532" max="11532" width="8" style="95" customWidth="1"/>
    <col min="11533" max="11533" width="1.6640625" style="95" customWidth="1"/>
    <col min="11534" max="11534" width="7.6640625" style="95" customWidth="1"/>
    <col min="11535" max="11535" width="9" style="95" customWidth="1"/>
    <col min="11536" max="11536" width="1.6640625" style="95" customWidth="1"/>
    <col min="11537" max="11538" width="7.6640625" style="95" customWidth="1"/>
    <col min="11539" max="11539" width="1.6640625" style="95" customWidth="1"/>
    <col min="11540" max="11776" width="9.1640625" style="95"/>
    <col min="11777" max="11777" width="34.5" style="95" customWidth="1"/>
    <col min="11778" max="11779" width="7.6640625" style="95" customWidth="1"/>
    <col min="11780" max="11780" width="1.6640625" style="95" customWidth="1"/>
    <col min="11781" max="11781" width="7.6640625" style="95" customWidth="1"/>
    <col min="11782" max="11782" width="8.5" style="95" customWidth="1"/>
    <col min="11783" max="11783" width="1.6640625" style="95" customWidth="1"/>
    <col min="11784" max="11784" width="7.6640625" style="95" customWidth="1"/>
    <col min="11785" max="11785" width="9" style="95" customWidth="1"/>
    <col min="11786" max="11786" width="1.6640625" style="95" customWidth="1"/>
    <col min="11787" max="11787" width="7.6640625" style="95" customWidth="1"/>
    <col min="11788" max="11788" width="8" style="95" customWidth="1"/>
    <col min="11789" max="11789" width="1.6640625" style="95" customWidth="1"/>
    <col min="11790" max="11790" width="7.6640625" style="95" customWidth="1"/>
    <col min="11791" max="11791" width="9" style="95" customWidth="1"/>
    <col min="11792" max="11792" width="1.6640625" style="95" customWidth="1"/>
    <col min="11793" max="11794" width="7.6640625" style="95" customWidth="1"/>
    <col min="11795" max="11795" width="1.6640625" style="95" customWidth="1"/>
    <col min="11796" max="12032" width="9.1640625" style="95"/>
    <col min="12033" max="12033" width="34.5" style="95" customWidth="1"/>
    <col min="12034" max="12035" width="7.6640625" style="95" customWidth="1"/>
    <col min="12036" max="12036" width="1.6640625" style="95" customWidth="1"/>
    <col min="12037" max="12037" width="7.6640625" style="95" customWidth="1"/>
    <col min="12038" max="12038" width="8.5" style="95" customWidth="1"/>
    <col min="12039" max="12039" width="1.6640625" style="95" customWidth="1"/>
    <col min="12040" max="12040" width="7.6640625" style="95" customWidth="1"/>
    <col min="12041" max="12041" width="9" style="95" customWidth="1"/>
    <col min="12042" max="12042" width="1.6640625" style="95" customWidth="1"/>
    <col min="12043" max="12043" width="7.6640625" style="95" customWidth="1"/>
    <col min="12044" max="12044" width="8" style="95" customWidth="1"/>
    <col min="12045" max="12045" width="1.6640625" style="95" customWidth="1"/>
    <col min="12046" max="12046" width="7.6640625" style="95" customWidth="1"/>
    <col min="12047" max="12047" width="9" style="95" customWidth="1"/>
    <col min="12048" max="12048" width="1.6640625" style="95" customWidth="1"/>
    <col min="12049" max="12050" width="7.6640625" style="95" customWidth="1"/>
    <col min="12051" max="12051" width="1.6640625" style="95" customWidth="1"/>
    <col min="12052" max="12288" width="9.1640625" style="95"/>
    <col min="12289" max="12289" width="34.5" style="95" customWidth="1"/>
    <col min="12290" max="12291" width="7.6640625" style="95" customWidth="1"/>
    <col min="12292" max="12292" width="1.6640625" style="95" customWidth="1"/>
    <col min="12293" max="12293" width="7.6640625" style="95" customWidth="1"/>
    <col min="12294" max="12294" width="8.5" style="95" customWidth="1"/>
    <col min="12295" max="12295" width="1.6640625" style="95" customWidth="1"/>
    <col min="12296" max="12296" width="7.6640625" style="95" customWidth="1"/>
    <col min="12297" max="12297" width="9" style="95" customWidth="1"/>
    <col min="12298" max="12298" width="1.6640625" style="95" customWidth="1"/>
    <col min="12299" max="12299" width="7.6640625" style="95" customWidth="1"/>
    <col min="12300" max="12300" width="8" style="95" customWidth="1"/>
    <col min="12301" max="12301" width="1.6640625" style="95" customWidth="1"/>
    <col min="12302" max="12302" width="7.6640625" style="95" customWidth="1"/>
    <col min="12303" max="12303" width="9" style="95" customWidth="1"/>
    <col min="12304" max="12304" width="1.6640625" style="95" customWidth="1"/>
    <col min="12305" max="12306" width="7.6640625" style="95" customWidth="1"/>
    <col min="12307" max="12307" width="1.6640625" style="95" customWidth="1"/>
    <col min="12308" max="12544" width="9.1640625" style="95"/>
    <col min="12545" max="12545" width="34.5" style="95" customWidth="1"/>
    <col min="12546" max="12547" width="7.6640625" style="95" customWidth="1"/>
    <col min="12548" max="12548" width="1.6640625" style="95" customWidth="1"/>
    <col min="12549" max="12549" width="7.6640625" style="95" customWidth="1"/>
    <col min="12550" max="12550" width="8.5" style="95" customWidth="1"/>
    <col min="12551" max="12551" width="1.6640625" style="95" customWidth="1"/>
    <col min="12552" max="12552" width="7.6640625" style="95" customWidth="1"/>
    <col min="12553" max="12553" width="9" style="95" customWidth="1"/>
    <col min="12554" max="12554" width="1.6640625" style="95" customWidth="1"/>
    <col min="12555" max="12555" width="7.6640625" style="95" customWidth="1"/>
    <col min="12556" max="12556" width="8" style="95" customWidth="1"/>
    <col min="12557" max="12557" width="1.6640625" style="95" customWidth="1"/>
    <col min="12558" max="12558" width="7.6640625" style="95" customWidth="1"/>
    <col min="12559" max="12559" width="9" style="95" customWidth="1"/>
    <col min="12560" max="12560" width="1.6640625" style="95" customWidth="1"/>
    <col min="12561" max="12562" width="7.6640625" style="95" customWidth="1"/>
    <col min="12563" max="12563" width="1.6640625" style="95" customWidth="1"/>
    <col min="12564" max="12800" width="9.1640625" style="95"/>
    <col min="12801" max="12801" width="34.5" style="95" customWidth="1"/>
    <col min="12802" max="12803" width="7.6640625" style="95" customWidth="1"/>
    <col min="12804" max="12804" width="1.6640625" style="95" customWidth="1"/>
    <col min="12805" max="12805" width="7.6640625" style="95" customWidth="1"/>
    <col min="12806" max="12806" width="8.5" style="95" customWidth="1"/>
    <col min="12807" max="12807" width="1.6640625" style="95" customWidth="1"/>
    <col min="12808" max="12808" width="7.6640625" style="95" customWidth="1"/>
    <col min="12809" max="12809" width="9" style="95" customWidth="1"/>
    <col min="12810" max="12810" width="1.6640625" style="95" customWidth="1"/>
    <col min="12811" max="12811" width="7.6640625" style="95" customWidth="1"/>
    <col min="12812" max="12812" width="8" style="95" customWidth="1"/>
    <col min="12813" max="12813" width="1.6640625" style="95" customWidth="1"/>
    <col min="12814" max="12814" width="7.6640625" style="95" customWidth="1"/>
    <col min="12815" max="12815" width="9" style="95" customWidth="1"/>
    <col min="12816" max="12816" width="1.6640625" style="95" customWidth="1"/>
    <col min="12817" max="12818" width="7.6640625" style="95" customWidth="1"/>
    <col min="12819" max="12819" width="1.6640625" style="95" customWidth="1"/>
    <col min="12820" max="13056" width="9.1640625" style="95"/>
    <col min="13057" max="13057" width="34.5" style="95" customWidth="1"/>
    <col min="13058" max="13059" width="7.6640625" style="95" customWidth="1"/>
    <col min="13060" max="13060" width="1.6640625" style="95" customWidth="1"/>
    <col min="13061" max="13061" width="7.6640625" style="95" customWidth="1"/>
    <col min="13062" max="13062" width="8.5" style="95" customWidth="1"/>
    <col min="13063" max="13063" width="1.6640625" style="95" customWidth="1"/>
    <col min="13064" max="13064" width="7.6640625" style="95" customWidth="1"/>
    <col min="13065" max="13065" width="9" style="95" customWidth="1"/>
    <col min="13066" max="13066" width="1.6640625" style="95" customWidth="1"/>
    <col min="13067" max="13067" width="7.6640625" style="95" customWidth="1"/>
    <col min="13068" max="13068" width="8" style="95" customWidth="1"/>
    <col min="13069" max="13069" width="1.6640625" style="95" customWidth="1"/>
    <col min="13070" max="13070" width="7.6640625" style="95" customWidth="1"/>
    <col min="13071" max="13071" width="9" style="95" customWidth="1"/>
    <col min="13072" max="13072" width="1.6640625" style="95" customWidth="1"/>
    <col min="13073" max="13074" width="7.6640625" style="95" customWidth="1"/>
    <col min="13075" max="13075" width="1.6640625" style="95" customWidth="1"/>
    <col min="13076" max="13312" width="9.1640625" style="95"/>
    <col min="13313" max="13313" width="34.5" style="95" customWidth="1"/>
    <col min="13314" max="13315" width="7.6640625" style="95" customWidth="1"/>
    <col min="13316" max="13316" width="1.6640625" style="95" customWidth="1"/>
    <col min="13317" max="13317" width="7.6640625" style="95" customWidth="1"/>
    <col min="13318" max="13318" width="8.5" style="95" customWidth="1"/>
    <col min="13319" max="13319" width="1.6640625" style="95" customWidth="1"/>
    <col min="13320" max="13320" width="7.6640625" style="95" customWidth="1"/>
    <col min="13321" max="13321" width="9" style="95" customWidth="1"/>
    <col min="13322" max="13322" width="1.6640625" style="95" customWidth="1"/>
    <col min="13323" max="13323" width="7.6640625" style="95" customWidth="1"/>
    <col min="13324" max="13324" width="8" style="95" customWidth="1"/>
    <col min="13325" max="13325" width="1.6640625" style="95" customWidth="1"/>
    <col min="13326" max="13326" width="7.6640625" style="95" customWidth="1"/>
    <col min="13327" max="13327" width="9" style="95" customWidth="1"/>
    <col min="13328" max="13328" width="1.6640625" style="95" customWidth="1"/>
    <col min="13329" max="13330" width="7.6640625" style="95" customWidth="1"/>
    <col min="13331" max="13331" width="1.6640625" style="95" customWidth="1"/>
    <col min="13332" max="13568" width="9.1640625" style="95"/>
    <col min="13569" max="13569" width="34.5" style="95" customWidth="1"/>
    <col min="13570" max="13571" width="7.6640625" style="95" customWidth="1"/>
    <col min="13572" max="13572" width="1.6640625" style="95" customWidth="1"/>
    <col min="13573" max="13573" width="7.6640625" style="95" customWidth="1"/>
    <col min="13574" max="13574" width="8.5" style="95" customWidth="1"/>
    <col min="13575" max="13575" width="1.6640625" style="95" customWidth="1"/>
    <col min="13576" max="13576" width="7.6640625" style="95" customWidth="1"/>
    <col min="13577" max="13577" width="9" style="95" customWidth="1"/>
    <col min="13578" max="13578" width="1.6640625" style="95" customWidth="1"/>
    <col min="13579" max="13579" width="7.6640625" style="95" customWidth="1"/>
    <col min="13580" max="13580" width="8" style="95" customWidth="1"/>
    <col min="13581" max="13581" width="1.6640625" style="95" customWidth="1"/>
    <col min="13582" max="13582" width="7.6640625" style="95" customWidth="1"/>
    <col min="13583" max="13583" width="9" style="95" customWidth="1"/>
    <col min="13584" max="13584" width="1.6640625" style="95" customWidth="1"/>
    <col min="13585" max="13586" width="7.6640625" style="95" customWidth="1"/>
    <col min="13587" max="13587" width="1.6640625" style="95" customWidth="1"/>
    <col min="13588" max="13824" width="9.1640625" style="95"/>
    <col min="13825" max="13825" width="34.5" style="95" customWidth="1"/>
    <col min="13826" max="13827" width="7.6640625" style="95" customWidth="1"/>
    <col min="13828" max="13828" width="1.6640625" style="95" customWidth="1"/>
    <col min="13829" max="13829" width="7.6640625" style="95" customWidth="1"/>
    <col min="13830" max="13830" width="8.5" style="95" customWidth="1"/>
    <col min="13831" max="13831" width="1.6640625" style="95" customWidth="1"/>
    <col min="13832" max="13832" width="7.6640625" style="95" customWidth="1"/>
    <col min="13833" max="13833" width="9" style="95" customWidth="1"/>
    <col min="13834" max="13834" width="1.6640625" style="95" customWidth="1"/>
    <col min="13835" max="13835" width="7.6640625" style="95" customWidth="1"/>
    <col min="13836" max="13836" width="8" style="95" customWidth="1"/>
    <col min="13837" max="13837" width="1.6640625" style="95" customWidth="1"/>
    <col min="13838" max="13838" width="7.6640625" style="95" customWidth="1"/>
    <col min="13839" max="13839" width="9" style="95" customWidth="1"/>
    <col min="13840" max="13840" width="1.6640625" style="95" customWidth="1"/>
    <col min="13841" max="13842" width="7.6640625" style="95" customWidth="1"/>
    <col min="13843" max="13843" width="1.6640625" style="95" customWidth="1"/>
    <col min="13844" max="14080" width="9.1640625" style="95"/>
    <col min="14081" max="14081" width="34.5" style="95" customWidth="1"/>
    <col min="14082" max="14083" width="7.6640625" style="95" customWidth="1"/>
    <col min="14084" max="14084" width="1.6640625" style="95" customWidth="1"/>
    <col min="14085" max="14085" width="7.6640625" style="95" customWidth="1"/>
    <col min="14086" max="14086" width="8.5" style="95" customWidth="1"/>
    <col min="14087" max="14087" width="1.6640625" style="95" customWidth="1"/>
    <col min="14088" max="14088" width="7.6640625" style="95" customWidth="1"/>
    <col min="14089" max="14089" width="9" style="95" customWidth="1"/>
    <col min="14090" max="14090" width="1.6640625" style="95" customWidth="1"/>
    <col min="14091" max="14091" width="7.6640625" style="95" customWidth="1"/>
    <col min="14092" max="14092" width="8" style="95" customWidth="1"/>
    <col min="14093" max="14093" width="1.6640625" style="95" customWidth="1"/>
    <col min="14094" max="14094" width="7.6640625" style="95" customWidth="1"/>
    <col min="14095" max="14095" width="9" style="95" customWidth="1"/>
    <col min="14096" max="14096" width="1.6640625" style="95" customWidth="1"/>
    <col min="14097" max="14098" width="7.6640625" style="95" customWidth="1"/>
    <col min="14099" max="14099" width="1.6640625" style="95" customWidth="1"/>
    <col min="14100" max="14336" width="9.1640625" style="95"/>
    <col min="14337" max="14337" width="34.5" style="95" customWidth="1"/>
    <col min="14338" max="14339" width="7.6640625" style="95" customWidth="1"/>
    <col min="14340" max="14340" width="1.6640625" style="95" customWidth="1"/>
    <col min="14341" max="14341" width="7.6640625" style="95" customWidth="1"/>
    <col min="14342" max="14342" width="8.5" style="95" customWidth="1"/>
    <col min="14343" max="14343" width="1.6640625" style="95" customWidth="1"/>
    <col min="14344" max="14344" width="7.6640625" style="95" customWidth="1"/>
    <col min="14345" max="14345" width="9" style="95" customWidth="1"/>
    <col min="14346" max="14346" width="1.6640625" style="95" customWidth="1"/>
    <col min="14347" max="14347" width="7.6640625" style="95" customWidth="1"/>
    <col min="14348" max="14348" width="8" style="95" customWidth="1"/>
    <col min="14349" max="14349" width="1.6640625" style="95" customWidth="1"/>
    <col min="14350" max="14350" width="7.6640625" style="95" customWidth="1"/>
    <col min="14351" max="14351" width="9" style="95" customWidth="1"/>
    <col min="14352" max="14352" width="1.6640625" style="95" customWidth="1"/>
    <col min="14353" max="14354" width="7.6640625" style="95" customWidth="1"/>
    <col min="14355" max="14355" width="1.6640625" style="95" customWidth="1"/>
    <col min="14356" max="14592" width="9.1640625" style="95"/>
    <col min="14593" max="14593" width="34.5" style="95" customWidth="1"/>
    <col min="14594" max="14595" width="7.6640625" style="95" customWidth="1"/>
    <col min="14596" max="14596" width="1.6640625" style="95" customWidth="1"/>
    <col min="14597" max="14597" width="7.6640625" style="95" customWidth="1"/>
    <col min="14598" max="14598" width="8.5" style="95" customWidth="1"/>
    <col min="14599" max="14599" width="1.6640625" style="95" customWidth="1"/>
    <col min="14600" max="14600" width="7.6640625" style="95" customWidth="1"/>
    <col min="14601" max="14601" width="9" style="95" customWidth="1"/>
    <col min="14602" max="14602" width="1.6640625" style="95" customWidth="1"/>
    <col min="14603" max="14603" width="7.6640625" style="95" customWidth="1"/>
    <col min="14604" max="14604" width="8" style="95" customWidth="1"/>
    <col min="14605" max="14605" width="1.6640625" style="95" customWidth="1"/>
    <col min="14606" max="14606" width="7.6640625" style="95" customWidth="1"/>
    <col min="14607" max="14607" width="9" style="95" customWidth="1"/>
    <col min="14608" max="14608" width="1.6640625" style="95" customWidth="1"/>
    <col min="14609" max="14610" width="7.6640625" style="95" customWidth="1"/>
    <col min="14611" max="14611" width="1.6640625" style="95" customWidth="1"/>
    <col min="14612" max="14848" width="9.1640625" style="95"/>
    <col min="14849" max="14849" width="34.5" style="95" customWidth="1"/>
    <col min="14850" max="14851" width="7.6640625" style="95" customWidth="1"/>
    <col min="14852" max="14852" width="1.6640625" style="95" customWidth="1"/>
    <col min="14853" max="14853" width="7.6640625" style="95" customWidth="1"/>
    <col min="14854" max="14854" width="8.5" style="95" customWidth="1"/>
    <col min="14855" max="14855" width="1.6640625" style="95" customWidth="1"/>
    <col min="14856" max="14856" width="7.6640625" style="95" customWidth="1"/>
    <col min="14857" max="14857" width="9" style="95" customWidth="1"/>
    <col min="14858" max="14858" width="1.6640625" style="95" customWidth="1"/>
    <col min="14859" max="14859" width="7.6640625" style="95" customWidth="1"/>
    <col min="14860" max="14860" width="8" style="95" customWidth="1"/>
    <col min="14861" max="14861" width="1.6640625" style="95" customWidth="1"/>
    <col min="14862" max="14862" width="7.6640625" style="95" customWidth="1"/>
    <col min="14863" max="14863" width="9" style="95" customWidth="1"/>
    <col min="14864" max="14864" width="1.6640625" style="95" customWidth="1"/>
    <col min="14865" max="14866" width="7.6640625" style="95" customWidth="1"/>
    <col min="14867" max="14867" width="1.6640625" style="95" customWidth="1"/>
    <col min="14868" max="15104" width="9.1640625" style="95"/>
    <col min="15105" max="15105" width="34.5" style="95" customWidth="1"/>
    <col min="15106" max="15107" width="7.6640625" style="95" customWidth="1"/>
    <col min="15108" max="15108" width="1.6640625" style="95" customWidth="1"/>
    <col min="15109" max="15109" width="7.6640625" style="95" customWidth="1"/>
    <col min="15110" max="15110" width="8.5" style="95" customWidth="1"/>
    <col min="15111" max="15111" width="1.6640625" style="95" customWidth="1"/>
    <col min="15112" max="15112" width="7.6640625" style="95" customWidth="1"/>
    <col min="15113" max="15113" width="9" style="95" customWidth="1"/>
    <col min="15114" max="15114" width="1.6640625" style="95" customWidth="1"/>
    <col min="15115" max="15115" width="7.6640625" style="95" customWidth="1"/>
    <col min="15116" max="15116" width="8" style="95" customWidth="1"/>
    <col min="15117" max="15117" width="1.6640625" style="95" customWidth="1"/>
    <col min="15118" max="15118" width="7.6640625" style="95" customWidth="1"/>
    <col min="15119" max="15119" width="9" style="95" customWidth="1"/>
    <col min="15120" max="15120" width="1.6640625" style="95" customWidth="1"/>
    <col min="15121" max="15122" width="7.6640625" style="95" customWidth="1"/>
    <col min="15123" max="15123" width="1.6640625" style="95" customWidth="1"/>
    <col min="15124" max="15360" width="9.1640625" style="95"/>
    <col min="15361" max="15361" width="34.5" style="95" customWidth="1"/>
    <col min="15362" max="15363" width="7.6640625" style="95" customWidth="1"/>
    <col min="15364" max="15364" width="1.6640625" style="95" customWidth="1"/>
    <col min="15365" max="15365" width="7.6640625" style="95" customWidth="1"/>
    <col min="15366" max="15366" width="8.5" style="95" customWidth="1"/>
    <col min="15367" max="15367" width="1.6640625" style="95" customWidth="1"/>
    <col min="15368" max="15368" width="7.6640625" style="95" customWidth="1"/>
    <col min="15369" max="15369" width="9" style="95" customWidth="1"/>
    <col min="15370" max="15370" width="1.6640625" style="95" customWidth="1"/>
    <col min="15371" max="15371" width="7.6640625" style="95" customWidth="1"/>
    <col min="15372" max="15372" width="8" style="95" customWidth="1"/>
    <col min="15373" max="15373" width="1.6640625" style="95" customWidth="1"/>
    <col min="15374" max="15374" width="7.6640625" style="95" customWidth="1"/>
    <col min="15375" max="15375" width="9" style="95" customWidth="1"/>
    <col min="15376" max="15376" width="1.6640625" style="95" customWidth="1"/>
    <col min="15377" max="15378" width="7.6640625" style="95" customWidth="1"/>
    <col min="15379" max="15379" width="1.6640625" style="95" customWidth="1"/>
    <col min="15380" max="15616" width="9.1640625" style="95"/>
    <col min="15617" max="15617" width="34.5" style="95" customWidth="1"/>
    <col min="15618" max="15619" width="7.6640625" style="95" customWidth="1"/>
    <col min="15620" max="15620" width="1.6640625" style="95" customWidth="1"/>
    <col min="15621" max="15621" width="7.6640625" style="95" customWidth="1"/>
    <col min="15622" max="15622" width="8.5" style="95" customWidth="1"/>
    <col min="15623" max="15623" width="1.6640625" style="95" customWidth="1"/>
    <col min="15624" max="15624" width="7.6640625" style="95" customWidth="1"/>
    <col min="15625" max="15625" width="9" style="95" customWidth="1"/>
    <col min="15626" max="15626" width="1.6640625" style="95" customWidth="1"/>
    <col min="15627" max="15627" width="7.6640625" style="95" customWidth="1"/>
    <col min="15628" max="15628" width="8" style="95" customWidth="1"/>
    <col min="15629" max="15629" width="1.6640625" style="95" customWidth="1"/>
    <col min="15630" max="15630" width="7.6640625" style="95" customWidth="1"/>
    <col min="15631" max="15631" width="9" style="95" customWidth="1"/>
    <col min="15632" max="15632" width="1.6640625" style="95" customWidth="1"/>
    <col min="15633" max="15634" width="7.6640625" style="95" customWidth="1"/>
    <col min="15635" max="15635" width="1.6640625" style="95" customWidth="1"/>
    <col min="15636" max="15872" width="9.1640625" style="95"/>
    <col min="15873" max="15873" width="34.5" style="95" customWidth="1"/>
    <col min="15874" max="15875" width="7.6640625" style="95" customWidth="1"/>
    <col min="15876" max="15876" width="1.6640625" style="95" customWidth="1"/>
    <col min="15877" max="15877" width="7.6640625" style="95" customWidth="1"/>
    <col min="15878" max="15878" width="8.5" style="95" customWidth="1"/>
    <col min="15879" max="15879" width="1.6640625" style="95" customWidth="1"/>
    <col min="15880" max="15880" width="7.6640625" style="95" customWidth="1"/>
    <col min="15881" max="15881" width="9" style="95" customWidth="1"/>
    <col min="15882" max="15882" width="1.6640625" style="95" customWidth="1"/>
    <col min="15883" max="15883" width="7.6640625" style="95" customWidth="1"/>
    <col min="15884" max="15884" width="8" style="95" customWidth="1"/>
    <col min="15885" max="15885" width="1.6640625" style="95" customWidth="1"/>
    <col min="15886" max="15886" width="7.6640625" style="95" customWidth="1"/>
    <col min="15887" max="15887" width="9" style="95" customWidth="1"/>
    <col min="15888" max="15888" width="1.6640625" style="95" customWidth="1"/>
    <col min="15889" max="15890" width="7.6640625" style="95" customWidth="1"/>
    <col min="15891" max="15891" width="1.6640625" style="95" customWidth="1"/>
    <col min="15892" max="16128" width="9.1640625" style="95"/>
    <col min="16129" max="16129" width="34.5" style="95" customWidth="1"/>
    <col min="16130" max="16131" width="7.6640625" style="95" customWidth="1"/>
    <col min="16132" max="16132" width="1.6640625" style="95" customWidth="1"/>
    <col min="16133" max="16133" width="7.6640625" style="95" customWidth="1"/>
    <col min="16134" max="16134" width="8.5" style="95" customWidth="1"/>
    <col min="16135" max="16135" width="1.6640625" style="95" customWidth="1"/>
    <col min="16136" max="16136" width="7.6640625" style="95" customWidth="1"/>
    <col min="16137" max="16137" width="9" style="95" customWidth="1"/>
    <col min="16138" max="16138" width="1.6640625" style="95" customWidth="1"/>
    <col min="16139" max="16139" width="7.6640625" style="95" customWidth="1"/>
    <col min="16140" max="16140" width="8" style="95" customWidth="1"/>
    <col min="16141" max="16141" width="1.6640625" style="95" customWidth="1"/>
    <col min="16142" max="16142" width="7.6640625" style="95" customWidth="1"/>
    <col min="16143" max="16143" width="9" style="95" customWidth="1"/>
    <col min="16144" max="16144" width="1.6640625" style="95" customWidth="1"/>
    <col min="16145" max="16146" width="7.6640625" style="95" customWidth="1"/>
    <col min="16147" max="16147" width="1.6640625" style="95" customWidth="1"/>
    <col min="16148" max="16384" width="9.1640625" style="95"/>
  </cols>
  <sheetData>
    <row r="1" spans="1:19">
      <c r="A1" s="95" t="s">
        <v>589</v>
      </c>
    </row>
    <row r="2" spans="1:19">
      <c r="A2" s="95" t="s">
        <v>590</v>
      </c>
      <c r="E2" s="58"/>
      <c r="F2" s="204"/>
    </row>
    <row r="3" spans="1:19" ht="10.5" customHeight="1"/>
    <row r="4" spans="1:19">
      <c r="A4" s="33" t="s">
        <v>2146</v>
      </c>
    </row>
    <row r="5" spans="1:19" ht="10.5" customHeight="1" thickBot="1">
      <c r="L5" s="73"/>
      <c r="O5" s="73"/>
      <c r="P5" s="73"/>
      <c r="R5" s="105"/>
      <c r="S5" s="105"/>
    </row>
    <row r="6" spans="1:19" ht="10.5" customHeight="1">
      <c r="A6" s="97"/>
      <c r="B6" s="186"/>
      <c r="C6" s="222"/>
      <c r="D6" s="188"/>
      <c r="E6" s="189"/>
      <c r="F6" s="187"/>
      <c r="G6" s="188"/>
      <c r="H6" s="189"/>
      <c r="I6" s="187"/>
      <c r="J6" s="187"/>
      <c r="K6" s="189"/>
      <c r="L6" s="187"/>
      <c r="M6" s="188"/>
      <c r="N6" s="189"/>
      <c r="O6" s="187"/>
      <c r="P6" s="187"/>
      <c r="Q6" s="189"/>
      <c r="R6" s="99"/>
      <c r="S6" s="99"/>
    </row>
    <row r="7" spans="1:19">
      <c r="A7" s="116" t="s">
        <v>1541</v>
      </c>
      <c r="B7" s="190" t="s">
        <v>2147</v>
      </c>
      <c r="C7" s="223"/>
      <c r="D7" s="57"/>
      <c r="E7" s="1021" t="s">
        <v>1542</v>
      </c>
      <c r="F7" s="1021"/>
      <c r="G7" s="57"/>
      <c r="H7" s="1021" t="s">
        <v>1543</v>
      </c>
      <c r="I7" s="1021"/>
      <c r="J7" s="191"/>
      <c r="K7" s="1021" t="s">
        <v>1544</v>
      </c>
      <c r="L7" s="1021"/>
      <c r="M7" s="57"/>
      <c r="N7" s="1021" t="s">
        <v>1545</v>
      </c>
      <c r="O7" s="1021"/>
      <c r="Q7" s="1019" t="s">
        <v>1546</v>
      </c>
      <c r="R7" s="1019"/>
    </row>
    <row r="8" spans="1:19">
      <c r="A8" s="95" t="s">
        <v>1547</v>
      </c>
      <c r="B8" s="194" t="s">
        <v>400</v>
      </c>
      <c r="C8" s="224" t="s">
        <v>401</v>
      </c>
      <c r="D8" s="57"/>
      <c r="E8" s="196" t="s">
        <v>400</v>
      </c>
      <c r="F8" s="195" t="s">
        <v>401</v>
      </c>
      <c r="G8" s="57"/>
      <c r="H8" s="196" t="s">
        <v>400</v>
      </c>
      <c r="I8" s="195" t="s">
        <v>401</v>
      </c>
      <c r="J8" s="195"/>
      <c r="K8" s="196" t="s">
        <v>400</v>
      </c>
      <c r="L8" s="195" t="s">
        <v>401</v>
      </c>
      <c r="M8" s="57"/>
      <c r="N8" s="196" t="s">
        <v>400</v>
      </c>
      <c r="O8" s="195" t="s">
        <v>401</v>
      </c>
      <c r="Q8" s="196" t="s">
        <v>400</v>
      </c>
      <c r="R8" s="101" t="s">
        <v>401</v>
      </c>
    </row>
    <row r="9" spans="1:19" ht="10.5" customHeight="1" thickBot="1">
      <c r="A9" s="102"/>
      <c r="B9" s="197"/>
      <c r="C9" s="226"/>
      <c r="D9" s="199"/>
      <c r="E9" s="200"/>
      <c r="F9" s="198"/>
      <c r="G9" s="199"/>
      <c r="H9" s="200"/>
      <c r="I9" s="198"/>
      <c r="J9" s="198"/>
      <c r="K9" s="200"/>
      <c r="L9" s="198"/>
      <c r="M9" s="199"/>
      <c r="N9" s="200"/>
      <c r="O9" s="198"/>
      <c r="P9" s="198"/>
      <c r="Q9" s="200"/>
      <c r="R9" s="96"/>
      <c r="S9" s="96"/>
    </row>
    <row r="10" spans="1:19" ht="10" customHeight="1">
      <c r="A10" s="116"/>
      <c r="B10" s="190"/>
      <c r="C10" s="223"/>
      <c r="D10" s="57"/>
      <c r="E10" s="201"/>
      <c r="F10" s="191"/>
      <c r="G10" s="57"/>
      <c r="H10" s="201"/>
      <c r="I10" s="191"/>
      <c r="J10" s="191"/>
      <c r="K10" s="201"/>
      <c r="L10" s="191"/>
      <c r="M10" s="57"/>
      <c r="N10" s="201"/>
      <c r="O10" s="191"/>
      <c r="Q10" s="201"/>
      <c r="R10" s="135"/>
    </row>
    <row r="11" spans="1:19">
      <c r="A11" s="55" t="s">
        <v>402</v>
      </c>
      <c r="B11" s="190">
        <f>IF(A11&lt;&gt;0,E11+H11+K11+N11+Q11,"")</f>
        <v>23131</v>
      </c>
      <c r="C11" s="223">
        <f>SUM(C13+C96)</f>
        <v>100</v>
      </c>
      <c r="D11" s="57"/>
      <c r="E11" s="379">
        <f>SUM(E13+E96)</f>
        <v>8689</v>
      </c>
      <c r="F11" s="537">
        <f>IF(A11&lt;&gt;0,E11/B11*100,"")</f>
        <v>37.564307639099042</v>
      </c>
      <c r="G11" s="301"/>
      <c r="H11" s="379">
        <f>SUM(H13+H96)</f>
        <v>11474</v>
      </c>
      <c r="I11" s="537">
        <f>IF(A11&lt;&gt;0,H11/B11*100,"")</f>
        <v>49.60442695949159</v>
      </c>
      <c r="J11" s="537"/>
      <c r="K11" s="379">
        <f>SUM(K13+K96)</f>
        <v>2399</v>
      </c>
      <c r="L11" s="537">
        <f>IF(A11&lt;&gt;0,K11/B11*100,"")</f>
        <v>10.371363105788769</v>
      </c>
      <c r="M11" s="301"/>
      <c r="N11" s="379">
        <f>SUM(N13+N96)</f>
        <v>387</v>
      </c>
      <c r="O11" s="537">
        <f>IF(A11&lt;&gt;0,N11/B11*100,"")</f>
        <v>1.6730794172322858</v>
      </c>
      <c r="P11" s="77"/>
      <c r="Q11" s="379">
        <f>SUM(Q13+Q96)</f>
        <v>182</v>
      </c>
      <c r="R11" s="554">
        <f>IF(A11&lt;&gt;0,Q11/B11*100,"")</f>
        <v>0.78682287838831</v>
      </c>
    </row>
    <row r="12" spans="1:19">
      <c r="B12" s="190" t="str">
        <f t="shared" ref="B12:B75" si="0">IF(A12&lt;&gt;0,E12+H12+K12+N12+Q12,"")</f>
        <v/>
      </c>
      <c r="C12" s="223" t="str">
        <f t="shared" ref="C12:C75" si="1">IF(A12&lt;&gt;0,B12/$B$11*100,"")</f>
        <v/>
      </c>
      <c r="D12" s="57"/>
      <c r="E12" s="379"/>
      <c r="F12" s="537" t="str">
        <f t="shared" ref="F12:F75" si="2">IF(A12&lt;&gt;0,E12/B12*100,"")</f>
        <v/>
      </c>
      <c r="G12" s="301"/>
      <c r="H12" s="379"/>
      <c r="I12" s="537" t="str">
        <f t="shared" ref="I12:I75" si="3">IF(A12&lt;&gt;0,H12/B12*100,"")</f>
        <v/>
      </c>
      <c r="J12" s="537"/>
      <c r="K12" s="379"/>
      <c r="L12" s="537" t="str">
        <f t="shared" ref="L12:L75" si="4">IF(A12&lt;&gt;0,K12/B12*100,"")</f>
        <v/>
      </c>
      <c r="M12" s="301"/>
      <c r="N12" s="379"/>
      <c r="O12" s="537" t="str">
        <f t="shared" ref="O12:O75" si="5">IF(A12&lt;&gt;0,N12/B12*100,"")</f>
        <v/>
      </c>
      <c r="P12" s="77"/>
      <c r="Q12" s="379"/>
      <c r="R12" s="554" t="str">
        <f t="shared" ref="R12:R75" si="6">IF(A12&lt;&gt;0,Q12/B12*100,"")</f>
        <v/>
      </c>
    </row>
    <row r="13" spans="1:19">
      <c r="A13" s="55" t="s">
        <v>403</v>
      </c>
      <c r="B13" s="190">
        <f t="shared" si="0"/>
        <v>15209</v>
      </c>
      <c r="C13" s="223">
        <f t="shared" si="1"/>
        <v>65.751588776965974</v>
      </c>
      <c r="D13" s="57"/>
      <c r="E13" s="379">
        <f>SUM(E15+E26+E34+E74+E60+E81+E93+E94)</f>
        <v>5414</v>
      </c>
      <c r="F13" s="537">
        <f t="shared" si="2"/>
        <v>35.597343678085345</v>
      </c>
      <c r="G13" s="301"/>
      <c r="H13" s="379">
        <f>SUM(H15+H26+H34+H74+H60+H81+H93+H94)</f>
        <v>7708</v>
      </c>
      <c r="I13" s="537">
        <f t="shared" si="3"/>
        <v>50.680518114274442</v>
      </c>
      <c r="J13" s="537"/>
      <c r="K13" s="379">
        <f>SUM(K15+K26+K34+K74+K60+K81+K93+K94)</f>
        <v>1710</v>
      </c>
      <c r="L13" s="537">
        <f t="shared" si="4"/>
        <v>11.24334275757775</v>
      </c>
      <c r="M13" s="301"/>
      <c r="N13" s="379">
        <f>SUM(N15+N26+N34+N74+N60+N81+N93+N94)</f>
        <v>258</v>
      </c>
      <c r="O13" s="537">
        <f t="shared" si="5"/>
        <v>1.696363995002959</v>
      </c>
      <c r="P13" s="77"/>
      <c r="Q13" s="379">
        <f>SUM(Q15+Q26+Q34+Q74+Q60+Q81+Q93+Q94)</f>
        <v>119</v>
      </c>
      <c r="R13" s="554">
        <f t="shared" si="6"/>
        <v>0.78243145505950429</v>
      </c>
    </row>
    <row r="14" spans="1:19">
      <c r="A14" s="55"/>
      <c r="B14" s="190" t="str">
        <f t="shared" si="0"/>
        <v/>
      </c>
      <c r="C14" s="223"/>
      <c r="D14" s="57"/>
      <c r="E14" s="379"/>
      <c r="F14" s="537" t="str">
        <f t="shared" si="2"/>
        <v/>
      </c>
      <c r="G14" s="301"/>
      <c r="H14" s="379"/>
      <c r="I14" s="537" t="str">
        <f t="shared" si="3"/>
        <v/>
      </c>
      <c r="J14" s="537"/>
      <c r="K14" s="379"/>
      <c r="L14" s="537" t="str">
        <f t="shared" si="4"/>
        <v/>
      </c>
      <c r="M14" s="301"/>
      <c r="N14" s="379"/>
      <c r="O14" s="537" t="str">
        <f t="shared" si="5"/>
        <v/>
      </c>
      <c r="P14" s="77"/>
      <c r="Q14" s="379"/>
      <c r="R14" s="554"/>
    </row>
    <row r="15" spans="1:19">
      <c r="A15" s="55" t="s">
        <v>404</v>
      </c>
      <c r="B15" s="190">
        <f t="shared" si="0"/>
        <v>1417</v>
      </c>
      <c r="C15" s="223">
        <f t="shared" si="1"/>
        <v>6.1259781245946998</v>
      </c>
      <c r="D15" s="57"/>
      <c r="E15" s="379">
        <f>SUM(E16+E21)</f>
        <v>392</v>
      </c>
      <c r="F15" s="537">
        <f t="shared" si="2"/>
        <v>27.664079040225829</v>
      </c>
      <c r="G15" s="301"/>
      <c r="H15" s="379">
        <f>SUM(H16+H21)</f>
        <v>758</v>
      </c>
      <c r="I15" s="537">
        <f t="shared" si="3"/>
        <v>53.493295695130563</v>
      </c>
      <c r="J15" s="537"/>
      <c r="K15" s="379">
        <f>SUM(K16+K21)</f>
        <v>209</v>
      </c>
      <c r="L15" s="537">
        <f t="shared" si="4"/>
        <v>14.749470712773466</v>
      </c>
      <c r="M15" s="301"/>
      <c r="N15" s="379">
        <f>SUM(N16+N21)</f>
        <v>41</v>
      </c>
      <c r="O15" s="537">
        <f t="shared" si="5"/>
        <v>2.8934368383909668</v>
      </c>
      <c r="P15" s="77"/>
      <c r="Q15" s="379">
        <f>SUM(Q16+Q21)</f>
        <v>17</v>
      </c>
      <c r="R15" s="554">
        <f t="shared" si="6"/>
        <v>1.1997177134791814</v>
      </c>
    </row>
    <row r="16" spans="1:19">
      <c r="A16" s="95" t="s">
        <v>162</v>
      </c>
      <c r="B16" s="190">
        <f t="shared" si="0"/>
        <v>429</v>
      </c>
      <c r="C16" s="223">
        <f t="shared" si="1"/>
        <v>1.8546539276295879</v>
      </c>
      <c r="D16" s="57"/>
      <c r="E16" s="379">
        <f>SUM(E17:E19)</f>
        <v>82</v>
      </c>
      <c r="F16" s="537">
        <f t="shared" si="2"/>
        <v>19.114219114219114</v>
      </c>
      <c r="G16" s="301"/>
      <c r="H16" s="379">
        <f>SUM(H17:H19)</f>
        <v>233</v>
      </c>
      <c r="I16" s="537">
        <f t="shared" si="3"/>
        <v>54.312354312354316</v>
      </c>
      <c r="J16" s="537"/>
      <c r="K16" s="379">
        <f>SUM(K17:K19)</f>
        <v>86</v>
      </c>
      <c r="L16" s="537">
        <f t="shared" si="4"/>
        <v>20.046620046620049</v>
      </c>
      <c r="M16" s="301"/>
      <c r="N16" s="379">
        <f>SUM(N17:N19)</f>
        <v>22</v>
      </c>
      <c r="O16" s="537">
        <f t="shared" si="5"/>
        <v>5.1282051282051277</v>
      </c>
      <c r="P16" s="77"/>
      <c r="Q16" s="379">
        <f>SUM(Q17:Q19)</f>
        <v>6</v>
      </c>
      <c r="R16" s="554">
        <f t="shared" si="6"/>
        <v>1.3986013986013985</v>
      </c>
    </row>
    <row r="17" spans="1:18">
      <c r="A17" s="95" t="s">
        <v>163</v>
      </c>
      <c r="B17" s="190">
        <f>IF(A17&lt;&gt;0,E17+H17+K17+N17+Q17,"")</f>
        <v>71</v>
      </c>
      <c r="C17" s="223">
        <f t="shared" si="1"/>
        <v>0.30694738662401105</v>
      </c>
      <c r="D17" s="57"/>
      <c r="E17" s="927">
        <v>12</v>
      </c>
      <c r="F17" s="537">
        <f t="shared" si="2"/>
        <v>16.901408450704224</v>
      </c>
      <c r="G17" s="928"/>
      <c r="H17" s="927">
        <v>36</v>
      </c>
      <c r="I17" s="537">
        <f t="shared" si="3"/>
        <v>50.704225352112672</v>
      </c>
      <c r="J17" s="928"/>
      <c r="K17" s="927">
        <v>19</v>
      </c>
      <c r="L17" s="537">
        <f t="shared" si="4"/>
        <v>26.760563380281688</v>
      </c>
      <c r="M17" s="928"/>
      <c r="N17" s="927">
        <v>4</v>
      </c>
      <c r="O17" s="537">
        <f t="shared" si="5"/>
        <v>5.6338028169014089</v>
      </c>
      <c r="P17" s="928"/>
      <c r="Q17" s="927">
        <v>0</v>
      </c>
      <c r="R17" s="554">
        <f t="shared" si="6"/>
        <v>0</v>
      </c>
    </row>
    <row r="18" spans="1:18">
      <c r="A18" s="95" t="s">
        <v>164</v>
      </c>
      <c r="B18" s="190">
        <f>IF(A18&lt;&gt;0,E18+H18+K18+N18+Q18,"")</f>
        <v>100</v>
      </c>
      <c r="C18" s="223">
        <f t="shared" si="1"/>
        <v>0.43232026285071984</v>
      </c>
      <c r="D18" s="57"/>
      <c r="E18" s="927">
        <v>20</v>
      </c>
      <c r="F18" s="537">
        <f t="shared" si="2"/>
        <v>20</v>
      </c>
      <c r="G18" s="928"/>
      <c r="H18" s="927">
        <v>58</v>
      </c>
      <c r="I18" s="537">
        <f t="shared" si="3"/>
        <v>57.999999999999993</v>
      </c>
      <c r="J18" s="928"/>
      <c r="K18" s="927">
        <v>19</v>
      </c>
      <c r="L18" s="537">
        <f t="shared" si="4"/>
        <v>19</v>
      </c>
      <c r="M18" s="928"/>
      <c r="N18" s="927">
        <v>2</v>
      </c>
      <c r="O18" s="537">
        <f t="shared" si="5"/>
        <v>2</v>
      </c>
      <c r="P18" s="928"/>
      <c r="Q18" s="927">
        <v>1</v>
      </c>
      <c r="R18" s="554">
        <f t="shared" si="6"/>
        <v>1</v>
      </c>
    </row>
    <row r="19" spans="1:18">
      <c r="A19" s="95" t="s">
        <v>165</v>
      </c>
      <c r="B19" s="190">
        <f>IF(A19&lt;&gt;0,E19+H19+K19+N19+Q19,"")</f>
        <v>258</v>
      </c>
      <c r="C19" s="223">
        <f t="shared" si="1"/>
        <v>1.1153862781548571</v>
      </c>
      <c r="D19" s="57"/>
      <c r="E19" s="927">
        <v>50</v>
      </c>
      <c r="F19" s="537">
        <f t="shared" si="2"/>
        <v>19.379844961240313</v>
      </c>
      <c r="G19" s="928"/>
      <c r="H19" s="927">
        <v>139</v>
      </c>
      <c r="I19" s="537">
        <f t="shared" si="3"/>
        <v>53.875968992248055</v>
      </c>
      <c r="J19" s="928"/>
      <c r="K19" s="927">
        <v>48</v>
      </c>
      <c r="L19" s="537">
        <f t="shared" si="4"/>
        <v>18.604651162790699</v>
      </c>
      <c r="M19" s="928"/>
      <c r="N19" s="927">
        <v>16</v>
      </c>
      <c r="O19" s="537">
        <f t="shared" si="5"/>
        <v>6.2015503875968996</v>
      </c>
      <c r="P19" s="928"/>
      <c r="Q19" s="927">
        <v>5</v>
      </c>
      <c r="R19" s="554">
        <f t="shared" si="6"/>
        <v>1.9379844961240309</v>
      </c>
    </row>
    <row r="20" spans="1:18">
      <c r="B20" s="190" t="str">
        <f t="shared" si="0"/>
        <v/>
      </c>
      <c r="C20" s="223" t="str">
        <f t="shared" si="1"/>
        <v/>
      </c>
      <c r="D20" s="57"/>
      <c r="E20" s="379"/>
      <c r="F20" s="537" t="str">
        <f t="shared" si="2"/>
        <v/>
      </c>
      <c r="G20" s="301"/>
      <c r="H20" s="379"/>
      <c r="I20" s="537" t="str">
        <f t="shared" si="3"/>
        <v/>
      </c>
      <c r="J20" s="537"/>
      <c r="K20" s="379"/>
      <c r="L20" s="537" t="str">
        <f t="shared" si="4"/>
        <v/>
      </c>
      <c r="M20" s="301"/>
      <c r="N20" s="379"/>
      <c r="O20" s="537" t="str">
        <f t="shared" si="5"/>
        <v/>
      </c>
      <c r="P20" s="77"/>
      <c r="Q20" s="379"/>
      <c r="R20" s="554" t="str">
        <f t="shared" si="6"/>
        <v/>
      </c>
    </row>
    <row r="21" spans="1:18">
      <c r="A21" s="95" t="s">
        <v>166</v>
      </c>
      <c r="B21" s="190">
        <f t="shared" si="0"/>
        <v>988</v>
      </c>
      <c r="C21" s="223">
        <f t="shared" si="1"/>
        <v>4.2713241969651117</v>
      </c>
      <c r="D21" s="57"/>
      <c r="E21" s="379">
        <f>SUM(E22:E24)</f>
        <v>310</v>
      </c>
      <c r="F21" s="537">
        <f t="shared" si="2"/>
        <v>31.376518218623485</v>
      </c>
      <c r="G21" s="301"/>
      <c r="H21" s="379">
        <f>SUM(H22:H24)</f>
        <v>525</v>
      </c>
      <c r="I21" s="537">
        <f t="shared" si="3"/>
        <v>53.137651821862356</v>
      </c>
      <c r="J21" s="537"/>
      <c r="K21" s="379">
        <f>SUM(K22:K24)</f>
        <v>123</v>
      </c>
      <c r="L21" s="537">
        <f t="shared" si="4"/>
        <v>12.449392712550607</v>
      </c>
      <c r="M21" s="301"/>
      <c r="N21" s="379">
        <f>SUM(N22:N24)</f>
        <v>19</v>
      </c>
      <c r="O21" s="537">
        <f t="shared" si="5"/>
        <v>1.9230769230769231</v>
      </c>
      <c r="P21" s="77"/>
      <c r="Q21" s="379">
        <f>SUM(Q22:Q24)</f>
        <v>11</v>
      </c>
      <c r="R21" s="554">
        <f t="shared" si="6"/>
        <v>1.1133603238866396</v>
      </c>
    </row>
    <row r="22" spans="1:18">
      <c r="A22" s="95" t="s">
        <v>167</v>
      </c>
      <c r="B22" s="190">
        <f>IF(A22&lt;&gt;0,E22+H22+K22+N22+Q22,"")</f>
        <v>336</v>
      </c>
      <c r="C22" s="223">
        <f t="shared" si="1"/>
        <v>1.4525960831784186</v>
      </c>
      <c r="D22" s="57"/>
      <c r="E22" s="927">
        <v>94</v>
      </c>
      <c r="F22" s="537">
        <f t="shared" si="2"/>
        <v>27.976190476190478</v>
      </c>
      <c r="G22" s="928"/>
      <c r="H22" s="927">
        <v>173</v>
      </c>
      <c r="I22" s="537">
        <f t="shared" si="3"/>
        <v>51.488095238095234</v>
      </c>
      <c r="J22" s="928"/>
      <c r="K22" s="927">
        <v>54</v>
      </c>
      <c r="L22" s="537">
        <f t="shared" si="4"/>
        <v>16.071428571428573</v>
      </c>
      <c r="M22" s="928"/>
      <c r="N22" s="927">
        <v>10</v>
      </c>
      <c r="O22" s="537">
        <f t="shared" si="5"/>
        <v>2.9761904761904758</v>
      </c>
      <c r="P22" s="928"/>
      <c r="Q22" s="927">
        <v>5</v>
      </c>
      <c r="R22" s="554">
        <f t="shared" si="6"/>
        <v>1.4880952380952379</v>
      </c>
    </row>
    <row r="23" spans="1:18">
      <c r="A23" s="95" t="s">
        <v>168</v>
      </c>
      <c r="B23" s="190">
        <f>IF(A23&lt;&gt;0,E23+H23+K23+N23+Q23,"")</f>
        <v>123</v>
      </c>
      <c r="C23" s="223">
        <f t="shared" si="1"/>
        <v>0.53175392330638538</v>
      </c>
      <c r="D23" s="57"/>
      <c r="E23" s="927">
        <v>21</v>
      </c>
      <c r="F23" s="537">
        <f t="shared" si="2"/>
        <v>17.073170731707318</v>
      </c>
      <c r="G23" s="928"/>
      <c r="H23" s="927">
        <v>68</v>
      </c>
      <c r="I23" s="537">
        <f t="shared" si="3"/>
        <v>55.284552845528459</v>
      </c>
      <c r="J23" s="928"/>
      <c r="K23" s="927">
        <v>26</v>
      </c>
      <c r="L23" s="537">
        <f t="shared" si="4"/>
        <v>21.138211382113823</v>
      </c>
      <c r="M23" s="928"/>
      <c r="N23" s="927">
        <v>4</v>
      </c>
      <c r="O23" s="537">
        <f t="shared" si="5"/>
        <v>3.2520325203252036</v>
      </c>
      <c r="P23" s="928"/>
      <c r="Q23" s="927">
        <v>4</v>
      </c>
      <c r="R23" s="554">
        <f t="shared" si="6"/>
        <v>3.2520325203252036</v>
      </c>
    </row>
    <row r="24" spans="1:18">
      <c r="A24" s="95" t="s">
        <v>169</v>
      </c>
      <c r="B24" s="190">
        <f>IF(A24&lt;&gt;0,E24+H24+K24+N24+Q24,"")</f>
        <v>529</v>
      </c>
      <c r="C24" s="223">
        <f t="shared" si="1"/>
        <v>2.2869741904803078</v>
      </c>
      <c r="D24" s="57"/>
      <c r="E24" s="927">
        <v>195</v>
      </c>
      <c r="F24" s="537">
        <f t="shared" si="2"/>
        <v>36.862003780718339</v>
      </c>
      <c r="G24" s="928"/>
      <c r="H24" s="927">
        <v>284</v>
      </c>
      <c r="I24" s="537">
        <f t="shared" si="3"/>
        <v>53.686200378071838</v>
      </c>
      <c r="J24" s="928"/>
      <c r="K24" s="927">
        <v>43</v>
      </c>
      <c r="L24" s="537">
        <f t="shared" si="4"/>
        <v>8.128544423440454</v>
      </c>
      <c r="M24" s="928"/>
      <c r="N24" s="927">
        <v>5</v>
      </c>
      <c r="O24" s="537">
        <f t="shared" si="5"/>
        <v>0.94517958412098302</v>
      </c>
      <c r="P24" s="928"/>
      <c r="Q24" s="927">
        <v>2</v>
      </c>
      <c r="R24" s="554">
        <f t="shared" si="6"/>
        <v>0.3780718336483932</v>
      </c>
    </row>
    <row r="25" spans="1:18">
      <c r="B25" s="190" t="str">
        <f t="shared" si="0"/>
        <v/>
      </c>
      <c r="C25" s="223" t="str">
        <f t="shared" si="1"/>
        <v/>
      </c>
      <c r="D25" s="57"/>
      <c r="E25" s="379"/>
      <c r="F25" s="537" t="str">
        <f t="shared" si="2"/>
        <v/>
      </c>
      <c r="G25" s="301"/>
      <c r="H25" s="379"/>
      <c r="I25" s="537" t="str">
        <f t="shared" si="3"/>
        <v/>
      </c>
      <c r="J25" s="537"/>
      <c r="K25" s="379"/>
      <c r="L25" s="537" t="str">
        <f t="shared" si="4"/>
        <v/>
      </c>
      <c r="M25" s="301"/>
      <c r="N25" s="379"/>
      <c r="O25" s="537" t="str">
        <f t="shared" si="5"/>
        <v/>
      </c>
      <c r="P25" s="77"/>
      <c r="Q25" s="379"/>
      <c r="R25" s="554" t="str">
        <f t="shared" si="6"/>
        <v/>
      </c>
    </row>
    <row r="26" spans="1:18">
      <c r="A26" s="55" t="s">
        <v>464</v>
      </c>
      <c r="B26" s="190">
        <f t="shared" si="0"/>
        <v>986</v>
      </c>
      <c r="C26" s="223">
        <f t="shared" si="1"/>
        <v>4.2626777917080974</v>
      </c>
      <c r="D26" s="57"/>
      <c r="E26" s="379">
        <f>SUM(E27)</f>
        <v>394</v>
      </c>
      <c r="F26" s="537">
        <f t="shared" si="2"/>
        <v>39.959432048681542</v>
      </c>
      <c r="G26" s="301"/>
      <c r="H26" s="379">
        <f>SUM(H27)</f>
        <v>487</v>
      </c>
      <c r="I26" s="537">
        <f t="shared" si="3"/>
        <v>49.391480730223122</v>
      </c>
      <c r="J26" s="537"/>
      <c r="K26" s="379">
        <f>SUM(K27)</f>
        <v>88</v>
      </c>
      <c r="L26" s="537">
        <f t="shared" si="4"/>
        <v>8.9249492900608516</v>
      </c>
      <c r="M26" s="301"/>
      <c r="N26" s="379">
        <f>SUM(N27)</f>
        <v>14</v>
      </c>
      <c r="O26" s="537">
        <f t="shared" si="5"/>
        <v>1.4198782961460445</v>
      </c>
      <c r="P26" s="77"/>
      <c r="Q26" s="379">
        <f>SUM(Q27)</f>
        <v>3</v>
      </c>
      <c r="R26" s="554">
        <f t="shared" si="6"/>
        <v>0.3042596348884381</v>
      </c>
    </row>
    <row r="27" spans="1:18">
      <c r="A27" s="95" t="s">
        <v>171</v>
      </c>
      <c r="B27" s="190">
        <f t="shared" si="0"/>
        <v>986</v>
      </c>
      <c r="C27" s="223">
        <f t="shared" si="1"/>
        <v>4.2626777917080974</v>
      </c>
      <c r="D27" s="57"/>
      <c r="E27" s="379">
        <f>SUM(E28:E32)</f>
        <v>394</v>
      </c>
      <c r="F27" s="537">
        <f t="shared" si="2"/>
        <v>39.959432048681542</v>
      </c>
      <c r="G27" s="301"/>
      <c r="H27" s="379">
        <f>SUM(H28:H32)</f>
        <v>487</v>
      </c>
      <c r="I27" s="537">
        <f t="shared" si="3"/>
        <v>49.391480730223122</v>
      </c>
      <c r="J27" s="537"/>
      <c r="K27" s="379">
        <f>SUM(K28:K32)</f>
        <v>88</v>
      </c>
      <c r="L27" s="537">
        <f t="shared" si="4"/>
        <v>8.9249492900608516</v>
      </c>
      <c r="M27" s="301"/>
      <c r="N27" s="379">
        <f>SUM(N28:N32)</f>
        <v>14</v>
      </c>
      <c r="O27" s="537">
        <f t="shared" si="5"/>
        <v>1.4198782961460445</v>
      </c>
      <c r="P27" s="77"/>
      <c r="Q27" s="379">
        <f>SUM(Q28:Q32)</f>
        <v>3</v>
      </c>
      <c r="R27" s="554">
        <f t="shared" si="6"/>
        <v>0.3042596348884381</v>
      </c>
    </row>
    <row r="28" spans="1:18">
      <c r="A28" s="95" t="s">
        <v>172</v>
      </c>
      <c r="B28" s="190">
        <f t="shared" si="0"/>
        <v>152</v>
      </c>
      <c r="C28" s="223">
        <f t="shared" si="1"/>
        <v>0.65712679953309416</v>
      </c>
      <c r="D28" s="57"/>
      <c r="E28" s="927">
        <v>47</v>
      </c>
      <c r="F28" s="537">
        <f t="shared" si="2"/>
        <v>30.921052631578949</v>
      </c>
      <c r="G28" s="928"/>
      <c r="H28" s="927">
        <v>82</v>
      </c>
      <c r="I28" s="537">
        <f t="shared" si="3"/>
        <v>53.94736842105263</v>
      </c>
      <c r="J28" s="928"/>
      <c r="K28" s="927">
        <v>17</v>
      </c>
      <c r="L28" s="537">
        <f t="shared" si="4"/>
        <v>11.184210526315789</v>
      </c>
      <c r="M28" s="928"/>
      <c r="N28" s="927">
        <v>6</v>
      </c>
      <c r="O28" s="537">
        <f t="shared" si="5"/>
        <v>3.9473684210526314</v>
      </c>
      <c r="P28" s="928"/>
      <c r="Q28" s="927">
        <v>0</v>
      </c>
      <c r="R28" s="554">
        <f t="shared" si="6"/>
        <v>0</v>
      </c>
    </row>
    <row r="29" spans="1:18">
      <c r="A29" s="95" t="s">
        <v>173</v>
      </c>
      <c r="B29" s="190">
        <f t="shared" si="0"/>
        <v>237</v>
      </c>
      <c r="C29" s="223">
        <f t="shared" si="1"/>
        <v>1.0245990229562061</v>
      </c>
      <c r="D29" s="57"/>
      <c r="E29" s="927">
        <v>92</v>
      </c>
      <c r="F29" s="537">
        <f t="shared" si="2"/>
        <v>38.81856540084388</v>
      </c>
      <c r="G29" s="928"/>
      <c r="H29" s="927">
        <v>120</v>
      </c>
      <c r="I29" s="537">
        <f t="shared" si="3"/>
        <v>50.632911392405063</v>
      </c>
      <c r="J29" s="928"/>
      <c r="K29" s="927">
        <v>22</v>
      </c>
      <c r="L29" s="537">
        <f t="shared" si="4"/>
        <v>9.2827004219409286</v>
      </c>
      <c r="M29" s="928"/>
      <c r="N29" s="927">
        <v>1</v>
      </c>
      <c r="O29" s="537">
        <f t="shared" si="5"/>
        <v>0.42194092827004215</v>
      </c>
      <c r="P29" s="928"/>
      <c r="Q29" s="927">
        <v>2</v>
      </c>
      <c r="R29" s="554">
        <f t="shared" si="6"/>
        <v>0.8438818565400843</v>
      </c>
    </row>
    <row r="30" spans="1:18">
      <c r="A30" s="95" t="s">
        <v>174</v>
      </c>
      <c r="B30" s="190">
        <f t="shared" si="0"/>
        <v>175</v>
      </c>
      <c r="C30" s="223">
        <f t="shared" si="1"/>
        <v>0.75656045998875976</v>
      </c>
      <c r="D30" s="57"/>
      <c r="E30" s="927">
        <v>68</v>
      </c>
      <c r="F30" s="537">
        <f t="shared" si="2"/>
        <v>38.857142857142854</v>
      </c>
      <c r="G30" s="928"/>
      <c r="H30" s="927">
        <v>85</v>
      </c>
      <c r="I30" s="537">
        <f t="shared" si="3"/>
        <v>48.571428571428569</v>
      </c>
      <c r="J30" s="928"/>
      <c r="K30" s="927">
        <v>17</v>
      </c>
      <c r="L30" s="537">
        <f t="shared" si="4"/>
        <v>9.7142857142857135</v>
      </c>
      <c r="M30" s="928"/>
      <c r="N30" s="927">
        <v>4</v>
      </c>
      <c r="O30" s="537">
        <f t="shared" si="5"/>
        <v>2.2857142857142856</v>
      </c>
      <c r="P30" s="928"/>
      <c r="Q30" s="927">
        <v>1</v>
      </c>
      <c r="R30" s="554">
        <f t="shared" si="6"/>
        <v>0.5714285714285714</v>
      </c>
    </row>
    <row r="31" spans="1:18">
      <c r="A31" s="95" t="s">
        <v>175</v>
      </c>
      <c r="B31" s="190">
        <f t="shared" si="0"/>
        <v>254</v>
      </c>
      <c r="C31" s="223">
        <f t="shared" si="1"/>
        <v>1.0980934676408283</v>
      </c>
      <c r="D31" s="57"/>
      <c r="E31" s="927">
        <v>120</v>
      </c>
      <c r="F31" s="537">
        <f t="shared" si="2"/>
        <v>47.244094488188978</v>
      </c>
      <c r="G31" s="928"/>
      <c r="H31" s="927">
        <v>116</v>
      </c>
      <c r="I31" s="537">
        <f t="shared" si="3"/>
        <v>45.669291338582681</v>
      </c>
      <c r="J31" s="928"/>
      <c r="K31" s="927">
        <v>15</v>
      </c>
      <c r="L31" s="537">
        <f t="shared" si="4"/>
        <v>5.9055118110236222</v>
      </c>
      <c r="M31" s="928"/>
      <c r="N31" s="927">
        <v>3</v>
      </c>
      <c r="O31" s="537">
        <f t="shared" si="5"/>
        <v>1.1811023622047243</v>
      </c>
      <c r="P31" s="928"/>
      <c r="Q31" s="927">
        <v>0</v>
      </c>
      <c r="R31" s="554">
        <f t="shared" si="6"/>
        <v>0</v>
      </c>
    </row>
    <row r="32" spans="1:18">
      <c r="A32" s="95" t="s">
        <v>176</v>
      </c>
      <c r="B32" s="190">
        <f t="shared" si="0"/>
        <v>168</v>
      </c>
      <c r="C32" s="223">
        <f t="shared" si="1"/>
        <v>0.7262980415892093</v>
      </c>
      <c r="D32" s="57"/>
      <c r="E32" s="927">
        <v>67</v>
      </c>
      <c r="F32" s="537">
        <f t="shared" si="2"/>
        <v>39.880952380952387</v>
      </c>
      <c r="G32" s="928"/>
      <c r="H32" s="927">
        <v>84</v>
      </c>
      <c r="I32" s="537">
        <f t="shared" si="3"/>
        <v>50</v>
      </c>
      <c r="J32" s="928"/>
      <c r="K32" s="927">
        <v>17</v>
      </c>
      <c r="L32" s="537">
        <f t="shared" si="4"/>
        <v>10.119047619047619</v>
      </c>
      <c r="M32" s="928"/>
      <c r="N32" s="927">
        <v>0</v>
      </c>
      <c r="O32" s="537">
        <f t="shared" si="5"/>
        <v>0</v>
      </c>
      <c r="P32" s="928"/>
      <c r="Q32" s="927">
        <v>0</v>
      </c>
      <c r="R32" s="554">
        <f t="shared" si="6"/>
        <v>0</v>
      </c>
    </row>
    <row r="33" spans="1:18">
      <c r="B33" s="190" t="str">
        <f t="shared" si="0"/>
        <v/>
      </c>
      <c r="C33" s="223" t="str">
        <f t="shared" si="1"/>
        <v/>
      </c>
      <c r="D33" s="57"/>
      <c r="E33" s="379"/>
      <c r="F33" s="537" t="str">
        <f t="shared" si="2"/>
        <v/>
      </c>
      <c r="G33" s="301"/>
      <c r="H33" s="379"/>
      <c r="I33" s="537" t="str">
        <f t="shared" si="3"/>
        <v/>
      </c>
      <c r="J33" s="537"/>
      <c r="K33" s="379"/>
      <c r="L33" s="537" t="str">
        <f t="shared" si="4"/>
        <v/>
      </c>
      <c r="M33" s="301"/>
      <c r="N33" s="379"/>
      <c r="O33" s="537" t="str">
        <f t="shared" si="5"/>
        <v/>
      </c>
      <c r="P33" s="77"/>
      <c r="Q33" s="379"/>
      <c r="R33" s="554" t="str">
        <f t="shared" si="6"/>
        <v/>
      </c>
    </row>
    <row r="34" spans="1:18">
      <c r="A34" s="55" t="s">
        <v>406</v>
      </c>
      <c r="B34" s="190">
        <f t="shared" si="0"/>
        <v>6682</v>
      </c>
      <c r="C34" s="223">
        <f t="shared" si="1"/>
        <v>28.887639963685096</v>
      </c>
      <c r="D34" s="57"/>
      <c r="E34" s="379">
        <f>SUM(E35+E41+E51+E53)</f>
        <v>2222</v>
      </c>
      <c r="F34" s="537">
        <f t="shared" si="2"/>
        <v>33.253516911104455</v>
      </c>
      <c r="G34" s="301"/>
      <c r="H34" s="379">
        <f>SUM(H35+H41+H51+H53)</f>
        <v>3437</v>
      </c>
      <c r="I34" s="537">
        <f t="shared" si="3"/>
        <v>51.43669560011972</v>
      </c>
      <c r="J34" s="537"/>
      <c r="K34" s="379">
        <f>SUM(K35+K41+K51+K53)</f>
        <v>817</v>
      </c>
      <c r="L34" s="537">
        <f t="shared" si="4"/>
        <v>12.226878180185572</v>
      </c>
      <c r="M34" s="301"/>
      <c r="N34" s="379">
        <f>SUM(N35+N41+N51+N53)</f>
        <v>130</v>
      </c>
      <c r="O34" s="537">
        <f t="shared" si="5"/>
        <v>1.9455252918287937</v>
      </c>
      <c r="P34" s="77"/>
      <c r="Q34" s="379">
        <f>SUM(Q35+Q41+Q51+Q53)</f>
        <v>76</v>
      </c>
      <c r="R34" s="554">
        <f t="shared" si="6"/>
        <v>1.1373840167614486</v>
      </c>
    </row>
    <row r="35" spans="1:18">
      <c r="A35" s="95" t="s">
        <v>178</v>
      </c>
      <c r="B35" s="190">
        <f t="shared" si="0"/>
        <v>2259</v>
      </c>
      <c r="C35" s="223">
        <f t="shared" si="1"/>
        <v>9.7661147377977606</v>
      </c>
      <c r="D35" s="57"/>
      <c r="E35" s="379">
        <f>SUM(E36:E39)</f>
        <v>841</v>
      </c>
      <c r="F35" s="537">
        <f t="shared" si="2"/>
        <v>37.228862328463926</v>
      </c>
      <c r="G35" s="301"/>
      <c r="H35" s="379">
        <f>SUM(H36:H39)</f>
        <v>1209</v>
      </c>
      <c r="I35" s="537">
        <f t="shared" si="3"/>
        <v>53.519256308100928</v>
      </c>
      <c r="J35" s="537"/>
      <c r="K35" s="379">
        <f>SUM(K36:K39)</f>
        <v>171</v>
      </c>
      <c r="L35" s="537">
        <f t="shared" si="4"/>
        <v>7.569721115537849</v>
      </c>
      <c r="M35" s="301"/>
      <c r="N35" s="379">
        <f>SUM(N36:N39)</f>
        <v>24</v>
      </c>
      <c r="O35" s="537">
        <f t="shared" si="5"/>
        <v>1.0624169986719787</v>
      </c>
      <c r="P35" s="77"/>
      <c r="Q35" s="379">
        <f>SUM(Q36:Q39)</f>
        <v>14</v>
      </c>
      <c r="R35" s="554">
        <f t="shared" si="6"/>
        <v>0.61974324922532098</v>
      </c>
    </row>
    <row r="36" spans="1:18">
      <c r="A36" s="95" t="s">
        <v>179</v>
      </c>
      <c r="B36" s="190">
        <f t="shared" si="0"/>
        <v>1222</v>
      </c>
      <c r="C36" s="223">
        <f t="shared" si="1"/>
        <v>5.2829536120357963</v>
      </c>
      <c r="D36" s="57"/>
      <c r="E36" s="927">
        <v>459</v>
      </c>
      <c r="F36" s="537">
        <f t="shared" si="2"/>
        <v>37.561374795417343</v>
      </c>
      <c r="G36" s="928"/>
      <c r="H36" s="927">
        <v>649</v>
      </c>
      <c r="I36" s="537">
        <f t="shared" si="3"/>
        <v>53.109656301145655</v>
      </c>
      <c r="J36" s="928"/>
      <c r="K36" s="927">
        <v>96</v>
      </c>
      <c r="L36" s="537">
        <f t="shared" si="4"/>
        <v>7.8559738134206221</v>
      </c>
      <c r="M36" s="928"/>
      <c r="N36" s="927">
        <v>12</v>
      </c>
      <c r="O36" s="537">
        <f t="shared" si="5"/>
        <v>0.98199672667757776</v>
      </c>
      <c r="P36" s="928"/>
      <c r="Q36" s="927">
        <v>6</v>
      </c>
      <c r="R36" s="554">
        <f t="shared" si="6"/>
        <v>0.49099836333878888</v>
      </c>
    </row>
    <row r="37" spans="1:18">
      <c r="A37" s="95" t="s">
        <v>180</v>
      </c>
      <c r="B37" s="190">
        <f t="shared" si="0"/>
        <v>600</v>
      </c>
      <c r="C37" s="223">
        <f t="shared" si="1"/>
        <v>2.5939215771043189</v>
      </c>
      <c r="D37" s="57"/>
      <c r="E37" s="927">
        <v>212</v>
      </c>
      <c r="F37" s="537">
        <f t="shared" si="2"/>
        <v>35.333333333333336</v>
      </c>
      <c r="G37" s="928"/>
      <c r="H37" s="927">
        <v>339</v>
      </c>
      <c r="I37" s="537">
        <f t="shared" si="3"/>
        <v>56.499999999999993</v>
      </c>
      <c r="J37" s="928"/>
      <c r="K37" s="927">
        <v>37</v>
      </c>
      <c r="L37" s="537">
        <f t="shared" si="4"/>
        <v>6.166666666666667</v>
      </c>
      <c r="M37" s="928"/>
      <c r="N37" s="927">
        <v>5</v>
      </c>
      <c r="O37" s="537">
        <f t="shared" si="5"/>
        <v>0.83333333333333337</v>
      </c>
      <c r="P37" s="928"/>
      <c r="Q37" s="927">
        <v>7</v>
      </c>
      <c r="R37" s="554">
        <f t="shared" si="6"/>
        <v>1.1666666666666667</v>
      </c>
    </row>
    <row r="38" spans="1:18">
      <c r="A38" s="95" t="s">
        <v>181</v>
      </c>
      <c r="B38" s="190">
        <f t="shared" si="0"/>
        <v>188</v>
      </c>
      <c r="C38" s="223">
        <f t="shared" si="1"/>
        <v>0.8127620941593533</v>
      </c>
      <c r="D38" s="57"/>
      <c r="E38" s="927">
        <v>81</v>
      </c>
      <c r="F38" s="537">
        <f t="shared" si="2"/>
        <v>43.085106382978722</v>
      </c>
      <c r="G38" s="928"/>
      <c r="H38" s="927">
        <v>94</v>
      </c>
      <c r="I38" s="537">
        <f t="shared" si="3"/>
        <v>50</v>
      </c>
      <c r="J38" s="928"/>
      <c r="K38" s="927">
        <v>12</v>
      </c>
      <c r="L38" s="537">
        <f t="shared" si="4"/>
        <v>6.3829787234042552</v>
      </c>
      <c r="M38" s="928"/>
      <c r="N38" s="927">
        <v>1</v>
      </c>
      <c r="O38" s="537">
        <f t="shared" si="5"/>
        <v>0.53191489361702127</v>
      </c>
      <c r="P38" s="928"/>
      <c r="Q38" s="927">
        <v>0</v>
      </c>
      <c r="R38" s="554">
        <f t="shared" si="6"/>
        <v>0</v>
      </c>
    </row>
    <row r="39" spans="1:18">
      <c r="A39" s="95" t="s">
        <v>182</v>
      </c>
      <c r="B39" s="190">
        <f t="shared" si="0"/>
        <v>249</v>
      </c>
      <c r="C39" s="223">
        <f t="shared" si="1"/>
        <v>1.0764774544982922</v>
      </c>
      <c r="D39" s="57"/>
      <c r="E39" s="927">
        <v>89</v>
      </c>
      <c r="F39" s="537">
        <f t="shared" si="2"/>
        <v>35.742971887550198</v>
      </c>
      <c r="G39" s="928"/>
      <c r="H39" s="927">
        <v>127</v>
      </c>
      <c r="I39" s="537">
        <f t="shared" si="3"/>
        <v>51.00401606425703</v>
      </c>
      <c r="J39" s="928"/>
      <c r="K39" s="927">
        <v>26</v>
      </c>
      <c r="L39" s="537">
        <f t="shared" si="4"/>
        <v>10.441767068273093</v>
      </c>
      <c r="M39" s="928"/>
      <c r="N39" s="927">
        <v>6</v>
      </c>
      <c r="O39" s="537">
        <f t="shared" si="5"/>
        <v>2.4096385542168677</v>
      </c>
      <c r="P39" s="928"/>
      <c r="Q39" s="927">
        <v>1</v>
      </c>
      <c r="R39" s="554">
        <f t="shared" si="6"/>
        <v>0.40160642570281119</v>
      </c>
    </row>
    <row r="40" spans="1:18">
      <c r="B40" s="190" t="str">
        <f t="shared" si="0"/>
        <v/>
      </c>
      <c r="C40" s="223" t="str">
        <f t="shared" si="1"/>
        <v/>
      </c>
      <c r="D40" s="57"/>
      <c r="E40" s="379"/>
      <c r="F40" s="537" t="str">
        <f t="shared" si="2"/>
        <v/>
      </c>
      <c r="G40" s="301"/>
      <c r="H40" s="379"/>
      <c r="I40" s="537" t="str">
        <f t="shared" si="3"/>
        <v/>
      </c>
      <c r="J40" s="537"/>
      <c r="K40" s="379"/>
      <c r="L40" s="537" t="str">
        <f t="shared" si="4"/>
        <v/>
      </c>
      <c r="M40" s="301"/>
      <c r="N40" s="379"/>
      <c r="O40" s="537" t="str">
        <f t="shared" si="5"/>
        <v/>
      </c>
      <c r="P40" s="77"/>
      <c r="Q40" s="379"/>
      <c r="R40" s="554" t="str">
        <f t="shared" si="6"/>
        <v/>
      </c>
    </row>
    <row r="41" spans="1:18">
      <c r="A41" s="95" t="s">
        <v>183</v>
      </c>
      <c r="B41" s="190">
        <f t="shared" si="0"/>
        <v>1937</v>
      </c>
      <c r="C41" s="223">
        <f t="shared" si="1"/>
        <v>8.3740434914184423</v>
      </c>
      <c r="D41" s="57"/>
      <c r="E41" s="379">
        <f>SUM(E42:E49)</f>
        <v>638</v>
      </c>
      <c r="F41" s="537">
        <f t="shared" si="2"/>
        <v>32.937532266391329</v>
      </c>
      <c r="G41" s="301"/>
      <c r="H41" s="379">
        <f>SUM(H42:H49)</f>
        <v>975</v>
      </c>
      <c r="I41" s="537">
        <f t="shared" si="3"/>
        <v>50.335570469798661</v>
      </c>
      <c r="J41" s="537"/>
      <c r="K41" s="379">
        <f>SUM(K42:K49)</f>
        <v>255</v>
      </c>
      <c r="L41" s="537">
        <f t="shared" si="4"/>
        <v>13.164687661331955</v>
      </c>
      <c r="M41" s="301"/>
      <c r="N41" s="379">
        <f>SUM(N42:N49)</f>
        <v>43</v>
      </c>
      <c r="O41" s="537">
        <f t="shared" si="5"/>
        <v>2.219927723283428</v>
      </c>
      <c r="P41" s="77"/>
      <c r="Q41" s="379">
        <f>SUM(Q42:Q49)</f>
        <v>26</v>
      </c>
      <c r="R41" s="554">
        <f t="shared" si="6"/>
        <v>1.3422818791946309</v>
      </c>
    </row>
    <row r="42" spans="1:18">
      <c r="A42" s="95" t="s">
        <v>191</v>
      </c>
      <c r="B42" s="190">
        <f t="shared" si="0"/>
        <v>224</v>
      </c>
      <c r="C42" s="223">
        <f t="shared" si="1"/>
        <v>0.96839738878561243</v>
      </c>
      <c r="D42" s="57"/>
      <c r="E42" s="927">
        <v>65</v>
      </c>
      <c r="F42" s="537">
        <f t="shared" si="2"/>
        <v>29.017857142857146</v>
      </c>
      <c r="G42" s="928"/>
      <c r="H42" s="927">
        <v>116</v>
      </c>
      <c r="I42" s="537">
        <f t="shared" si="3"/>
        <v>51.785714285714292</v>
      </c>
      <c r="J42" s="928"/>
      <c r="K42" s="927">
        <v>37</v>
      </c>
      <c r="L42" s="537">
        <f t="shared" si="4"/>
        <v>16.517857142857142</v>
      </c>
      <c r="M42" s="928"/>
      <c r="N42" s="927">
        <v>1</v>
      </c>
      <c r="O42" s="537">
        <f t="shared" si="5"/>
        <v>0.4464285714285714</v>
      </c>
      <c r="P42" s="928"/>
      <c r="Q42" s="927">
        <v>5</v>
      </c>
      <c r="R42" s="554">
        <f t="shared" si="6"/>
        <v>2.2321428571428572</v>
      </c>
    </row>
    <row r="43" spans="1:18">
      <c r="A43" s="33" t="s">
        <v>184</v>
      </c>
      <c r="B43" s="190">
        <f t="shared" si="0"/>
        <v>222</v>
      </c>
      <c r="C43" s="223">
        <f t="shared" si="1"/>
        <v>0.959750983528598</v>
      </c>
      <c r="D43" s="57"/>
      <c r="E43" s="927">
        <v>63</v>
      </c>
      <c r="F43" s="537">
        <f t="shared" si="2"/>
        <v>28.378378378378379</v>
      </c>
      <c r="G43" s="928"/>
      <c r="H43" s="927">
        <v>114</v>
      </c>
      <c r="I43" s="537">
        <f t="shared" si="3"/>
        <v>51.351351351351347</v>
      </c>
      <c r="J43" s="928"/>
      <c r="K43" s="927">
        <v>36</v>
      </c>
      <c r="L43" s="537">
        <f t="shared" si="4"/>
        <v>16.216216216216218</v>
      </c>
      <c r="M43" s="928"/>
      <c r="N43" s="927">
        <v>5</v>
      </c>
      <c r="O43" s="537">
        <f t="shared" si="5"/>
        <v>2.2522522522522523</v>
      </c>
      <c r="P43" s="928"/>
      <c r="Q43" s="927">
        <v>4</v>
      </c>
      <c r="R43" s="554">
        <f t="shared" si="6"/>
        <v>1.8018018018018018</v>
      </c>
    </row>
    <row r="44" spans="1:18">
      <c r="A44" s="95" t="s">
        <v>185</v>
      </c>
      <c r="B44" s="190">
        <f t="shared" si="0"/>
        <v>124</v>
      </c>
      <c r="C44" s="223">
        <f t="shared" si="1"/>
        <v>0.53607712593489254</v>
      </c>
      <c r="D44" s="57"/>
      <c r="E44" s="927">
        <v>47</v>
      </c>
      <c r="F44" s="537">
        <f t="shared" si="2"/>
        <v>37.903225806451616</v>
      </c>
      <c r="G44" s="928"/>
      <c r="H44" s="927">
        <v>65</v>
      </c>
      <c r="I44" s="537">
        <f t="shared" si="3"/>
        <v>52.419354838709673</v>
      </c>
      <c r="J44" s="928"/>
      <c r="K44" s="927">
        <v>10</v>
      </c>
      <c r="L44" s="537">
        <f t="shared" si="4"/>
        <v>8.064516129032258</v>
      </c>
      <c r="M44" s="928"/>
      <c r="N44" s="927">
        <v>2</v>
      </c>
      <c r="O44" s="537">
        <f t="shared" si="5"/>
        <v>1.6129032258064515</v>
      </c>
      <c r="P44" s="928"/>
      <c r="Q44" s="927">
        <v>0</v>
      </c>
      <c r="R44" s="554">
        <f t="shared" si="6"/>
        <v>0</v>
      </c>
    </row>
    <row r="45" spans="1:18">
      <c r="A45" s="95" t="s">
        <v>186</v>
      </c>
      <c r="B45" s="190">
        <f t="shared" si="0"/>
        <v>282</v>
      </c>
      <c r="C45" s="223">
        <f t="shared" si="1"/>
        <v>1.2191431412390299</v>
      </c>
      <c r="D45" s="57"/>
      <c r="E45" s="927">
        <v>124</v>
      </c>
      <c r="F45" s="537">
        <f t="shared" si="2"/>
        <v>43.971631205673759</v>
      </c>
      <c r="G45" s="928"/>
      <c r="H45" s="927">
        <v>136</v>
      </c>
      <c r="I45" s="537">
        <f t="shared" si="3"/>
        <v>48.226950354609926</v>
      </c>
      <c r="J45" s="928"/>
      <c r="K45" s="927">
        <v>18</v>
      </c>
      <c r="L45" s="537">
        <f t="shared" si="4"/>
        <v>6.3829787234042552</v>
      </c>
      <c r="M45" s="928"/>
      <c r="N45" s="927">
        <v>3</v>
      </c>
      <c r="O45" s="537">
        <f t="shared" si="5"/>
        <v>1.0638297872340425</v>
      </c>
      <c r="P45" s="928"/>
      <c r="Q45" s="927">
        <v>1</v>
      </c>
      <c r="R45" s="554">
        <f t="shared" si="6"/>
        <v>0.3546099290780142</v>
      </c>
    </row>
    <row r="46" spans="1:18">
      <c r="A46" s="95" t="s">
        <v>1529</v>
      </c>
      <c r="B46" s="190">
        <f t="shared" si="0"/>
        <v>214</v>
      </c>
      <c r="C46" s="223">
        <f t="shared" si="1"/>
        <v>0.92516536250054038</v>
      </c>
      <c r="D46" s="57"/>
      <c r="E46" s="927">
        <v>59</v>
      </c>
      <c r="F46" s="537">
        <f t="shared" si="2"/>
        <v>27.570093457943923</v>
      </c>
      <c r="G46" s="928"/>
      <c r="H46" s="927">
        <v>113</v>
      </c>
      <c r="I46" s="537">
        <f t="shared" si="3"/>
        <v>52.803738317757009</v>
      </c>
      <c r="J46" s="928"/>
      <c r="K46" s="927">
        <v>35</v>
      </c>
      <c r="L46" s="537">
        <f t="shared" si="4"/>
        <v>16.355140186915886</v>
      </c>
      <c r="M46" s="928"/>
      <c r="N46" s="927">
        <v>7</v>
      </c>
      <c r="O46" s="537">
        <f t="shared" si="5"/>
        <v>3.2710280373831773</v>
      </c>
      <c r="P46" s="928"/>
      <c r="Q46" s="927">
        <v>0</v>
      </c>
      <c r="R46" s="554">
        <f t="shared" si="6"/>
        <v>0</v>
      </c>
    </row>
    <row r="47" spans="1:18">
      <c r="A47" s="95" t="s">
        <v>408</v>
      </c>
      <c r="B47" s="190">
        <f t="shared" si="0"/>
        <v>405</v>
      </c>
      <c r="C47" s="223">
        <f>IF(A47&lt;&gt;0,B47/$B$11*100,"")</f>
        <v>1.7508970645454154</v>
      </c>
      <c r="D47" s="57"/>
      <c r="E47" s="927">
        <v>120</v>
      </c>
      <c r="F47" s="537">
        <f t="shared" si="2"/>
        <v>29.629629629629626</v>
      </c>
      <c r="G47" s="928"/>
      <c r="H47" s="927">
        <v>205</v>
      </c>
      <c r="I47" s="537">
        <f t="shared" si="3"/>
        <v>50.617283950617285</v>
      </c>
      <c r="J47" s="928"/>
      <c r="K47" s="927">
        <v>54</v>
      </c>
      <c r="L47" s="537">
        <f t="shared" si="4"/>
        <v>13.333333333333334</v>
      </c>
      <c r="M47" s="928"/>
      <c r="N47" s="927">
        <v>16</v>
      </c>
      <c r="O47" s="537">
        <f t="shared" si="5"/>
        <v>3.9506172839506171</v>
      </c>
      <c r="P47" s="928"/>
      <c r="Q47" s="927">
        <v>10</v>
      </c>
      <c r="R47" s="554">
        <f>IF(A47&lt;&gt;0,Q47/B47*100,"")</f>
        <v>2.4691358024691357</v>
      </c>
    </row>
    <row r="48" spans="1:18">
      <c r="A48" s="95" t="s">
        <v>189</v>
      </c>
      <c r="B48" s="190">
        <f t="shared" si="0"/>
        <v>158</v>
      </c>
      <c r="C48" s="223">
        <f t="shared" si="1"/>
        <v>0.68306601530413724</v>
      </c>
      <c r="D48" s="57"/>
      <c r="E48" s="927">
        <v>56</v>
      </c>
      <c r="F48" s="537">
        <f t="shared" si="2"/>
        <v>35.443037974683541</v>
      </c>
      <c r="G48" s="928"/>
      <c r="H48" s="927">
        <v>74</v>
      </c>
      <c r="I48" s="537">
        <f t="shared" si="3"/>
        <v>46.835443037974684</v>
      </c>
      <c r="J48" s="928"/>
      <c r="K48" s="927">
        <v>23</v>
      </c>
      <c r="L48" s="537">
        <f t="shared" si="4"/>
        <v>14.556962025316455</v>
      </c>
      <c r="M48" s="928"/>
      <c r="N48" s="927">
        <v>2</v>
      </c>
      <c r="O48" s="537">
        <f t="shared" si="5"/>
        <v>1.2658227848101267</v>
      </c>
      <c r="P48" s="928"/>
      <c r="Q48" s="927">
        <v>3</v>
      </c>
      <c r="R48" s="554">
        <f t="shared" si="6"/>
        <v>1.89873417721519</v>
      </c>
    </row>
    <row r="49" spans="1:18">
      <c r="A49" s="95" t="s">
        <v>188</v>
      </c>
      <c r="B49" s="190">
        <f t="shared" si="0"/>
        <v>308</v>
      </c>
      <c r="C49" s="223">
        <f t="shared" si="1"/>
        <v>1.3315464095802172</v>
      </c>
      <c r="D49" s="57"/>
      <c r="E49" s="927">
        <v>104</v>
      </c>
      <c r="F49" s="537">
        <f t="shared" si="2"/>
        <v>33.766233766233768</v>
      </c>
      <c r="G49" s="928"/>
      <c r="H49" s="927">
        <v>152</v>
      </c>
      <c r="I49" s="537">
        <f t="shared" si="3"/>
        <v>49.350649350649348</v>
      </c>
      <c r="J49" s="928"/>
      <c r="K49" s="927">
        <v>42</v>
      </c>
      <c r="L49" s="537">
        <f t="shared" si="4"/>
        <v>13.636363636363635</v>
      </c>
      <c r="M49" s="928"/>
      <c r="N49" s="927">
        <v>7</v>
      </c>
      <c r="O49" s="537">
        <f t="shared" si="5"/>
        <v>2.2727272727272729</v>
      </c>
      <c r="P49" s="928"/>
      <c r="Q49" s="927">
        <v>3</v>
      </c>
      <c r="R49" s="554">
        <f t="shared" si="6"/>
        <v>0.97402597402597402</v>
      </c>
    </row>
    <row r="50" spans="1:18">
      <c r="B50" s="190" t="str">
        <f t="shared" si="0"/>
        <v/>
      </c>
      <c r="C50" s="223" t="str">
        <f t="shared" si="1"/>
        <v/>
      </c>
      <c r="D50" s="57"/>
      <c r="E50" s="587"/>
      <c r="F50" s="537" t="str">
        <f t="shared" si="2"/>
        <v/>
      </c>
      <c r="G50" s="587"/>
      <c r="H50" s="587"/>
      <c r="I50" s="537" t="str">
        <f t="shared" si="3"/>
        <v/>
      </c>
      <c r="J50" s="587"/>
      <c r="K50" s="587"/>
      <c r="L50" s="537" t="str">
        <f t="shared" si="4"/>
        <v/>
      </c>
      <c r="M50" s="587"/>
      <c r="N50" s="587"/>
      <c r="O50" s="537" t="str">
        <f t="shared" si="5"/>
        <v/>
      </c>
      <c r="P50" s="587"/>
      <c r="Q50" s="587"/>
      <c r="R50" s="554" t="str">
        <f t="shared" si="6"/>
        <v/>
      </c>
    </row>
    <row r="51" spans="1:18">
      <c r="A51" s="95" t="s">
        <v>192</v>
      </c>
      <c r="B51" s="190">
        <f t="shared" si="0"/>
        <v>411</v>
      </c>
      <c r="C51" s="223">
        <f t="shared" si="1"/>
        <v>1.7768362803164583</v>
      </c>
      <c r="D51" s="57"/>
      <c r="E51" s="927">
        <v>135</v>
      </c>
      <c r="F51" s="537">
        <f t="shared" si="2"/>
        <v>32.846715328467155</v>
      </c>
      <c r="G51" s="928"/>
      <c r="H51" s="927">
        <v>214</v>
      </c>
      <c r="I51" s="537">
        <f t="shared" si="3"/>
        <v>52.068126520681268</v>
      </c>
      <c r="J51" s="928"/>
      <c r="K51" s="927">
        <v>52</v>
      </c>
      <c r="L51" s="537">
        <f t="shared" si="4"/>
        <v>12.652068126520682</v>
      </c>
      <c r="M51" s="928"/>
      <c r="N51" s="927">
        <v>5</v>
      </c>
      <c r="O51" s="537">
        <f t="shared" si="5"/>
        <v>1.2165450121654502</v>
      </c>
      <c r="P51" s="928"/>
      <c r="Q51" s="927">
        <v>5</v>
      </c>
      <c r="R51" s="554">
        <f t="shared" si="6"/>
        <v>1.2165450121654502</v>
      </c>
    </row>
    <row r="52" spans="1:18">
      <c r="B52" s="190" t="str">
        <f t="shared" si="0"/>
        <v/>
      </c>
      <c r="C52" s="223" t="str">
        <f t="shared" si="1"/>
        <v/>
      </c>
      <c r="D52" s="57"/>
      <c r="E52" s="560"/>
      <c r="F52" s="537" t="str">
        <f t="shared" si="2"/>
        <v/>
      </c>
      <c r="G52" s="384"/>
      <c r="H52" s="560"/>
      <c r="I52" s="537" t="str">
        <f t="shared" si="3"/>
        <v/>
      </c>
      <c r="J52" s="561"/>
      <c r="K52" s="560"/>
      <c r="L52" s="537" t="str">
        <f t="shared" si="4"/>
        <v/>
      </c>
      <c r="M52" s="384"/>
      <c r="N52" s="560"/>
      <c r="O52" s="537" t="str">
        <f t="shared" si="5"/>
        <v/>
      </c>
      <c r="P52" s="559"/>
      <c r="Q52" s="560"/>
      <c r="R52" s="554" t="str">
        <f t="shared" si="6"/>
        <v/>
      </c>
    </row>
    <row r="53" spans="1:18">
      <c r="A53" s="95" t="s">
        <v>193</v>
      </c>
      <c r="B53" s="190">
        <f t="shared" si="0"/>
        <v>2075</v>
      </c>
      <c r="C53" s="223">
        <f t="shared" si="1"/>
        <v>8.9706454541524359</v>
      </c>
      <c r="D53" s="57"/>
      <c r="E53" s="379">
        <f>SUM(E54:E58)</f>
        <v>608</v>
      </c>
      <c r="F53" s="537">
        <f t="shared" si="2"/>
        <v>29.30120481927711</v>
      </c>
      <c r="G53" s="301"/>
      <c r="H53" s="379">
        <f>SUM(H54:H58)</f>
        <v>1039</v>
      </c>
      <c r="I53" s="537">
        <f t="shared" si="3"/>
        <v>50.072289156626503</v>
      </c>
      <c r="J53" s="537"/>
      <c r="K53" s="379">
        <f>SUM(K54:K58)</f>
        <v>339</v>
      </c>
      <c r="L53" s="537">
        <f t="shared" si="4"/>
        <v>16.337349397590362</v>
      </c>
      <c r="M53" s="301"/>
      <c r="N53" s="379">
        <f>SUM(N54:N58)</f>
        <v>58</v>
      </c>
      <c r="O53" s="537">
        <f t="shared" si="5"/>
        <v>2.7951807228915664</v>
      </c>
      <c r="P53" s="77"/>
      <c r="Q53" s="379">
        <f>SUM(Q54:Q58)</f>
        <v>31</v>
      </c>
      <c r="R53" s="554">
        <f t="shared" si="6"/>
        <v>1.493975903614458</v>
      </c>
    </row>
    <row r="54" spans="1:18">
      <c r="A54" s="95" t="s">
        <v>194</v>
      </c>
      <c r="B54" s="190">
        <f t="shared" si="0"/>
        <v>55</v>
      </c>
      <c r="C54" s="223">
        <f t="shared" si="1"/>
        <v>0.23777614456789589</v>
      </c>
      <c r="D54" s="57"/>
      <c r="E54" s="927">
        <v>0</v>
      </c>
      <c r="F54" s="537">
        <f t="shared" si="2"/>
        <v>0</v>
      </c>
      <c r="G54" s="928"/>
      <c r="H54" s="927">
        <v>20</v>
      </c>
      <c r="I54" s="537">
        <f t="shared" si="3"/>
        <v>36.363636363636367</v>
      </c>
      <c r="J54" s="928"/>
      <c r="K54" s="927">
        <v>27</v>
      </c>
      <c r="L54" s="537">
        <f t="shared" si="4"/>
        <v>49.090909090909093</v>
      </c>
      <c r="M54" s="928"/>
      <c r="N54" s="927">
        <v>7</v>
      </c>
      <c r="O54" s="537">
        <f t="shared" si="5"/>
        <v>12.727272727272727</v>
      </c>
      <c r="P54" s="928"/>
      <c r="Q54" s="927">
        <v>1</v>
      </c>
      <c r="R54" s="554">
        <f t="shared" si="6"/>
        <v>1.8181818181818181</v>
      </c>
    </row>
    <row r="55" spans="1:18">
      <c r="A55" s="95" t="s">
        <v>195</v>
      </c>
      <c r="B55" s="190">
        <f t="shared" si="0"/>
        <v>1300</v>
      </c>
      <c r="C55" s="223">
        <f t="shared" si="1"/>
        <v>5.6201634170593575</v>
      </c>
      <c r="D55" s="57"/>
      <c r="E55" s="927">
        <v>399</v>
      </c>
      <c r="F55" s="537">
        <f t="shared" si="2"/>
        <v>30.69230769230769</v>
      </c>
      <c r="G55" s="928"/>
      <c r="H55" s="927">
        <v>636</v>
      </c>
      <c r="I55" s="537">
        <f t="shared" si="3"/>
        <v>48.923076923076927</v>
      </c>
      <c r="J55" s="928"/>
      <c r="K55" s="927">
        <v>209</v>
      </c>
      <c r="L55" s="537">
        <f t="shared" si="4"/>
        <v>16.076923076923077</v>
      </c>
      <c r="M55" s="928"/>
      <c r="N55" s="927">
        <v>37</v>
      </c>
      <c r="O55" s="537">
        <f t="shared" si="5"/>
        <v>2.8461538461538463</v>
      </c>
      <c r="P55" s="928"/>
      <c r="Q55" s="927">
        <v>19</v>
      </c>
      <c r="R55" s="554">
        <f t="shared" si="6"/>
        <v>1.4615384615384615</v>
      </c>
    </row>
    <row r="56" spans="1:18">
      <c r="A56" s="95" t="s">
        <v>196</v>
      </c>
      <c r="B56" s="190">
        <f t="shared" si="0"/>
        <v>236</v>
      </c>
      <c r="C56" s="223">
        <f t="shared" si="1"/>
        <v>1.0202758203276989</v>
      </c>
      <c r="D56" s="57"/>
      <c r="E56" s="927">
        <v>64</v>
      </c>
      <c r="F56" s="537">
        <f t="shared" si="2"/>
        <v>27.118644067796609</v>
      </c>
      <c r="G56" s="928"/>
      <c r="H56" s="927">
        <v>134</v>
      </c>
      <c r="I56" s="537">
        <f t="shared" si="3"/>
        <v>56.779661016949156</v>
      </c>
      <c r="J56" s="928"/>
      <c r="K56" s="927">
        <v>32</v>
      </c>
      <c r="L56" s="537">
        <f t="shared" si="4"/>
        <v>13.559322033898304</v>
      </c>
      <c r="M56" s="928"/>
      <c r="N56" s="927">
        <v>3</v>
      </c>
      <c r="O56" s="537">
        <f t="shared" si="5"/>
        <v>1.2711864406779663</v>
      </c>
      <c r="P56" s="928"/>
      <c r="Q56" s="927">
        <v>3</v>
      </c>
      <c r="R56" s="554">
        <f t="shared" si="6"/>
        <v>1.2711864406779663</v>
      </c>
    </row>
    <row r="57" spans="1:18">
      <c r="A57" s="95" t="s">
        <v>409</v>
      </c>
      <c r="B57" s="190">
        <f t="shared" si="0"/>
        <v>323</v>
      </c>
      <c r="C57" s="223">
        <f t="shared" si="1"/>
        <v>1.3963944490078251</v>
      </c>
      <c r="D57" s="57"/>
      <c r="E57" s="927">
        <v>101</v>
      </c>
      <c r="F57" s="537">
        <f t="shared" si="2"/>
        <v>31.269349845201237</v>
      </c>
      <c r="G57" s="928"/>
      <c r="H57" s="927">
        <v>155</v>
      </c>
      <c r="I57" s="537">
        <f t="shared" si="3"/>
        <v>47.987616099071204</v>
      </c>
      <c r="J57" s="928"/>
      <c r="K57" s="927">
        <v>52</v>
      </c>
      <c r="L57" s="537">
        <f t="shared" si="4"/>
        <v>16.099071207430342</v>
      </c>
      <c r="M57" s="928"/>
      <c r="N57" s="927">
        <v>8</v>
      </c>
      <c r="O57" s="537">
        <f t="shared" si="5"/>
        <v>2.4767801857585141</v>
      </c>
      <c r="P57" s="928"/>
      <c r="Q57" s="927">
        <v>7</v>
      </c>
      <c r="R57" s="554">
        <f t="shared" si="6"/>
        <v>2.1671826625386998</v>
      </c>
    </row>
    <row r="58" spans="1:18">
      <c r="A58" s="95" t="s">
        <v>198</v>
      </c>
      <c r="B58" s="190">
        <f t="shared" si="0"/>
        <v>161</v>
      </c>
      <c r="C58" s="223">
        <f t="shared" si="1"/>
        <v>0.69603562318965884</v>
      </c>
      <c r="D58" s="57"/>
      <c r="E58" s="927">
        <v>44</v>
      </c>
      <c r="F58" s="537">
        <f t="shared" si="2"/>
        <v>27.329192546583851</v>
      </c>
      <c r="G58" s="928"/>
      <c r="H58" s="927">
        <v>94</v>
      </c>
      <c r="I58" s="537">
        <f t="shared" si="3"/>
        <v>58.385093167701861</v>
      </c>
      <c r="J58" s="928"/>
      <c r="K58" s="927">
        <v>19</v>
      </c>
      <c r="L58" s="537">
        <f t="shared" si="4"/>
        <v>11.801242236024844</v>
      </c>
      <c r="M58" s="928"/>
      <c r="N58" s="927">
        <v>3</v>
      </c>
      <c r="O58" s="537">
        <f t="shared" si="5"/>
        <v>1.8633540372670807</v>
      </c>
      <c r="P58" s="928"/>
      <c r="Q58" s="927">
        <v>1</v>
      </c>
      <c r="R58" s="554">
        <f t="shared" si="6"/>
        <v>0.6211180124223602</v>
      </c>
    </row>
    <row r="59" spans="1:18">
      <c r="B59" s="190" t="str">
        <f t="shared" si="0"/>
        <v/>
      </c>
      <c r="C59" s="223" t="str">
        <f t="shared" si="1"/>
        <v/>
      </c>
      <c r="E59" s="288"/>
      <c r="F59" s="537" t="str">
        <f t="shared" si="2"/>
        <v/>
      </c>
      <c r="G59" s="77"/>
      <c r="H59" s="288"/>
      <c r="I59" s="537" t="str">
        <f t="shared" si="3"/>
        <v/>
      </c>
      <c r="J59" s="77"/>
      <c r="K59" s="288"/>
      <c r="L59" s="537" t="str">
        <f t="shared" si="4"/>
        <v/>
      </c>
      <c r="M59" s="77"/>
      <c r="N59" s="288"/>
      <c r="O59" s="537" t="str">
        <f t="shared" si="5"/>
        <v/>
      </c>
      <c r="P59" s="77"/>
      <c r="Q59" s="288"/>
      <c r="R59" s="554" t="str">
        <f t="shared" si="6"/>
        <v/>
      </c>
    </row>
    <row r="60" spans="1:18">
      <c r="A60" s="55" t="s">
        <v>410</v>
      </c>
      <c r="B60" s="190">
        <f t="shared" si="0"/>
        <v>1852</v>
      </c>
      <c r="C60" s="223">
        <f t="shared" si="1"/>
        <v>8.0065712679953318</v>
      </c>
      <c r="E60" s="288">
        <f>SUM(E61+E63+E70+E72)</f>
        <v>703</v>
      </c>
      <c r="F60" s="537">
        <f t="shared" si="2"/>
        <v>37.958963282937361</v>
      </c>
      <c r="G60" s="77"/>
      <c r="H60" s="288">
        <f>SUM(H61+H63+H70+H72)</f>
        <v>948</v>
      </c>
      <c r="I60" s="537">
        <f t="shared" si="3"/>
        <v>51.187904967602591</v>
      </c>
      <c r="J60" s="289"/>
      <c r="K60" s="288">
        <f>SUM(K61+K63+K70+K72)</f>
        <v>173</v>
      </c>
      <c r="L60" s="537">
        <f t="shared" si="4"/>
        <v>9.3412526997840164</v>
      </c>
      <c r="M60" s="77"/>
      <c r="N60" s="288">
        <f>SUM(N61+N63+N70+N72)</f>
        <v>22</v>
      </c>
      <c r="O60" s="537">
        <f t="shared" si="5"/>
        <v>1.1879049676025919</v>
      </c>
      <c r="P60" s="77"/>
      <c r="Q60" s="288">
        <f>SUM(Q61+Q63+Q70+Q72)</f>
        <v>6</v>
      </c>
      <c r="R60" s="554">
        <f t="shared" si="6"/>
        <v>0.32397408207343414</v>
      </c>
    </row>
    <row r="61" spans="1:18">
      <c r="A61" s="95" t="s">
        <v>411</v>
      </c>
      <c r="B61" s="190">
        <f t="shared" si="0"/>
        <v>263</v>
      </c>
      <c r="C61" s="223">
        <f t="shared" si="1"/>
        <v>1.1370022912973932</v>
      </c>
      <c r="E61" s="927">
        <v>107</v>
      </c>
      <c r="F61" s="537">
        <f t="shared" si="2"/>
        <v>40.684410646387832</v>
      </c>
      <c r="G61" s="928"/>
      <c r="H61" s="927">
        <v>138</v>
      </c>
      <c r="I61" s="537">
        <f t="shared" si="3"/>
        <v>52.471482889733842</v>
      </c>
      <c r="J61" s="928"/>
      <c r="K61" s="927">
        <v>16</v>
      </c>
      <c r="L61" s="537">
        <f t="shared" si="4"/>
        <v>6.083650190114068</v>
      </c>
      <c r="M61" s="928"/>
      <c r="N61" s="927">
        <v>0</v>
      </c>
      <c r="O61" s="537">
        <f t="shared" si="5"/>
        <v>0</v>
      </c>
      <c r="P61" s="928"/>
      <c r="Q61" s="927">
        <v>2</v>
      </c>
      <c r="R61" s="554">
        <f t="shared" si="6"/>
        <v>0.76045627376425851</v>
      </c>
    </row>
    <row r="62" spans="1:18">
      <c r="B62" s="190" t="str">
        <f t="shared" si="0"/>
        <v/>
      </c>
      <c r="C62" s="223" t="str">
        <f t="shared" si="1"/>
        <v/>
      </c>
      <c r="E62" s="288"/>
      <c r="F62" s="537" t="str">
        <f t="shared" si="2"/>
        <v/>
      </c>
      <c r="G62" s="77"/>
      <c r="H62" s="288"/>
      <c r="I62" s="537" t="str">
        <f t="shared" si="3"/>
        <v/>
      </c>
      <c r="J62" s="289"/>
      <c r="K62" s="288"/>
      <c r="L62" s="537" t="str">
        <f t="shared" si="4"/>
        <v/>
      </c>
      <c r="M62" s="77"/>
      <c r="N62" s="288"/>
      <c r="O62" s="537" t="str">
        <f t="shared" si="5"/>
        <v/>
      </c>
      <c r="P62" s="77"/>
      <c r="Q62" s="288"/>
      <c r="R62" s="554" t="str">
        <f t="shared" si="6"/>
        <v/>
      </c>
    </row>
    <row r="63" spans="1:18">
      <c r="A63" s="95" t="s">
        <v>202</v>
      </c>
      <c r="B63" s="190">
        <f t="shared" si="0"/>
        <v>1113</v>
      </c>
      <c r="C63" s="223">
        <f t="shared" si="1"/>
        <v>4.8117245255285113</v>
      </c>
      <c r="E63" s="288">
        <f>SUM(E64:E68)</f>
        <v>424</v>
      </c>
      <c r="F63" s="537">
        <f t="shared" si="2"/>
        <v>38.095238095238095</v>
      </c>
      <c r="G63" s="77"/>
      <c r="H63" s="288">
        <f>SUM(H64:H68)</f>
        <v>576</v>
      </c>
      <c r="I63" s="537">
        <f t="shared" si="3"/>
        <v>51.752021563342318</v>
      </c>
      <c r="J63" s="289"/>
      <c r="K63" s="288">
        <f>SUM(K64:K68)</f>
        <v>98</v>
      </c>
      <c r="L63" s="537">
        <f t="shared" si="4"/>
        <v>8.8050314465408803</v>
      </c>
      <c r="M63" s="77"/>
      <c r="N63" s="288">
        <f>SUM(N64:N68)</f>
        <v>13</v>
      </c>
      <c r="O63" s="537">
        <f t="shared" si="5"/>
        <v>1.1680143755615455</v>
      </c>
      <c r="P63" s="77"/>
      <c r="Q63" s="288">
        <f>SUM(Q64:Q68)</f>
        <v>2</v>
      </c>
      <c r="R63" s="554">
        <f t="shared" si="6"/>
        <v>0.17969451931716085</v>
      </c>
    </row>
    <row r="64" spans="1:18">
      <c r="A64" s="95" t="s">
        <v>203</v>
      </c>
      <c r="B64" s="190">
        <f t="shared" si="0"/>
        <v>239</v>
      </c>
      <c r="C64" s="223">
        <f t="shared" si="1"/>
        <v>1.0332454282132204</v>
      </c>
      <c r="E64" s="927">
        <v>81</v>
      </c>
      <c r="F64" s="537">
        <f t="shared" si="2"/>
        <v>33.89121338912134</v>
      </c>
      <c r="G64" s="928"/>
      <c r="H64" s="927">
        <v>129</v>
      </c>
      <c r="I64" s="537">
        <f t="shared" si="3"/>
        <v>53.97489539748954</v>
      </c>
      <c r="J64" s="928"/>
      <c r="K64" s="927">
        <v>24</v>
      </c>
      <c r="L64" s="537">
        <f t="shared" si="4"/>
        <v>10.0418410041841</v>
      </c>
      <c r="M64" s="928"/>
      <c r="N64" s="927">
        <v>5</v>
      </c>
      <c r="O64" s="537">
        <f t="shared" si="5"/>
        <v>2.0920502092050208</v>
      </c>
      <c r="P64" s="928"/>
      <c r="Q64" s="927">
        <v>0</v>
      </c>
      <c r="R64" s="554">
        <f t="shared" si="6"/>
        <v>0</v>
      </c>
    </row>
    <row r="65" spans="1:18">
      <c r="A65" s="95" t="s">
        <v>204</v>
      </c>
      <c r="B65" s="190">
        <f t="shared" si="0"/>
        <v>277</v>
      </c>
      <c r="C65" s="223">
        <f t="shared" si="1"/>
        <v>1.1975271280964939</v>
      </c>
      <c r="E65" s="927">
        <v>123</v>
      </c>
      <c r="F65" s="537">
        <f t="shared" si="2"/>
        <v>44.404332129963898</v>
      </c>
      <c r="G65" s="928"/>
      <c r="H65" s="927">
        <v>135</v>
      </c>
      <c r="I65" s="537">
        <f t="shared" si="3"/>
        <v>48.736462093862812</v>
      </c>
      <c r="J65" s="928"/>
      <c r="K65" s="927">
        <v>17</v>
      </c>
      <c r="L65" s="537">
        <f t="shared" si="4"/>
        <v>6.1371841155234659</v>
      </c>
      <c r="M65" s="928"/>
      <c r="N65" s="927">
        <v>1</v>
      </c>
      <c r="O65" s="537">
        <f t="shared" si="5"/>
        <v>0.36101083032490977</v>
      </c>
      <c r="P65" s="928"/>
      <c r="Q65" s="927">
        <v>1</v>
      </c>
      <c r="R65" s="554">
        <f t="shared" si="6"/>
        <v>0.36101083032490977</v>
      </c>
    </row>
    <row r="66" spans="1:18">
      <c r="A66" s="95" t="s">
        <v>206</v>
      </c>
      <c r="B66" s="190">
        <f t="shared" si="0"/>
        <v>119</v>
      </c>
      <c r="C66" s="223">
        <f t="shared" si="1"/>
        <v>0.51446111279235662</v>
      </c>
      <c r="E66" s="927">
        <v>40</v>
      </c>
      <c r="F66" s="537">
        <f t="shared" si="2"/>
        <v>33.613445378151262</v>
      </c>
      <c r="G66" s="928"/>
      <c r="H66" s="927">
        <v>68</v>
      </c>
      <c r="I66" s="537">
        <f t="shared" si="3"/>
        <v>57.142857142857139</v>
      </c>
      <c r="J66" s="928"/>
      <c r="K66" s="927">
        <v>9</v>
      </c>
      <c r="L66" s="537">
        <f t="shared" si="4"/>
        <v>7.5630252100840334</v>
      </c>
      <c r="M66" s="928"/>
      <c r="N66" s="927">
        <v>2</v>
      </c>
      <c r="O66" s="537">
        <f t="shared" si="5"/>
        <v>1.680672268907563</v>
      </c>
      <c r="P66" s="928"/>
      <c r="Q66" s="927">
        <v>0</v>
      </c>
      <c r="R66" s="554">
        <f t="shared" si="6"/>
        <v>0</v>
      </c>
    </row>
    <row r="67" spans="1:18">
      <c r="A67" s="234" t="s">
        <v>770</v>
      </c>
      <c r="B67" s="190">
        <f t="shared" si="0"/>
        <v>88</v>
      </c>
      <c r="C67" s="223">
        <f t="shared" si="1"/>
        <v>0.3804418313086334</v>
      </c>
      <c r="E67" s="927">
        <v>21</v>
      </c>
      <c r="F67" s="537">
        <f t="shared" si="2"/>
        <v>23.863636363636363</v>
      </c>
      <c r="G67" s="928"/>
      <c r="H67" s="927">
        <v>53</v>
      </c>
      <c r="I67" s="537">
        <f t="shared" si="3"/>
        <v>60.227272727272727</v>
      </c>
      <c r="J67" s="928"/>
      <c r="K67" s="927">
        <v>12</v>
      </c>
      <c r="L67" s="537">
        <f t="shared" si="4"/>
        <v>13.636363636363635</v>
      </c>
      <c r="M67" s="928"/>
      <c r="N67" s="927">
        <v>1</v>
      </c>
      <c r="O67" s="537">
        <f t="shared" si="5"/>
        <v>1.1363636363636365</v>
      </c>
      <c r="P67" s="928"/>
      <c r="Q67" s="927">
        <v>1</v>
      </c>
      <c r="R67" s="554">
        <f t="shared" si="6"/>
        <v>1.1363636363636365</v>
      </c>
    </row>
    <row r="68" spans="1:18">
      <c r="A68" s="95" t="s">
        <v>1530</v>
      </c>
      <c r="B68" s="190">
        <f t="shared" si="0"/>
        <v>390</v>
      </c>
      <c r="C68" s="223">
        <f>IF(A68&lt;&gt;0,B68/$B$11*100,"")</f>
        <v>1.6860490251178073</v>
      </c>
      <c r="E68" s="927">
        <v>159</v>
      </c>
      <c r="F68" s="537">
        <f t="shared" si="2"/>
        <v>40.769230769230766</v>
      </c>
      <c r="G68" s="928"/>
      <c r="H68" s="927">
        <v>191</v>
      </c>
      <c r="I68" s="537">
        <f t="shared" si="3"/>
        <v>48.974358974358971</v>
      </c>
      <c r="J68" s="928"/>
      <c r="K68" s="927">
        <v>36</v>
      </c>
      <c r="L68" s="537">
        <f t="shared" si="4"/>
        <v>9.2307692307692317</v>
      </c>
      <c r="M68" s="928"/>
      <c r="N68" s="927">
        <v>4</v>
      </c>
      <c r="O68" s="537">
        <f t="shared" si="5"/>
        <v>1.0256410256410255</v>
      </c>
      <c r="P68" s="928"/>
      <c r="Q68" s="927">
        <v>0</v>
      </c>
      <c r="R68" s="554">
        <f>IF(A68&lt;&gt;0,Q68/B68*100,"")</f>
        <v>0</v>
      </c>
    </row>
    <row r="69" spans="1:18">
      <c r="B69" s="190" t="str">
        <f t="shared" si="0"/>
        <v/>
      </c>
      <c r="C69" s="223" t="str">
        <f t="shared" si="1"/>
        <v/>
      </c>
      <c r="E69" s="587"/>
      <c r="F69" s="537" t="str">
        <f t="shared" si="2"/>
        <v/>
      </c>
      <c r="G69" s="587"/>
      <c r="H69" s="587"/>
      <c r="I69" s="537" t="str">
        <f t="shared" si="3"/>
        <v/>
      </c>
      <c r="J69" s="587"/>
      <c r="K69" s="587"/>
      <c r="L69" s="537" t="str">
        <f t="shared" si="4"/>
        <v/>
      </c>
      <c r="M69" s="587"/>
      <c r="N69" s="587"/>
      <c r="O69" s="537" t="str">
        <f t="shared" si="5"/>
        <v/>
      </c>
      <c r="P69" s="587"/>
      <c r="Q69" s="587"/>
      <c r="R69" s="554" t="str">
        <f t="shared" si="6"/>
        <v/>
      </c>
    </row>
    <row r="70" spans="1:18">
      <c r="A70" s="95" t="s">
        <v>208</v>
      </c>
      <c r="B70" s="190">
        <f t="shared" si="0"/>
        <v>201</v>
      </c>
      <c r="C70" s="223">
        <f t="shared" si="1"/>
        <v>0.86896372832994695</v>
      </c>
      <c r="E70" s="927">
        <v>84</v>
      </c>
      <c r="F70" s="537">
        <f t="shared" si="2"/>
        <v>41.791044776119399</v>
      </c>
      <c r="G70" s="928"/>
      <c r="H70" s="927">
        <v>95</v>
      </c>
      <c r="I70" s="537">
        <f t="shared" si="3"/>
        <v>47.263681592039802</v>
      </c>
      <c r="J70" s="928"/>
      <c r="K70" s="927">
        <v>17</v>
      </c>
      <c r="L70" s="537">
        <f t="shared" si="4"/>
        <v>8.4577114427860707</v>
      </c>
      <c r="M70" s="928"/>
      <c r="N70" s="927">
        <v>4</v>
      </c>
      <c r="O70" s="537">
        <f t="shared" si="5"/>
        <v>1.9900497512437811</v>
      </c>
      <c r="P70" s="928"/>
      <c r="Q70" s="927">
        <v>1</v>
      </c>
      <c r="R70" s="554">
        <f t="shared" si="6"/>
        <v>0.49751243781094528</v>
      </c>
    </row>
    <row r="71" spans="1:18">
      <c r="B71" s="190" t="str">
        <f t="shared" si="0"/>
        <v/>
      </c>
      <c r="C71" s="223" t="str">
        <f t="shared" si="1"/>
        <v/>
      </c>
      <c r="E71" s="121"/>
      <c r="F71" s="537" t="str">
        <f t="shared" si="2"/>
        <v/>
      </c>
      <c r="G71" s="121"/>
      <c r="H71" s="121"/>
      <c r="I71" s="537" t="str">
        <f t="shared" si="3"/>
        <v/>
      </c>
      <c r="J71" s="121"/>
      <c r="K71" s="121"/>
      <c r="L71" s="537" t="str">
        <f t="shared" si="4"/>
        <v/>
      </c>
      <c r="M71" s="121"/>
      <c r="N71" s="121"/>
      <c r="O71" s="537" t="str">
        <f t="shared" si="5"/>
        <v/>
      </c>
      <c r="P71" s="121"/>
      <c r="Q71" s="121"/>
      <c r="R71" s="554" t="str">
        <f t="shared" si="6"/>
        <v/>
      </c>
    </row>
    <row r="72" spans="1:18">
      <c r="A72" s="95" t="s">
        <v>209</v>
      </c>
      <c r="B72" s="190">
        <f t="shared" si="0"/>
        <v>275</v>
      </c>
      <c r="C72" s="223">
        <f t="shared" si="1"/>
        <v>1.1888807228394795</v>
      </c>
      <c r="E72" s="927">
        <v>88</v>
      </c>
      <c r="F72" s="537">
        <f t="shared" si="2"/>
        <v>32</v>
      </c>
      <c r="G72" s="928"/>
      <c r="H72" s="927">
        <v>139</v>
      </c>
      <c r="I72" s="537">
        <f t="shared" si="3"/>
        <v>50.545454545454547</v>
      </c>
      <c r="J72" s="928"/>
      <c r="K72" s="927">
        <v>42</v>
      </c>
      <c r="L72" s="537">
        <f t="shared" si="4"/>
        <v>15.272727272727273</v>
      </c>
      <c r="M72" s="928"/>
      <c r="N72" s="927">
        <v>5</v>
      </c>
      <c r="O72" s="537">
        <f t="shared" si="5"/>
        <v>1.8181818181818181</v>
      </c>
      <c r="P72" s="928"/>
      <c r="Q72" s="927">
        <v>1</v>
      </c>
      <c r="R72" s="554">
        <f t="shared" si="6"/>
        <v>0.36363636363636365</v>
      </c>
    </row>
    <row r="73" spans="1:18">
      <c r="B73" s="190" t="str">
        <f t="shared" si="0"/>
        <v/>
      </c>
      <c r="C73" s="223" t="str">
        <f t="shared" si="1"/>
        <v/>
      </c>
      <c r="E73" s="288"/>
      <c r="F73" s="537" t="str">
        <f t="shared" si="2"/>
        <v/>
      </c>
      <c r="G73" s="77"/>
      <c r="H73" s="288"/>
      <c r="I73" s="537" t="str">
        <f t="shared" si="3"/>
        <v/>
      </c>
      <c r="J73" s="77"/>
      <c r="K73" s="288"/>
      <c r="L73" s="537" t="str">
        <f t="shared" si="4"/>
        <v/>
      </c>
      <c r="M73" s="77"/>
      <c r="N73" s="288"/>
      <c r="O73" s="537" t="str">
        <f t="shared" si="5"/>
        <v/>
      </c>
      <c r="P73" s="77"/>
      <c r="Q73" s="288"/>
      <c r="R73" s="554"/>
    </row>
    <row r="74" spans="1:18">
      <c r="A74" s="55" t="s">
        <v>413</v>
      </c>
      <c r="B74" s="190">
        <f t="shared" si="0"/>
        <v>739</v>
      </c>
      <c r="C74" s="223">
        <f t="shared" si="1"/>
        <v>3.1948467424668197</v>
      </c>
      <c r="E74" s="288">
        <f>SUM(E75)</f>
        <v>219</v>
      </c>
      <c r="F74" s="537">
        <f t="shared" si="2"/>
        <v>29.634641407307171</v>
      </c>
      <c r="G74" s="77"/>
      <c r="H74" s="288">
        <f>SUM(H75)</f>
        <v>413</v>
      </c>
      <c r="I74" s="537">
        <f t="shared" si="3"/>
        <v>55.886332882273337</v>
      </c>
      <c r="J74" s="289"/>
      <c r="K74" s="288">
        <f>SUM(K75)</f>
        <v>89</v>
      </c>
      <c r="L74" s="537">
        <f t="shared" si="4"/>
        <v>12.043301759133964</v>
      </c>
      <c r="M74" s="77"/>
      <c r="N74" s="288">
        <f>SUM(N75)</f>
        <v>12</v>
      </c>
      <c r="O74" s="537">
        <f t="shared" si="5"/>
        <v>1.6238159675236805</v>
      </c>
      <c r="P74" s="77"/>
      <c r="Q74" s="288">
        <f>SUM(Q75)</f>
        <v>6</v>
      </c>
      <c r="R74" s="554">
        <f t="shared" si="6"/>
        <v>0.81190798376184026</v>
      </c>
    </row>
    <row r="75" spans="1:18">
      <c r="A75" s="95" t="s">
        <v>414</v>
      </c>
      <c r="B75" s="190">
        <f t="shared" si="0"/>
        <v>739</v>
      </c>
      <c r="C75" s="223">
        <f t="shared" si="1"/>
        <v>3.1948467424668197</v>
      </c>
      <c r="E75" s="288">
        <f>SUM(E76:E79)</f>
        <v>219</v>
      </c>
      <c r="F75" s="537">
        <f t="shared" si="2"/>
        <v>29.634641407307171</v>
      </c>
      <c r="G75" s="77"/>
      <c r="H75" s="288">
        <f>SUM(H76:H79)</f>
        <v>413</v>
      </c>
      <c r="I75" s="537">
        <f t="shared" si="3"/>
        <v>55.886332882273337</v>
      </c>
      <c r="J75" s="289"/>
      <c r="K75" s="288">
        <f>SUM(K76:K79)</f>
        <v>89</v>
      </c>
      <c r="L75" s="537">
        <f t="shared" si="4"/>
        <v>12.043301759133964</v>
      </c>
      <c r="M75" s="77"/>
      <c r="N75" s="288">
        <f>SUM(N76:N79)</f>
        <v>12</v>
      </c>
      <c r="O75" s="537">
        <f t="shared" si="5"/>
        <v>1.6238159675236805</v>
      </c>
      <c r="P75" s="77"/>
      <c r="Q75" s="288">
        <f>SUM(Q76:Q79)</f>
        <v>6</v>
      </c>
      <c r="R75" s="554">
        <f t="shared" si="6"/>
        <v>0.81190798376184026</v>
      </c>
    </row>
    <row r="76" spans="1:18">
      <c r="A76" s="95" t="s">
        <v>213</v>
      </c>
      <c r="B76" s="190">
        <f t="shared" ref="B76:B101" si="7">IF(A76&lt;&gt;0,E76+H76+K76+N76+Q76,"")</f>
        <v>255</v>
      </c>
      <c r="C76" s="223">
        <f t="shared" ref="C76:C101" si="8">IF(A76&lt;&gt;0,B76/$B$11*100,"")</f>
        <v>1.1024166702693354</v>
      </c>
      <c r="E76" s="927">
        <v>66</v>
      </c>
      <c r="F76" s="537">
        <f t="shared" ref="F76:F101" si="9">IF(A76&lt;&gt;0,E76/B76*100,"")</f>
        <v>25.882352941176475</v>
      </c>
      <c r="G76" s="928"/>
      <c r="H76" s="927">
        <v>149</v>
      </c>
      <c r="I76" s="537">
        <f t="shared" ref="I76:I101" si="10">IF(A76&lt;&gt;0,H76/B76*100,"")</f>
        <v>58.431372549019613</v>
      </c>
      <c r="J76" s="928"/>
      <c r="K76" s="927">
        <v>34</v>
      </c>
      <c r="L76" s="537">
        <f t="shared" ref="L76:L101" si="11">IF(A76&lt;&gt;0,K76/B76*100,"")</f>
        <v>13.333333333333334</v>
      </c>
      <c r="M76" s="928"/>
      <c r="N76" s="927">
        <v>4</v>
      </c>
      <c r="O76" s="537">
        <f t="shared" ref="O76:O101" si="12">IF(A76&lt;&gt;0,N76/B76*100,"")</f>
        <v>1.5686274509803921</v>
      </c>
      <c r="P76" s="928"/>
      <c r="Q76" s="927">
        <v>2</v>
      </c>
      <c r="R76" s="554">
        <f>IF(A76&lt;&gt;0,Q76/B76*100,"")</f>
        <v>0.78431372549019607</v>
      </c>
    </row>
    <row r="77" spans="1:18">
      <c r="A77" s="95" t="s">
        <v>214</v>
      </c>
      <c r="B77" s="190">
        <f t="shared" si="7"/>
        <v>190</v>
      </c>
      <c r="C77" s="223">
        <f t="shared" si="8"/>
        <v>0.82140849941636762</v>
      </c>
      <c r="E77" s="927">
        <v>60</v>
      </c>
      <c r="F77" s="537">
        <f t="shared" si="9"/>
        <v>31.578947368421051</v>
      </c>
      <c r="G77" s="928"/>
      <c r="H77" s="927">
        <v>106</v>
      </c>
      <c r="I77" s="537">
        <f t="shared" si="10"/>
        <v>55.78947368421052</v>
      </c>
      <c r="J77" s="928"/>
      <c r="K77" s="927">
        <v>20</v>
      </c>
      <c r="L77" s="537">
        <f t="shared" si="11"/>
        <v>10.526315789473683</v>
      </c>
      <c r="M77" s="928"/>
      <c r="N77" s="927">
        <v>3</v>
      </c>
      <c r="O77" s="537">
        <f t="shared" si="12"/>
        <v>1.5789473684210527</v>
      </c>
      <c r="P77" s="928"/>
      <c r="Q77" s="927">
        <v>1</v>
      </c>
      <c r="R77" s="554">
        <f>IF(A77&lt;&gt;0,Q77/B77*100,"")</f>
        <v>0.52631578947368418</v>
      </c>
    </row>
    <row r="78" spans="1:18">
      <c r="A78" s="95" t="s">
        <v>1548</v>
      </c>
      <c r="B78" s="190">
        <f t="shared" si="7"/>
        <v>224</v>
      </c>
      <c r="C78" s="223">
        <f t="shared" si="8"/>
        <v>0.96839738878561243</v>
      </c>
      <c r="E78" s="927">
        <v>63</v>
      </c>
      <c r="F78" s="537">
        <f t="shared" si="9"/>
        <v>28.125</v>
      </c>
      <c r="G78" s="928"/>
      <c r="H78" s="927">
        <v>127</v>
      </c>
      <c r="I78" s="537">
        <f t="shared" si="10"/>
        <v>56.696428571428569</v>
      </c>
      <c r="J78" s="928"/>
      <c r="K78" s="927">
        <v>29</v>
      </c>
      <c r="L78" s="537">
        <f t="shared" si="11"/>
        <v>12.946428571428573</v>
      </c>
      <c r="M78" s="928"/>
      <c r="N78" s="927">
        <v>2</v>
      </c>
      <c r="O78" s="537">
        <f t="shared" si="12"/>
        <v>0.89285714285714279</v>
      </c>
      <c r="P78" s="928"/>
      <c r="Q78" s="927">
        <v>3</v>
      </c>
      <c r="R78" s="554">
        <f t="shared" ref="R78:R97" si="13">IF(A78&lt;&gt;0,Q78/B78*100,"")</f>
        <v>1.3392857142857142</v>
      </c>
    </row>
    <row r="79" spans="1:18">
      <c r="A79" s="95" t="s">
        <v>1549</v>
      </c>
      <c r="B79" s="190">
        <f t="shared" si="7"/>
        <v>70</v>
      </c>
      <c r="C79" s="223">
        <f t="shared" si="8"/>
        <v>0.30262418399550384</v>
      </c>
      <c r="E79" s="927">
        <v>30</v>
      </c>
      <c r="F79" s="537">
        <f t="shared" si="9"/>
        <v>42.857142857142854</v>
      </c>
      <c r="G79" s="928"/>
      <c r="H79" s="927">
        <v>31</v>
      </c>
      <c r="I79" s="537">
        <f t="shared" si="10"/>
        <v>44.285714285714285</v>
      </c>
      <c r="J79" s="928"/>
      <c r="K79" s="927">
        <v>6</v>
      </c>
      <c r="L79" s="537">
        <f t="shared" si="11"/>
        <v>8.5714285714285712</v>
      </c>
      <c r="M79" s="928"/>
      <c r="N79" s="927">
        <v>3</v>
      </c>
      <c r="O79" s="537">
        <f t="shared" si="12"/>
        <v>4.2857142857142856</v>
      </c>
      <c r="P79" s="928"/>
      <c r="Q79" s="927">
        <v>0</v>
      </c>
      <c r="R79" s="554">
        <f t="shared" si="13"/>
        <v>0</v>
      </c>
    </row>
    <row r="80" spans="1:18">
      <c r="B80" s="190" t="str">
        <f t="shared" si="7"/>
        <v/>
      </c>
      <c r="C80" s="223" t="str">
        <f t="shared" si="8"/>
        <v/>
      </c>
      <c r="E80" s="288"/>
      <c r="F80" s="537" t="str">
        <f t="shared" si="9"/>
        <v/>
      </c>
      <c r="G80" s="77"/>
      <c r="H80" s="288"/>
      <c r="I80" s="537" t="str">
        <f t="shared" si="10"/>
        <v/>
      </c>
      <c r="J80" s="289"/>
      <c r="K80" s="288"/>
      <c r="L80" s="537" t="str">
        <f t="shared" si="11"/>
        <v/>
      </c>
      <c r="M80" s="77"/>
      <c r="N80" s="288"/>
      <c r="O80" s="537" t="str">
        <f t="shared" si="12"/>
        <v/>
      </c>
      <c r="P80" s="77"/>
      <c r="Q80" s="288"/>
      <c r="R80" s="554" t="str">
        <f t="shared" si="13"/>
        <v/>
      </c>
    </row>
    <row r="81" spans="1:19">
      <c r="A81" s="55" t="s">
        <v>483</v>
      </c>
      <c r="B81" s="190">
        <f t="shared" si="7"/>
        <v>2684</v>
      </c>
      <c r="C81" s="223">
        <f t="shared" si="8"/>
        <v>11.60347585491332</v>
      </c>
      <c r="E81" s="288">
        <f>SUM(E82)</f>
        <v>1092</v>
      </c>
      <c r="F81" s="537">
        <f t="shared" si="9"/>
        <v>40.685543964232487</v>
      </c>
      <c r="G81" s="77"/>
      <c r="H81" s="288">
        <f>SUM(H82)</f>
        <v>1293</v>
      </c>
      <c r="I81" s="537">
        <f t="shared" si="10"/>
        <v>48.174366616989566</v>
      </c>
      <c r="J81" s="289"/>
      <c r="K81" s="288">
        <f>SUM(K82)</f>
        <v>260</v>
      </c>
      <c r="L81" s="537">
        <f t="shared" si="11"/>
        <v>9.6870342771982116</v>
      </c>
      <c r="M81" s="77"/>
      <c r="N81" s="288">
        <f>SUM(N82)</f>
        <v>33</v>
      </c>
      <c r="O81" s="537">
        <f t="shared" si="12"/>
        <v>1.2295081967213115</v>
      </c>
      <c r="P81" s="77"/>
      <c r="Q81" s="288">
        <f>SUM(Q82)</f>
        <v>6</v>
      </c>
      <c r="R81" s="554">
        <f t="shared" si="13"/>
        <v>0.22354694485842028</v>
      </c>
    </row>
    <row r="82" spans="1:19">
      <c r="A82" s="95" t="s">
        <v>217</v>
      </c>
      <c r="B82" s="190">
        <f t="shared" si="7"/>
        <v>2684</v>
      </c>
      <c r="C82" s="223">
        <f t="shared" si="8"/>
        <v>11.60347585491332</v>
      </c>
      <c r="E82" s="288">
        <f>SUM(E83:E91)</f>
        <v>1092</v>
      </c>
      <c r="F82" s="537">
        <f t="shared" si="9"/>
        <v>40.685543964232487</v>
      </c>
      <c r="G82" s="77"/>
      <c r="H82" s="288">
        <f>SUM(H83:H91)</f>
        <v>1293</v>
      </c>
      <c r="I82" s="537">
        <f t="shared" si="10"/>
        <v>48.174366616989566</v>
      </c>
      <c r="J82" s="289"/>
      <c r="K82" s="288">
        <f>SUM(K83:K91)</f>
        <v>260</v>
      </c>
      <c r="L82" s="537">
        <f t="shared" si="11"/>
        <v>9.6870342771982116</v>
      </c>
      <c r="M82" s="77"/>
      <c r="N82" s="288">
        <f>SUM(N83:N91)</f>
        <v>33</v>
      </c>
      <c r="O82" s="537">
        <f t="shared" si="12"/>
        <v>1.2295081967213115</v>
      </c>
      <c r="P82" s="77"/>
      <c r="Q82" s="288">
        <f>SUM(Q83:Q91)</f>
        <v>6</v>
      </c>
      <c r="R82" s="554">
        <f t="shared" si="13"/>
        <v>0.22354694485842028</v>
      </c>
    </row>
    <row r="83" spans="1:19">
      <c r="A83" s="33" t="s">
        <v>1921</v>
      </c>
      <c r="B83" s="190">
        <f t="shared" si="7"/>
        <v>298</v>
      </c>
      <c r="C83" s="223">
        <f t="shared" si="8"/>
        <v>1.2883143832951451</v>
      </c>
      <c r="E83" s="927">
        <v>142</v>
      </c>
      <c r="F83" s="537">
        <f t="shared" si="9"/>
        <v>47.651006711409394</v>
      </c>
      <c r="G83" s="928"/>
      <c r="H83" s="927">
        <v>119</v>
      </c>
      <c r="I83" s="537">
        <f t="shared" si="10"/>
        <v>39.932885906040269</v>
      </c>
      <c r="J83" s="928"/>
      <c r="K83" s="927">
        <v>33</v>
      </c>
      <c r="L83" s="537">
        <f t="shared" si="11"/>
        <v>11.073825503355705</v>
      </c>
      <c r="M83" s="928"/>
      <c r="N83" s="927">
        <v>4</v>
      </c>
      <c r="O83" s="537">
        <f t="shared" si="12"/>
        <v>1.3422818791946309</v>
      </c>
      <c r="P83" s="928"/>
      <c r="Q83" s="927">
        <v>0</v>
      </c>
      <c r="R83" s="554">
        <f t="shared" si="13"/>
        <v>0</v>
      </c>
    </row>
    <row r="84" spans="1:19">
      <c r="A84" s="95" t="s">
        <v>218</v>
      </c>
      <c r="B84" s="190">
        <f t="shared" si="7"/>
        <v>401</v>
      </c>
      <c r="C84" s="223">
        <f t="shared" si="8"/>
        <v>1.7336042540313865</v>
      </c>
      <c r="E84" s="927">
        <v>179</v>
      </c>
      <c r="F84" s="537">
        <f t="shared" si="9"/>
        <v>44.638403990024941</v>
      </c>
      <c r="G84" s="928"/>
      <c r="H84" s="927">
        <v>190</v>
      </c>
      <c r="I84" s="537">
        <f t="shared" si="10"/>
        <v>47.381546134663346</v>
      </c>
      <c r="J84" s="928"/>
      <c r="K84" s="927">
        <v>29</v>
      </c>
      <c r="L84" s="537">
        <f t="shared" si="11"/>
        <v>7.2319201995012472</v>
      </c>
      <c r="M84" s="928"/>
      <c r="N84" s="927">
        <v>2</v>
      </c>
      <c r="O84" s="537">
        <f t="shared" si="12"/>
        <v>0.49875311720698251</v>
      </c>
      <c r="P84" s="928"/>
      <c r="Q84" s="927">
        <v>1</v>
      </c>
      <c r="R84" s="554">
        <f t="shared" si="13"/>
        <v>0.24937655860349126</v>
      </c>
    </row>
    <row r="85" spans="1:19">
      <c r="A85" s="95" t="s">
        <v>220</v>
      </c>
      <c r="B85" s="190">
        <f t="shared" si="7"/>
        <v>500</v>
      </c>
      <c r="C85" s="223">
        <f t="shared" si="8"/>
        <v>2.1616013142535988</v>
      </c>
      <c r="E85" s="927">
        <v>198</v>
      </c>
      <c r="F85" s="537">
        <f t="shared" si="9"/>
        <v>39.6</v>
      </c>
      <c r="G85" s="928"/>
      <c r="H85" s="927">
        <v>247</v>
      </c>
      <c r="I85" s="537">
        <f t="shared" si="10"/>
        <v>49.4</v>
      </c>
      <c r="J85" s="928"/>
      <c r="K85" s="927">
        <v>49</v>
      </c>
      <c r="L85" s="537">
        <f t="shared" si="11"/>
        <v>9.8000000000000007</v>
      </c>
      <c r="M85" s="928"/>
      <c r="N85" s="927">
        <v>4</v>
      </c>
      <c r="O85" s="537">
        <f t="shared" si="12"/>
        <v>0.8</v>
      </c>
      <c r="P85" s="928"/>
      <c r="Q85" s="927">
        <v>2</v>
      </c>
      <c r="R85" s="554">
        <f t="shared" si="13"/>
        <v>0.4</v>
      </c>
    </row>
    <row r="86" spans="1:19">
      <c r="A86" s="95" t="s">
        <v>222</v>
      </c>
      <c r="B86" s="190">
        <f t="shared" si="7"/>
        <v>149</v>
      </c>
      <c r="C86" s="223">
        <f t="shared" si="8"/>
        <v>0.64415719164757257</v>
      </c>
      <c r="E86" s="927">
        <v>70</v>
      </c>
      <c r="F86" s="537">
        <f t="shared" si="9"/>
        <v>46.979865771812079</v>
      </c>
      <c r="G86" s="928"/>
      <c r="H86" s="927">
        <v>68</v>
      </c>
      <c r="I86" s="537">
        <f t="shared" si="10"/>
        <v>45.63758389261745</v>
      </c>
      <c r="J86" s="928"/>
      <c r="K86" s="927">
        <v>10</v>
      </c>
      <c r="L86" s="537">
        <f t="shared" si="11"/>
        <v>6.7114093959731544</v>
      </c>
      <c r="M86" s="928"/>
      <c r="N86" s="927">
        <v>1</v>
      </c>
      <c r="O86" s="537">
        <f t="shared" si="12"/>
        <v>0.67114093959731547</v>
      </c>
      <c r="P86" s="928"/>
      <c r="Q86" s="927">
        <v>0</v>
      </c>
      <c r="R86" s="554">
        <f t="shared" si="13"/>
        <v>0</v>
      </c>
    </row>
    <row r="87" spans="1:19">
      <c r="A87" s="95" t="s">
        <v>221</v>
      </c>
      <c r="B87" s="190">
        <f t="shared" si="7"/>
        <v>197</v>
      </c>
      <c r="C87" s="223">
        <f t="shared" si="8"/>
        <v>0.85167091781591808</v>
      </c>
      <c r="D87" s="57"/>
      <c r="E87" s="927">
        <v>79</v>
      </c>
      <c r="F87" s="537">
        <f t="shared" si="9"/>
        <v>40.101522842639589</v>
      </c>
      <c r="G87" s="928"/>
      <c r="H87" s="927">
        <v>98</v>
      </c>
      <c r="I87" s="537">
        <f t="shared" si="10"/>
        <v>49.746192893401016</v>
      </c>
      <c r="J87" s="928"/>
      <c r="K87" s="927">
        <v>17</v>
      </c>
      <c r="L87" s="537">
        <f t="shared" si="11"/>
        <v>8.6294416243654819</v>
      </c>
      <c r="M87" s="928"/>
      <c r="N87" s="927">
        <v>3</v>
      </c>
      <c r="O87" s="537">
        <f t="shared" si="12"/>
        <v>1.5228426395939088</v>
      </c>
      <c r="P87" s="928"/>
      <c r="Q87" s="927">
        <v>0</v>
      </c>
      <c r="R87" s="554">
        <f t="shared" si="13"/>
        <v>0</v>
      </c>
      <c r="S87" s="135"/>
    </row>
    <row r="88" spans="1:19">
      <c r="A88" s="95" t="s">
        <v>219</v>
      </c>
      <c r="B88" s="190">
        <f t="shared" si="7"/>
        <v>282</v>
      </c>
      <c r="C88" s="223">
        <f t="shared" si="8"/>
        <v>1.2191431412390299</v>
      </c>
      <c r="D88" s="57"/>
      <c r="E88" s="927">
        <v>105</v>
      </c>
      <c r="F88" s="537">
        <f t="shared" si="9"/>
        <v>37.234042553191486</v>
      </c>
      <c r="G88" s="928"/>
      <c r="H88" s="927">
        <v>143</v>
      </c>
      <c r="I88" s="537">
        <f t="shared" si="10"/>
        <v>50.709219858156033</v>
      </c>
      <c r="J88" s="928"/>
      <c r="K88" s="927">
        <v>29</v>
      </c>
      <c r="L88" s="537">
        <f t="shared" si="11"/>
        <v>10.283687943262411</v>
      </c>
      <c r="M88" s="928"/>
      <c r="N88" s="927">
        <v>5</v>
      </c>
      <c r="O88" s="537">
        <f t="shared" si="12"/>
        <v>1.773049645390071</v>
      </c>
      <c r="P88" s="928"/>
      <c r="Q88" s="927">
        <v>0</v>
      </c>
      <c r="R88" s="554">
        <f t="shared" si="13"/>
        <v>0</v>
      </c>
      <c r="S88" s="135"/>
    </row>
    <row r="89" spans="1:19">
      <c r="A89" s="95" t="s">
        <v>223</v>
      </c>
      <c r="B89" s="190">
        <f t="shared" si="7"/>
        <v>298</v>
      </c>
      <c r="C89" s="223">
        <f t="shared" si="8"/>
        <v>1.2883143832951451</v>
      </c>
      <c r="D89" s="57"/>
      <c r="E89" s="927">
        <v>99</v>
      </c>
      <c r="F89" s="537">
        <f t="shared" si="9"/>
        <v>33.221476510067113</v>
      </c>
      <c r="G89" s="928"/>
      <c r="H89" s="927">
        <v>149</v>
      </c>
      <c r="I89" s="537">
        <f t="shared" si="10"/>
        <v>50</v>
      </c>
      <c r="J89" s="928"/>
      <c r="K89" s="927">
        <v>41</v>
      </c>
      <c r="L89" s="537">
        <f t="shared" si="11"/>
        <v>13.758389261744966</v>
      </c>
      <c r="M89" s="928"/>
      <c r="N89" s="927">
        <v>6</v>
      </c>
      <c r="O89" s="537">
        <f t="shared" si="12"/>
        <v>2.0134228187919461</v>
      </c>
      <c r="P89" s="928"/>
      <c r="Q89" s="927">
        <v>3</v>
      </c>
      <c r="R89" s="554">
        <f t="shared" si="13"/>
        <v>1.006711409395973</v>
      </c>
    </row>
    <row r="90" spans="1:19">
      <c r="A90" s="95" t="s">
        <v>533</v>
      </c>
      <c r="B90" s="190">
        <f t="shared" si="7"/>
        <v>264</v>
      </c>
      <c r="C90" s="223">
        <f t="shared" si="8"/>
        <v>1.1413254939259003</v>
      </c>
      <c r="D90" s="57"/>
      <c r="E90" s="927">
        <v>97</v>
      </c>
      <c r="F90" s="537">
        <f t="shared" si="9"/>
        <v>36.742424242424242</v>
      </c>
      <c r="G90" s="928"/>
      <c r="H90" s="927">
        <v>130</v>
      </c>
      <c r="I90" s="537">
        <f t="shared" si="10"/>
        <v>49.242424242424242</v>
      </c>
      <c r="J90" s="928"/>
      <c r="K90" s="927">
        <v>32</v>
      </c>
      <c r="L90" s="537">
        <f t="shared" si="11"/>
        <v>12.121212121212121</v>
      </c>
      <c r="M90" s="928"/>
      <c r="N90" s="927">
        <v>5</v>
      </c>
      <c r="O90" s="537">
        <f t="shared" si="12"/>
        <v>1.893939393939394</v>
      </c>
      <c r="P90" s="928"/>
      <c r="Q90" s="927">
        <v>0</v>
      </c>
      <c r="R90" s="554">
        <f t="shared" si="13"/>
        <v>0</v>
      </c>
    </row>
    <row r="91" spans="1:19">
      <c r="A91" s="95" t="s">
        <v>416</v>
      </c>
      <c r="B91" s="190">
        <f t="shared" si="7"/>
        <v>295</v>
      </c>
      <c r="C91" s="223">
        <f t="shared" si="8"/>
        <v>1.2753447754096234</v>
      </c>
      <c r="E91" s="927">
        <v>123</v>
      </c>
      <c r="F91" s="537">
        <f t="shared" si="9"/>
        <v>41.694915254237287</v>
      </c>
      <c r="G91" s="928"/>
      <c r="H91" s="927">
        <v>149</v>
      </c>
      <c r="I91" s="537">
        <f t="shared" si="10"/>
        <v>50.50847457627119</v>
      </c>
      <c r="J91" s="928"/>
      <c r="K91" s="927">
        <v>20</v>
      </c>
      <c r="L91" s="537">
        <f t="shared" si="11"/>
        <v>6.7796610169491522</v>
      </c>
      <c r="M91" s="928"/>
      <c r="N91" s="927">
        <v>3</v>
      </c>
      <c r="O91" s="537">
        <f t="shared" si="12"/>
        <v>1.0169491525423728</v>
      </c>
      <c r="P91" s="928"/>
      <c r="Q91" s="927">
        <v>0</v>
      </c>
      <c r="R91" s="554">
        <f t="shared" si="13"/>
        <v>0</v>
      </c>
    </row>
    <row r="92" spans="1:19">
      <c r="B92" s="190" t="str">
        <f t="shared" si="7"/>
        <v/>
      </c>
      <c r="C92" s="223" t="str">
        <f t="shared" si="8"/>
        <v/>
      </c>
      <c r="E92" s="587"/>
      <c r="F92" s="537" t="str">
        <f t="shared" si="9"/>
        <v/>
      </c>
      <c r="G92" s="587"/>
      <c r="H92" s="587"/>
      <c r="I92" s="537" t="str">
        <f t="shared" si="10"/>
        <v/>
      </c>
      <c r="J92" s="587"/>
      <c r="K92" s="587"/>
      <c r="L92" s="537" t="str">
        <f t="shared" si="11"/>
        <v/>
      </c>
      <c r="M92" s="587"/>
      <c r="N92" s="587"/>
      <c r="O92" s="537" t="str">
        <f t="shared" si="12"/>
        <v/>
      </c>
      <c r="P92" s="587"/>
      <c r="Q92" s="587"/>
      <c r="R92" s="554" t="str">
        <f t="shared" si="13"/>
        <v/>
      </c>
    </row>
    <row r="93" spans="1:19">
      <c r="A93" s="95" t="s">
        <v>535</v>
      </c>
      <c r="B93" s="190">
        <f t="shared" si="7"/>
        <v>418</v>
      </c>
      <c r="C93" s="223">
        <f t="shared" si="8"/>
        <v>1.8070986987160087</v>
      </c>
      <c r="E93" s="927">
        <v>223</v>
      </c>
      <c r="F93" s="537">
        <f t="shared" si="9"/>
        <v>53.349282296650713</v>
      </c>
      <c r="G93" s="928"/>
      <c r="H93" s="927">
        <v>160</v>
      </c>
      <c r="I93" s="537">
        <f t="shared" si="10"/>
        <v>38.277511961722489</v>
      </c>
      <c r="J93" s="928"/>
      <c r="K93" s="927">
        <v>29</v>
      </c>
      <c r="L93" s="537">
        <f t="shared" si="11"/>
        <v>6.937799043062201</v>
      </c>
      <c r="M93" s="928"/>
      <c r="N93" s="927">
        <v>1</v>
      </c>
      <c r="O93" s="537">
        <f t="shared" si="12"/>
        <v>0.23923444976076555</v>
      </c>
      <c r="P93" s="928"/>
      <c r="Q93" s="927">
        <v>5</v>
      </c>
      <c r="R93" s="554">
        <f t="shared" si="13"/>
        <v>1.1961722488038278</v>
      </c>
    </row>
    <row r="94" spans="1:19">
      <c r="A94" s="95" t="s">
        <v>2224</v>
      </c>
      <c r="B94" s="190">
        <f t="shared" si="7"/>
        <v>431</v>
      </c>
      <c r="C94" s="223">
        <f t="shared" si="8"/>
        <v>1.8633003328866022</v>
      </c>
      <c r="E94" s="927">
        <v>169</v>
      </c>
      <c r="F94" s="537">
        <f t="shared" si="9"/>
        <v>39.211136890951273</v>
      </c>
      <c r="G94" s="928"/>
      <c r="H94" s="927">
        <v>212</v>
      </c>
      <c r="I94" s="537">
        <f t="shared" si="10"/>
        <v>49.187935034802784</v>
      </c>
      <c r="J94" s="928"/>
      <c r="K94" s="927">
        <v>45</v>
      </c>
      <c r="L94" s="537">
        <f t="shared" si="11"/>
        <v>10.440835266821345</v>
      </c>
      <c r="M94" s="928"/>
      <c r="N94" s="927">
        <v>5</v>
      </c>
      <c r="O94" s="537">
        <f t="shared" si="12"/>
        <v>1.160092807424594</v>
      </c>
      <c r="P94" s="928"/>
      <c r="Q94" s="927">
        <v>0</v>
      </c>
      <c r="R94" s="554">
        <f t="shared" si="13"/>
        <v>0</v>
      </c>
    </row>
    <row r="95" spans="1:19">
      <c r="B95" s="190" t="str">
        <f t="shared" si="7"/>
        <v/>
      </c>
      <c r="C95" s="223" t="str">
        <f t="shared" si="8"/>
        <v/>
      </c>
      <c r="E95" s="288"/>
      <c r="F95" s="537" t="str">
        <f t="shared" si="9"/>
        <v/>
      </c>
      <c r="G95" s="77"/>
      <c r="H95" s="288"/>
      <c r="I95" s="537" t="str">
        <f t="shared" si="10"/>
        <v/>
      </c>
      <c r="J95" s="289"/>
      <c r="K95" s="288"/>
      <c r="L95" s="537" t="str">
        <f t="shared" si="11"/>
        <v/>
      </c>
      <c r="M95" s="77"/>
      <c r="N95" s="288"/>
      <c r="O95" s="537" t="str">
        <f t="shared" si="12"/>
        <v/>
      </c>
      <c r="P95" s="77"/>
      <c r="Q95" s="288"/>
      <c r="R95" s="554" t="str">
        <f t="shared" si="13"/>
        <v/>
      </c>
    </row>
    <row r="96" spans="1:19">
      <c r="A96" s="55" t="s">
        <v>1531</v>
      </c>
      <c r="B96" s="190">
        <f t="shared" si="7"/>
        <v>7922</v>
      </c>
      <c r="C96" s="223">
        <f t="shared" si="8"/>
        <v>34.248411223034026</v>
      </c>
      <c r="E96" s="288">
        <f>SUM(E97:E101)</f>
        <v>3275</v>
      </c>
      <c r="F96" s="537">
        <f t="shared" si="9"/>
        <v>41.340570562989143</v>
      </c>
      <c r="G96" s="77"/>
      <c r="H96" s="288">
        <f>SUM(H97:H101)</f>
        <v>3766</v>
      </c>
      <c r="I96" s="537">
        <f t="shared" si="10"/>
        <v>47.538500378692248</v>
      </c>
      <c r="J96" s="289"/>
      <c r="K96" s="288">
        <f>SUM(K97:K101)</f>
        <v>689</v>
      </c>
      <c r="L96" s="537">
        <f t="shared" si="11"/>
        <v>8.6972986619540524</v>
      </c>
      <c r="M96" s="77"/>
      <c r="N96" s="288">
        <f>SUM(N97:N101)</f>
        <v>129</v>
      </c>
      <c r="O96" s="537">
        <f t="shared" si="12"/>
        <v>1.6283766725574349</v>
      </c>
      <c r="P96" s="77"/>
      <c r="Q96" s="288">
        <f>SUM(Q97:Q101)</f>
        <v>63</v>
      </c>
      <c r="R96" s="554">
        <f t="shared" si="13"/>
        <v>0.79525372380711934</v>
      </c>
    </row>
    <row r="97" spans="1:19">
      <c r="A97" s="95" t="s">
        <v>424</v>
      </c>
      <c r="B97" s="190">
        <f t="shared" si="7"/>
        <v>2347</v>
      </c>
      <c r="C97" s="223">
        <f t="shared" si="8"/>
        <v>10.146556569106394</v>
      </c>
      <c r="E97" s="927">
        <v>917</v>
      </c>
      <c r="F97" s="537">
        <f t="shared" si="9"/>
        <v>39.071154665530464</v>
      </c>
      <c r="G97" s="928"/>
      <c r="H97" s="927">
        <v>1168</v>
      </c>
      <c r="I97" s="537">
        <f t="shared" si="10"/>
        <v>49.765658287175121</v>
      </c>
      <c r="J97" s="928"/>
      <c r="K97" s="927">
        <v>214</v>
      </c>
      <c r="L97" s="537">
        <f t="shared" si="11"/>
        <v>9.1180230080954416</v>
      </c>
      <c r="M97" s="928"/>
      <c r="N97" s="927">
        <v>36</v>
      </c>
      <c r="O97" s="537">
        <f t="shared" si="12"/>
        <v>1.5338730293992331</v>
      </c>
      <c r="P97" s="928"/>
      <c r="Q97" s="927">
        <v>12</v>
      </c>
      <c r="R97" s="554">
        <f t="shared" si="13"/>
        <v>0.5112910097997444</v>
      </c>
    </row>
    <row r="98" spans="1:19">
      <c r="A98" s="95" t="s">
        <v>425</v>
      </c>
      <c r="B98" s="190">
        <f t="shared" si="7"/>
        <v>1657</v>
      </c>
      <c r="C98" s="223">
        <f t="shared" si="8"/>
        <v>7.1635467554364274</v>
      </c>
      <c r="E98" s="927">
        <v>738</v>
      </c>
      <c r="F98" s="537">
        <f t="shared" si="9"/>
        <v>44.538322269161135</v>
      </c>
      <c r="G98" s="928"/>
      <c r="H98" s="927">
        <v>742</v>
      </c>
      <c r="I98" s="537">
        <f t="shared" si="10"/>
        <v>44.779722389861192</v>
      </c>
      <c r="J98" s="928"/>
      <c r="K98" s="927">
        <v>134</v>
      </c>
      <c r="L98" s="537">
        <f t="shared" si="11"/>
        <v>8.0869040434520212</v>
      </c>
      <c r="M98" s="928"/>
      <c r="N98" s="927">
        <v>28</v>
      </c>
      <c r="O98" s="537">
        <f t="shared" si="12"/>
        <v>1.6898008449004225</v>
      </c>
      <c r="P98" s="928"/>
      <c r="Q98" s="927">
        <v>15</v>
      </c>
      <c r="R98" s="554">
        <f>IF(A98&lt;&gt;0,Q98/B98*100,"")</f>
        <v>0.9052504526252263</v>
      </c>
    </row>
    <row r="99" spans="1:19">
      <c r="A99" s="95" t="s">
        <v>426</v>
      </c>
      <c r="B99" s="190">
        <f t="shared" si="7"/>
        <v>1682</v>
      </c>
      <c r="C99" s="223">
        <f t="shared" si="8"/>
        <v>7.2716268211491073</v>
      </c>
      <c r="E99" s="927">
        <v>676</v>
      </c>
      <c r="F99" s="537">
        <f t="shared" si="9"/>
        <v>40.190249702734839</v>
      </c>
      <c r="G99" s="928"/>
      <c r="H99" s="927">
        <v>820</v>
      </c>
      <c r="I99" s="537">
        <f t="shared" si="10"/>
        <v>48.751486325802617</v>
      </c>
      <c r="J99" s="928"/>
      <c r="K99" s="927">
        <v>143</v>
      </c>
      <c r="L99" s="537">
        <f t="shared" si="11"/>
        <v>8.5017835909631394</v>
      </c>
      <c r="M99" s="928"/>
      <c r="N99" s="927">
        <v>30</v>
      </c>
      <c r="O99" s="537">
        <f t="shared" si="12"/>
        <v>1.78359096313912</v>
      </c>
      <c r="P99" s="928"/>
      <c r="Q99" s="927">
        <v>13</v>
      </c>
      <c r="R99" s="554">
        <f>IF(A99&lt;&gt;0,Q99/B99*100,"")</f>
        <v>0.77288941736028538</v>
      </c>
    </row>
    <row r="100" spans="1:19">
      <c r="A100" s="95" t="s">
        <v>427</v>
      </c>
      <c r="B100" s="190">
        <f t="shared" si="7"/>
        <v>1182</v>
      </c>
      <c r="C100" s="223">
        <f t="shared" si="8"/>
        <v>5.1100255068955081</v>
      </c>
      <c r="E100" s="927">
        <v>467</v>
      </c>
      <c r="F100" s="537">
        <f t="shared" si="9"/>
        <v>39.509306260575293</v>
      </c>
      <c r="G100" s="928"/>
      <c r="H100" s="927">
        <v>551</v>
      </c>
      <c r="I100" s="537">
        <f t="shared" si="10"/>
        <v>46.615905245346866</v>
      </c>
      <c r="J100" s="928"/>
      <c r="K100" s="927">
        <v>124</v>
      </c>
      <c r="L100" s="537">
        <f t="shared" si="11"/>
        <v>10.490693739424705</v>
      </c>
      <c r="M100" s="928"/>
      <c r="N100" s="927">
        <v>26</v>
      </c>
      <c r="O100" s="537">
        <f t="shared" si="12"/>
        <v>2.1996615905245349</v>
      </c>
      <c r="P100" s="928"/>
      <c r="Q100" s="927">
        <v>14</v>
      </c>
      <c r="R100" s="554">
        <f>IF(A100&lt;&gt;0,Q100/B100*100,"")</f>
        <v>1.1844331641285957</v>
      </c>
    </row>
    <row r="101" spans="1:19">
      <c r="A101" s="95" t="s">
        <v>1550</v>
      </c>
      <c r="B101" s="190">
        <f t="shared" si="7"/>
        <v>1054</v>
      </c>
      <c r="C101" s="223">
        <f t="shared" si="8"/>
        <v>4.556655570446587</v>
      </c>
      <c r="E101" s="927">
        <v>477</v>
      </c>
      <c r="F101" s="537">
        <f t="shared" si="9"/>
        <v>45.256166982922203</v>
      </c>
      <c r="G101" s="928"/>
      <c r="H101" s="927">
        <v>485</v>
      </c>
      <c r="I101" s="537">
        <f t="shared" si="10"/>
        <v>46.015180265654649</v>
      </c>
      <c r="J101" s="928"/>
      <c r="K101" s="927">
        <v>74</v>
      </c>
      <c r="L101" s="537">
        <f t="shared" si="11"/>
        <v>7.020872865275142</v>
      </c>
      <c r="M101" s="928"/>
      <c r="N101" s="927">
        <v>9</v>
      </c>
      <c r="O101" s="537">
        <f t="shared" si="12"/>
        <v>0.85388994307400379</v>
      </c>
      <c r="P101" s="928"/>
      <c r="Q101" s="927">
        <v>9</v>
      </c>
      <c r="R101" s="554">
        <f>IF(A101&lt;&gt;0,Q101/B101*100,"")</f>
        <v>0.85388994307400379</v>
      </c>
    </row>
    <row r="102" spans="1:19" ht="14" thickBot="1"/>
    <row r="103" spans="1:19">
      <c r="A103" s="97"/>
      <c r="B103" s="186"/>
      <c r="C103" s="222"/>
      <c r="D103" s="188"/>
      <c r="E103" s="189"/>
      <c r="F103" s="187"/>
      <c r="G103" s="188"/>
      <c r="H103" s="189"/>
      <c r="I103" s="187"/>
      <c r="J103" s="187"/>
      <c r="K103" s="189"/>
      <c r="L103" s="188"/>
      <c r="M103" s="188"/>
      <c r="N103" s="189"/>
      <c r="O103" s="188"/>
      <c r="P103" s="188"/>
      <c r="Q103" s="189"/>
      <c r="R103" s="97"/>
      <c r="S103" s="97"/>
    </row>
    <row r="104" spans="1:19">
      <c r="A104" s="33" t="s">
        <v>2145</v>
      </c>
      <c r="D104" s="72"/>
      <c r="G104" s="72"/>
      <c r="J104" s="33"/>
      <c r="K104" s="33"/>
      <c r="N104" s="33"/>
      <c r="Q104" s="33"/>
    </row>
    <row r="105" spans="1:19">
      <c r="A105" s="95" t="s">
        <v>1532</v>
      </c>
    </row>
    <row r="107" spans="1:19">
      <c r="A107" s="95" t="s">
        <v>1533</v>
      </c>
    </row>
    <row r="108" spans="1:19">
      <c r="A108" s="95" t="s">
        <v>1534</v>
      </c>
    </row>
  </sheetData>
  <mergeCells count="5">
    <mergeCell ref="E7:F7"/>
    <mergeCell ref="H7:I7"/>
    <mergeCell ref="K7:L7"/>
    <mergeCell ref="N7:O7"/>
    <mergeCell ref="Q7:R7"/>
  </mergeCells>
  <conditionalFormatting sqref="A1:XFD1048576">
    <cfRule type="cellIs" dxfId="8" priority="1" operator="equal">
      <formula>0</formula>
    </cfRule>
  </conditionalFormatting>
  <pageMargins left="0.7" right="0.7" top="0.75" bottom="0.75" header="0.3" footer="0.3"/>
  <pageSetup orientation="portrait" horizontalDpi="4294967293" vertic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P57"/>
  <sheetViews>
    <sheetView workbookViewId="0">
      <selection activeCell="J5" sqref="J5"/>
    </sheetView>
  </sheetViews>
  <sheetFormatPr baseColWidth="10" defaultColWidth="9.1640625" defaultRowHeight="15"/>
  <cols>
    <col min="1" max="1" width="37.6640625" customWidth="1"/>
    <col min="2" max="2" width="7.6640625" style="34" customWidth="1"/>
    <col min="3" max="3" width="7.6640625" style="24" customWidth="1"/>
    <col min="4" max="4" width="2.5" style="36" customWidth="1"/>
    <col min="5" max="5" width="8.6640625" style="35" customWidth="1"/>
    <col min="6" max="6" width="8.6640625" style="36" customWidth="1"/>
    <col min="7" max="7" width="1.6640625" style="36" customWidth="1"/>
    <col min="8" max="8" width="8.6640625" style="35" customWidth="1"/>
    <col min="9" max="9" width="8.6640625" customWidth="1"/>
    <col min="10" max="10" width="1.6640625" customWidth="1"/>
    <col min="11" max="11" width="8.6640625" style="35" customWidth="1"/>
    <col min="12" max="12" width="8.6640625" customWidth="1"/>
    <col min="13" max="13" width="1.6640625" customWidth="1"/>
    <col min="14" max="14" width="8.6640625" style="35" customWidth="1"/>
    <col min="15" max="15" width="8.1640625" customWidth="1"/>
    <col min="16" max="16" width="2.5" customWidth="1"/>
    <col min="257" max="257" width="37.6640625" customWidth="1"/>
    <col min="258" max="259" width="7.6640625" customWidth="1"/>
    <col min="260" max="260" width="2.5" customWidth="1"/>
    <col min="261" max="262" width="8.6640625" customWidth="1"/>
    <col min="263" max="263" width="1.6640625" customWidth="1"/>
    <col min="264" max="265" width="8.6640625" customWidth="1"/>
    <col min="266" max="266" width="1.6640625" customWidth="1"/>
    <col min="267" max="268" width="8.6640625" customWidth="1"/>
    <col min="269" max="269" width="1.6640625" customWidth="1"/>
    <col min="270" max="270" width="8.6640625" customWidth="1"/>
    <col min="271" max="271" width="8.1640625" customWidth="1"/>
    <col min="272" max="272" width="2.5" customWidth="1"/>
    <col min="513" max="513" width="37.6640625" customWidth="1"/>
    <col min="514" max="515" width="7.6640625" customWidth="1"/>
    <col min="516" max="516" width="2.5" customWidth="1"/>
    <col min="517" max="518" width="8.6640625" customWidth="1"/>
    <col min="519" max="519" width="1.6640625" customWidth="1"/>
    <col min="520" max="521" width="8.6640625" customWidth="1"/>
    <col min="522" max="522" width="1.6640625" customWidth="1"/>
    <col min="523" max="524" width="8.6640625" customWidth="1"/>
    <col min="525" max="525" width="1.6640625" customWidth="1"/>
    <col min="526" max="526" width="8.6640625" customWidth="1"/>
    <col min="527" max="527" width="8.1640625" customWidth="1"/>
    <col min="528" max="528" width="2.5" customWidth="1"/>
    <col min="769" max="769" width="37.6640625" customWidth="1"/>
    <col min="770" max="771" width="7.6640625" customWidth="1"/>
    <col min="772" max="772" width="2.5" customWidth="1"/>
    <col min="773" max="774" width="8.6640625" customWidth="1"/>
    <col min="775" max="775" width="1.6640625" customWidth="1"/>
    <col min="776" max="777" width="8.6640625" customWidth="1"/>
    <col min="778" max="778" width="1.6640625" customWidth="1"/>
    <col min="779" max="780" width="8.6640625" customWidth="1"/>
    <col min="781" max="781" width="1.6640625" customWidth="1"/>
    <col min="782" max="782" width="8.6640625" customWidth="1"/>
    <col min="783" max="783" width="8.1640625" customWidth="1"/>
    <col min="784" max="784" width="2.5" customWidth="1"/>
    <col min="1025" max="1025" width="37.6640625" customWidth="1"/>
    <col min="1026" max="1027" width="7.6640625" customWidth="1"/>
    <col min="1028" max="1028" width="2.5" customWidth="1"/>
    <col min="1029" max="1030" width="8.6640625" customWidth="1"/>
    <col min="1031" max="1031" width="1.6640625" customWidth="1"/>
    <col min="1032" max="1033" width="8.6640625" customWidth="1"/>
    <col min="1034" max="1034" width="1.6640625" customWidth="1"/>
    <col min="1035" max="1036" width="8.6640625" customWidth="1"/>
    <col min="1037" max="1037" width="1.6640625" customWidth="1"/>
    <col min="1038" max="1038" width="8.6640625" customWidth="1"/>
    <col min="1039" max="1039" width="8.1640625" customWidth="1"/>
    <col min="1040" max="1040" width="2.5" customWidth="1"/>
    <col min="1281" max="1281" width="37.6640625" customWidth="1"/>
    <col min="1282" max="1283" width="7.6640625" customWidth="1"/>
    <col min="1284" max="1284" width="2.5" customWidth="1"/>
    <col min="1285" max="1286" width="8.6640625" customWidth="1"/>
    <col min="1287" max="1287" width="1.6640625" customWidth="1"/>
    <col min="1288" max="1289" width="8.6640625" customWidth="1"/>
    <col min="1290" max="1290" width="1.6640625" customWidth="1"/>
    <col min="1291" max="1292" width="8.6640625" customWidth="1"/>
    <col min="1293" max="1293" width="1.6640625" customWidth="1"/>
    <col min="1294" max="1294" width="8.6640625" customWidth="1"/>
    <col min="1295" max="1295" width="8.1640625" customWidth="1"/>
    <col min="1296" max="1296" width="2.5" customWidth="1"/>
    <col min="1537" max="1537" width="37.6640625" customWidth="1"/>
    <col min="1538" max="1539" width="7.6640625" customWidth="1"/>
    <col min="1540" max="1540" width="2.5" customWidth="1"/>
    <col min="1541" max="1542" width="8.6640625" customWidth="1"/>
    <col min="1543" max="1543" width="1.6640625" customWidth="1"/>
    <col min="1544" max="1545" width="8.6640625" customWidth="1"/>
    <col min="1546" max="1546" width="1.6640625" customWidth="1"/>
    <col min="1547" max="1548" width="8.6640625" customWidth="1"/>
    <col min="1549" max="1549" width="1.6640625" customWidth="1"/>
    <col min="1550" max="1550" width="8.6640625" customWidth="1"/>
    <col min="1551" max="1551" width="8.1640625" customWidth="1"/>
    <col min="1552" max="1552" width="2.5" customWidth="1"/>
    <col min="1793" max="1793" width="37.6640625" customWidth="1"/>
    <col min="1794" max="1795" width="7.6640625" customWidth="1"/>
    <col min="1796" max="1796" width="2.5" customWidth="1"/>
    <col min="1797" max="1798" width="8.6640625" customWidth="1"/>
    <col min="1799" max="1799" width="1.6640625" customWidth="1"/>
    <col min="1800" max="1801" width="8.6640625" customWidth="1"/>
    <col min="1802" max="1802" width="1.6640625" customWidth="1"/>
    <col min="1803" max="1804" width="8.6640625" customWidth="1"/>
    <col min="1805" max="1805" width="1.6640625" customWidth="1"/>
    <col min="1806" max="1806" width="8.6640625" customWidth="1"/>
    <col min="1807" max="1807" width="8.1640625" customWidth="1"/>
    <col min="1808" max="1808" width="2.5" customWidth="1"/>
    <col min="2049" max="2049" width="37.6640625" customWidth="1"/>
    <col min="2050" max="2051" width="7.6640625" customWidth="1"/>
    <col min="2052" max="2052" width="2.5" customWidth="1"/>
    <col min="2053" max="2054" width="8.6640625" customWidth="1"/>
    <col min="2055" max="2055" width="1.6640625" customWidth="1"/>
    <col min="2056" max="2057" width="8.6640625" customWidth="1"/>
    <col min="2058" max="2058" width="1.6640625" customWidth="1"/>
    <col min="2059" max="2060" width="8.6640625" customWidth="1"/>
    <col min="2061" max="2061" width="1.6640625" customWidth="1"/>
    <col min="2062" max="2062" width="8.6640625" customWidth="1"/>
    <col min="2063" max="2063" width="8.1640625" customWidth="1"/>
    <col min="2064" max="2064" width="2.5" customWidth="1"/>
    <col min="2305" max="2305" width="37.6640625" customWidth="1"/>
    <col min="2306" max="2307" width="7.6640625" customWidth="1"/>
    <col min="2308" max="2308" width="2.5" customWidth="1"/>
    <col min="2309" max="2310" width="8.6640625" customWidth="1"/>
    <col min="2311" max="2311" width="1.6640625" customWidth="1"/>
    <col min="2312" max="2313" width="8.6640625" customWidth="1"/>
    <col min="2314" max="2314" width="1.6640625" customWidth="1"/>
    <col min="2315" max="2316" width="8.6640625" customWidth="1"/>
    <col min="2317" max="2317" width="1.6640625" customWidth="1"/>
    <col min="2318" max="2318" width="8.6640625" customWidth="1"/>
    <col min="2319" max="2319" width="8.1640625" customWidth="1"/>
    <col min="2320" max="2320" width="2.5" customWidth="1"/>
    <col min="2561" max="2561" width="37.6640625" customWidth="1"/>
    <col min="2562" max="2563" width="7.6640625" customWidth="1"/>
    <col min="2564" max="2564" width="2.5" customWidth="1"/>
    <col min="2565" max="2566" width="8.6640625" customWidth="1"/>
    <col min="2567" max="2567" width="1.6640625" customWidth="1"/>
    <col min="2568" max="2569" width="8.6640625" customWidth="1"/>
    <col min="2570" max="2570" width="1.6640625" customWidth="1"/>
    <col min="2571" max="2572" width="8.6640625" customWidth="1"/>
    <col min="2573" max="2573" width="1.6640625" customWidth="1"/>
    <col min="2574" max="2574" width="8.6640625" customWidth="1"/>
    <col min="2575" max="2575" width="8.1640625" customWidth="1"/>
    <col min="2576" max="2576" width="2.5" customWidth="1"/>
    <col min="2817" max="2817" width="37.6640625" customWidth="1"/>
    <col min="2818" max="2819" width="7.6640625" customWidth="1"/>
    <col min="2820" max="2820" width="2.5" customWidth="1"/>
    <col min="2821" max="2822" width="8.6640625" customWidth="1"/>
    <col min="2823" max="2823" width="1.6640625" customWidth="1"/>
    <col min="2824" max="2825" width="8.6640625" customWidth="1"/>
    <col min="2826" max="2826" width="1.6640625" customWidth="1"/>
    <col min="2827" max="2828" width="8.6640625" customWidth="1"/>
    <col min="2829" max="2829" width="1.6640625" customWidth="1"/>
    <col min="2830" max="2830" width="8.6640625" customWidth="1"/>
    <col min="2831" max="2831" width="8.1640625" customWidth="1"/>
    <col min="2832" max="2832" width="2.5" customWidth="1"/>
    <col min="3073" max="3073" width="37.6640625" customWidth="1"/>
    <col min="3074" max="3075" width="7.6640625" customWidth="1"/>
    <col min="3076" max="3076" width="2.5" customWidth="1"/>
    <col min="3077" max="3078" width="8.6640625" customWidth="1"/>
    <col min="3079" max="3079" width="1.6640625" customWidth="1"/>
    <col min="3080" max="3081" width="8.6640625" customWidth="1"/>
    <col min="3082" max="3082" width="1.6640625" customWidth="1"/>
    <col min="3083" max="3084" width="8.6640625" customWidth="1"/>
    <col min="3085" max="3085" width="1.6640625" customWidth="1"/>
    <col min="3086" max="3086" width="8.6640625" customWidth="1"/>
    <col min="3087" max="3087" width="8.1640625" customWidth="1"/>
    <col min="3088" max="3088" width="2.5" customWidth="1"/>
    <col min="3329" max="3329" width="37.6640625" customWidth="1"/>
    <col min="3330" max="3331" width="7.6640625" customWidth="1"/>
    <col min="3332" max="3332" width="2.5" customWidth="1"/>
    <col min="3333" max="3334" width="8.6640625" customWidth="1"/>
    <col min="3335" max="3335" width="1.6640625" customWidth="1"/>
    <col min="3336" max="3337" width="8.6640625" customWidth="1"/>
    <col min="3338" max="3338" width="1.6640625" customWidth="1"/>
    <col min="3339" max="3340" width="8.6640625" customWidth="1"/>
    <col min="3341" max="3341" width="1.6640625" customWidth="1"/>
    <col min="3342" max="3342" width="8.6640625" customWidth="1"/>
    <col min="3343" max="3343" width="8.1640625" customWidth="1"/>
    <col min="3344" max="3344" width="2.5" customWidth="1"/>
    <col min="3585" max="3585" width="37.6640625" customWidth="1"/>
    <col min="3586" max="3587" width="7.6640625" customWidth="1"/>
    <col min="3588" max="3588" width="2.5" customWidth="1"/>
    <col min="3589" max="3590" width="8.6640625" customWidth="1"/>
    <col min="3591" max="3591" width="1.6640625" customWidth="1"/>
    <col min="3592" max="3593" width="8.6640625" customWidth="1"/>
    <col min="3594" max="3594" width="1.6640625" customWidth="1"/>
    <col min="3595" max="3596" width="8.6640625" customWidth="1"/>
    <col min="3597" max="3597" width="1.6640625" customWidth="1"/>
    <col min="3598" max="3598" width="8.6640625" customWidth="1"/>
    <col min="3599" max="3599" width="8.1640625" customWidth="1"/>
    <col min="3600" max="3600" width="2.5" customWidth="1"/>
    <col min="3841" max="3841" width="37.6640625" customWidth="1"/>
    <col min="3842" max="3843" width="7.6640625" customWidth="1"/>
    <col min="3844" max="3844" width="2.5" customWidth="1"/>
    <col min="3845" max="3846" width="8.6640625" customWidth="1"/>
    <col min="3847" max="3847" width="1.6640625" customWidth="1"/>
    <col min="3848" max="3849" width="8.6640625" customWidth="1"/>
    <col min="3850" max="3850" width="1.6640625" customWidth="1"/>
    <col min="3851" max="3852" width="8.6640625" customWidth="1"/>
    <col min="3853" max="3853" width="1.6640625" customWidth="1"/>
    <col min="3854" max="3854" width="8.6640625" customWidth="1"/>
    <col min="3855" max="3855" width="8.1640625" customWidth="1"/>
    <col min="3856" max="3856" width="2.5" customWidth="1"/>
    <col min="4097" max="4097" width="37.6640625" customWidth="1"/>
    <col min="4098" max="4099" width="7.6640625" customWidth="1"/>
    <col min="4100" max="4100" width="2.5" customWidth="1"/>
    <col min="4101" max="4102" width="8.6640625" customWidth="1"/>
    <col min="4103" max="4103" width="1.6640625" customWidth="1"/>
    <col min="4104" max="4105" width="8.6640625" customWidth="1"/>
    <col min="4106" max="4106" width="1.6640625" customWidth="1"/>
    <col min="4107" max="4108" width="8.6640625" customWidth="1"/>
    <col min="4109" max="4109" width="1.6640625" customWidth="1"/>
    <col min="4110" max="4110" width="8.6640625" customWidth="1"/>
    <col min="4111" max="4111" width="8.1640625" customWidth="1"/>
    <col min="4112" max="4112" width="2.5" customWidth="1"/>
    <col min="4353" max="4353" width="37.6640625" customWidth="1"/>
    <col min="4354" max="4355" width="7.6640625" customWidth="1"/>
    <col min="4356" max="4356" width="2.5" customWidth="1"/>
    <col min="4357" max="4358" width="8.6640625" customWidth="1"/>
    <col min="4359" max="4359" width="1.6640625" customWidth="1"/>
    <col min="4360" max="4361" width="8.6640625" customWidth="1"/>
    <col min="4362" max="4362" width="1.6640625" customWidth="1"/>
    <col min="4363" max="4364" width="8.6640625" customWidth="1"/>
    <col min="4365" max="4365" width="1.6640625" customWidth="1"/>
    <col min="4366" max="4366" width="8.6640625" customWidth="1"/>
    <col min="4367" max="4367" width="8.1640625" customWidth="1"/>
    <col min="4368" max="4368" width="2.5" customWidth="1"/>
    <col min="4609" max="4609" width="37.6640625" customWidth="1"/>
    <col min="4610" max="4611" width="7.6640625" customWidth="1"/>
    <col min="4612" max="4612" width="2.5" customWidth="1"/>
    <col min="4613" max="4614" width="8.6640625" customWidth="1"/>
    <col min="4615" max="4615" width="1.6640625" customWidth="1"/>
    <col min="4616" max="4617" width="8.6640625" customWidth="1"/>
    <col min="4618" max="4618" width="1.6640625" customWidth="1"/>
    <col min="4619" max="4620" width="8.6640625" customWidth="1"/>
    <col min="4621" max="4621" width="1.6640625" customWidth="1"/>
    <col min="4622" max="4622" width="8.6640625" customWidth="1"/>
    <col min="4623" max="4623" width="8.1640625" customWidth="1"/>
    <col min="4624" max="4624" width="2.5" customWidth="1"/>
    <col min="4865" max="4865" width="37.6640625" customWidth="1"/>
    <col min="4866" max="4867" width="7.6640625" customWidth="1"/>
    <col min="4868" max="4868" width="2.5" customWidth="1"/>
    <col min="4869" max="4870" width="8.6640625" customWidth="1"/>
    <col min="4871" max="4871" width="1.6640625" customWidth="1"/>
    <col min="4872" max="4873" width="8.6640625" customWidth="1"/>
    <col min="4874" max="4874" width="1.6640625" customWidth="1"/>
    <col min="4875" max="4876" width="8.6640625" customWidth="1"/>
    <col min="4877" max="4877" width="1.6640625" customWidth="1"/>
    <col min="4878" max="4878" width="8.6640625" customWidth="1"/>
    <col min="4879" max="4879" width="8.1640625" customWidth="1"/>
    <col min="4880" max="4880" width="2.5" customWidth="1"/>
    <col min="5121" max="5121" width="37.6640625" customWidth="1"/>
    <col min="5122" max="5123" width="7.6640625" customWidth="1"/>
    <col min="5124" max="5124" width="2.5" customWidth="1"/>
    <col min="5125" max="5126" width="8.6640625" customWidth="1"/>
    <col min="5127" max="5127" width="1.6640625" customWidth="1"/>
    <col min="5128" max="5129" width="8.6640625" customWidth="1"/>
    <col min="5130" max="5130" width="1.6640625" customWidth="1"/>
    <col min="5131" max="5132" width="8.6640625" customWidth="1"/>
    <col min="5133" max="5133" width="1.6640625" customWidth="1"/>
    <col min="5134" max="5134" width="8.6640625" customWidth="1"/>
    <col min="5135" max="5135" width="8.1640625" customWidth="1"/>
    <col min="5136" max="5136" width="2.5" customWidth="1"/>
    <col min="5377" max="5377" width="37.6640625" customWidth="1"/>
    <col min="5378" max="5379" width="7.6640625" customWidth="1"/>
    <col min="5380" max="5380" width="2.5" customWidth="1"/>
    <col min="5381" max="5382" width="8.6640625" customWidth="1"/>
    <col min="5383" max="5383" width="1.6640625" customWidth="1"/>
    <col min="5384" max="5385" width="8.6640625" customWidth="1"/>
    <col min="5386" max="5386" width="1.6640625" customWidth="1"/>
    <col min="5387" max="5388" width="8.6640625" customWidth="1"/>
    <col min="5389" max="5389" width="1.6640625" customWidth="1"/>
    <col min="5390" max="5390" width="8.6640625" customWidth="1"/>
    <col min="5391" max="5391" width="8.1640625" customWidth="1"/>
    <col min="5392" max="5392" width="2.5" customWidth="1"/>
    <col min="5633" max="5633" width="37.6640625" customWidth="1"/>
    <col min="5634" max="5635" width="7.6640625" customWidth="1"/>
    <col min="5636" max="5636" width="2.5" customWidth="1"/>
    <col min="5637" max="5638" width="8.6640625" customWidth="1"/>
    <col min="5639" max="5639" width="1.6640625" customWidth="1"/>
    <col min="5640" max="5641" width="8.6640625" customWidth="1"/>
    <col min="5642" max="5642" width="1.6640625" customWidth="1"/>
    <col min="5643" max="5644" width="8.6640625" customWidth="1"/>
    <col min="5645" max="5645" width="1.6640625" customWidth="1"/>
    <col min="5646" max="5646" width="8.6640625" customWidth="1"/>
    <col min="5647" max="5647" width="8.1640625" customWidth="1"/>
    <col min="5648" max="5648" width="2.5" customWidth="1"/>
    <col min="5889" max="5889" width="37.6640625" customWidth="1"/>
    <col min="5890" max="5891" width="7.6640625" customWidth="1"/>
    <col min="5892" max="5892" width="2.5" customWidth="1"/>
    <col min="5893" max="5894" width="8.6640625" customWidth="1"/>
    <col min="5895" max="5895" width="1.6640625" customWidth="1"/>
    <col min="5896" max="5897" width="8.6640625" customWidth="1"/>
    <col min="5898" max="5898" width="1.6640625" customWidth="1"/>
    <col min="5899" max="5900" width="8.6640625" customWidth="1"/>
    <col min="5901" max="5901" width="1.6640625" customWidth="1"/>
    <col min="5902" max="5902" width="8.6640625" customWidth="1"/>
    <col min="5903" max="5903" width="8.1640625" customWidth="1"/>
    <col min="5904" max="5904" width="2.5" customWidth="1"/>
    <col min="6145" max="6145" width="37.6640625" customWidth="1"/>
    <col min="6146" max="6147" width="7.6640625" customWidth="1"/>
    <col min="6148" max="6148" width="2.5" customWidth="1"/>
    <col min="6149" max="6150" width="8.6640625" customWidth="1"/>
    <col min="6151" max="6151" width="1.6640625" customWidth="1"/>
    <col min="6152" max="6153" width="8.6640625" customWidth="1"/>
    <col min="6154" max="6154" width="1.6640625" customWidth="1"/>
    <col min="6155" max="6156" width="8.6640625" customWidth="1"/>
    <col min="6157" max="6157" width="1.6640625" customWidth="1"/>
    <col min="6158" max="6158" width="8.6640625" customWidth="1"/>
    <col min="6159" max="6159" width="8.1640625" customWidth="1"/>
    <col min="6160" max="6160" width="2.5" customWidth="1"/>
    <col min="6401" max="6401" width="37.6640625" customWidth="1"/>
    <col min="6402" max="6403" width="7.6640625" customWidth="1"/>
    <col min="6404" max="6404" width="2.5" customWidth="1"/>
    <col min="6405" max="6406" width="8.6640625" customWidth="1"/>
    <col min="6407" max="6407" width="1.6640625" customWidth="1"/>
    <col min="6408" max="6409" width="8.6640625" customWidth="1"/>
    <col min="6410" max="6410" width="1.6640625" customWidth="1"/>
    <col min="6411" max="6412" width="8.6640625" customWidth="1"/>
    <col min="6413" max="6413" width="1.6640625" customWidth="1"/>
    <col min="6414" max="6414" width="8.6640625" customWidth="1"/>
    <col min="6415" max="6415" width="8.1640625" customWidth="1"/>
    <col min="6416" max="6416" width="2.5" customWidth="1"/>
    <col min="6657" max="6657" width="37.6640625" customWidth="1"/>
    <col min="6658" max="6659" width="7.6640625" customWidth="1"/>
    <col min="6660" max="6660" width="2.5" customWidth="1"/>
    <col min="6661" max="6662" width="8.6640625" customWidth="1"/>
    <col min="6663" max="6663" width="1.6640625" customWidth="1"/>
    <col min="6664" max="6665" width="8.6640625" customWidth="1"/>
    <col min="6666" max="6666" width="1.6640625" customWidth="1"/>
    <col min="6667" max="6668" width="8.6640625" customWidth="1"/>
    <col min="6669" max="6669" width="1.6640625" customWidth="1"/>
    <col min="6670" max="6670" width="8.6640625" customWidth="1"/>
    <col min="6671" max="6671" width="8.1640625" customWidth="1"/>
    <col min="6672" max="6672" width="2.5" customWidth="1"/>
    <col min="6913" max="6913" width="37.6640625" customWidth="1"/>
    <col min="6914" max="6915" width="7.6640625" customWidth="1"/>
    <col min="6916" max="6916" width="2.5" customWidth="1"/>
    <col min="6917" max="6918" width="8.6640625" customWidth="1"/>
    <col min="6919" max="6919" width="1.6640625" customWidth="1"/>
    <col min="6920" max="6921" width="8.6640625" customWidth="1"/>
    <col min="6922" max="6922" width="1.6640625" customWidth="1"/>
    <col min="6923" max="6924" width="8.6640625" customWidth="1"/>
    <col min="6925" max="6925" width="1.6640625" customWidth="1"/>
    <col min="6926" max="6926" width="8.6640625" customWidth="1"/>
    <col min="6927" max="6927" width="8.1640625" customWidth="1"/>
    <col min="6928" max="6928" width="2.5" customWidth="1"/>
    <col min="7169" max="7169" width="37.6640625" customWidth="1"/>
    <col min="7170" max="7171" width="7.6640625" customWidth="1"/>
    <col min="7172" max="7172" width="2.5" customWidth="1"/>
    <col min="7173" max="7174" width="8.6640625" customWidth="1"/>
    <col min="7175" max="7175" width="1.6640625" customWidth="1"/>
    <col min="7176" max="7177" width="8.6640625" customWidth="1"/>
    <col min="7178" max="7178" width="1.6640625" customWidth="1"/>
    <col min="7179" max="7180" width="8.6640625" customWidth="1"/>
    <col min="7181" max="7181" width="1.6640625" customWidth="1"/>
    <col min="7182" max="7182" width="8.6640625" customWidth="1"/>
    <col min="7183" max="7183" width="8.1640625" customWidth="1"/>
    <col min="7184" max="7184" width="2.5" customWidth="1"/>
    <col min="7425" max="7425" width="37.6640625" customWidth="1"/>
    <col min="7426" max="7427" width="7.6640625" customWidth="1"/>
    <col min="7428" max="7428" width="2.5" customWidth="1"/>
    <col min="7429" max="7430" width="8.6640625" customWidth="1"/>
    <col min="7431" max="7431" width="1.6640625" customWidth="1"/>
    <col min="7432" max="7433" width="8.6640625" customWidth="1"/>
    <col min="7434" max="7434" width="1.6640625" customWidth="1"/>
    <col min="7435" max="7436" width="8.6640625" customWidth="1"/>
    <col min="7437" max="7437" width="1.6640625" customWidth="1"/>
    <col min="7438" max="7438" width="8.6640625" customWidth="1"/>
    <col min="7439" max="7439" width="8.1640625" customWidth="1"/>
    <col min="7440" max="7440" width="2.5" customWidth="1"/>
    <col min="7681" max="7681" width="37.6640625" customWidth="1"/>
    <col min="7682" max="7683" width="7.6640625" customWidth="1"/>
    <col min="7684" max="7684" width="2.5" customWidth="1"/>
    <col min="7685" max="7686" width="8.6640625" customWidth="1"/>
    <col min="7687" max="7687" width="1.6640625" customWidth="1"/>
    <col min="7688" max="7689" width="8.6640625" customWidth="1"/>
    <col min="7690" max="7690" width="1.6640625" customWidth="1"/>
    <col min="7691" max="7692" width="8.6640625" customWidth="1"/>
    <col min="7693" max="7693" width="1.6640625" customWidth="1"/>
    <col min="7694" max="7694" width="8.6640625" customWidth="1"/>
    <col min="7695" max="7695" width="8.1640625" customWidth="1"/>
    <col min="7696" max="7696" width="2.5" customWidth="1"/>
    <col min="7937" max="7937" width="37.6640625" customWidth="1"/>
    <col min="7938" max="7939" width="7.6640625" customWidth="1"/>
    <col min="7940" max="7940" width="2.5" customWidth="1"/>
    <col min="7941" max="7942" width="8.6640625" customWidth="1"/>
    <col min="7943" max="7943" width="1.6640625" customWidth="1"/>
    <col min="7944" max="7945" width="8.6640625" customWidth="1"/>
    <col min="7946" max="7946" width="1.6640625" customWidth="1"/>
    <col min="7947" max="7948" width="8.6640625" customWidth="1"/>
    <col min="7949" max="7949" width="1.6640625" customWidth="1"/>
    <col min="7950" max="7950" width="8.6640625" customWidth="1"/>
    <col min="7951" max="7951" width="8.1640625" customWidth="1"/>
    <col min="7952" max="7952" width="2.5" customWidth="1"/>
    <col min="8193" max="8193" width="37.6640625" customWidth="1"/>
    <col min="8194" max="8195" width="7.6640625" customWidth="1"/>
    <col min="8196" max="8196" width="2.5" customWidth="1"/>
    <col min="8197" max="8198" width="8.6640625" customWidth="1"/>
    <col min="8199" max="8199" width="1.6640625" customWidth="1"/>
    <col min="8200" max="8201" width="8.6640625" customWidth="1"/>
    <col min="8202" max="8202" width="1.6640625" customWidth="1"/>
    <col min="8203" max="8204" width="8.6640625" customWidth="1"/>
    <col min="8205" max="8205" width="1.6640625" customWidth="1"/>
    <col min="8206" max="8206" width="8.6640625" customWidth="1"/>
    <col min="8207" max="8207" width="8.1640625" customWidth="1"/>
    <col min="8208" max="8208" width="2.5" customWidth="1"/>
    <col min="8449" max="8449" width="37.6640625" customWidth="1"/>
    <col min="8450" max="8451" width="7.6640625" customWidth="1"/>
    <col min="8452" max="8452" width="2.5" customWidth="1"/>
    <col min="8453" max="8454" width="8.6640625" customWidth="1"/>
    <col min="8455" max="8455" width="1.6640625" customWidth="1"/>
    <col min="8456" max="8457" width="8.6640625" customWidth="1"/>
    <col min="8458" max="8458" width="1.6640625" customWidth="1"/>
    <col min="8459" max="8460" width="8.6640625" customWidth="1"/>
    <col min="8461" max="8461" width="1.6640625" customWidth="1"/>
    <col min="8462" max="8462" width="8.6640625" customWidth="1"/>
    <col min="8463" max="8463" width="8.1640625" customWidth="1"/>
    <col min="8464" max="8464" width="2.5" customWidth="1"/>
    <col min="8705" max="8705" width="37.6640625" customWidth="1"/>
    <col min="8706" max="8707" width="7.6640625" customWidth="1"/>
    <col min="8708" max="8708" width="2.5" customWidth="1"/>
    <col min="8709" max="8710" width="8.6640625" customWidth="1"/>
    <col min="8711" max="8711" width="1.6640625" customWidth="1"/>
    <col min="8712" max="8713" width="8.6640625" customWidth="1"/>
    <col min="8714" max="8714" width="1.6640625" customWidth="1"/>
    <col min="8715" max="8716" width="8.6640625" customWidth="1"/>
    <col min="8717" max="8717" width="1.6640625" customWidth="1"/>
    <col min="8718" max="8718" width="8.6640625" customWidth="1"/>
    <col min="8719" max="8719" width="8.1640625" customWidth="1"/>
    <col min="8720" max="8720" width="2.5" customWidth="1"/>
    <col min="8961" max="8961" width="37.6640625" customWidth="1"/>
    <col min="8962" max="8963" width="7.6640625" customWidth="1"/>
    <col min="8964" max="8964" width="2.5" customWidth="1"/>
    <col min="8965" max="8966" width="8.6640625" customWidth="1"/>
    <col min="8967" max="8967" width="1.6640625" customWidth="1"/>
    <col min="8968" max="8969" width="8.6640625" customWidth="1"/>
    <col min="8970" max="8970" width="1.6640625" customWidth="1"/>
    <col min="8971" max="8972" width="8.6640625" customWidth="1"/>
    <col min="8973" max="8973" width="1.6640625" customWidth="1"/>
    <col min="8974" max="8974" width="8.6640625" customWidth="1"/>
    <col min="8975" max="8975" width="8.1640625" customWidth="1"/>
    <col min="8976" max="8976" width="2.5" customWidth="1"/>
    <col min="9217" max="9217" width="37.6640625" customWidth="1"/>
    <col min="9218" max="9219" width="7.6640625" customWidth="1"/>
    <col min="9220" max="9220" width="2.5" customWidth="1"/>
    <col min="9221" max="9222" width="8.6640625" customWidth="1"/>
    <col min="9223" max="9223" width="1.6640625" customWidth="1"/>
    <col min="9224" max="9225" width="8.6640625" customWidth="1"/>
    <col min="9226" max="9226" width="1.6640625" customWidth="1"/>
    <col min="9227" max="9228" width="8.6640625" customWidth="1"/>
    <col min="9229" max="9229" width="1.6640625" customWidth="1"/>
    <col min="9230" max="9230" width="8.6640625" customWidth="1"/>
    <col min="9231" max="9231" width="8.1640625" customWidth="1"/>
    <col min="9232" max="9232" width="2.5" customWidth="1"/>
    <col min="9473" max="9473" width="37.6640625" customWidth="1"/>
    <col min="9474" max="9475" width="7.6640625" customWidth="1"/>
    <col min="9476" max="9476" width="2.5" customWidth="1"/>
    <col min="9477" max="9478" width="8.6640625" customWidth="1"/>
    <col min="9479" max="9479" width="1.6640625" customWidth="1"/>
    <col min="9480" max="9481" width="8.6640625" customWidth="1"/>
    <col min="9482" max="9482" width="1.6640625" customWidth="1"/>
    <col min="9483" max="9484" width="8.6640625" customWidth="1"/>
    <col min="9485" max="9485" width="1.6640625" customWidth="1"/>
    <col min="9486" max="9486" width="8.6640625" customWidth="1"/>
    <col min="9487" max="9487" width="8.1640625" customWidth="1"/>
    <col min="9488" max="9488" width="2.5" customWidth="1"/>
    <col min="9729" max="9729" width="37.6640625" customWidth="1"/>
    <col min="9730" max="9731" width="7.6640625" customWidth="1"/>
    <col min="9732" max="9732" width="2.5" customWidth="1"/>
    <col min="9733" max="9734" width="8.6640625" customWidth="1"/>
    <col min="9735" max="9735" width="1.6640625" customWidth="1"/>
    <col min="9736" max="9737" width="8.6640625" customWidth="1"/>
    <col min="9738" max="9738" width="1.6640625" customWidth="1"/>
    <col min="9739" max="9740" width="8.6640625" customWidth="1"/>
    <col min="9741" max="9741" width="1.6640625" customWidth="1"/>
    <col min="9742" max="9742" width="8.6640625" customWidth="1"/>
    <col min="9743" max="9743" width="8.1640625" customWidth="1"/>
    <col min="9744" max="9744" width="2.5" customWidth="1"/>
    <col min="9985" max="9985" width="37.6640625" customWidth="1"/>
    <col min="9986" max="9987" width="7.6640625" customWidth="1"/>
    <col min="9988" max="9988" width="2.5" customWidth="1"/>
    <col min="9989" max="9990" width="8.6640625" customWidth="1"/>
    <col min="9991" max="9991" width="1.6640625" customWidth="1"/>
    <col min="9992" max="9993" width="8.6640625" customWidth="1"/>
    <col min="9994" max="9994" width="1.6640625" customWidth="1"/>
    <col min="9995" max="9996" width="8.6640625" customWidth="1"/>
    <col min="9997" max="9997" width="1.6640625" customWidth="1"/>
    <col min="9998" max="9998" width="8.6640625" customWidth="1"/>
    <col min="9999" max="9999" width="8.1640625" customWidth="1"/>
    <col min="10000" max="10000" width="2.5" customWidth="1"/>
    <col min="10241" max="10241" width="37.6640625" customWidth="1"/>
    <col min="10242" max="10243" width="7.6640625" customWidth="1"/>
    <col min="10244" max="10244" width="2.5" customWidth="1"/>
    <col min="10245" max="10246" width="8.6640625" customWidth="1"/>
    <col min="10247" max="10247" width="1.6640625" customWidth="1"/>
    <col min="10248" max="10249" width="8.6640625" customWidth="1"/>
    <col min="10250" max="10250" width="1.6640625" customWidth="1"/>
    <col min="10251" max="10252" width="8.6640625" customWidth="1"/>
    <col min="10253" max="10253" width="1.6640625" customWidth="1"/>
    <col min="10254" max="10254" width="8.6640625" customWidth="1"/>
    <col min="10255" max="10255" width="8.1640625" customWidth="1"/>
    <col min="10256" max="10256" width="2.5" customWidth="1"/>
    <col min="10497" max="10497" width="37.6640625" customWidth="1"/>
    <col min="10498" max="10499" width="7.6640625" customWidth="1"/>
    <col min="10500" max="10500" width="2.5" customWidth="1"/>
    <col min="10501" max="10502" width="8.6640625" customWidth="1"/>
    <col min="10503" max="10503" width="1.6640625" customWidth="1"/>
    <col min="10504" max="10505" width="8.6640625" customWidth="1"/>
    <col min="10506" max="10506" width="1.6640625" customWidth="1"/>
    <col min="10507" max="10508" width="8.6640625" customWidth="1"/>
    <col min="10509" max="10509" width="1.6640625" customWidth="1"/>
    <col min="10510" max="10510" width="8.6640625" customWidth="1"/>
    <col min="10511" max="10511" width="8.1640625" customWidth="1"/>
    <col min="10512" max="10512" width="2.5" customWidth="1"/>
    <col min="10753" max="10753" width="37.6640625" customWidth="1"/>
    <col min="10754" max="10755" width="7.6640625" customWidth="1"/>
    <col min="10756" max="10756" width="2.5" customWidth="1"/>
    <col min="10757" max="10758" width="8.6640625" customWidth="1"/>
    <col min="10759" max="10759" width="1.6640625" customWidth="1"/>
    <col min="10760" max="10761" width="8.6640625" customWidth="1"/>
    <col min="10762" max="10762" width="1.6640625" customWidth="1"/>
    <col min="10763" max="10764" width="8.6640625" customWidth="1"/>
    <col min="10765" max="10765" width="1.6640625" customWidth="1"/>
    <col min="10766" max="10766" width="8.6640625" customWidth="1"/>
    <col min="10767" max="10767" width="8.1640625" customWidth="1"/>
    <col min="10768" max="10768" width="2.5" customWidth="1"/>
    <col min="11009" max="11009" width="37.6640625" customWidth="1"/>
    <col min="11010" max="11011" width="7.6640625" customWidth="1"/>
    <col min="11012" max="11012" width="2.5" customWidth="1"/>
    <col min="11013" max="11014" width="8.6640625" customWidth="1"/>
    <col min="11015" max="11015" width="1.6640625" customWidth="1"/>
    <col min="11016" max="11017" width="8.6640625" customWidth="1"/>
    <col min="11018" max="11018" width="1.6640625" customWidth="1"/>
    <col min="11019" max="11020" width="8.6640625" customWidth="1"/>
    <col min="11021" max="11021" width="1.6640625" customWidth="1"/>
    <col min="11022" max="11022" width="8.6640625" customWidth="1"/>
    <col min="11023" max="11023" width="8.1640625" customWidth="1"/>
    <col min="11024" max="11024" width="2.5" customWidth="1"/>
    <col min="11265" max="11265" width="37.6640625" customWidth="1"/>
    <col min="11266" max="11267" width="7.6640625" customWidth="1"/>
    <col min="11268" max="11268" width="2.5" customWidth="1"/>
    <col min="11269" max="11270" width="8.6640625" customWidth="1"/>
    <col min="11271" max="11271" width="1.6640625" customWidth="1"/>
    <col min="11272" max="11273" width="8.6640625" customWidth="1"/>
    <col min="11274" max="11274" width="1.6640625" customWidth="1"/>
    <col min="11275" max="11276" width="8.6640625" customWidth="1"/>
    <col min="11277" max="11277" width="1.6640625" customWidth="1"/>
    <col min="11278" max="11278" width="8.6640625" customWidth="1"/>
    <col min="11279" max="11279" width="8.1640625" customWidth="1"/>
    <col min="11280" max="11280" width="2.5" customWidth="1"/>
    <col min="11521" max="11521" width="37.6640625" customWidth="1"/>
    <col min="11522" max="11523" width="7.6640625" customWidth="1"/>
    <col min="11524" max="11524" width="2.5" customWidth="1"/>
    <col min="11525" max="11526" width="8.6640625" customWidth="1"/>
    <col min="11527" max="11527" width="1.6640625" customWidth="1"/>
    <col min="11528" max="11529" width="8.6640625" customWidth="1"/>
    <col min="11530" max="11530" width="1.6640625" customWidth="1"/>
    <col min="11531" max="11532" width="8.6640625" customWidth="1"/>
    <col min="11533" max="11533" width="1.6640625" customWidth="1"/>
    <col min="11534" max="11534" width="8.6640625" customWidth="1"/>
    <col min="11535" max="11535" width="8.1640625" customWidth="1"/>
    <col min="11536" max="11536" width="2.5" customWidth="1"/>
    <col min="11777" max="11777" width="37.6640625" customWidth="1"/>
    <col min="11778" max="11779" width="7.6640625" customWidth="1"/>
    <col min="11780" max="11780" width="2.5" customWidth="1"/>
    <col min="11781" max="11782" width="8.6640625" customWidth="1"/>
    <col min="11783" max="11783" width="1.6640625" customWidth="1"/>
    <col min="11784" max="11785" width="8.6640625" customWidth="1"/>
    <col min="11786" max="11786" width="1.6640625" customWidth="1"/>
    <col min="11787" max="11788" width="8.6640625" customWidth="1"/>
    <col min="11789" max="11789" width="1.6640625" customWidth="1"/>
    <col min="11790" max="11790" width="8.6640625" customWidth="1"/>
    <col min="11791" max="11791" width="8.1640625" customWidth="1"/>
    <col min="11792" max="11792" width="2.5" customWidth="1"/>
    <col min="12033" max="12033" width="37.6640625" customWidth="1"/>
    <col min="12034" max="12035" width="7.6640625" customWidth="1"/>
    <col min="12036" max="12036" width="2.5" customWidth="1"/>
    <col min="12037" max="12038" width="8.6640625" customWidth="1"/>
    <col min="12039" max="12039" width="1.6640625" customWidth="1"/>
    <col min="12040" max="12041" width="8.6640625" customWidth="1"/>
    <col min="12042" max="12042" width="1.6640625" customWidth="1"/>
    <col min="12043" max="12044" width="8.6640625" customWidth="1"/>
    <col min="12045" max="12045" width="1.6640625" customWidth="1"/>
    <col min="12046" max="12046" width="8.6640625" customWidth="1"/>
    <col min="12047" max="12047" width="8.1640625" customWidth="1"/>
    <col min="12048" max="12048" width="2.5" customWidth="1"/>
    <col min="12289" max="12289" width="37.6640625" customWidth="1"/>
    <col min="12290" max="12291" width="7.6640625" customWidth="1"/>
    <col min="12292" max="12292" width="2.5" customWidth="1"/>
    <col min="12293" max="12294" width="8.6640625" customWidth="1"/>
    <col min="12295" max="12295" width="1.6640625" customWidth="1"/>
    <col min="12296" max="12297" width="8.6640625" customWidth="1"/>
    <col min="12298" max="12298" width="1.6640625" customWidth="1"/>
    <col min="12299" max="12300" width="8.6640625" customWidth="1"/>
    <col min="12301" max="12301" width="1.6640625" customWidth="1"/>
    <col min="12302" max="12302" width="8.6640625" customWidth="1"/>
    <col min="12303" max="12303" width="8.1640625" customWidth="1"/>
    <col min="12304" max="12304" width="2.5" customWidth="1"/>
    <col min="12545" max="12545" width="37.6640625" customWidth="1"/>
    <col min="12546" max="12547" width="7.6640625" customWidth="1"/>
    <col min="12548" max="12548" width="2.5" customWidth="1"/>
    <col min="12549" max="12550" width="8.6640625" customWidth="1"/>
    <col min="12551" max="12551" width="1.6640625" customWidth="1"/>
    <col min="12552" max="12553" width="8.6640625" customWidth="1"/>
    <col min="12554" max="12554" width="1.6640625" customWidth="1"/>
    <col min="12555" max="12556" width="8.6640625" customWidth="1"/>
    <col min="12557" max="12557" width="1.6640625" customWidth="1"/>
    <col min="12558" max="12558" width="8.6640625" customWidth="1"/>
    <col min="12559" max="12559" width="8.1640625" customWidth="1"/>
    <col min="12560" max="12560" width="2.5" customWidth="1"/>
    <col min="12801" max="12801" width="37.6640625" customWidth="1"/>
    <col min="12802" max="12803" width="7.6640625" customWidth="1"/>
    <col min="12804" max="12804" width="2.5" customWidth="1"/>
    <col min="12805" max="12806" width="8.6640625" customWidth="1"/>
    <col min="12807" max="12807" width="1.6640625" customWidth="1"/>
    <col min="12808" max="12809" width="8.6640625" customWidth="1"/>
    <col min="12810" max="12810" width="1.6640625" customWidth="1"/>
    <col min="12811" max="12812" width="8.6640625" customWidth="1"/>
    <col min="12813" max="12813" width="1.6640625" customWidth="1"/>
    <col min="12814" max="12814" width="8.6640625" customWidth="1"/>
    <col min="12815" max="12815" width="8.1640625" customWidth="1"/>
    <col min="12816" max="12816" width="2.5" customWidth="1"/>
    <col min="13057" max="13057" width="37.6640625" customWidth="1"/>
    <col min="13058" max="13059" width="7.6640625" customWidth="1"/>
    <col min="13060" max="13060" width="2.5" customWidth="1"/>
    <col min="13061" max="13062" width="8.6640625" customWidth="1"/>
    <col min="13063" max="13063" width="1.6640625" customWidth="1"/>
    <col min="13064" max="13065" width="8.6640625" customWidth="1"/>
    <col min="13066" max="13066" width="1.6640625" customWidth="1"/>
    <col min="13067" max="13068" width="8.6640625" customWidth="1"/>
    <col min="13069" max="13069" width="1.6640625" customWidth="1"/>
    <col min="13070" max="13070" width="8.6640625" customWidth="1"/>
    <col min="13071" max="13071" width="8.1640625" customWidth="1"/>
    <col min="13072" max="13072" width="2.5" customWidth="1"/>
    <col min="13313" max="13313" width="37.6640625" customWidth="1"/>
    <col min="13314" max="13315" width="7.6640625" customWidth="1"/>
    <col min="13316" max="13316" width="2.5" customWidth="1"/>
    <col min="13317" max="13318" width="8.6640625" customWidth="1"/>
    <col min="13319" max="13319" width="1.6640625" customWidth="1"/>
    <col min="13320" max="13321" width="8.6640625" customWidth="1"/>
    <col min="13322" max="13322" width="1.6640625" customWidth="1"/>
    <col min="13323" max="13324" width="8.6640625" customWidth="1"/>
    <col min="13325" max="13325" width="1.6640625" customWidth="1"/>
    <col min="13326" max="13326" width="8.6640625" customWidth="1"/>
    <col min="13327" max="13327" width="8.1640625" customWidth="1"/>
    <col min="13328" max="13328" width="2.5" customWidth="1"/>
    <col min="13569" max="13569" width="37.6640625" customWidth="1"/>
    <col min="13570" max="13571" width="7.6640625" customWidth="1"/>
    <col min="13572" max="13572" width="2.5" customWidth="1"/>
    <col min="13573" max="13574" width="8.6640625" customWidth="1"/>
    <col min="13575" max="13575" width="1.6640625" customWidth="1"/>
    <col min="13576" max="13577" width="8.6640625" customWidth="1"/>
    <col min="13578" max="13578" width="1.6640625" customWidth="1"/>
    <col min="13579" max="13580" width="8.6640625" customWidth="1"/>
    <col min="13581" max="13581" width="1.6640625" customWidth="1"/>
    <col min="13582" max="13582" width="8.6640625" customWidth="1"/>
    <col min="13583" max="13583" width="8.1640625" customWidth="1"/>
    <col min="13584" max="13584" width="2.5" customWidth="1"/>
    <col min="13825" max="13825" width="37.6640625" customWidth="1"/>
    <col min="13826" max="13827" width="7.6640625" customWidth="1"/>
    <col min="13828" max="13828" width="2.5" customWidth="1"/>
    <col min="13829" max="13830" width="8.6640625" customWidth="1"/>
    <col min="13831" max="13831" width="1.6640625" customWidth="1"/>
    <col min="13832" max="13833" width="8.6640625" customWidth="1"/>
    <col min="13834" max="13834" width="1.6640625" customWidth="1"/>
    <col min="13835" max="13836" width="8.6640625" customWidth="1"/>
    <col min="13837" max="13837" width="1.6640625" customWidth="1"/>
    <col min="13838" max="13838" width="8.6640625" customWidth="1"/>
    <col min="13839" max="13839" width="8.1640625" customWidth="1"/>
    <col min="13840" max="13840" width="2.5" customWidth="1"/>
    <col min="14081" max="14081" width="37.6640625" customWidth="1"/>
    <col min="14082" max="14083" width="7.6640625" customWidth="1"/>
    <col min="14084" max="14084" width="2.5" customWidth="1"/>
    <col min="14085" max="14086" width="8.6640625" customWidth="1"/>
    <col min="14087" max="14087" width="1.6640625" customWidth="1"/>
    <col min="14088" max="14089" width="8.6640625" customWidth="1"/>
    <col min="14090" max="14090" width="1.6640625" customWidth="1"/>
    <col min="14091" max="14092" width="8.6640625" customWidth="1"/>
    <col min="14093" max="14093" width="1.6640625" customWidth="1"/>
    <col min="14094" max="14094" width="8.6640625" customWidth="1"/>
    <col min="14095" max="14095" width="8.1640625" customWidth="1"/>
    <col min="14096" max="14096" width="2.5" customWidth="1"/>
    <col min="14337" max="14337" width="37.6640625" customWidth="1"/>
    <col min="14338" max="14339" width="7.6640625" customWidth="1"/>
    <col min="14340" max="14340" width="2.5" customWidth="1"/>
    <col min="14341" max="14342" width="8.6640625" customWidth="1"/>
    <col min="14343" max="14343" width="1.6640625" customWidth="1"/>
    <col min="14344" max="14345" width="8.6640625" customWidth="1"/>
    <col min="14346" max="14346" width="1.6640625" customWidth="1"/>
    <col min="14347" max="14348" width="8.6640625" customWidth="1"/>
    <col min="14349" max="14349" width="1.6640625" customWidth="1"/>
    <col min="14350" max="14350" width="8.6640625" customWidth="1"/>
    <col min="14351" max="14351" width="8.1640625" customWidth="1"/>
    <col min="14352" max="14352" width="2.5" customWidth="1"/>
    <col min="14593" max="14593" width="37.6640625" customWidth="1"/>
    <col min="14594" max="14595" width="7.6640625" customWidth="1"/>
    <col min="14596" max="14596" width="2.5" customWidth="1"/>
    <col min="14597" max="14598" width="8.6640625" customWidth="1"/>
    <col min="14599" max="14599" width="1.6640625" customWidth="1"/>
    <col min="14600" max="14601" width="8.6640625" customWidth="1"/>
    <col min="14602" max="14602" width="1.6640625" customWidth="1"/>
    <col min="14603" max="14604" width="8.6640625" customWidth="1"/>
    <col min="14605" max="14605" width="1.6640625" customWidth="1"/>
    <col min="14606" max="14606" width="8.6640625" customWidth="1"/>
    <col min="14607" max="14607" width="8.1640625" customWidth="1"/>
    <col min="14608" max="14608" width="2.5" customWidth="1"/>
    <col min="14849" max="14849" width="37.6640625" customWidth="1"/>
    <col min="14850" max="14851" width="7.6640625" customWidth="1"/>
    <col min="14852" max="14852" width="2.5" customWidth="1"/>
    <col min="14853" max="14854" width="8.6640625" customWidth="1"/>
    <col min="14855" max="14855" width="1.6640625" customWidth="1"/>
    <col min="14856" max="14857" width="8.6640625" customWidth="1"/>
    <col min="14858" max="14858" width="1.6640625" customWidth="1"/>
    <col min="14859" max="14860" width="8.6640625" customWidth="1"/>
    <col min="14861" max="14861" width="1.6640625" customWidth="1"/>
    <col min="14862" max="14862" width="8.6640625" customWidth="1"/>
    <col min="14863" max="14863" width="8.1640625" customWidth="1"/>
    <col min="14864" max="14864" width="2.5" customWidth="1"/>
    <col min="15105" max="15105" width="37.6640625" customWidth="1"/>
    <col min="15106" max="15107" width="7.6640625" customWidth="1"/>
    <col min="15108" max="15108" width="2.5" customWidth="1"/>
    <col min="15109" max="15110" width="8.6640625" customWidth="1"/>
    <col min="15111" max="15111" width="1.6640625" customWidth="1"/>
    <col min="15112" max="15113" width="8.6640625" customWidth="1"/>
    <col min="15114" max="15114" width="1.6640625" customWidth="1"/>
    <col min="15115" max="15116" width="8.6640625" customWidth="1"/>
    <col min="15117" max="15117" width="1.6640625" customWidth="1"/>
    <col min="15118" max="15118" width="8.6640625" customWidth="1"/>
    <col min="15119" max="15119" width="8.1640625" customWidth="1"/>
    <col min="15120" max="15120" width="2.5" customWidth="1"/>
    <col min="15361" max="15361" width="37.6640625" customWidth="1"/>
    <col min="15362" max="15363" width="7.6640625" customWidth="1"/>
    <col min="15364" max="15364" width="2.5" customWidth="1"/>
    <col min="15365" max="15366" width="8.6640625" customWidth="1"/>
    <col min="15367" max="15367" width="1.6640625" customWidth="1"/>
    <col min="15368" max="15369" width="8.6640625" customWidth="1"/>
    <col min="15370" max="15370" width="1.6640625" customWidth="1"/>
    <col min="15371" max="15372" width="8.6640625" customWidth="1"/>
    <col min="15373" max="15373" width="1.6640625" customWidth="1"/>
    <col min="15374" max="15374" width="8.6640625" customWidth="1"/>
    <col min="15375" max="15375" width="8.1640625" customWidth="1"/>
    <col min="15376" max="15376" width="2.5" customWidth="1"/>
    <col min="15617" max="15617" width="37.6640625" customWidth="1"/>
    <col min="15618" max="15619" width="7.6640625" customWidth="1"/>
    <col min="15620" max="15620" width="2.5" customWidth="1"/>
    <col min="15621" max="15622" width="8.6640625" customWidth="1"/>
    <col min="15623" max="15623" width="1.6640625" customWidth="1"/>
    <col min="15624" max="15625" width="8.6640625" customWidth="1"/>
    <col min="15626" max="15626" width="1.6640625" customWidth="1"/>
    <col min="15627" max="15628" width="8.6640625" customWidth="1"/>
    <col min="15629" max="15629" width="1.6640625" customWidth="1"/>
    <col min="15630" max="15630" width="8.6640625" customWidth="1"/>
    <col min="15631" max="15631" width="8.1640625" customWidth="1"/>
    <col min="15632" max="15632" width="2.5" customWidth="1"/>
    <col min="15873" max="15873" width="37.6640625" customWidth="1"/>
    <col min="15874" max="15875" width="7.6640625" customWidth="1"/>
    <col min="15876" max="15876" width="2.5" customWidth="1"/>
    <col min="15877" max="15878" width="8.6640625" customWidth="1"/>
    <col min="15879" max="15879" width="1.6640625" customWidth="1"/>
    <col min="15880" max="15881" width="8.6640625" customWidth="1"/>
    <col min="15882" max="15882" width="1.6640625" customWidth="1"/>
    <col min="15883" max="15884" width="8.6640625" customWidth="1"/>
    <col min="15885" max="15885" width="1.6640625" customWidth="1"/>
    <col min="15886" max="15886" width="8.6640625" customWidth="1"/>
    <col min="15887" max="15887" width="8.1640625" customWidth="1"/>
    <col min="15888" max="15888" width="2.5" customWidth="1"/>
    <col min="16129" max="16129" width="37.6640625" customWidth="1"/>
    <col min="16130" max="16131" width="7.6640625" customWidth="1"/>
    <col min="16132" max="16132" width="2.5" customWidth="1"/>
    <col min="16133" max="16134" width="8.6640625" customWidth="1"/>
    <col min="16135" max="16135" width="1.6640625" customWidth="1"/>
    <col min="16136" max="16137" width="8.6640625" customWidth="1"/>
    <col min="16138" max="16138" width="1.6640625" customWidth="1"/>
    <col min="16139" max="16140" width="8.6640625" customWidth="1"/>
    <col min="16141" max="16141" width="1.6640625" customWidth="1"/>
    <col min="16142" max="16142" width="8.6640625" customWidth="1"/>
    <col min="16143" max="16143" width="8.1640625" customWidth="1"/>
    <col min="16144" max="16144" width="2.5" customWidth="1"/>
  </cols>
  <sheetData>
    <row r="1" spans="1:16">
      <c r="A1" t="s">
        <v>453</v>
      </c>
    </row>
    <row r="2" spans="1:16">
      <c r="A2" t="s">
        <v>454</v>
      </c>
    </row>
    <row r="4" spans="1:16">
      <c r="A4" s="33" t="s">
        <v>2240</v>
      </c>
    </row>
    <row r="5" spans="1:16" ht="16" thickBot="1">
      <c r="I5" s="36"/>
      <c r="L5" s="36"/>
      <c r="M5" s="36"/>
      <c r="O5" s="36"/>
      <c r="P5" s="36"/>
    </row>
    <row r="6" spans="1:16">
      <c r="A6" s="15"/>
      <c r="B6" s="37"/>
      <c r="C6" s="38"/>
      <c r="D6" s="40"/>
      <c r="E6" s="39"/>
      <c r="F6" s="40"/>
      <c r="G6" s="40"/>
      <c r="H6" s="39"/>
      <c r="I6" s="40"/>
      <c r="J6" s="15"/>
      <c r="K6" s="39"/>
      <c r="L6" s="40"/>
      <c r="M6" s="40"/>
      <c r="N6" s="39"/>
      <c r="O6" s="40"/>
      <c r="P6" s="40"/>
    </row>
    <row r="7" spans="1:16">
      <c r="A7" t="s">
        <v>995</v>
      </c>
      <c r="B7" s="1069" t="s">
        <v>1551</v>
      </c>
      <c r="C7" s="1070"/>
      <c r="D7" s="520"/>
      <c r="E7" s="1071" t="s">
        <v>1552</v>
      </c>
      <c r="F7" s="1071"/>
      <c r="G7" s="42"/>
      <c r="H7" s="1071" t="s">
        <v>1553</v>
      </c>
      <c r="I7" s="1071"/>
      <c r="J7" s="41"/>
      <c r="K7" s="1072" t="s">
        <v>1554</v>
      </c>
      <c r="L7" s="1072"/>
      <c r="N7" s="1072" t="s">
        <v>1555</v>
      </c>
      <c r="O7" s="1072"/>
    </row>
    <row r="8" spans="1:16">
      <c r="A8" s="41" t="s">
        <v>1556</v>
      </c>
      <c r="B8" s="43" t="s">
        <v>400</v>
      </c>
      <c r="C8" s="44" t="s">
        <v>401</v>
      </c>
      <c r="D8" s="47"/>
      <c r="E8" s="60" t="s">
        <v>400</v>
      </c>
      <c r="F8" s="47" t="s">
        <v>401</v>
      </c>
      <c r="G8" s="47"/>
      <c r="H8" s="45" t="s">
        <v>400</v>
      </c>
      <c r="I8" s="46" t="s">
        <v>401</v>
      </c>
      <c r="J8" s="41"/>
      <c r="K8" s="45" t="s">
        <v>400</v>
      </c>
      <c r="L8" s="46" t="s">
        <v>401</v>
      </c>
      <c r="N8" s="45" t="s">
        <v>400</v>
      </c>
      <c r="O8" s="46" t="s">
        <v>401</v>
      </c>
    </row>
    <row r="9" spans="1:16" ht="16" thickBot="1">
      <c r="A9" s="23"/>
      <c r="B9" s="48"/>
      <c r="C9" s="49"/>
      <c r="D9" s="51"/>
      <c r="E9" s="50"/>
      <c r="F9" s="51"/>
      <c r="G9" s="51"/>
      <c r="H9" s="50"/>
      <c r="I9" s="51"/>
      <c r="J9" s="23"/>
      <c r="K9" s="50"/>
      <c r="L9" s="51"/>
      <c r="M9" s="51"/>
      <c r="N9" s="50"/>
      <c r="O9" s="51"/>
    </row>
    <row r="10" spans="1:16">
      <c r="A10" s="41"/>
      <c r="B10" s="52"/>
      <c r="C10" s="53"/>
      <c r="D10" s="42"/>
      <c r="E10" s="54"/>
      <c r="F10" s="42"/>
      <c r="G10" s="42"/>
      <c r="H10" s="54"/>
      <c r="I10" s="42"/>
      <c r="J10" s="41"/>
      <c r="K10" s="54"/>
      <c r="L10" s="42"/>
      <c r="N10" s="54"/>
      <c r="O10" s="42"/>
      <c r="P10" s="40"/>
    </row>
    <row r="11" spans="1:16">
      <c r="A11" s="55" t="s">
        <v>290</v>
      </c>
      <c r="B11" s="563">
        <f>IF(A11&lt;&gt;0,E11+H11+K11+N11,"")</f>
        <v>164</v>
      </c>
      <c r="C11" s="576">
        <f>SUM(C12:C50)</f>
        <v>99.999999999999972</v>
      </c>
      <c r="D11" s="548"/>
      <c r="E11" s="564">
        <f>SUM(E13:E50)</f>
        <v>68</v>
      </c>
      <c r="F11" s="548">
        <f>IF($A11&lt;&gt;0,E11/$B11*100,"")</f>
        <v>41.463414634146339</v>
      </c>
      <c r="G11" s="548"/>
      <c r="H11" s="564">
        <f>SUM(H13:H50)</f>
        <v>75</v>
      </c>
      <c r="I11" s="548">
        <f>IF($A11&lt;&gt;0,H11/$B11*100,"")</f>
        <v>45.731707317073173</v>
      </c>
      <c r="J11" s="564"/>
      <c r="K11" s="564">
        <f>SUM(K13:K50)</f>
        <v>14</v>
      </c>
      <c r="L11" s="548">
        <f>IF($A11&lt;&gt;0,K11/$B11*100,"")</f>
        <v>8.536585365853659</v>
      </c>
      <c r="M11" s="564"/>
      <c r="N11" s="564">
        <f>SUM(N13:N50)</f>
        <v>7</v>
      </c>
      <c r="O11" s="548">
        <f t="shared" ref="O11:O50" si="0">IF($A11&lt;&gt;0,N11/$B11*100,"")</f>
        <v>4.2682926829268295</v>
      </c>
      <c r="P11" s="78"/>
    </row>
    <row r="12" spans="1:16" ht="9.75" customHeight="1">
      <c r="B12" s="563" t="str">
        <f>IF(A12&lt;&gt;0,#REF!+E12+H12+K12+N12,"")</f>
        <v/>
      </c>
      <c r="C12" s="576" t="str">
        <f t="shared" ref="C12:C50" si="1">IF(A12&lt;&gt;0,B12/$B$11*100,"")</f>
        <v/>
      </c>
      <c r="D12" s="548"/>
      <c r="E12" s="564"/>
      <c r="F12" s="548" t="str">
        <f t="shared" ref="F12:F50" si="2">IF($A12&lt;&gt;0,E12/$B12*100,"")</f>
        <v/>
      </c>
      <c r="G12" s="548"/>
      <c r="H12" s="564"/>
      <c r="I12" s="548" t="str">
        <f t="shared" ref="I12:I50" si="3">IF($A12&lt;&gt;0,H12/$B12*100,"")</f>
        <v/>
      </c>
      <c r="J12" s="564"/>
      <c r="K12" s="564"/>
      <c r="L12" s="548" t="str">
        <f t="shared" ref="L12:L50" si="4">IF($A12&lt;&gt;0,K12/$B12*100,"")</f>
        <v/>
      </c>
      <c r="M12" s="564"/>
      <c r="N12" s="564"/>
      <c r="O12" s="548" t="str">
        <f t="shared" si="0"/>
        <v/>
      </c>
      <c r="P12" s="78"/>
    </row>
    <row r="13" spans="1:16" ht="14.25" customHeight="1">
      <c r="A13" s="405" t="s">
        <v>715</v>
      </c>
      <c r="B13" s="563">
        <f>IF(A13&lt;&gt;0,E13+H13+K13+N13,"")</f>
        <v>3</v>
      </c>
      <c r="C13" s="576">
        <f t="shared" si="1"/>
        <v>1.8292682926829267</v>
      </c>
      <c r="D13" s="548"/>
      <c r="E13" s="929">
        <v>3</v>
      </c>
      <c r="F13" s="548">
        <f t="shared" si="2"/>
        <v>100</v>
      </c>
      <c r="G13" s="930"/>
      <c r="H13" s="929">
        <v>0</v>
      </c>
      <c r="I13" s="548">
        <f t="shared" si="3"/>
        <v>0</v>
      </c>
      <c r="J13" s="930"/>
      <c r="K13" s="929">
        <v>0</v>
      </c>
      <c r="L13" s="548">
        <f t="shared" si="4"/>
        <v>0</v>
      </c>
      <c r="M13" s="930"/>
      <c r="N13" s="929">
        <v>0</v>
      </c>
      <c r="O13" s="548">
        <f t="shared" si="0"/>
        <v>0</v>
      </c>
      <c r="P13" s="931"/>
    </row>
    <row r="14" spans="1:16" ht="14.25" customHeight="1">
      <c r="A14" s="925" t="s">
        <v>716</v>
      </c>
      <c r="B14" s="563">
        <f t="shared" ref="B14:B50" si="5">IF(A14&lt;&gt;0,E14+H14+K14+N14,"")</f>
        <v>1</v>
      </c>
      <c r="C14" s="576">
        <f t="shared" si="1"/>
        <v>0.6097560975609756</v>
      </c>
      <c r="D14" s="548"/>
      <c r="E14" s="929">
        <v>0</v>
      </c>
      <c r="F14" s="548">
        <f t="shared" si="2"/>
        <v>0</v>
      </c>
      <c r="G14" s="930"/>
      <c r="H14" s="929">
        <v>1</v>
      </c>
      <c r="I14" s="548">
        <f t="shared" si="3"/>
        <v>100</v>
      </c>
      <c r="J14" s="930"/>
      <c r="K14" s="929">
        <v>0</v>
      </c>
      <c r="L14" s="548">
        <f t="shared" si="4"/>
        <v>0</v>
      </c>
      <c r="M14" s="930"/>
      <c r="N14" s="929">
        <v>0</v>
      </c>
      <c r="O14" s="548">
        <f t="shared" si="0"/>
        <v>0</v>
      </c>
      <c r="P14" s="931"/>
    </row>
    <row r="15" spans="1:16" ht="14.25" customHeight="1">
      <c r="A15" s="405" t="s">
        <v>1536</v>
      </c>
      <c r="B15" s="563">
        <f t="shared" si="5"/>
        <v>1</v>
      </c>
      <c r="C15" s="576">
        <f t="shared" si="1"/>
        <v>0.6097560975609756</v>
      </c>
      <c r="D15" s="548"/>
      <c r="E15" s="929">
        <v>1</v>
      </c>
      <c r="F15" s="548">
        <f t="shared" si="2"/>
        <v>100</v>
      </c>
      <c r="G15" s="930"/>
      <c r="H15" s="929">
        <v>0</v>
      </c>
      <c r="I15" s="548">
        <f t="shared" si="3"/>
        <v>0</v>
      </c>
      <c r="J15" s="930"/>
      <c r="K15" s="929">
        <v>0</v>
      </c>
      <c r="L15" s="548">
        <f t="shared" si="4"/>
        <v>0</v>
      </c>
      <c r="M15" s="930"/>
      <c r="N15" s="929">
        <v>0</v>
      </c>
      <c r="O15" s="548">
        <f t="shared" si="0"/>
        <v>0</v>
      </c>
      <c r="P15" s="931"/>
    </row>
    <row r="16" spans="1:16" ht="14.25" customHeight="1">
      <c r="A16" s="405" t="s">
        <v>718</v>
      </c>
      <c r="B16" s="563">
        <f t="shared" si="5"/>
        <v>13</v>
      </c>
      <c r="C16" s="576">
        <f t="shared" si="1"/>
        <v>7.9268292682926829</v>
      </c>
      <c r="D16" s="548"/>
      <c r="E16" s="929">
        <v>9</v>
      </c>
      <c r="F16" s="548">
        <f t="shared" si="2"/>
        <v>69.230769230769226</v>
      </c>
      <c r="G16" s="930"/>
      <c r="H16" s="929">
        <v>4</v>
      </c>
      <c r="I16" s="548">
        <f t="shared" si="3"/>
        <v>30.76923076923077</v>
      </c>
      <c r="J16" s="930"/>
      <c r="K16" s="929">
        <v>0</v>
      </c>
      <c r="L16" s="548">
        <f t="shared" si="4"/>
        <v>0</v>
      </c>
      <c r="M16" s="930"/>
      <c r="N16" s="929">
        <v>0</v>
      </c>
      <c r="O16" s="548">
        <f t="shared" si="0"/>
        <v>0</v>
      </c>
      <c r="P16" s="78"/>
    </row>
    <row r="17" spans="1:16" ht="14.25" customHeight="1">
      <c r="A17" s="405" t="s">
        <v>720</v>
      </c>
      <c r="B17" s="563">
        <f t="shared" si="5"/>
        <v>3</v>
      </c>
      <c r="C17" s="576">
        <f t="shared" si="1"/>
        <v>1.8292682926829267</v>
      </c>
      <c r="D17" s="548"/>
      <c r="E17" s="929">
        <v>1</v>
      </c>
      <c r="F17" s="548">
        <f t="shared" si="2"/>
        <v>33.333333333333329</v>
      </c>
      <c r="G17" s="930"/>
      <c r="H17" s="929">
        <v>1</v>
      </c>
      <c r="I17" s="548">
        <f t="shared" si="3"/>
        <v>33.333333333333329</v>
      </c>
      <c r="J17" s="930"/>
      <c r="K17" s="929">
        <v>1</v>
      </c>
      <c r="L17" s="548">
        <f t="shared" si="4"/>
        <v>33.333333333333329</v>
      </c>
      <c r="M17" s="930"/>
      <c r="N17" s="929">
        <v>0</v>
      </c>
      <c r="O17" s="548">
        <f t="shared" si="0"/>
        <v>0</v>
      </c>
      <c r="P17" s="78"/>
    </row>
    <row r="18" spans="1:16" ht="14.25" customHeight="1">
      <c r="A18" s="405" t="s">
        <v>722</v>
      </c>
      <c r="B18" s="563">
        <f t="shared" si="5"/>
        <v>12</v>
      </c>
      <c r="C18" s="576">
        <f t="shared" si="1"/>
        <v>7.3170731707317067</v>
      </c>
      <c r="D18" s="548"/>
      <c r="E18" s="929">
        <v>3</v>
      </c>
      <c r="F18" s="548">
        <f t="shared" si="2"/>
        <v>25</v>
      </c>
      <c r="G18" s="930"/>
      <c r="H18" s="929">
        <v>9</v>
      </c>
      <c r="I18" s="548">
        <f t="shared" si="3"/>
        <v>75</v>
      </c>
      <c r="J18" s="930"/>
      <c r="K18" s="929">
        <v>0</v>
      </c>
      <c r="L18" s="548">
        <f t="shared" si="4"/>
        <v>0</v>
      </c>
      <c r="M18" s="930"/>
      <c r="N18" s="929">
        <v>0</v>
      </c>
      <c r="O18" s="548">
        <f t="shared" si="0"/>
        <v>0</v>
      </c>
      <c r="P18" s="78"/>
    </row>
    <row r="19" spans="1:16" ht="14.25" customHeight="1">
      <c r="A19" s="405" t="s">
        <v>1537</v>
      </c>
      <c r="B19" s="563">
        <f t="shared" si="5"/>
        <v>6</v>
      </c>
      <c r="C19" s="576">
        <f t="shared" si="1"/>
        <v>3.6585365853658534</v>
      </c>
      <c r="D19" s="548"/>
      <c r="E19" s="929">
        <v>2</v>
      </c>
      <c r="F19" s="548">
        <f t="shared" si="2"/>
        <v>33.333333333333329</v>
      </c>
      <c r="G19" s="930"/>
      <c r="H19" s="929">
        <v>3</v>
      </c>
      <c r="I19" s="548">
        <f t="shared" si="3"/>
        <v>50</v>
      </c>
      <c r="J19" s="930"/>
      <c r="K19" s="929">
        <v>1</v>
      </c>
      <c r="L19" s="548">
        <f t="shared" si="4"/>
        <v>16.666666666666664</v>
      </c>
      <c r="M19" s="930"/>
      <c r="N19" s="929">
        <v>0</v>
      </c>
      <c r="O19" s="548">
        <f t="shared" si="0"/>
        <v>0</v>
      </c>
      <c r="P19" s="78"/>
    </row>
    <row r="20" spans="1:16" ht="14.25" customHeight="1">
      <c r="A20" s="405" t="s">
        <v>726</v>
      </c>
      <c r="B20" s="563">
        <f t="shared" si="5"/>
        <v>1</v>
      </c>
      <c r="C20" s="576">
        <f t="shared" si="1"/>
        <v>0.6097560975609756</v>
      </c>
      <c r="D20" s="548"/>
      <c r="E20" s="929">
        <v>0</v>
      </c>
      <c r="F20" s="548">
        <f t="shared" si="2"/>
        <v>0</v>
      </c>
      <c r="G20" s="930"/>
      <c r="H20" s="929">
        <v>1</v>
      </c>
      <c r="I20" s="548">
        <f t="shared" si="3"/>
        <v>100</v>
      </c>
      <c r="J20" s="930"/>
      <c r="K20" s="929">
        <v>0</v>
      </c>
      <c r="L20" s="548">
        <f t="shared" si="4"/>
        <v>0</v>
      </c>
      <c r="M20" s="930"/>
      <c r="N20" s="929">
        <v>0</v>
      </c>
      <c r="O20" s="548">
        <f t="shared" si="0"/>
        <v>0</v>
      </c>
      <c r="P20" s="78"/>
    </row>
    <row r="21" spans="1:16" ht="14.25" customHeight="1">
      <c r="A21" s="932" t="s">
        <v>2139</v>
      </c>
      <c r="B21" s="563">
        <f t="shared" si="5"/>
        <v>1</v>
      </c>
      <c r="C21" s="576">
        <f t="shared" si="1"/>
        <v>0.6097560975609756</v>
      </c>
      <c r="D21" s="548"/>
      <c r="E21" s="929">
        <v>0</v>
      </c>
      <c r="F21" s="548">
        <f t="shared" si="2"/>
        <v>0</v>
      </c>
      <c r="G21" s="930"/>
      <c r="H21" s="929">
        <v>1</v>
      </c>
      <c r="I21" s="548">
        <f t="shared" si="3"/>
        <v>100</v>
      </c>
      <c r="J21" s="930"/>
      <c r="K21" s="929">
        <v>0</v>
      </c>
      <c r="L21" s="548">
        <f t="shared" si="4"/>
        <v>0</v>
      </c>
      <c r="M21" s="930"/>
      <c r="N21" s="929">
        <v>0</v>
      </c>
      <c r="O21" s="548">
        <f t="shared" si="0"/>
        <v>0</v>
      </c>
      <c r="P21" s="78"/>
    </row>
    <row r="22" spans="1:16" ht="14.25" customHeight="1">
      <c r="A22" s="405" t="s">
        <v>727</v>
      </c>
      <c r="B22" s="563">
        <f t="shared" si="5"/>
        <v>2</v>
      </c>
      <c r="C22" s="576">
        <f t="shared" si="1"/>
        <v>1.2195121951219512</v>
      </c>
      <c r="D22" s="548"/>
      <c r="E22" s="929">
        <v>0</v>
      </c>
      <c r="F22" s="548">
        <f t="shared" si="2"/>
        <v>0</v>
      </c>
      <c r="G22" s="930"/>
      <c r="H22" s="929">
        <v>2</v>
      </c>
      <c r="I22" s="548">
        <f t="shared" si="3"/>
        <v>100</v>
      </c>
      <c r="J22" s="930"/>
      <c r="K22" s="929">
        <v>0</v>
      </c>
      <c r="L22" s="548">
        <f t="shared" si="4"/>
        <v>0</v>
      </c>
      <c r="M22" s="930"/>
      <c r="N22" s="929">
        <v>0</v>
      </c>
      <c r="O22" s="548">
        <f t="shared" si="0"/>
        <v>0</v>
      </c>
      <c r="P22" s="78"/>
    </row>
    <row r="23" spans="1:16" ht="14.25" customHeight="1">
      <c r="A23" s="405" t="s">
        <v>1538</v>
      </c>
      <c r="B23" s="563">
        <f t="shared" si="5"/>
        <v>9</v>
      </c>
      <c r="C23" s="576">
        <f t="shared" si="1"/>
        <v>5.4878048780487809</v>
      </c>
      <c r="D23" s="548"/>
      <c r="E23" s="929">
        <v>4</v>
      </c>
      <c r="F23" s="548">
        <f t="shared" si="2"/>
        <v>44.444444444444443</v>
      </c>
      <c r="G23" s="930"/>
      <c r="H23" s="929">
        <v>4</v>
      </c>
      <c r="I23" s="548">
        <f t="shared" si="3"/>
        <v>44.444444444444443</v>
      </c>
      <c r="J23" s="930"/>
      <c r="K23" s="929">
        <v>1</v>
      </c>
      <c r="L23" s="548">
        <f t="shared" si="4"/>
        <v>11.111111111111111</v>
      </c>
      <c r="M23" s="930"/>
      <c r="N23" s="929">
        <v>0</v>
      </c>
      <c r="O23" s="548">
        <f t="shared" si="0"/>
        <v>0</v>
      </c>
      <c r="P23" s="78"/>
    </row>
    <row r="24" spans="1:16" ht="14.25" customHeight="1">
      <c r="A24" s="405" t="s">
        <v>730</v>
      </c>
      <c r="B24" s="563">
        <f t="shared" si="5"/>
        <v>3</v>
      </c>
      <c r="C24" s="576">
        <f t="shared" si="1"/>
        <v>1.8292682926829267</v>
      </c>
      <c r="D24" s="548"/>
      <c r="E24" s="933">
        <v>3</v>
      </c>
      <c r="F24" s="548">
        <f t="shared" si="2"/>
        <v>100</v>
      </c>
      <c r="G24" s="934"/>
      <c r="H24" s="933">
        <v>0</v>
      </c>
      <c r="I24" s="548">
        <f t="shared" si="3"/>
        <v>0</v>
      </c>
      <c r="J24" s="934"/>
      <c r="K24" s="933">
        <v>0</v>
      </c>
      <c r="L24" s="548">
        <f t="shared" si="4"/>
        <v>0</v>
      </c>
      <c r="M24" s="934"/>
      <c r="N24" s="933">
        <v>0</v>
      </c>
      <c r="O24" s="548">
        <f t="shared" si="0"/>
        <v>0</v>
      </c>
      <c r="P24" s="78"/>
    </row>
    <row r="25" spans="1:16" ht="14.25" customHeight="1">
      <c r="A25" s="405" t="s">
        <v>731</v>
      </c>
      <c r="B25" s="563">
        <f t="shared" si="5"/>
        <v>4</v>
      </c>
      <c r="C25" s="576">
        <f t="shared" si="1"/>
        <v>2.4390243902439024</v>
      </c>
      <c r="D25" s="548"/>
      <c r="E25" s="929">
        <v>3</v>
      </c>
      <c r="F25" s="548">
        <f t="shared" si="2"/>
        <v>75</v>
      </c>
      <c r="G25" s="930"/>
      <c r="H25" s="929">
        <v>1</v>
      </c>
      <c r="I25" s="548">
        <f t="shared" si="3"/>
        <v>25</v>
      </c>
      <c r="J25" s="930"/>
      <c r="K25" s="929">
        <v>0</v>
      </c>
      <c r="L25" s="548">
        <f t="shared" si="4"/>
        <v>0</v>
      </c>
      <c r="M25" s="930"/>
      <c r="N25" s="929">
        <v>0</v>
      </c>
      <c r="O25" s="548">
        <f t="shared" si="0"/>
        <v>0</v>
      </c>
      <c r="P25" s="78"/>
    </row>
    <row r="26" spans="1:16" ht="14.25" customHeight="1">
      <c r="A26" s="405" t="s">
        <v>732</v>
      </c>
      <c r="B26" s="563">
        <f t="shared" si="5"/>
        <v>3</v>
      </c>
      <c r="C26" s="576">
        <f t="shared" si="1"/>
        <v>1.8292682926829267</v>
      </c>
      <c r="D26" s="548"/>
      <c r="E26" s="929">
        <v>1</v>
      </c>
      <c r="F26" s="548">
        <f t="shared" si="2"/>
        <v>33.333333333333329</v>
      </c>
      <c r="G26" s="930"/>
      <c r="H26" s="929">
        <v>1</v>
      </c>
      <c r="I26" s="548">
        <f t="shared" si="3"/>
        <v>33.333333333333329</v>
      </c>
      <c r="J26" s="930"/>
      <c r="K26" s="929">
        <v>1</v>
      </c>
      <c r="L26" s="548">
        <f t="shared" si="4"/>
        <v>33.333333333333329</v>
      </c>
      <c r="M26" s="930"/>
      <c r="N26" s="929">
        <v>0</v>
      </c>
      <c r="O26" s="548">
        <f t="shared" si="0"/>
        <v>0</v>
      </c>
      <c r="P26" s="78"/>
    </row>
    <row r="27" spans="1:16" ht="14.25" customHeight="1">
      <c r="A27" s="925" t="s">
        <v>2140</v>
      </c>
      <c r="B27" s="563">
        <f t="shared" si="5"/>
        <v>1</v>
      </c>
      <c r="C27" s="576">
        <f t="shared" si="1"/>
        <v>0.6097560975609756</v>
      </c>
      <c r="D27" s="548"/>
      <c r="E27" s="929">
        <v>1</v>
      </c>
      <c r="F27" s="548">
        <f t="shared" si="2"/>
        <v>100</v>
      </c>
      <c r="G27" s="930"/>
      <c r="H27" s="929">
        <v>0</v>
      </c>
      <c r="I27" s="548">
        <f t="shared" si="3"/>
        <v>0</v>
      </c>
      <c r="J27" s="930"/>
      <c r="K27" s="929">
        <v>0</v>
      </c>
      <c r="L27" s="548">
        <f t="shared" si="4"/>
        <v>0</v>
      </c>
      <c r="M27" s="930"/>
      <c r="N27" s="929">
        <v>0</v>
      </c>
      <c r="O27" s="548">
        <f t="shared" si="0"/>
        <v>0</v>
      </c>
      <c r="P27" s="78"/>
    </row>
    <row r="28" spans="1:16" ht="14.25" customHeight="1">
      <c r="A28" s="925" t="s">
        <v>2141</v>
      </c>
      <c r="B28" s="563">
        <f t="shared" si="5"/>
        <v>2</v>
      </c>
      <c r="C28" s="576">
        <f t="shared" si="1"/>
        <v>1.2195121951219512</v>
      </c>
      <c r="D28" s="548"/>
      <c r="E28" s="929">
        <v>0</v>
      </c>
      <c r="F28" s="548">
        <f t="shared" si="2"/>
        <v>0</v>
      </c>
      <c r="G28" s="930"/>
      <c r="H28" s="929">
        <v>2</v>
      </c>
      <c r="I28" s="548">
        <f t="shared" si="3"/>
        <v>100</v>
      </c>
      <c r="J28" s="930"/>
      <c r="K28" s="929">
        <v>0</v>
      </c>
      <c r="L28" s="548">
        <f t="shared" si="4"/>
        <v>0</v>
      </c>
      <c r="M28" s="930"/>
      <c r="N28" s="929">
        <v>0</v>
      </c>
      <c r="O28" s="548">
        <f t="shared" si="0"/>
        <v>0</v>
      </c>
      <c r="P28" s="78"/>
    </row>
    <row r="29" spans="1:16" ht="14.25" customHeight="1">
      <c r="A29" s="405" t="s">
        <v>1539</v>
      </c>
      <c r="B29" s="563">
        <f t="shared" si="5"/>
        <v>4</v>
      </c>
      <c r="C29" s="576">
        <f t="shared" si="1"/>
        <v>2.4390243902439024</v>
      </c>
      <c r="D29" s="548"/>
      <c r="E29" s="929">
        <v>0</v>
      </c>
      <c r="F29" s="548">
        <f t="shared" si="2"/>
        <v>0</v>
      </c>
      <c r="G29" s="930"/>
      <c r="H29" s="929">
        <v>3</v>
      </c>
      <c r="I29" s="548">
        <f t="shared" si="3"/>
        <v>75</v>
      </c>
      <c r="J29" s="930"/>
      <c r="K29" s="929">
        <v>1</v>
      </c>
      <c r="L29" s="548">
        <f t="shared" si="4"/>
        <v>25</v>
      </c>
      <c r="M29" s="930"/>
      <c r="N29" s="929">
        <v>0</v>
      </c>
      <c r="O29" s="548">
        <f t="shared" si="0"/>
        <v>0</v>
      </c>
      <c r="P29" s="78"/>
    </row>
    <row r="30" spans="1:16" ht="14.25" customHeight="1">
      <c r="A30" s="405" t="s">
        <v>736</v>
      </c>
      <c r="B30" s="563">
        <f>IF(A30&lt;&gt;0,E30+H30+K30+N30,"")</f>
        <v>2</v>
      </c>
      <c r="C30" s="576">
        <f>IF(A30&lt;&gt;0,B30/$B$11*100,"")</f>
        <v>1.2195121951219512</v>
      </c>
      <c r="D30" s="548"/>
      <c r="E30" s="929">
        <v>0</v>
      </c>
      <c r="F30" s="548">
        <f t="shared" si="2"/>
        <v>0</v>
      </c>
      <c r="G30" s="930"/>
      <c r="H30" s="929">
        <v>1</v>
      </c>
      <c r="I30" s="548">
        <f t="shared" si="3"/>
        <v>50</v>
      </c>
      <c r="J30" s="930"/>
      <c r="K30" s="929">
        <v>0</v>
      </c>
      <c r="L30" s="548">
        <f t="shared" si="4"/>
        <v>0</v>
      </c>
      <c r="M30" s="930"/>
      <c r="N30" s="929">
        <v>1</v>
      </c>
      <c r="O30" s="548">
        <f t="shared" si="0"/>
        <v>50</v>
      </c>
      <c r="P30" s="78"/>
    </row>
    <row r="31" spans="1:16" ht="14.25" customHeight="1">
      <c r="A31" s="405" t="s">
        <v>1540</v>
      </c>
      <c r="B31" s="563">
        <f>IF(A31&lt;&gt;0,E31+H31+K31+N31,"")</f>
        <v>7</v>
      </c>
      <c r="C31" s="576">
        <f>IF(A31&lt;&gt;0,B31/$B$11*100,"")</f>
        <v>4.2682926829268295</v>
      </c>
      <c r="D31" s="548"/>
      <c r="E31" s="929">
        <v>2</v>
      </c>
      <c r="F31" s="548">
        <f t="shared" si="2"/>
        <v>28.571428571428569</v>
      </c>
      <c r="G31" s="930"/>
      <c r="H31" s="929">
        <v>4</v>
      </c>
      <c r="I31" s="548">
        <f t="shared" si="3"/>
        <v>57.142857142857139</v>
      </c>
      <c r="J31" s="930"/>
      <c r="K31" s="929">
        <v>1</v>
      </c>
      <c r="L31" s="548">
        <f t="shared" si="4"/>
        <v>14.285714285714285</v>
      </c>
      <c r="M31" s="930"/>
      <c r="N31" s="929">
        <v>0</v>
      </c>
      <c r="O31" s="548">
        <f t="shared" si="0"/>
        <v>0</v>
      </c>
      <c r="P31" s="78"/>
    </row>
    <row r="32" spans="1:16" ht="14.25" customHeight="1">
      <c r="A32" s="405" t="s">
        <v>739</v>
      </c>
      <c r="B32" s="563">
        <f t="shared" si="5"/>
        <v>2</v>
      </c>
      <c r="C32" s="576">
        <f t="shared" si="1"/>
        <v>1.2195121951219512</v>
      </c>
      <c r="D32" s="548"/>
      <c r="E32" s="929">
        <v>0</v>
      </c>
      <c r="F32" s="548">
        <f t="shared" si="2"/>
        <v>0</v>
      </c>
      <c r="G32" s="930"/>
      <c r="H32" s="929">
        <v>0</v>
      </c>
      <c r="I32" s="548">
        <f t="shared" si="3"/>
        <v>0</v>
      </c>
      <c r="J32" s="930"/>
      <c r="K32" s="929">
        <v>1</v>
      </c>
      <c r="L32" s="548">
        <f t="shared" si="4"/>
        <v>50</v>
      </c>
      <c r="M32" s="930"/>
      <c r="N32" s="929">
        <v>1</v>
      </c>
      <c r="O32" s="548">
        <f t="shared" si="0"/>
        <v>50</v>
      </c>
      <c r="P32" s="78"/>
    </row>
    <row r="33" spans="1:16" ht="14.25" customHeight="1">
      <c r="A33" s="405" t="s">
        <v>740</v>
      </c>
      <c r="B33" s="563">
        <f t="shared" si="5"/>
        <v>6</v>
      </c>
      <c r="C33" s="576">
        <f t="shared" si="1"/>
        <v>3.6585365853658534</v>
      </c>
      <c r="D33" s="548"/>
      <c r="E33" s="929">
        <v>5</v>
      </c>
      <c r="F33" s="548">
        <f t="shared" si="2"/>
        <v>83.333333333333343</v>
      </c>
      <c r="G33" s="930"/>
      <c r="H33" s="929">
        <v>1</v>
      </c>
      <c r="I33" s="548">
        <f t="shared" si="3"/>
        <v>16.666666666666664</v>
      </c>
      <c r="J33" s="930"/>
      <c r="K33" s="929">
        <v>0</v>
      </c>
      <c r="L33" s="548">
        <f t="shared" si="4"/>
        <v>0</v>
      </c>
      <c r="M33" s="930"/>
      <c r="N33" s="929">
        <v>0</v>
      </c>
      <c r="O33" s="548">
        <f t="shared" si="0"/>
        <v>0</v>
      </c>
      <c r="P33" s="78"/>
    </row>
    <row r="34" spans="1:16" ht="14.25" customHeight="1">
      <c r="A34" s="932" t="s">
        <v>2142</v>
      </c>
      <c r="B34" s="563">
        <f t="shared" si="5"/>
        <v>7</v>
      </c>
      <c r="C34" s="576">
        <f t="shared" si="1"/>
        <v>4.2682926829268295</v>
      </c>
      <c r="D34" s="548"/>
      <c r="E34" s="929">
        <v>2</v>
      </c>
      <c r="F34" s="548">
        <f t="shared" si="2"/>
        <v>28.571428571428569</v>
      </c>
      <c r="G34" s="930"/>
      <c r="H34" s="929">
        <v>4</v>
      </c>
      <c r="I34" s="548">
        <f t="shared" si="3"/>
        <v>57.142857142857139</v>
      </c>
      <c r="J34" s="930"/>
      <c r="K34" s="929">
        <v>1</v>
      </c>
      <c r="L34" s="548">
        <f t="shared" si="4"/>
        <v>14.285714285714285</v>
      </c>
      <c r="M34" s="930"/>
      <c r="N34" s="929">
        <v>0</v>
      </c>
      <c r="O34" s="548">
        <f t="shared" si="0"/>
        <v>0</v>
      </c>
      <c r="P34" s="78"/>
    </row>
    <row r="35" spans="1:16" ht="14.25" customHeight="1">
      <c r="A35" s="925" t="s">
        <v>2143</v>
      </c>
      <c r="B35" s="563">
        <f t="shared" si="5"/>
        <v>2</v>
      </c>
      <c r="C35" s="576">
        <f t="shared" si="1"/>
        <v>1.2195121951219512</v>
      </c>
      <c r="D35" s="548"/>
      <c r="E35" s="929">
        <v>0</v>
      </c>
      <c r="F35" s="548">
        <f t="shared" si="2"/>
        <v>0</v>
      </c>
      <c r="G35" s="930"/>
      <c r="H35" s="929">
        <v>1</v>
      </c>
      <c r="I35" s="548">
        <f t="shared" si="3"/>
        <v>50</v>
      </c>
      <c r="J35" s="930"/>
      <c r="K35" s="929">
        <v>1</v>
      </c>
      <c r="L35" s="548">
        <f t="shared" si="4"/>
        <v>50</v>
      </c>
      <c r="M35" s="930"/>
      <c r="N35" s="929">
        <v>0</v>
      </c>
      <c r="O35" s="548">
        <f t="shared" si="0"/>
        <v>0</v>
      </c>
      <c r="P35" s="78"/>
    </row>
    <row r="36" spans="1:16" ht="14.25" customHeight="1">
      <c r="A36" s="405" t="s">
        <v>746</v>
      </c>
      <c r="B36" s="563">
        <f>IF(A36&lt;&gt;0,E36+H36+K36+N36,"")</f>
        <v>11</v>
      </c>
      <c r="C36" s="576">
        <f>IF(A36&lt;&gt;0,B36/$B$11*100,"")</f>
        <v>6.7073170731707323</v>
      </c>
      <c r="D36" s="548"/>
      <c r="E36" s="929">
        <v>2</v>
      </c>
      <c r="F36" s="548">
        <f t="shared" si="2"/>
        <v>18.181818181818183</v>
      </c>
      <c r="G36" s="930"/>
      <c r="H36" s="929">
        <v>6</v>
      </c>
      <c r="I36" s="548">
        <f t="shared" si="3"/>
        <v>54.54545454545454</v>
      </c>
      <c r="J36" s="930"/>
      <c r="K36" s="929">
        <v>1</v>
      </c>
      <c r="L36" s="548">
        <f t="shared" si="4"/>
        <v>9.0909090909090917</v>
      </c>
      <c r="M36" s="930"/>
      <c r="N36" s="929">
        <v>2</v>
      </c>
      <c r="O36" s="548">
        <f t="shared" si="0"/>
        <v>18.181818181818183</v>
      </c>
      <c r="P36" s="78"/>
    </row>
    <row r="37" spans="1:16" ht="14.25" customHeight="1">
      <c r="A37" s="405" t="s">
        <v>747</v>
      </c>
      <c r="B37" s="563">
        <f t="shared" si="5"/>
        <v>2</v>
      </c>
      <c r="C37" s="576">
        <f t="shared" si="1"/>
        <v>1.2195121951219512</v>
      </c>
      <c r="D37" s="548"/>
      <c r="E37" s="929">
        <v>1</v>
      </c>
      <c r="F37" s="548">
        <f t="shared" si="2"/>
        <v>50</v>
      </c>
      <c r="G37" s="930"/>
      <c r="H37" s="929">
        <v>0</v>
      </c>
      <c r="I37" s="548">
        <f t="shared" si="3"/>
        <v>0</v>
      </c>
      <c r="J37" s="930"/>
      <c r="K37" s="929">
        <v>1</v>
      </c>
      <c r="L37" s="548">
        <f t="shared" si="4"/>
        <v>50</v>
      </c>
      <c r="M37" s="930"/>
      <c r="N37" s="929">
        <v>0</v>
      </c>
      <c r="O37" s="548">
        <f t="shared" si="0"/>
        <v>0</v>
      </c>
      <c r="P37" s="78"/>
    </row>
    <row r="38" spans="1:16" ht="14.25" customHeight="1">
      <c r="A38" s="405" t="s">
        <v>748</v>
      </c>
      <c r="B38" s="563">
        <f t="shared" si="5"/>
        <v>4</v>
      </c>
      <c r="C38" s="576">
        <f t="shared" si="1"/>
        <v>2.4390243902439024</v>
      </c>
      <c r="D38" s="548"/>
      <c r="E38" s="929">
        <v>1</v>
      </c>
      <c r="F38" s="548">
        <f t="shared" si="2"/>
        <v>25</v>
      </c>
      <c r="G38" s="930"/>
      <c r="H38" s="929">
        <v>2</v>
      </c>
      <c r="I38" s="548">
        <f t="shared" si="3"/>
        <v>50</v>
      </c>
      <c r="J38" s="930"/>
      <c r="K38" s="929">
        <v>1</v>
      </c>
      <c r="L38" s="548">
        <f t="shared" si="4"/>
        <v>25</v>
      </c>
      <c r="M38" s="930"/>
      <c r="N38" s="929">
        <v>0</v>
      </c>
      <c r="O38" s="548">
        <f t="shared" si="0"/>
        <v>0</v>
      </c>
      <c r="P38" s="78"/>
    </row>
    <row r="39" spans="1:16" ht="14.25" customHeight="1">
      <c r="A39" s="405" t="s">
        <v>749</v>
      </c>
      <c r="B39" s="563">
        <f t="shared" si="5"/>
        <v>1</v>
      </c>
      <c r="C39" s="576">
        <f t="shared" si="1"/>
        <v>0.6097560975609756</v>
      </c>
      <c r="D39" s="548"/>
      <c r="E39" s="929">
        <v>0</v>
      </c>
      <c r="F39" s="548">
        <f t="shared" si="2"/>
        <v>0</v>
      </c>
      <c r="G39" s="930"/>
      <c r="H39" s="929">
        <v>1</v>
      </c>
      <c r="I39" s="548">
        <f t="shared" si="3"/>
        <v>100</v>
      </c>
      <c r="J39" s="930"/>
      <c r="K39" s="929">
        <v>0</v>
      </c>
      <c r="L39" s="548">
        <f t="shared" si="4"/>
        <v>0</v>
      </c>
      <c r="M39" s="930"/>
      <c r="N39" s="929">
        <v>0</v>
      </c>
      <c r="O39" s="548">
        <f t="shared" si="0"/>
        <v>0</v>
      </c>
      <c r="P39" s="78"/>
    </row>
    <row r="40" spans="1:16" ht="14.25" customHeight="1">
      <c r="A40" s="932" t="s">
        <v>751</v>
      </c>
      <c r="B40" s="563">
        <f t="shared" si="5"/>
        <v>3</v>
      </c>
      <c r="C40" s="576">
        <f t="shared" si="1"/>
        <v>1.8292682926829267</v>
      </c>
      <c r="D40" s="548"/>
      <c r="E40" s="929">
        <v>3</v>
      </c>
      <c r="F40" s="548">
        <f t="shared" si="2"/>
        <v>100</v>
      </c>
      <c r="G40" s="930"/>
      <c r="H40" s="929">
        <v>0</v>
      </c>
      <c r="I40" s="548">
        <f t="shared" si="3"/>
        <v>0</v>
      </c>
      <c r="J40" s="930"/>
      <c r="K40" s="929">
        <v>0</v>
      </c>
      <c r="L40" s="548">
        <f t="shared" si="4"/>
        <v>0</v>
      </c>
      <c r="M40" s="930"/>
      <c r="N40" s="929">
        <v>0</v>
      </c>
      <c r="O40" s="548">
        <f t="shared" si="0"/>
        <v>0</v>
      </c>
      <c r="P40" s="78"/>
    </row>
    <row r="41" spans="1:16" ht="14.25" customHeight="1">
      <c r="A41" s="405" t="s">
        <v>752</v>
      </c>
      <c r="B41" s="563">
        <f t="shared" si="5"/>
        <v>1</v>
      </c>
      <c r="C41" s="576">
        <f t="shared" si="1"/>
        <v>0.6097560975609756</v>
      </c>
      <c r="D41" s="548"/>
      <c r="E41" s="929">
        <v>0</v>
      </c>
      <c r="F41" s="548">
        <f t="shared" si="2"/>
        <v>0</v>
      </c>
      <c r="G41" s="930"/>
      <c r="H41" s="929">
        <v>1</v>
      </c>
      <c r="I41" s="548">
        <f t="shared" si="3"/>
        <v>100</v>
      </c>
      <c r="J41" s="930"/>
      <c r="K41" s="929">
        <v>0</v>
      </c>
      <c r="L41" s="548">
        <f t="shared" si="4"/>
        <v>0</v>
      </c>
      <c r="M41" s="930"/>
      <c r="N41" s="929">
        <v>0</v>
      </c>
      <c r="O41" s="548">
        <f t="shared" si="0"/>
        <v>0</v>
      </c>
      <c r="P41" s="78"/>
    </row>
    <row r="42" spans="1:16" ht="14.25" customHeight="1">
      <c r="A42" s="405" t="s">
        <v>755</v>
      </c>
      <c r="B42" s="563">
        <f t="shared" si="5"/>
        <v>8</v>
      </c>
      <c r="C42" s="576">
        <f t="shared" si="1"/>
        <v>4.8780487804878048</v>
      </c>
      <c r="D42" s="548"/>
      <c r="E42" s="929">
        <v>2</v>
      </c>
      <c r="F42" s="548">
        <f t="shared" si="2"/>
        <v>25</v>
      </c>
      <c r="G42" s="930"/>
      <c r="H42" s="929">
        <v>4</v>
      </c>
      <c r="I42" s="548">
        <f t="shared" si="3"/>
        <v>50</v>
      </c>
      <c r="J42" s="930"/>
      <c r="K42" s="929">
        <v>1</v>
      </c>
      <c r="L42" s="548">
        <f t="shared" si="4"/>
        <v>12.5</v>
      </c>
      <c r="M42" s="930"/>
      <c r="N42" s="929">
        <v>1</v>
      </c>
      <c r="O42" s="548">
        <f t="shared" si="0"/>
        <v>12.5</v>
      </c>
      <c r="P42" s="78"/>
    </row>
    <row r="43" spans="1:16" ht="14.25" customHeight="1">
      <c r="A43" s="405" t="s">
        <v>757</v>
      </c>
      <c r="B43" s="563">
        <f t="shared" si="5"/>
        <v>3</v>
      </c>
      <c r="C43" s="576">
        <f t="shared" si="1"/>
        <v>1.8292682926829267</v>
      </c>
      <c r="D43" s="548"/>
      <c r="E43" s="929">
        <v>3</v>
      </c>
      <c r="F43" s="548">
        <f t="shared" si="2"/>
        <v>100</v>
      </c>
      <c r="G43" s="930"/>
      <c r="H43" s="929">
        <v>0</v>
      </c>
      <c r="I43" s="548">
        <f t="shared" si="3"/>
        <v>0</v>
      </c>
      <c r="J43" s="930"/>
      <c r="K43" s="929">
        <v>0</v>
      </c>
      <c r="L43" s="548">
        <f t="shared" si="4"/>
        <v>0</v>
      </c>
      <c r="M43" s="930"/>
      <c r="N43" s="929">
        <v>0</v>
      </c>
      <c r="O43" s="548">
        <f t="shared" si="0"/>
        <v>0</v>
      </c>
      <c r="P43" s="78"/>
    </row>
    <row r="44" spans="1:16" ht="14.25" customHeight="1">
      <c r="A44" s="932" t="s">
        <v>2144</v>
      </c>
      <c r="B44" s="563">
        <f t="shared" si="5"/>
        <v>1</v>
      </c>
      <c r="C44" s="576">
        <f t="shared" si="1"/>
        <v>0.6097560975609756</v>
      </c>
      <c r="D44" s="548"/>
      <c r="E44" s="929">
        <v>0</v>
      </c>
      <c r="F44" s="548">
        <f t="shared" si="2"/>
        <v>0</v>
      </c>
      <c r="G44" s="930"/>
      <c r="H44" s="929">
        <v>1</v>
      </c>
      <c r="I44" s="548">
        <f t="shared" si="3"/>
        <v>100</v>
      </c>
      <c r="J44" s="930"/>
      <c r="K44" s="929">
        <v>0</v>
      </c>
      <c r="L44" s="548">
        <f t="shared" si="4"/>
        <v>0</v>
      </c>
      <c r="M44" s="930"/>
      <c r="N44" s="929">
        <v>0</v>
      </c>
      <c r="O44" s="548">
        <f t="shared" si="0"/>
        <v>0</v>
      </c>
      <c r="P44" s="78"/>
    </row>
    <row r="45" spans="1:16" ht="14.25" customHeight="1">
      <c r="A45" s="405" t="s">
        <v>761</v>
      </c>
      <c r="B45" s="563">
        <f t="shared" si="5"/>
        <v>10</v>
      </c>
      <c r="C45" s="576">
        <f t="shared" si="1"/>
        <v>6.0975609756097562</v>
      </c>
      <c r="D45" s="548"/>
      <c r="E45" s="929">
        <v>6</v>
      </c>
      <c r="F45" s="548">
        <f t="shared" si="2"/>
        <v>60</v>
      </c>
      <c r="G45" s="930"/>
      <c r="H45" s="929">
        <v>3</v>
      </c>
      <c r="I45" s="548">
        <f t="shared" si="3"/>
        <v>30</v>
      </c>
      <c r="J45" s="930"/>
      <c r="K45" s="929">
        <v>1</v>
      </c>
      <c r="L45" s="548">
        <f t="shared" si="4"/>
        <v>10</v>
      </c>
      <c r="M45" s="930"/>
      <c r="N45" s="929">
        <v>0</v>
      </c>
      <c r="O45" s="548">
        <f t="shared" si="0"/>
        <v>0</v>
      </c>
      <c r="P45" s="78"/>
    </row>
    <row r="46" spans="1:16" ht="14.25" customHeight="1">
      <c r="A46" s="405" t="s">
        <v>762</v>
      </c>
      <c r="B46" s="563">
        <f t="shared" si="5"/>
        <v>14</v>
      </c>
      <c r="C46" s="576">
        <f t="shared" si="1"/>
        <v>8.536585365853659</v>
      </c>
      <c r="D46" s="548"/>
      <c r="E46" s="929">
        <v>5</v>
      </c>
      <c r="F46" s="548">
        <f t="shared" si="2"/>
        <v>35.714285714285715</v>
      </c>
      <c r="G46" s="930"/>
      <c r="H46" s="929">
        <v>8</v>
      </c>
      <c r="I46" s="548">
        <f t="shared" si="3"/>
        <v>57.142857142857139</v>
      </c>
      <c r="J46" s="930"/>
      <c r="K46" s="929">
        <v>0</v>
      </c>
      <c r="L46" s="548">
        <f t="shared" si="4"/>
        <v>0</v>
      </c>
      <c r="M46" s="930"/>
      <c r="N46" s="929">
        <v>1</v>
      </c>
      <c r="O46" s="548">
        <f t="shared" si="0"/>
        <v>7.1428571428571423</v>
      </c>
      <c r="P46" s="78"/>
    </row>
    <row r="47" spans="1:16" ht="14.25" customHeight="1">
      <c r="A47" s="405" t="s">
        <v>763</v>
      </c>
      <c r="B47" s="563">
        <f t="shared" si="5"/>
        <v>3</v>
      </c>
      <c r="C47" s="576">
        <f t="shared" si="1"/>
        <v>1.8292682926829267</v>
      </c>
      <c r="D47" s="548"/>
      <c r="E47" s="929">
        <v>2</v>
      </c>
      <c r="F47" s="548">
        <f t="shared" si="2"/>
        <v>66.666666666666657</v>
      </c>
      <c r="G47" s="930"/>
      <c r="H47" s="929">
        <v>1</v>
      </c>
      <c r="I47" s="548">
        <f t="shared" si="3"/>
        <v>33.333333333333329</v>
      </c>
      <c r="J47" s="930"/>
      <c r="K47" s="929">
        <v>0</v>
      </c>
      <c r="L47" s="548">
        <f t="shared" si="4"/>
        <v>0</v>
      </c>
      <c r="M47" s="930"/>
      <c r="N47" s="929">
        <v>0</v>
      </c>
      <c r="O47" s="548">
        <f t="shared" si="0"/>
        <v>0</v>
      </c>
      <c r="P47" s="78"/>
    </row>
    <row r="48" spans="1:16" ht="14.25" customHeight="1">
      <c r="A48" s="925" t="s">
        <v>768</v>
      </c>
      <c r="B48" s="563">
        <f t="shared" si="5"/>
        <v>3</v>
      </c>
      <c r="C48" s="576">
        <f t="shared" si="1"/>
        <v>1.8292682926829267</v>
      </c>
      <c r="D48" s="548"/>
      <c r="E48" s="929">
        <v>1</v>
      </c>
      <c r="F48" s="548">
        <f t="shared" si="2"/>
        <v>33.333333333333329</v>
      </c>
      <c r="G48" s="930"/>
      <c r="H48" s="929">
        <v>2</v>
      </c>
      <c r="I48" s="548">
        <f t="shared" si="3"/>
        <v>66.666666666666657</v>
      </c>
      <c r="J48" s="930"/>
      <c r="K48" s="929">
        <v>0</v>
      </c>
      <c r="L48" s="548">
        <f t="shared" si="4"/>
        <v>0</v>
      </c>
      <c r="M48" s="930"/>
      <c r="N48" s="929">
        <v>0</v>
      </c>
      <c r="O48" s="548">
        <f t="shared" si="0"/>
        <v>0</v>
      </c>
      <c r="P48" s="78"/>
    </row>
    <row r="49" spans="1:16" ht="14.25" customHeight="1">
      <c r="A49" s="405" t="s">
        <v>769</v>
      </c>
      <c r="B49" s="563">
        <f>IF(A49&lt;&gt;0,E49+H49+K49+N49,"")</f>
        <v>2</v>
      </c>
      <c r="C49" s="576">
        <f>IF(A49&lt;&gt;0,B49/$B$11*100,"")</f>
        <v>1.2195121951219512</v>
      </c>
      <c r="D49" s="548"/>
      <c r="E49" s="929">
        <v>1</v>
      </c>
      <c r="F49" s="548">
        <f t="shared" si="2"/>
        <v>50</v>
      </c>
      <c r="G49" s="930"/>
      <c r="H49" s="929">
        <v>1</v>
      </c>
      <c r="I49" s="548">
        <f t="shared" si="3"/>
        <v>50</v>
      </c>
      <c r="J49" s="930"/>
      <c r="K49" s="929">
        <v>0</v>
      </c>
      <c r="L49" s="548">
        <f t="shared" si="4"/>
        <v>0</v>
      </c>
      <c r="M49" s="930"/>
      <c r="N49" s="929">
        <v>0</v>
      </c>
      <c r="O49" s="548">
        <f t="shared" si="0"/>
        <v>0</v>
      </c>
      <c r="P49" s="78"/>
    </row>
    <row r="50" spans="1:16" ht="14.25" customHeight="1">
      <c r="A50" s="405" t="s">
        <v>771</v>
      </c>
      <c r="B50" s="563">
        <f t="shared" si="5"/>
        <v>3</v>
      </c>
      <c r="C50" s="576">
        <f t="shared" si="1"/>
        <v>1.8292682926829267</v>
      </c>
      <c r="D50" s="548"/>
      <c r="E50" s="929">
        <v>1</v>
      </c>
      <c r="F50" s="548">
        <f t="shared" si="2"/>
        <v>33.333333333333329</v>
      </c>
      <c r="G50" s="930"/>
      <c r="H50" s="929">
        <v>1</v>
      </c>
      <c r="I50" s="548">
        <f t="shared" si="3"/>
        <v>33.333333333333329</v>
      </c>
      <c r="J50" s="930"/>
      <c r="K50" s="929">
        <v>0</v>
      </c>
      <c r="L50" s="548">
        <f t="shared" si="4"/>
        <v>0</v>
      </c>
      <c r="M50" s="930"/>
      <c r="N50" s="929">
        <v>1</v>
      </c>
      <c r="O50" s="548">
        <f t="shared" si="0"/>
        <v>33.333333333333329</v>
      </c>
      <c r="P50" s="78"/>
    </row>
    <row r="51" spans="1:16" ht="5.25" customHeight="1" thickBot="1">
      <c r="A51" s="23"/>
      <c r="B51" s="935"/>
      <c r="C51" s="935"/>
      <c r="D51" s="936"/>
      <c r="E51" s="936"/>
      <c r="F51" s="936"/>
      <c r="G51" s="936"/>
      <c r="H51" s="936"/>
      <c r="I51" s="936"/>
      <c r="J51" s="936"/>
      <c r="K51" s="936"/>
      <c r="L51" s="936"/>
      <c r="M51" s="936"/>
      <c r="N51" s="936"/>
      <c r="O51" s="936"/>
      <c r="P51" s="78"/>
    </row>
    <row r="52" spans="1:16" ht="11.25" customHeight="1">
      <c r="B52" s="12"/>
      <c r="C52" s="12"/>
      <c r="D52"/>
      <c r="E52"/>
      <c r="F52"/>
      <c r="G52"/>
      <c r="H52"/>
      <c r="K52"/>
      <c r="O52" s="42"/>
      <c r="P52" s="40"/>
    </row>
    <row r="53" spans="1:16" ht="11.25" customHeight="1">
      <c r="A53" s="565" t="s">
        <v>2145</v>
      </c>
      <c r="D53" s="34"/>
      <c r="E53" s="12"/>
      <c r="F53" s="12"/>
      <c r="G53"/>
      <c r="H53"/>
      <c r="K53"/>
      <c r="O53" s="42"/>
      <c r="P53" s="42"/>
    </row>
    <row r="54" spans="1:16">
      <c r="A54" s="937" t="s">
        <v>1532</v>
      </c>
      <c r="G54"/>
      <c r="H54"/>
      <c r="K54"/>
      <c r="N54"/>
    </row>
    <row r="55" spans="1:16" ht="10.5" customHeight="1">
      <c r="A55" s="566"/>
      <c r="B55" s="52"/>
      <c r="C55" s="53"/>
      <c r="D55" s="42"/>
      <c r="F55" s="42"/>
      <c r="I55" s="42"/>
      <c r="L55" s="42"/>
      <c r="O55" s="42"/>
    </row>
    <row r="56" spans="1:16">
      <c r="A56" s="937" t="s">
        <v>1533</v>
      </c>
      <c r="B56" s="52"/>
      <c r="C56" s="53"/>
      <c r="D56" s="42"/>
      <c r="F56" s="42"/>
      <c r="I56" s="42"/>
      <c r="L56" s="42"/>
      <c r="O56" s="42"/>
    </row>
    <row r="57" spans="1:16">
      <c r="A57" s="937" t="s">
        <v>1534</v>
      </c>
      <c r="B57" s="52"/>
      <c r="C57" s="53"/>
      <c r="D57" s="42"/>
      <c r="F57" s="42"/>
      <c r="I57" s="42"/>
      <c r="L57" s="42"/>
      <c r="O57" s="42"/>
    </row>
  </sheetData>
  <mergeCells count="5">
    <mergeCell ref="B7:C7"/>
    <mergeCell ref="E7:F7"/>
    <mergeCell ref="H7:I7"/>
    <mergeCell ref="K7:L7"/>
    <mergeCell ref="N7:O7"/>
  </mergeCells>
  <conditionalFormatting sqref="A1:XFD1048576">
    <cfRule type="cellIs" dxfId="7" priority="1" operator="equal">
      <formula>0</formula>
    </cfRule>
  </conditionalFormatting>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5" tint="-0.249977111117893"/>
  </sheetPr>
  <dimension ref="B3:J9"/>
  <sheetViews>
    <sheetView workbookViewId="0">
      <selection activeCell="K18" sqref="K18"/>
    </sheetView>
  </sheetViews>
  <sheetFormatPr baseColWidth="10" defaultRowHeight="15"/>
  <cols>
    <col min="2" max="2" width="16" customWidth="1"/>
    <col min="258" max="258" width="16" customWidth="1"/>
    <col min="514" max="514" width="16" customWidth="1"/>
    <col min="770" max="770" width="16" customWidth="1"/>
    <col min="1026" max="1026" width="16" customWidth="1"/>
    <col min="1282" max="1282" width="16" customWidth="1"/>
    <col min="1538" max="1538" width="16" customWidth="1"/>
    <col min="1794" max="1794" width="16" customWidth="1"/>
    <col min="2050" max="2050" width="16" customWidth="1"/>
    <col min="2306" max="2306" width="16" customWidth="1"/>
    <col min="2562" max="2562" width="16" customWidth="1"/>
    <col min="2818" max="2818" width="16" customWidth="1"/>
    <col min="3074" max="3074" width="16" customWidth="1"/>
    <col min="3330" max="3330" width="16" customWidth="1"/>
    <col min="3586" max="3586" width="16" customWidth="1"/>
    <col min="3842" max="3842" width="16" customWidth="1"/>
    <col min="4098" max="4098" width="16" customWidth="1"/>
    <col min="4354" max="4354" width="16" customWidth="1"/>
    <col min="4610" max="4610" width="16" customWidth="1"/>
    <col min="4866" max="4866" width="16" customWidth="1"/>
    <col min="5122" max="5122" width="16" customWidth="1"/>
    <col min="5378" max="5378" width="16" customWidth="1"/>
    <col min="5634" max="5634" width="16" customWidth="1"/>
    <col min="5890" max="5890" width="16" customWidth="1"/>
    <col min="6146" max="6146" width="16" customWidth="1"/>
    <col min="6402" max="6402" width="16" customWidth="1"/>
    <col min="6658" max="6658" width="16" customWidth="1"/>
    <col min="6914" max="6914" width="16" customWidth="1"/>
    <col min="7170" max="7170" width="16" customWidth="1"/>
    <col min="7426" max="7426" width="16" customWidth="1"/>
    <col min="7682" max="7682" width="16" customWidth="1"/>
    <col min="7938" max="7938" width="16" customWidth="1"/>
    <col min="8194" max="8194" width="16" customWidth="1"/>
    <col min="8450" max="8450" width="16" customWidth="1"/>
    <col min="8706" max="8706" width="16" customWidth="1"/>
    <col min="8962" max="8962" width="16" customWidth="1"/>
    <col min="9218" max="9218" width="16" customWidth="1"/>
    <col min="9474" max="9474" width="16" customWidth="1"/>
    <col min="9730" max="9730" width="16" customWidth="1"/>
    <col min="9986" max="9986" width="16" customWidth="1"/>
    <col min="10242" max="10242" width="16" customWidth="1"/>
    <col min="10498" max="10498" width="16" customWidth="1"/>
    <col min="10754" max="10754" width="16" customWidth="1"/>
    <col min="11010" max="11010" width="16" customWidth="1"/>
    <col min="11266" max="11266" width="16" customWidth="1"/>
    <col min="11522" max="11522" width="16" customWidth="1"/>
    <col min="11778" max="11778" width="16" customWidth="1"/>
    <col min="12034" max="12034" width="16" customWidth="1"/>
    <col min="12290" max="12290" width="16" customWidth="1"/>
    <col min="12546" max="12546" width="16" customWidth="1"/>
    <col min="12802" max="12802" width="16" customWidth="1"/>
    <col min="13058" max="13058" width="16" customWidth="1"/>
    <col min="13314" max="13314" width="16" customWidth="1"/>
    <col min="13570" max="13570" width="16" customWidth="1"/>
    <col min="13826" max="13826" width="16" customWidth="1"/>
    <col min="14082" max="14082" width="16" customWidth="1"/>
    <col min="14338" max="14338" width="16" customWidth="1"/>
    <col min="14594" max="14594" width="16" customWidth="1"/>
    <col min="14850" max="14850" width="16" customWidth="1"/>
    <col min="15106" max="15106" width="16" customWidth="1"/>
    <col min="15362" max="15362" width="16" customWidth="1"/>
    <col min="15618" max="15618" width="16" customWidth="1"/>
    <col min="15874" max="15874" width="16" customWidth="1"/>
    <col min="16130" max="16130" width="16" customWidth="1"/>
  </cols>
  <sheetData>
    <row r="3" spans="2:10">
      <c r="F3" s="379"/>
      <c r="G3" s="379"/>
      <c r="H3" s="379"/>
      <c r="I3" s="379"/>
      <c r="J3" s="379"/>
    </row>
    <row r="4" spans="2:10">
      <c r="C4" s="35"/>
      <c r="D4" s="70"/>
      <c r="E4" s="379"/>
      <c r="F4" s="379"/>
      <c r="H4" s="35"/>
    </row>
    <row r="5" spans="2:10">
      <c r="C5" s="35"/>
      <c r="D5" s="70"/>
      <c r="F5" s="379"/>
      <c r="G5" s="564"/>
      <c r="H5" s="35"/>
    </row>
    <row r="6" spans="2:10">
      <c r="C6" s="35"/>
      <c r="D6" s="70"/>
      <c r="E6" s="35"/>
      <c r="F6" s="379"/>
      <c r="G6" s="564"/>
      <c r="H6" s="35"/>
    </row>
    <row r="7" spans="2:10">
      <c r="C7" s="35"/>
      <c r="D7" s="70"/>
      <c r="F7" s="379"/>
      <c r="G7" s="564"/>
      <c r="H7" s="35"/>
    </row>
    <row r="8" spans="2:10">
      <c r="C8" s="35"/>
      <c r="D8" s="70"/>
      <c r="F8" s="379"/>
      <c r="G8" s="564"/>
      <c r="H8" s="35"/>
    </row>
    <row r="9" spans="2:10">
      <c r="B9" s="28"/>
      <c r="C9" s="28"/>
      <c r="D9" s="28"/>
      <c r="E9" s="28"/>
      <c r="F9" s="28"/>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111"/>
  <sheetViews>
    <sheetView zoomScaleNormal="100" workbookViewId="0">
      <selection activeCell="K18" sqref="K18"/>
    </sheetView>
  </sheetViews>
  <sheetFormatPr baseColWidth="10" defaultColWidth="9.1640625" defaultRowHeight="13"/>
  <cols>
    <col min="1" max="1" width="35.6640625" style="95" customWidth="1"/>
    <col min="2" max="2" width="8.33203125" style="736" customWidth="1"/>
    <col min="3" max="3" width="8.33203125" style="168" customWidth="1"/>
    <col min="4" max="4" width="2.6640625" style="107" customWidth="1"/>
    <col min="5" max="5" width="8.6640625" style="737" customWidth="1"/>
    <col min="6" max="6" width="8.33203125" style="162" customWidth="1"/>
    <col min="7" max="7" width="2.6640625" style="107" customWidth="1"/>
    <col min="8" max="8" width="8.33203125" style="737" customWidth="1"/>
    <col min="9" max="9" width="8.1640625" style="162" customWidth="1"/>
    <col min="10" max="10" width="2.6640625" style="162" customWidth="1"/>
    <col min="11" max="11" width="8.6640625" style="737" customWidth="1"/>
    <col min="12" max="12" width="8.6640625" style="107" customWidth="1"/>
    <col min="13" max="13" width="2.6640625" style="107" customWidth="1"/>
    <col min="14" max="256" width="9.1640625" style="95"/>
    <col min="257" max="257" width="35.6640625" style="95" customWidth="1"/>
    <col min="258" max="259" width="8.33203125" style="95" customWidth="1"/>
    <col min="260" max="260" width="2.6640625" style="95" customWidth="1"/>
    <col min="261" max="261" width="8.6640625" style="95" customWidth="1"/>
    <col min="262" max="262" width="8.33203125" style="95" customWidth="1"/>
    <col min="263" max="263" width="2.6640625" style="95" customWidth="1"/>
    <col min="264" max="264" width="8.33203125" style="95" customWidth="1"/>
    <col min="265" max="265" width="8.1640625" style="95" customWidth="1"/>
    <col min="266" max="266" width="2.6640625" style="95" customWidth="1"/>
    <col min="267" max="268" width="8.6640625" style="95" customWidth="1"/>
    <col min="269" max="269" width="2.6640625" style="95" customWidth="1"/>
    <col min="270" max="512" width="9.1640625" style="95"/>
    <col min="513" max="513" width="35.6640625" style="95" customWidth="1"/>
    <col min="514" max="515" width="8.33203125" style="95" customWidth="1"/>
    <col min="516" max="516" width="2.6640625" style="95" customWidth="1"/>
    <col min="517" max="517" width="8.6640625" style="95" customWidth="1"/>
    <col min="518" max="518" width="8.33203125" style="95" customWidth="1"/>
    <col min="519" max="519" width="2.6640625" style="95" customWidth="1"/>
    <col min="520" max="520" width="8.33203125" style="95" customWidth="1"/>
    <col min="521" max="521" width="8.1640625" style="95" customWidth="1"/>
    <col min="522" max="522" width="2.6640625" style="95" customWidth="1"/>
    <col min="523" max="524" width="8.6640625" style="95" customWidth="1"/>
    <col min="525" max="525" width="2.6640625" style="95" customWidth="1"/>
    <col min="526" max="768" width="9.1640625" style="95"/>
    <col min="769" max="769" width="35.6640625" style="95" customWidth="1"/>
    <col min="770" max="771" width="8.33203125" style="95" customWidth="1"/>
    <col min="772" max="772" width="2.6640625" style="95" customWidth="1"/>
    <col min="773" max="773" width="8.6640625" style="95" customWidth="1"/>
    <col min="774" max="774" width="8.33203125" style="95" customWidth="1"/>
    <col min="775" max="775" width="2.6640625" style="95" customWidth="1"/>
    <col min="776" max="776" width="8.33203125" style="95" customWidth="1"/>
    <col min="777" max="777" width="8.1640625" style="95" customWidth="1"/>
    <col min="778" max="778" width="2.6640625" style="95" customWidth="1"/>
    <col min="779" max="780" width="8.6640625" style="95" customWidth="1"/>
    <col min="781" max="781" width="2.6640625" style="95" customWidth="1"/>
    <col min="782" max="1024" width="9.1640625" style="95"/>
    <col min="1025" max="1025" width="35.6640625" style="95" customWidth="1"/>
    <col min="1026" max="1027" width="8.33203125" style="95" customWidth="1"/>
    <col min="1028" max="1028" width="2.6640625" style="95" customWidth="1"/>
    <col min="1029" max="1029" width="8.6640625" style="95" customWidth="1"/>
    <col min="1030" max="1030" width="8.33203125" style="95" customWidth="1"/>
    <col min="1031" max="1031" width="2.6640625" style="95" customWidth="1"/>
    <col min="1032" max="1032" width="8.33203125" style="95" customWidth="1"/>
    <col min="1033" max="1033" width="8.1640625" style="95" customWidth="1"/>
    <col min="1034" max="1034" width="2.6640625" style="95" customWidth="1"/>
    <col min="1035" max="1036" width="8.6640625" style="95" customWidth="1"/>
    <col min="1037" max="1037" width="2.6640625" style="95" customWidth="1"/>
    <col min="1038" max="1280" width="9.1640625" style="95"/>
    <col min="1281" max="1281" width="35.6640625" style="95" customWidth="1"/>
    <col min="1282" max="1283" width="8.33203125" style="95" customWidth="1"/>
    <col min="1284" max="1284" width="2.6640625" style="95" customWidth="1"/>
    <col min="1285" max="1285" width="8.6640625" style="95" customWidth="1"/>
    <col min="1286" max="1286" width="8.33203125" style="95" customWidth="1"/>
    <col min="1287" max="1287" width="2.6640625" style="95" customWidth="1"/>
    <col min="1288" max="1288" width="8.33203125" style="95" customWidth="1"/>
    <col min="1289" max="1289" width="8.1640625" style="95" customWidth="1"/>
    <col min="1290" max="1290" width="2.6640625" style="95" customWidth="1"/>
    <col min="1291" max="1292" width="8.6640625" style="95" customWidth="1"/>
    <col min="1293" max="1293" width="2.6640625" style="95" customWidth="1"/>
    <col min="1294" max="1536" width="9.1640625" style="95"/>
    <col min="1537" max="1537" width="35.6640625" style="95" customWidth="1"/>
    <col min="1538" max="1539" width="8.33203125" style="95" customWidth="1"/>
    <col min="1540" max="1540" width="2.6640625" style="95" customWidth="1"/>
    <col min="1541" max="1541" width="8.6640625" style="95" customWidth="1"/>
    <col min="1542" max="1542" width="8.33203125" style="95" customWidth="1"/>
    <col min="1543" max="1543" width="2.6640625" style="95" customWidth="1"/>
    <col min="1544" max="1544" width="8.33203125" style="95" customWidth="1"/>
    <col min="1545" max="1545" width="8.1640625" style="95" customWidth="1"/>
    <col min="1546" max="1546" width="2.6640625" style="95" customWidth="1"/>
    <col min="1547" max="1548" width="8.6640625" style="95" customWidth="1"/>
    <col min="1549" max="1549" width="2.6640625" style="95" customWidth="1"/>
    <col min="1550" max="1792" width="9.1640625" style="95"/>
    <col min="1793" max="1793" width="35.6640625" style="95" customWidth="1"/>
    <col min="1794" max="1795" width="8.33203125" style="95" customWidth="1"/>
    <col min="1796" max="1796" width="2.6640625" style="95" customWidth="1"/>
    <col min="1797" max="1797" width="8.6640625" style="95" customWidth="1"/>
    <col min="1798" max="1798" width="8.33203125" style="95" customWidth="1"/>
    <col min="1799" max="1799" width="2.6640625" style="95" customWidth="1"/>
    <col min="1800" max="1800" width="8.33203125" style="95" customWidth="1"/>
    <col min="1801" max="1801" width="8.1640625" style="95" customWidth="1"/>
    <col min="1802" max="1802" width="2.6640625" style="95" customWidth="1"/>
    <col min="1803" max="1804" width="8.6640625" style="95" customWidth="1"/>
    <col min="1805" max="1805" width="2.6640625" style="95" customWidth="1"/>
    <col min="1806" max="2048" width="9.1640625" style="95"/>
    <col min="2049" max="2049" width="35.6640625" style="95" customWidth="1"/>
    <col min="2050" max="2051" width="8.33203125" style="95" customWidth="1"/>
    <col min="2052" max="2052" width="2.6640625" style="95" customWidth="1"/>
    <col min="2053" max="2053" width="8.6640625" style="95" customWidth="1"/>
    <col min="2054" max="2054" width="8.33203125" style="95" customWidth="1"/>
    <col min="2055" max="2055" width="2.6640625" style="95" customWidth="1"/>
    <col min="2056" max="2056" width="8.33203125" style="95" customWidth="1"/>
    <col min="2057" max="2057" width="8.1640625" style="95" customWidth="1"/>
    <col min="2058" max="2058" width="2.6640625" style="95" customWidth="1"/>
    <col min="2059" max="2060" width="8.6640625" style="95" customWidth="1"/>
    <col min="2061" max="2061" width="2.6640625" style="95" customWidth="1"/>
    <col min="2062" max="2304" width="9.1640625" style="95"/>
    <col min="2305" max="2305" width="35.6640625" style="95" customWidth="1"/>
    <col min="2306" max="2307" width="8.33203125" style="95" customWidth="1"/>
    <col min="2308" max="2308" width="2.6640625" style="95" customWidth="1"/>
    <col min="2309" max="2309" width="8.6640625" style="95" customWidth="1"/>
    <col min="2310" max="2310" width="8.33203125" style="95" customWidth="1"/>
    <col min="2311" max="2311" width="2.6640625" style="95" customWidth="1"/>
    <col min="2312" max="2312" width="8.33203125" style="95" customWidth="1"/>
    <col min="2313" max="2313" width="8.1640625" style="95" customWidth="1"/>
    <col min="2314" max="2314" width="2.6640625" style="95" customWidth="1"/>
    <col min="2315" max="2316" width="8.6640625" style="95" customWidth="1"/>
    <col min="2317" max="2317" width="2.6640625" style="95" customWidth="1"/>
    <col min="2318" max="2560" width="9.1640625" style="95"/>
    <col min="2561" max="2561" width="35.6640625" style="95" customWidth="1"/>
    <col min="2562" max="2563" width="8.33203125" style="95" customWidth="1"/>
    <col min="2564" max="2564" width="2.6640625" style="95" customWidth="1"/>
    <col min="2565" max="2565" width="8.6640625" style="95" customWidth="1"/>
    <col min="2566" max="2566" width="8.33203125" style="95" customWidth="1"/>
    <col min="2567" max="2567" width="2.6640625" style="95" customWidth="1"/>
    <col min="2568" max="2568" width="8.33203125" style="95" customWidth="1"/>
    <col min="2569" max="2569" width="8.1640625" style="95" customWidth="1"/>
    <col min="2570" max="2570" width="2.6640625" style="95" customWidth="1"/>
    <col min="2571" max="2572" width="8.6640625" style="95" customWidth="1"/>
    <col min="2573" max="2573" width="2.6640625" style="95" customWidth="1"/>
    <col min="2574" max="2816" width="9.1640625" style="95"/>
    <col min="2817" max="2817" width="35.6640625" style="95" customWidth="1"/>
    <col min="2818" max="2819" width="8.33203125" style="95" customWidth="1"/>
    <col min="2820" max="2820" width="2.6640625" style="95" customWidth="1"/>
    <col min="2821" max="2821" width="8.6640625" style="95" customWidth="1"/>
    <col min="2822" max="2822" width="8.33203125" style="95" customWidth="1"/>
    <col min="2823" max="2823" width="2.6640625" style="95" customWidth="1"/>
    <col min="2824" max="2824" width="8.33203125" style="95" customWidth="1"/>
    <col min="2825" max="2825" width="8.1640625" style="95" customWidth="1"/>
    <col min="2826" max="2826" width="2.6640625" style="95" customWidth="1"/>
    <col min="2827" max="2828" width="8.6640625" style="95" customWidth="1"/>
    <col min="2829" max="2829" width="2.6640625" style="95" customWidth="1"/>
    <col min="2830" max="3072" width="9.1640625" style="95"/>
    <col min="3073" max="3073" width="35.6640625" style="95" customWidth="1"/>
    <col min="3074" max="3075" width="8.33203125" style="95" customWidth="1"/>
    <col min="3076" max="3076" width="2.6640625" style="95" customWidth="1"/>
    <col min="3077" max="3077" width="8.6640625" style="95" customWidth="1"/>
    <col min="3078" max="3078" width="8.33203125" style="95" customWidth="1"/>
    <col min="3079" max="3079" width="2.6640625" style="95" customWidth="1"/>
    <col min="3080" max="3080" width="8.33203125" style="95" customWidth="1"/>
    <col min="3081" max="3081" width="8.1640625" style="95" customWidth="1"/>
    <col min="3082" max="3082" width="2.6640625" style="95" customWidth="1"/>
    <col min="3083" max="3084" width="8.6640625" style="95" customWidth="1"/>
    <col min="3085" max="3085" width="2.6640625" style="95" customWidth="1"/>
    <col min="3086" max="3328" width="9.1640625" style="95"/>
    <col min="3329" max="3329" width="35.6640625" style="95" customWidth="1"/>
    <col min="3330" max="3331" width="8.33203125" style="95" customWidth="1"/>
    <col min="3332" max="3332" width="2.6640625" style="95" customWidth="1"/>
    <col min="3333" max="3333" width="8.6640625" style="95" customWidth="1"/>
    <col min="3334" max="3334" width="8.33203125" style="95" customWidth="1"/>
    <col min="3335" max="3335" width="2.6640625" style="95" customWidth="1"/>
    <col min="3336" max="3336" width="8.33203125" style="95" customWidth="1"/>
    <col min="3337" max="3337" width="8.1640625" style="95" customWidth="1"/>
    <col min="3338" max="3338" width="2.6640625" style="95" customWidth="1"/>
    <col min="3339" max="3340" width="8.6640625" style="95" customWidth="1"/>
    <col min="3341" max="3341" width="2.6640625" style="95" customWidth="1"/>
    <col min="3342" max="3584" width="9.1640625" style="95"/>
    <col min="3585" max="3585" width="35.6640625" style="95" customWidth="1"/>
    <col min="3586" max="3587" width="8.33203125" style="95" customWidth="1"/>
    <col min="3588" max="3588" width="2.6640625" style="95" customWidth="1"/>
    <col min="3589" max="3589" width="8.6640625" style="95" customWidth="1"/>
    <col min="3590" max="3590" width="8.33203125" style="95" customWidth="1"/>
    <col min="3591" max="3591" width="2.6640625" style="95" customWidth="1"/>
    <col min="3592" max="3592" width="8.33203125" style="95" customWidth="1"/>
    <col min="3593" max="3593" width="8.1640625" style="95" customWidth="1"/>
    <col min="3594" max="3594" width="2.6640625" style="95" customWidth="1"/>
    <col min="3595" max="3596" width="8.6640625" style="95" customWidth="1"/>
    <col min="3597" max="3597" width="2.6640625" style="95" customWidth="1"/>
    <col min="3598" max="3840" width="9.1640625" style="95"/>
    <col min="3841" max="3841" width="35.6640625" style="95" customWidth="1"/>
    <col min="3842" max="3843" width="8.33203125" style="95" customWidth="1"/>
    <col min="3844" max="3844" width="2.6640625" style="95" customWidth="1"/>
    <col min="3845" max="3845" width="8.6640625" style="95" customWidth="1"/>
    <col min="3846" max="3846" width="8.33203125" style="95" customWidth="1"/>
    <col min="3847" max="3847" width="2.6640625" style="95" customWidth="1"/>
    <col min="3848" max="3848" width="8.33203125" style="95" customWidth="1"/>
    <col min="3849" max="3849" width="8.1640625" style="95" customWidth="1"/>
    <col min="3850" max="3850" width="2.6640625" style="95" customWidth="1"/>
    <col min="3851" max="3852" width="8.6640625" style="95" customWidth="1"/>
    <col min="3853" max="3853" width="2.6640625" style="95" customWidth="1"/>
    <col min="3854" max="4096" width="9.1640625" style="95"/>
    <col min="4097" max="4097" width="35.6640625" style="95" customWidth="1"/>
    <col min="4098" max="4099" width="8.33203125" style="95" customWidth="1"/>
    <col min="4100" max="4100" width="2.6640625" style="95" customWidth="1"/>
    <col min="4101" max="4101" width="8.6640625" style="95" customWidth="1"/>
    <col min="4102" max="4102" width="8.33203125" style="95" customWidth="1"/>
    <col min="4103" max="4103" width="2.6640625" style="95" customWidth="1"/>
    <col min="4104" max="4104" width="8.33203125" style="95" customWidth="1"/>
    <col min="4105" max="4105" width="8.1640625" style="95" customWidth="1"/>
    <col min="4106" max="4106" width="2.6640625" style="95" customWidth="1"/>
    <col min="4107" max="4108" width="8.6640625" style="95" customWidth="1"/>
    <col min="4109" max="4109" width="2.6640625" style="95" customWidth="1"/>
    <col min="4110" max="4352" width="9.1640625" style="95"/>
    <col min="4353" max="4353" width="35.6640625" style="95" customWidth="1"/>
    <col min="4354" max="4355" width="8.33203125" style="95" customWidth="1"/>
    <col min="4356" max="4356" width="2.6640625" style="95" customWidth="1"/>
    <col min="4357" max="4357" width="8.6640625" style="95" customWidth="1"/>
    <col min="4358" max="4358" width="8.33203125" style="95" customWidth="1"/>
    <col min="4359" max="4359" width="2.6640625" style="95" customWidth="1"/>
    <col min="4360" max="4360" width="8.33203125" style="95" customWidth="1"/>
    <col min="4361" max="4361" width="8.1640625" style="95" customWidth="1"/>
    <col min="4362" max="4362" width="2.6640625" style="95" customWidth="1"/>
    <col min="4363" max="4364" width="8.6640625" style="95" customWidth="1"/>
    <col min="4365" max="4365" width="2.6640625" style="95" customWidth="1"/>
    <col min="4366" max="4608" width="9.1640625" style="95"/>
    <col min="4609" max="4609" width="35.6640625" style="95" customWidth="1"/>
    <col min="4610" max="4611" width="8.33203125" style="95" customWidth="1"/>
    <col min="4612" max="4612" width="2.6640625" style="95" customWidth="1"/>
    <col min="4613" max="4613" width="8.6640625" style="95" customWidth="1"/>
    <col min="4614" max="4614" width="8.33203125" style="95" customWidth="1"/>
    <col min="4615" max="4615" width="2.6640625" style="95" customWidth="1"/>
    <col min="4616" max="4616" width="8.33203125" style="95" customWidth="1"/>
    <col min="4617" max="4617" width="8.1640625" style="95" customWidth="1"/>
    <col min="4618" max="4618" width="2.6640625" style="95" customWidth="1"/>
    <col min="4619" max="4620" width="8.6640625" style="95" customWidth="1"/>
    <col min="4621" max="4621" width="2.6640625" style="95" customWidth="1"/>
    <col min="4622" max="4864" width="9.1640625" style="95"/>
    <col min="4865" max="4865" width="35.6640625" style="95" customWidth="1"/>
    <col min="4866" max="4867" width="8.33203125" style="95" customWidth="1"/>
    <col min="4868" max="4868" width="2.6640625" style="95" customWidth="1"/>
    <col min="4869" max="4869" width="8.6640625" style="95" customWidth="1"/>
    <col min="4870" max="4870" width="8.33203125" style="95" customWidth="1"/>
    <col min="4871" max="4871" width="2.6640625" style="95" customWidth="1"/>
    <col min="4872" max="4872" width="8.33203125" style="95" customWidth="1"/>
    <col min="4873" max="4873" width="8.1640625" style="95" customWidth="1"/>
    <col min="4874" max="4874" width="2.6640625" style="95" customWidth="1"/>
    <col min="4875" max="4876" width="8.6640625" style="95" customWidth="1"/>
    <col min="4877" max="4877" width="2.6640625" style="95" customWidth="1"/>
    <col min="4878" max="5120" width="9.1640625" style="95"/>
    <col min="5121" max="5121" width="35.6640625" style="95" customWidth="1"/>
    <col min="5122" max="5123" width="8.33203125" style="95" customWidth="1"/>
    <col min="5124" max="5124" width="2.6640625" style="95" customWidth="1"/>
    <col min="5125" max="5125" width="8.6640625" style="95" customWidth="1"/>
    <col min="5126" max="5126" width="8.33203125" style="95" customWidth="1"/>
    <col min="5127" max="5127" width="2.6640625" style="95" customWidth="1"/>
    <col min="5128" max="5128" width="8.33203125" style="95" customWidth="1"/>
    <col min="5129" max="5129" width="8.1640625" style="95" customWidth="1"/>
    <col min="5130" max="5130" width="2.6640625" style="95" customWidth="1"/>
    <col min="5131" max="5132" width="8.6640625" style="95" customWidth="1"/>
    <col min="5133" max="5133" width="2.6640625" style="95" customWidth="1"/>
    <col min="5134" max="5376" width="9.1640625" style="95"/>
    <col min="5377" max="5377" width="35.6640625" style="95" customWidth="1"/>
    <col min="5378" max="5379" width="8.33203125" style="95" customWidth="1"/>
    <col min="5380" max="5380" width="2.6640625" style="95" customWidth="1"/>
    <col min="5381" max="5381" width="8.6640625" style="95" customWidth="1"/>
    <col min="5382" max="5382" width="8.33203125" style="95" customWidth="1"/>
    <col min="5383" max="5383" width="2.6640625" style="95" customWidth="1"/>
    <col min="5384" max="5384" width="8.33203125" style="95" customWidth="1"/>
    <col min="5385" max="5385" width="8.1640625" style="95" customWidth="1"/>
    <col min="5386" max="5386" width="2.6640625" style="95" customWidth="1"/>
    <col min="5387" max="5388" width="8.6640625" style="95" customWidth="1"/>
    <col min="5389" max="5389" width="2.6640625" style="95" customWidth="1"/>
    <col min="5390" max="5632" width="9.1640625" style="95"/>
    <col min="5633" max="5633" width="35.6640625" style="95" customWidth="1"/>
    <col min="5634" max="5635" width="8.33203125" style="95" customWidth="1"/>
    <col min="5636" max="5636" width="2.6640625" style="95" customWidth="1"/>
    <col min="5637" max="5637" width="8.6640625" style="95" customWidth="1"/>
    <col min="5638" max="5638" width="8.33203125" style="95" customWidth="1"/>
    <col min="5639" max="5639" width="2.6640625" style="95" customWidth="1"/>
    <col min="5640" max="5640" width="8.33203125" style="95" customWidth="1"/>
    <col min="5641" max="5641" width="8.1640625" style="95" customWidth="1"/>
    <col min="5642" max="5642" width="2.6640625" style="95" customWidth="1"/>
    <col min="5643" max="5644" width="8.6640625" style="95" customWidth="1"/>
    <col min="5645" max="5645" width="2.6640625" style="95" customWidth="1"/>
    <col min="5646" max="5888" width="9.1640625" style="95"/>
    <col min="5889" max="5889" width="35.6640625" style="95" customWidth="1"/>
    <col min="5890" max="5891" width="8.33203125" style="95" customWidth="1"/>
    <col min="5892" max="5892" width="2.6640625" style="95" customWidth="1"/>
    <col min="5893" max="5893" width="8.6640625" style="95" customWidth="1"/>
    <col min="5894" max="5894" width="8.33203125" style="95" customWidth="1"/>
    <col min="5895" max="5895" width="2.6640625" style="95" customWidth="1"/>
    <col min="5896" max="5896" width="8.33203125" style="95" customWidth="1"/>
    <col min="5897" max="5897" width="8.1640625" style="95" customWidth="1"/>
    <col min="5898" max="5898" width="2.6640625" style="95" customWidth="1"/>
    <col min="5899" max="5900" width="8.6640625" style="95" customWidth="1"/>
    <col min="5901" max="5901" width="2.6640625" style="95" customWidth="1"/>
    <col min="5902" max="6144" width="9.1640625" style="95"/>
    <col min="6145" max="6145" width="35.6640625" style="95" customWidth="1"/>
    <col min="6146" max="6147" width="8.33203125" style="95" customWidth="1"/>
    <col min="6148" max="6148" width="2.6640625" style="95" customWidth="1"/>
    <col min="6149" max="6149" width="8.6640625" style="95" customWidth="1"/>
    <col min="6150" max="6150" width="8.33203125" style="95" customWidth="1"/>
    <col min="6151" max="6151" width="2.6640625" style="95" customWidth="1"/>
    <col min="6152" max="6152" width="8.33203125" style="95" customWidth="1"/>
    <col min="6153" max="6153" width="8.1640625" style="95" customWidth="1"/>
    <col min="6154" max="6154" width="2.6640625" style="95" customWidth="1"/>
    <col min="6155" max="6156" width="8.6640625" style="95" customWidth="1"/>
    <col min="6157" max="6157" width="2.6640625" style="95" customWidth="1"/>
    <col min="6158" max="6400" width="9.1640625" style="95"/>
    <col min="6401" max="6401" width="35.6640625" style="95" customWidth="1"/>
    <col min="6402" max="6403" width="8.33203125" style="95" customWidth="1"/>
    <col min="6404" max="6404" width="2.6640625" style="95" customWidth="1"/>
    <col min="6405" max="6405" width="8.6640625" style="95" customWidth="1"/>
    <col min="6406" max="6406" width="8.33203125" style="95" customWidth="1"/>
    <col min="6407" max="6407" width="2.6640625" style="95" customWidth="1"/>
    <col min="6408" max="6408" width="8.33203125" style="95" customWidth="1"/>
    <col min="6409" max="6409" width="8.1640625" style="95" customWidth="1"/>
    <col min="6410" max="6410" width="2.6640625" style="95" customWidth="1"/>
    <col min="6411" max="6412" width="8.6640625" style="95" customWidth="1"/>
    <col min="6413" max="6413" width="2.6640625" style="95" customWidth="1"/>
    <col min="6414" max="6656" width="9.1640625" style="95"/>
    <col min="6657" max="6657" width="35.6640625" style="95" customWidth="1"/>
    <col min="6658" max="6659" width="8.33203125" style="95" customWidth="1"/>
    <col min="6660" max="6660" width="2.6640625" style="95" customWidth="1"/>
    <col min="6661" max="6661" width="8.6640625" style="95" customWidth="1"/>
    <col min="6662" max="6662" width="8.33203125" style="95" customWidth="1"/>
    <col min="6663" max="6663" width="2.6640625" style="95" customWidth="1"/>
    <col min="6664" max="6664" width="8.33203125" style="95" customWidth="1"/>
    <col min="6665" max="6665" width="8.1640625" style="95" customWidth="1"/>
    <col min="6666" max="6666" width="2.6640625" style="95" customWidth="1"/>
    <col min="6667" max="6668" width="8.6640625" style="95" customWidth="1"/>
    <col min="6669" max="6669" width="2.6640625" style="95" customWidth="1"/>
    <col min="6670" max="6912" width="9.1640625" style="95"/>
    <col min="6913" max="6913" width="35.6640625" style="95" customWidth="1"/>
    <col min="6914" max="6915" width="8.33203125" style="95" customWidth="1"/>
    <col min="6916" max="6916" width="2.6640625" style="95" customWidth="1"/>
    <col min="6917" max="6917" width="8.6640625" style="95" customWidth="1"/>
    <col min="6918" max="6918" width="8.33203125" style="95" customWidth="1"/>
    <col min="6919" max="6919" width="2.6640625" style="95" customWidth="1"/>
    <col min="6920" max="6920" width="8.33203125" style="95" customWidth="1"/>
    <col min="6921" max="6921" width="8.1640625" style="95" customWidth="1"/>
    <col min="6922" max="6922" width="2.6640625" style="95" customWidth="1"/>
    <col min="6923" max="6924" width="8.6640625" style="95" customWidth="1"/>
    <col min="6925" max="6925" width="2.6640625" style="95" customWidth="1"/>
    <col min="6926" max="7168" width="9.1640625" style="95"/>
    <col min="7169" max="7169" width="35.6640625" style="95" customWidth="1"/>
    <col min="7170" max="7171" width="8.33203125" style="95" customWidth="1"/>
    <col min="7172" max="7172" width="2.6640625" style="95" customWidth="1"/>
    <col min="7173" max="7173" width="8.6640625" style="95" customWidth="1"/>
    <col min="7174" max="7174" width="8.33203125" style="95" customWidth="1"/>
    <col min="7175" max="7175" width="2.6640625" style="95" customWidth="1"/>
    <col min="7176" max="7176" width="8.33203125" style="95" customWidth="1"/>
    <col min="7177" max="7177" width="8.1640625" style="95" customWidth="1"/>
    <col min="7178" max="7178" width="2.6640625" style="95" customWidth="1"/>
    <col min="7179" max="7180" width="8.6640625" style="95" customWidth="1"/>
    <col min="7181" max="7181" width="2.6640625" style="95" customWidth="1"/>
    <col min="7182" max="7424" width="9.1640625" style="95"/>
    <col min="7425" max="7425" width="35.6640625" style="95" customWidth="1"/>
    <col min="7426" max="7427" width="8.33203125" style="95" customWidth="1"/>
    <col min="7428" max="7428" width="2.6640625" style="95" customWidth="1"/>
    <col min="7429" max="7429" width="8.6640625" style="95" customWidth="1"/>
    <col min="7430" max="7430" width="8.33203125" style="95" customWidth="1"/>
    <col min="7431" max="7431" width="2.6640625" style="95" customWidth="1"/>
    <col min="7432" max="7432" width="8.33203125" style="95" customWidth="1"/>
    <col min="7433" max="7433" width="8.1640625" style="95" customWidth="1"/>
    <col min="7434" max="7434" width="2.6640625" style="95" customWidth="1"/>
    <col min="7435" max="7436" width="8.6640625" style="95" customWidth="1"/>
    <col min="7437" max="7437" width="2.6640625" style="95" customWidth="1"/>
    <col min="7438" max="7680" width="9.1640625" style="95"/>
    <col min="7681" max="7681" width="35.6640625" style="95" customWidth="1"/>
    <col min="7682" max="7683" width="8.33203125" style="95" customWidth="1"/>
    <col min="7684" max="7684" width="2.6640625" style="95" customWidth="1"/>
    <col min="7685" max="7685" width="8.6640625" style="95" customWidth="1"/>
    <col min="7686" max="7686" width="8.33203125" style="95" customWidth="1"/>
    <col min="7687" max="7687" width="2.6640625" style="95" customWidth="1"/>
    <col min="7688" max="7688" width="8.33203125" style="95" customWidth="1"/>
    <col min="7689" max="7689" width="8.1640625" style="95" customWidth="1"/>
    <col min="7690" max="7690" width="2.6640625" style="95" customWidth="1"/>
    <col min="7691" max="7692" width="8.6640625" style="95" customWidth="1"/>
    <col min="7693" max="7693" width="2.6640625" style="95" customWidth="1"/>
    <col min="7694" max="7936" width="9.1640625" style="95"/>
    <col min="7937" max="7937" width="35.6640625" style="95" customWidth="1"/>
    <col min="7938" max="7939" width="8.33203125" style="95" customWidth="1"/>
    <col min="7940" max="7940" width="2.6640625" style="95" customWidth="1"/>
    <col min="7941" max="7941" width="8.6640625" style="95" customWidth="1"/>
    <col min="7942" max="7942" width="8.33203125" style="95" customWidth="1"/>
    <col min="7943" max="7943" width="2.6640625" style="95" customWidth="1"/>
    <col min="7944" max="7944" width="8.33203125" style="95" customWidth="1"/>
    <col min="7945" max="7945" width="8.1640625" style="95" customWidth="1"/>
    <col min="7946" max="7946" width="2.6640625" style="95" customWidth="1"/>
    <col min="7947" max="7948" width="8.6640625" style="95" customWidth="1"/>
    <col min="7949" max="7949" width="2.6640625" style="95" customWidth="1"/>
    <col min="7950" max="8192" width="9.1640625" style="95"/>
    <col min="8193" max="8193" width="35.6640625" style="95" customWidth="1"/>
    <col min="8194" max="8195" width="8.33203125" style="95" customWidth="1"/>
    <col min="8196" max="8196" width="2.6640625" style="95" customWidth="1"/>
    <col min="8197" max="8197" width="8.6640625" style="95" customWidth="1"/>
    <col min="8198" max="8198" width="8.33203125" style="95" customWidth="1"/>
    <col min="8199" max="8199" width="2.6640625" style="95" customWidth="1"/>
    <col min="8200" max="8200" width="8.33203125" style="95" customWidth="1"/>
    <col min="8201" max="8201" width="8.1640625" style="95" customWidth="1"/>
    <col min="8202" max="8202" width="2.6640625" style="95" customWidth="1"/>
    <col min="8203" max="8204" width="8.6640625" style="95" customWidth="1"/>
    <col min="8205" max="8205" width="2.6640625" style="95" customWidth="1"/>
    <col min="8206" max="8448" width="9.1640625" style="95"/>
    <col min="8449" max="8449" width="35.6640625" style="95" customWidth="1"/>
    <col min="8450" max="8451" width="8.33203125" style="95" customWidth="1"/>
    <col min="8452" max="8452" width="2.6640625" style="95" customWidth="1"/>
    <col min="8453" max="8453" width="8.6640625" style="95" customWidth="1"/>
    <col min="8454" max="8454" width="8.33203125" style="95" customWidth="1"/>
    <col min="8455" max="8455" width="2.6640625" style="95" customWidth="1"/>
    <col min="8456" max="8456" width="8.33203125" style="95" customWidth="1"/>
    <col min="8457" max="8457" width="8.1640625" style="95" customWidth="1"/>
    <col min="8458" max="8458" width="2.6640625" style="95" customWidth="1"/>
    <col min="8459" max="8460" width="8.6640625" style="95" customWidth="1"/>
    <col min="8461" max="8461" width="2.6640625" style="95" customWidth="1"/>
    <col min="8462" max="8704" width="9.1640625" style="95"/>
    <col min="8705" max="8705" width="35.6640625" style="95" customWidth="1"/>
    <col min="8706" max="8707" width="8.33203125" style="95" customWidth="1"/>
    <col min="8708" max="8708" width="2.6640625" style="95" customWidth="1"/>
    <col min="8709" max="8709" width="8.6640625" style="95" customWidth="1"/>
    <col min="8710" max="8710" width="8.33203125" style="95" customWidth="1"/>
    <col min="8711" max="8711" width="2.6640625" style="95" customWidth="1"/>
    <col min="8712" max="8712" width="8.33203125" style="95" customWidth="1"/>
    <col min="8713" max="8713" width="8.1640625" style="95" customWidth="1"/>
    <col min="8714" max="8714" width="2.6640625" style="95" customWidth="1"/>
    <col min="8715" max="8716" width="8.6640625" style="95" customWidth="1"/>
    <col min="8717" max="8717" width="2.6640625" style="95" customWidth="1"/>
    <col min="8718" max="8960" width="9.1640625" style="95"/>
    <col min="8961" max="8961" width="35.6640625" style="95" customWidth="1"/>
    <col min="8962" max="8963" width="8.33203125" style="95" customWidth="1"/>
    <col min="8964" max="8964" width="2.6640625" style="95" customWidth="1"/>
    <col min="8965" max="8965" width="8.6640625" style="95" customWidth="1"/>
    <col min="8966" max="8966" width="8.33203125" style="95" customWidth="1"/>
    <col min="8967" max="8967" width="2.6640625" style="95" customWidth="1"/>
    <col min="8968" max="8968" width="8.33203125" style="95" customWidth="1"/>
    <col min="8969" max="8969" width="8.1640625" style="95" customWidth="1"/>
    <col min="8970" max="8970" width="2.6640625" style="95" customWidth="1"/>
    <col min="8971" max="8972" width="8.6640625" style="95" customWidth="1"/>
    <col min="8973" max="8973" width="2.6640625" style="95" customWidth="1"/>
    <col min="8974" max="9216" width="9.1640625" style="95"/>
    <col min="9217" max="9217" width="35.6640625" style="95" customWidth="1"/>
    <col min="9218" max="9219" width="8.33203125" style="95" customWidth="1"/>
    <col min="9220" max="9220" width="2.6640625" style="95" customWidth="1"/>
    <col min="9221" max="9221" width="8.6640625" style="95" customWidth="1"/>
    <col min="9222" max="9222" width="8.33203125" style="95" customWidth="1"/>
    <col min="9223" max="9223" width="2.6640625" style="95" customWidth="1"/>
    <col min="9224" max="9224" width="8.33203125" style="95" customWidth="1"/>
    <col min="9225" max="9225" width="8.1640625" style="95" customWidth="1"/>
    <col min="9226" max="9226" width="2.6640625" style="95" customWidth="1"/>
    <col min="9227" max="9228" width="8.6640625" style="95" customWidth="1"/>
    <col min="9229" max="9229" width="2.6640625" style="95" customWidth="1"/>
    <col min="9230" max="9472" width="9.1640625" style="95"/>
    <col min="9473" max="9473" width="35.6640625" style="95" customWidth="1"/>
    <col min="9474" max="9475" width="8.33203125" style="95" customWidth="1"/>
    <col min="9476" max="9476" width="2.6640625" style="95" customWidth="1"/>
    <col min="9477" max="9477" width="8.6640625" style="95" customWidth="1"/>
    <col min="9478" max="9478" width="8.33203125" style="95" customWidth="1"/>
    <col min="9479" max="9479" width="2.6640625" style="95" customWidth="1"/>
    <col min="9480" max="9480" width="8.33203125" style="95" customWidth="1"/>
    <col min="9481" max="9481" width="8.1640625" style="95" customWidth="1"/>
    <col min="9482" max="9482" width="2.6640625" style="95" customWidth="1"/>
    <col min="9483" max="9484" width="8.6640625" style="95" customWidth="1"/>
    <col min="9485" max="9485" width="2.6640625" style="95" customWidth="1"/>
    <col min="9486" max="9728" width="9.1640625" style="95"/>
    <col min="9729" max="9729" width="35.6640625" style="95" customWidth="1"/>
    <col min="9730" max="9731" width="8.33203125" style="95" customWidth="1"/>
    <col min="9732" max="9732" width="2.6640625" style="95" customWidth="1"/>
    <col min="9733" max="9733" width="8.6640625" style="95" customWidth="1"/>
    <col min="9734" max="9734" width="8.33203125" style="95" customWidth="1"/>
    <col min="9735" max="9735" width="2.6640625" style="95" customWidth="1"/>
    <col min="9736" max="9736" width="8.33203125" style="95" customWidth="1"/>
    <col min="9737" max="9737" width="8.1640625" style="95" customWidth="1"/>
    <col min="9738" max="9738" width="2.6640625" style="95" customWidth="1"/>
    <col min="9739" max="9740" width="8.6640625" style="95" customWidth="1"/>
    <col min="9741" max="9741" width="2.6640625" style="95" customWidth="1"/>
    <col min="9742" max="9984" width="9.1640625" style="95"/>
    <col min="9985" max="9985" width="35.6640625" style="95" customWidth="1"/>
    <col min="9986" max="9987" width="8.33203125" style="95" customWidth="1"/>
    <col min="9988" max="9988" width="2.6640625" style="95" customWidth="1"/>
    <col min="9989" max="9989" width="8.6640625" style="95" customWidth="1"/>
    <col min="9990" max="9990" width="8.33203125" style="95" customWidth="1"/>
    <col min="9991" max="9991" width="2.6640625" style="95" customWidth="1"/>
    <col min="9992" max="9992" width="8.33203125" style="95" customWidth="1"/>
    <col min="9993" max="9993" width="8.1640625" style="95" customWidth="1"/>
    <col min="9994" max="9994" width="2.6640625" style="95" customWidth="1"/>
    <col min="9995" max="9996" width="8.6640625" style="95" customWidth="1"/>
    <col min="9997" max="9997" width="2.6640625" style="95" customWidth="1"/>
    <col min="9998" max="10240" width="9.1640625" style="95"/>
    <col min="10241" max="10241" width="35.6640625" style="95" customWidth="1"/>
    <col min="10242" max="10243" width="8.33203125" style="95" customWidth="1"/>
    <col min="10244" max="10244" width="2.6640625" style="95" customWidth="1"/>
    <col min="10245" max="10245" width="8.6640625" style="95" customWidth="1"/>
    <col min="10246" max="10246" width="8.33203125" style="95" customWidth="1"/>
    <col min="10247" max="10247" width="2.6640625" style="95" customWidth="1"/>
    <col min="10248" max="10248" width="8.33203125" style="95" customWidth="1"/>
    <col min="10249" max="10249" width="8.1640625" style="95" customWidth="1"/>
    <col min="10250" max="10250" width="2.6640625" style="95" customWidth="1"/>
    <col min="10251" max="10252" width="8.6640625" style="95" customWidth="1"/>
    <col min="10253" max="10253" width="2.6640625" style="95" customWidth="1"/>
    <col min="10254" max="10496" width="9.1640625" style="95"/>
    <col min="10497" max="10497" width="35.6640625" style="95" customWidth="1"/>
    <col min="10498" max="10499" width="8.33203125" style="95" customWidth="1"/>
    <col min="10500" max="10500" width="2.6640625" style="95" customWidth="1"/>
    <col min="10501" max="10501" width="8.6640625" style="95" customWidth="1"/>
    <col min="10502" max="10502" width="8.33203125" style="95" customWidth="1"/>
    <col min="10503" max="10503" width="2.6640625" style="95" customWidth="1"/>
    <col min="10504" max="10504" width="8.33203125" style="95" customWidth="1"/>
    <col min="10505" max="10505" width="8.1640625" style="95" customWidth="1"/>
    <col min="10506" max="10506" width="2.6640625" style="95" customWidth="1"/>
    <col min="10507" max="10508" width="8.6640625" style="95" customWidth="1"/>
    <col min="10509" max="10509" width="2.6640625" style="95" customWidth="1"/>
    <col min="10510" max="10752" width="9.1640625" style="95"/>
    <col min="10753" max="10753" width="35.6640625" style="95" customWidth="1"/>
    <col min="10754" max="10755" width="8.33203125" style="95" customWidth="1"/>
    <col min="10756" max="10756" width="2.6640625" style="95" customWidth="1"/>
    <col min="10757" max="10757" width="8.6640625" style="95" customWidth="1"/>
    <col min="10758" max="10758" width="8.33203125" style="95" customWidth="1"/>
    <col min="10759" max="10759" width="2.6640625" style="95" customWidth="1"/>
    <col min="10760" max="10760" width="8.33203125" style="95" customWidth="1"/>
    <col min="10761" max="10761" width="8.1640625" style="95" customWidth="1"/>
    <col min="10762" max="10762" width="2.6640625" style="95" customWidth="1"/>
    <col min="10763" max="10764" width="8.6640625" style="95" customWidth="1"/>
    <col min="10765" max="10765" width="2.6640625" style="95" customWidth="1"/>
    <col min="10766" max="11008" width="9.1640625" style="95"/>
    <col min="11009" max="11009" width="35.6640625" style="95" customWidth="1"/>
    <col min="11010" max="11011" width="8.33203125" style="95" customWidth="1"/>
    <col min="11012" max="11012" width="2.6640625" style="95" customWidth="1"/>
    <col min="11013" max="11013" width="8.6640625" style="95" customWidth="1"/>
    <col min="11014" max="11014" width="8.33203125" style="95" customWidth="1"/>
    <col min="11015" max="11015" width="2.6640625" style="95" customWidth="1"/>
    <col min="11016" max="11016" width="8.33203125" style="95" customWidth="1"/>
    <col min="11017" max="11017" width="8.1640625" style="95" customWidth="1"/>
    <col min="11018" max="11018" width="2.6640625" style="95" customWidth="1"/>
    <col min="11019" max="11020" width="8.6640625" style="95" customWidth="1"/>
    <col min="11021" max="11021" width="2.6640625" style="95" customWidth="1"/>
    <col min="11022" max="11264" width="9.1640625" style="95"/>
    <col min="11265" max="11265" width="35.6640625" style="95" customWidth="1"/>
    <col min="11266" max="11267" width="8.33203125" style="95" customWidth="1"/>
    <col min="11268" max="11268" width="2.6640625" style="95" customWidth="1"/>
    <col min="11269" max="11269" width="8.6640625" style="95" customWidth="1"/>
    <col min="11270" max="11270" width="8.33203125" style="95" customWidth="1"/>
    <col min="11271" max="11271" width="2.6640625" style="95" customWidth="1"/>
    <col min="11272" max="11272" width="8.33203125" style="95" customWidth="1"/>
    <col min="11273" max="11273" width="8.1640625" style="95" customWidth="1"/>
    <col min="11274" max="11274" width="2.6640625" style="95" customWidth="1"/>
    <col min="11275" max="11276" width="8.6640625" style="95" customWidth="1"/>
    <col min="11277" max="11277" width="2.6640625" style="95" customWidth="1"/>
    <col min="11278" max="11520" width="9.1640625" style="95"/>
    <col min="11521" max="11521" width="35.6640625" style="95" customWidth="1"/>
    <col min="11522" max="11523" width="8.33203125" style="95" customWidth="1"/>
    <col min="11524" max="11524" width="2.6640625" style="95" customWidth="1"/>
    <col min="11525" max="11525" width="8.6640625" style="95" customWidth="1"/>
    <col min="11526" max="11526" width="8.33203125" style="95" customWidth="1"/>
    <col min="11527" max="11527" width="2.6640625" style="95" customWidth="1"/>
    <col min="11528" max="11528" width="8.33203125" style="95" customWidth="1"/>
    <col min="11529" max="11529" width="8.1640625" style="95" customWidth="1"/>
    <col min="11530" max="11530" width="2.6640625" style="95" customWidth="1"/>
    <col min="11531" max="11532" width="8.6640625" style="95" customWidth="1"/>
    <col min="11533" max="11533" width="2.6640625" style="95" customWidth="1"/>
    <col min="11534" max="11776" width="9.1640625" style="95"/>
    <col min="11777" max="11777" width="35.6640625" style="95" customWidth="1"/>
    <col min="11778" max="11779" width="8.33203125" style="95" customWidth="1"/>
    <col min="11780" max="11780" width="2.6640625" style="95" customWidth="1"/>
    <col min="11781" max="11781" width="8.6640625" style="95" customWidth="1"/>
    <col min="11782" max="11782" width="8.33203125" style="95" customWidth="1"/>
    <col min="11783" max="11783" width="2.6640625" style="95" customWidth="1"/>
    <col min="11784" max="11784" width="8.33203125" style="95" customWidth="1"/>
    <col min="11785" max="11785" width="8.1640625" style="95" customWidth="1"/>
    <col min="11786" max="11786" width="2.6640625" style="95" customWidth="1"/>
    <col min="11787" max="11788" width="8.6640625" style="95" customWidth="1"/>
    <col min="11789" max="11789" width="2.6640625" style="95" customWidth="1"/>
    <col min="11790" max="12032" width="9.1640625" style="95"/>
    <col min="12033" max="12033" width="35.6640625" style="95" customWidth="1"/>
    <col min="12034" max="12035" width="8.33203125" style="95" customWidth="1"/>
    <col min="12036" max="12036" width="2.6640625" style="95" customWidth="1"/>
    <col min="12037" max="12037" width="8.6640625" style="95" customWidth="1"/>
    <col min="12038" max="12038" width="8.33203125" style="95" customWidth="1"/>
    <col min="12039" max="12039" width="2.6640625" style="95" customWidth="1"/>
    <col min="12040" max="12040" width="8.33203125" style="95" customWidth="1"/>
    <col min="12041" max="12041" width="8.1640625" style="95" customWidth="1"/>
    <col min="12042" max="12042" width="2.6640625" style="95" customWidth="1"/>
    <col min="12043" max="12044" width="8.6640625" style="95" customWidth="1"/>
    <col min="12045" max="12045" width="2.6640625" style="95" customWidth="1"/>
    <col min="12046" max="12288" width="9.1640625" style="95"/>
    <col min="12289" max="12289" width="35.6640625" style="95" customWidth="1"/>
    <col min="12290" max="12291" width="8.33203125" style="95" customWidth="1"/>
    <col min="12292" max="12292" width="2.6640625" style="95" customWidth="1"/>
    <col min="12293" max="12293" width="8.6640625" style="95" customWidth="1"/>
    <col min="12294" max="12294" width="8.33203125" style="95" customWidth="1"/>
    <col min="12295" max="12295" width="2.6640625" style="95" customWidth="1"/>
    <col min="12296" max="12296" width="8.33203125" style="95" customWidth="1"/>
    <col min="12297" max="12297" width="8.1640625" style="95" customWidth="1"/>
    <col min="12298" max="12298" width="2.6640625" style="95" customWidth="1"/>
    <col min="12299" max="12300" width="8.6640625" style="95" customWidth="1"/>
    <col min="12301" max="12301" width="2.6640625" style="95" customWidth="1"/>
    <col min="12302" max="12544" width="9.1640625" style="95"/>
    <col min="12545" max="12545" width="35.6640625" style="95" customWidth="1"/>
    <col min="12546" max="12547" width="8.33203125" style="95" customWidth="1"/>
    <col min="12548" max="12548" width="2.6640625" style="95" customWidth="1"/>
    <col min="12549" max="12549" width="8.6640625" style="95" customWidth="1"/>
    <col min="12550" max="12550" width="8.33203125" style="95" customWidth="1"/>
    <col min="12551" max="12551" width="2.6640625" style="95" customWidth="1"/>
    <col min="12552" max="12552" width="8.33203125" style="95" customWidth="1"/>
    <col min="12553" max="12553" width="8.1640625" style="95" customWidth="1"/>
    <col min="12554" max="12554" width="2.6640625" style="95" customWidth="1"/>
    <col min="12555" max="12556" width="8.6640625" style="95" customWidth="1"/>
    <col min="12557" max="12557" width="2.6640625" style="95" customWidth="1"/>
    <col min="12558" max="12800" width="9.1640625" style="95"/>
    <col min="12801" max="12801" width="35.6640625" style="95" customWidth="1"/>
    <col min="12802" max="12803" width="8.33203125" style="95" customWidth="1"/>
    <col min="12804" max="12804" width="2.6640625" style="95" customWidth="1"/>
    <col min="12805" max="12805" width="8.6640625" style="95" customWidth="1"/>
    <col min="12806" max="12806" width="8.33203125" style="95" customWidth="1"/>
    <col min="12807" max="12807" width="2.6640625" style="95" customWidth="1"/>
    <col min="12808" max="12808" width="8.33203125" style="95" customWidth="1"/>
    <col min="12809" max="12809" width="8.1640625" style="95" customWidth="1"/>
    <col min="12810" max="12810" width="2.6640625" style="95" customWidth="1"/>
    <col min="12811" max="12812" width="8.6640625" style="95" customWidth="1"/>
    <col min="12813" max="12813" width="2.6640625" style="95" customWidth="1"/>
    <col min="12814" max="13056" width="9.1640625" style="95"/>
    <col min="13057" max="13057" width="35.6640625" style="95" customWidth="1"/>
    <col min="13058" max="13059" width="8.33203125" style="95" customWidth="1"/>
    <col min="13060" max="13060" width="2.6640625" style="95" customWidth="1"/>
    <col min="13061" max="13061" width="8.6640625" style="95" customWidth="1"/>
    <col min="13062" max="13062" width="8.33203125" style="95" customWidth="1"/>
    <col min="13063" max="13063" width="2.6640625" style="95" customWidth="1"/>
    <col min="13064" max="13064" width="8.33203125" style="95" customWidth="1"/>
    <col min="13065" max="13065" width="8.1640625" style="95" customWidth="1"/>
    <col min="13066" max="13066" width="2.6640625" style="95" customWidth="1"/>
    <col min="13067" max="13068" width="8.6640625" style="95" customWidth="1"/>
    <col min="13069" max="13069" width="2.6640625" style="95" customWidth="1"/>
    <col min="13070" max="13312" width="9.1640625" style="95"/>
    <col min="13313" max="13313" width="35.6640625" style="95" customWidth="1"/>
    <col min="13314" max="13315" width="8.33203125" style="95" customWidth="1"/>
    <col min="13316" max="13316" width="2.6640625" style="95" customWidth="1"/>
    <col min="13317" max="13317" width="8.6640625" style="95" customWidth="1"/>
    <col min="13318" max="13318" width="8.33203125" style="95" customWidth="1"/>
    <col min="13319" max="13319" width="2.6640625" style="95" customWidth="1"/>
    <col min="13320" max="13320" width="8.33203125" style="95" customWidth="1"/>
    <col min="13321" max="13321" width="8.1640625" style="95" customWidth="1"/>
    <col min="13322" max="13322" width="2.6640625" style="95" customWidth="1"/>
    <col min="13323" max="13324" width="8.6640625" style="95" customWidth="1"/>
    <col min="13325" max="13325" width="2.6640625" style="95" customWidth="1"/>
    <col min="13326" max="13568" width="9.1640625" style="95"/>
    <col min="13569" max="13569" width="35.6640625" style="95" customWidth="1"/>
    <col min="13570" max="13571" width="8.33203125" style="95" customWidth="1"/>
    <col min="13572" max="13572" width="2.6640625" style="95" customWidth="1"/>
    <col min="13573" max="13573" width="8.6640625" style="95" customWidth="1"/>
    <col min="13574" max="13574" width="8.33203125" style="95" customWidth="1"/>
    <col min="13575" max="13575" width="2.6640625" style="95" customWidth="1"/>
    <col min="13576" max="13576" width="8.33203125" style="95" customWidth="1"/>
    <col min="13577" max="13577" width="8.1640625" style="95" customWidth="1"/>
    <col min="13578" max="13578" width="2.6640625" style="95" customWidth="1"/>
    <col min="13579" max="13580" width="8.6640625" style="95" customWidth="1"/>
    <col min="13581" max="13581" width="2.6640625" style="95" customWidth="1"/>
    <col min="13582" max="13824" width="9.1640625" style="95"/>
    <col min="13825" max="13825" width="35.6640625" style="95" customWidth="1"/>
    <col min="13826" max="13827" width="8.33203125" style="95" customWidth="1"/>
    <col min="13828" max="13828" width="2.6640625" style="95" customWidth="1"/>
    <col min="13829" max="13829" width="8.6640625" style="95" customWidth="1"/>
    <col min="13830" max="13830" width="8.33203125" style="95" customWidth="1"/>
    <col min="13831" max="13831" width="2.6640625" style="95" customWidth="1"/>
    <col min="13832" max="13832" width="8.33203125" style="95" customWidth="1"/>
    <col min="13833" max="13833" width="8.1640625" style="95" customWidth="1"/>
    <col min="13834" max="13834" width="2.6640625" style="95" customWidth="1"/>
    <col min="13835" max="13836" width="8.6640625" style="95" customWidth="1"/>
    <col min="13837" max="13837" width="2.6640625" style="95" customWidth="1"/>
    <col min="13838" max="14080" width="9.1640625" style="95"/>
    <col min="14081" max="14081" width="35.6640625" style="95" customWidth="1"/>
    <col min="14082" max="14083" width="8.33203125" style="95" customWidth="1"/>
    <col min="14084" max="14084" width="2.6640625" style="95" customWidth="1"/>
    <col min="14085" max="14085" width="8.6640625" style="95" customWidth="1"/>
    <col min="14086" max="14086" width="8.33203125" style="95" customWidth="1"/>
    <col min="14087" max="14087" width="2.6640625" style="95" customWidth="1"/>
    <col min="14088" max="14088" width="8.33203125" style="95" customWidth="1"/>
    <col min="14089" max="14089" width="8.1640625" style="95" customWidth="1"/>
    <col min="14090" max="14090" width="2.6640625" style="95" customWidth="1"/>
    <col min="14091" max="14092" width="8.6640625" style="95" customWidth="1"/>
    <col min="14093" max="14093" width="2.6640625" style="95" customWidth="1"/>
    <col min="14094" max="14336" width="9.1640625" style="95"/>
    <col min="14337" max="14337" width="35.6640625" style="95" customWidth="1"/>
    <col min="14338" max="14339" width="8.33203125" style="95" customWidth="1"/>
    <col min="14340" max="14340" width="2.6640625" style="95" customWidth="1"/>
    <col min="14341" max="14341" width="8.6640625" style="95" customWidth="1"/>
    <col min="14342" max="14342" width="8.33203125" style="95" customWidth="1"/>
    <col min="14343" max="14343" width="2.6640625" style="95" customWidth="1"/>
    <col min="14344" max="14344" width="8.33203125" style="95" customWidth="1"/>
    <col min="14345" max="14345" width="8.1640625" style="95" customWidth="1"/>
    <col min="14346" max="14346" width="2.6640625" style="95" customWidth="1"/>
    <col min="14347" max="14348" width="8.6640625" style="95" customWidth="1"/>
    <col min="14349" max="14349" width="2.6640625" style="95" customWidth="1"/>
    <col min="14350" max="14592" width="9.1640625" style="95"/>
    <col min="14593" max="14593" width="35.6640625" style="95" customWidth="1"/>
    <col min="14594" max="14595" width="8.33203125" style="95" customWidth="1"/>
    <col min="14596" max="14596" width="2.6640625" style="95" customWidth="1"/>
    <col min="14597" max="14597" width="8.6640625" style="95" customWidth="1"/>
    <col min="14598" max="14598" width="8.33203125" style="95" customWidth="1"/>
    <col min="14599" max="14599" width="2.6640625" style="95" customWidth="1"/>
    <col min="14600" max="14600" width="8.33203125" style="95" customWidth="1"/>
    <col min="14601" max="14601" width="8.1640625" style="95" customWidth="1"/>
    <col min="14602" max="14602" width="2.6640625" style="95" customWidth="1"/>
    <col min="14603" max="14604" width="8.6640625" style="95" customWidth="1"/>
    <col min="14605" max="14605" width="2.6640625" style="95" customWidth="1"/>
    <col min="14606" max="14848" width="9.1640625" style="95"/>
    <col min="14849" max="14849" width="35.6640625" style="95" customWidth="1"/>
    <col min="14850" max="14851" width="8.33203125" style="95" customWidth="1"/>
    <col min="14852" max="14852" width="2.6640625" style="95" customWidth="1"/>
    <col min="14853" max="14853" width="8.6640625" style="95" customWidth="1"/>
    <col min="14854" max="14854" width="8.33203125" style="95" customWidth="1"/>
    <col min="14855" max="14855" width="2.6640625" style="95" customWidth="1"/>
    <col min="14856" max="14856" width="8.33203125" style="95" customWidth="1"/>
    <col min="14857" max="14857" width="8.1640625" style="95" customWidth="1"/>
    <col min="14858" max="14858" width="2.6640625" style="95" customWidth="1"/>
    <col min="14859" max="14860" width="8.6640625" style="95" customWidth="1"/>
    <col min="14861" max="14861" width="2.6640625" style="95" customWidth="1"/>
    <col min="14862" max="15104" width="9.1640625" style="95"/>
    <col min="15105" max="15105" width="35.6640625" style="95" customWidth="1"/>
    <col min="15106" max="15107" width="8.33203125" style="95" customWidth="1"/>
    <col min="15108" max="15108" width="2.6640625" style="95" customWidth="1"/>
    <col min="15109" max="15109" width="8.6640625" style="95" customWidth="1"/>
    <col min="15110" max="15110" width="8.33203125" style="95" customWidth="1"/>
    <col min="15111" max="15111" width="2.6640625" style="95" customWidth="1"/>
    <col min="15112" max="15112" width="8.33203125" style="95" customWidth="1"/>
    <col min="15113" max="15113" width="8.1640625" style="95" customWidth="1"/>
    <col min="15114" max="15114" width="2.6640625" style="95" customWidth="1"/>
    <col min="15115" max="15116" width="8.6640625" style="95" customWidth="1"/>
    <col min="15117" max="15117" width="2.6640625" style="95" customWidth="1"/>
    <col min="15118" max="15360" width="9.1640625" style="95"/>
    <col min="15361" max="15361" width="35.6640625" style="95" customWidth="1"/>
    <col min="15362" max="15363" width="8.33203125" style="95" customWidth="1"/>
    <col min="15364" max="15364" width="2.6640625" style="95" customWidth="1"/>
    <col min="15365" max="15365" width="8.6640625" style="95" customWidth="1"/>
    <col min="15366" max="15366" width="8.33203125" style="95" customWidth="1"/>
    <col min="15367" max="15367" width="2.6640625" style="95" customWidth="1"/>
    <col min="15368" max="15368" width="8.33203125" style="95" customWidth="1"/>
    <col min="15369" max="15369" width="8.1640625" style="95" customWidth="1"/>
    <col min="15370" max="15370" width="2.6640625" style="95" customWidth="1"/>
    <col min="15371" max="15372" width="8.6640625" style="95" customWidth="1"/>
    <col min="15373" max="15373" width="2.6640625" style="95" customWidth="1"/>
    <col min="15374" max="15616" width="9.1640625" style="95"/>
    <col min="15617" max="15617" width="35.6640625" style="95" customWidth="1"/>
    <col min="15618" max="15619" width="8.33203125" style="95" customWidth="1"/>
    <col min="15620" max="15620" width="2.6640625" style="95" customWidth="1"/>
    <col min="15621" max="15621" width="8.6640625" style="95" customWidth="1"/>
    <col min="15622" max="15622" width="8.33203125" style="95" customWidth="1"/>
    <col min="15623" max="15623" width="2.6640625" style="95" customWidth="1"/>
    <col min="15624" max="15624" width="8.33203125" style="95" customWidth="1"/>
    <col min="15625" max="15625" width="8.1640625" style="95" customWidth="1"/>
    <col min="15626" max="15626" width="2.6640625" style="95" customWidth="1"/>
    <col min="15627" max="15628" width="8.6640625" style="95" customWidth="1"/>
    <col min="15629" max="15629" width="2.6640625" style="95" customWidth="1"/>
    <col min="15630" max="15872" width="9.1640625" style="95"/>
    <col min="15873" max="15873" width="35.6640625" style="95" customWidth="1"/>
    <col min="15874" max="15875" width="8.33203125" style="95" customWidth="1"/>
    <col min="15876" max="15876" width="2.6640625" style="95" customWidth="1"/>
    <col min="15877" max="15877" width="8.6640625" style="95" customWidth="1"/>
    <col min="15878" max="15878" width="8.33203125" style="95" customWidth="1"/>
    <col min="15879" max="15879" width="2.6640625" style="95" customWidth="1"/>
    <col min="15880" max="15880" width="8.33203125" style="95" customWidth="1"/>
    <col min="15881" max="15881" width="8.1640625" style="95" customWidth="1"/>
    <col min="15882" max="15882" width="2.6640625" style="95" customWidth="1"/>
    <col min="15883" max="15884" width="8.6640625" style="95" customWidth="1"/>
    <col min="15885" max="15885" width="2.6640625" style="95" customWidth="1"/>
    <col min="15886" max="16128" width="9.1640625" style="95"/>
    <col min="16129" max="16129" width="35.6640625" style="95" customWidth="1"/>
    <col min="16130" max="16131" width="8.33203125" style="95" customWidth="1"/>
    <col min="16132" max="16132" width="2.6640625" style="95" customWidth="1"/>
    <col min="16133" max="16133" width="8.6640625" style="95" customWidth="1"/>
    <col min="16134" max="16134" width="8.33203125" style="95" customWidth="1"/>
    <col min="16135" max="16135" width="2.6640625" style="95" customWidth="1"/>
    <col min="16136" max="16136" width="8.33203125" style="95" customWidth="1"/>
    <col min="16137" max="16137" width="8.1640625" style="95" customWidth="1"/>
    <col min="16138" max="16138" width="2.6640625" style="95" customWidth="1"/>
    <col min="16139" max="16140" width="8.6640625" style="95" customWidth="1"/>
    <col min="16141" max="16141" width="2.6640625" style="95" customWidth="1"/>
    <col min="16142" max="16384" width="9.1640625" style="95"/>
  </cols>
  <sheetData>
    <row r="1" spans="1:14" ht="12" customHeight="1">
      <c r="A1" s="95" t="s">
        <v>466</v>
      </c>
    </row>
    <row r="2" spans="1:14" ht="13.25" customHeight="1">
      <c r="A2" s="95" t="s">
        <v>467</v>
      </c>
    </row>
    <row r="3" spans="1:14" ht="8.25" customHeight="1"/>
    <row r="4" spans="1:14" ht="13.25" customHeight="1">
      <c r="A4" s="33" t="s">
        <v>2148</v>
      </c>
    </row>
    <row r="5" spans="1:14" ht="9.75" customHeight="1" thickBot="1"/>
    <row r="6" spans="1:14" ht="13.25" customHeight="1">
      <c r="A6" s="97"/>
      <c r="B6" s="738"/>
      <c r="C6" s="631"/>
      <c r="D6" s="581"/>
      <c r="E6" s="739"/>
      <c r="F6" s="580"/>
      <c r="G6" s="581"/>
      <c r="H6" s="739"/>
      <c r="I6" s="580"/>
      <c r="J6" s="580"/>
      <c r="K6" s="739"/>
      <c r="L6" s="581"/>
      <c r="M6" s="581"/>
    </row>
    <row r="7" spans="1:14" ht="13.25" customHeight="1">
      <c r="A7" s="116" t="s">
        <v>1557</v>
      </c>
      <c r="B7" s="1040" t="s">
        <v>1525</v>
      </c>
      <c r="C7" s="1068"/>
      <c r="D7" s="117"/>
      <c r="E7" s="1019" t="s">
        <v>1558</v>
      </c>
      <c r="F7" s="1019"/>
      <c r="G7" s="117"/>
      <c r="H7" s="1019" t="s">
        <v>1559</v>
      </c>
      <c r="I7" s="1019"/>
      <c r="J7" s="150"/>
      <c r="K7" s="1021" t="s">
        <v>1560</v>
      </c>
      <c r="L7" s="1019"/>
      <c r="M7" s="117"/>
    </row>
    <row r="8" spans="1:14" ht="13.25" customHeight="1">
      <c r="A8" s="95" t="s">
        <v>1561</v>
      </c>
      <c r="B8" s="740" t="s">
        <v>400</v>
      </c>
      <c r="C8" s="148" t="s">
        <v>401</v>
      </c>
      <c r="D8" s="117"/>
      <c r="E8" s="741" t="s">
        <v>400</v>
      </c>
      <c r="F8" s="101" t="s">
        <v>401</v>
      </c>
      <c r="G8" s="117"/>
      <c r="H8" s="741" t="s">
        <v>400</v>
      </c>
      <c r="I8" s="101" t="s">
        <v>401</v>
      </c>
      <c r="J8" s="150"/>
      <c r="K8" s="741" t="s">
        <v>400</v>
      </c>
      <c r="L8" s="101" t="s">
        <v>401</v>
      </c>
      <c r="M8" s="117"/>
    </row>
    <row r="9" spans="1:14" ht="13.25" customHeight="1" thickBot="1">
      <c r="A9" s="102"/>
      <c r="B9" s="742"/>
      <c r="C9" s="634"/>
      <c r="D9" s="109"/>
      <c r="E9" s="743"/>
      <c r="F9" s="585"/>
      <c r="G9" s="109"/>
      <c r="H9" s="743"/>
      <c r="I9" s="585"/>
      <c r="J9" s="585"/>
      <c r="K9" s="743"/>
      <c r="L9" s="109"/>
      <c r="M9" s="109"/>
    </row>
    <row r="10" spans="1:14" ht="10" customHeight="1">
      <c r="A10" s="116"/>
      <c r="B10" s="744"/>
      <c r="C10" s="170"/>
      <c r="D10" s="117"/>
      <c r="E10" s="745"/>
      <c r="F10" s="150"/>
      <c r="G10" s="117"/>
      <c r="H10" s="745"/>
      <c r="I10" s="150"/>
      <c r="J10" s="150"/>
      <c r="K10" s="745"/>
      <c r="L10" s="117"/>
      <c r="M10" s="117"/>
      <c r="N10" s="942"/>
    </row>
    <row r="11" spans="1:14" ht="13.25" customHeight="1">
      <c r="A11" s="55" t="s">
        <v>402</v>
      </c>
      <c r="B11" s="746">
        <f>IF($A11&lt;&gt;0,E11+H11+K11,"")</f>
        <v>23131</v>
      </c>
      <c r="C11" s="588">
        <f>SUM(C13+C96)</f>
        <v>100</v>
      </c>
      <c r="D11" s="206"/>
      <c r="E11" s="747">
        <f>SUM(E13+E96)</f>
        <v>22614</v>
      </c>
      <c r="F11" s="218">
        <f>IF($A11&lt;&gt;0,E11/$B11*100,"")</f>
        <v>97.764904241061785</v>
      </c>
      <c r="G11" s="206"/>
      <c r="H11" s="747">
        <f>SUM(H13+H96)</f>
        <v>240</v>
      </c>
      <c r="I11" s="218">
        <f>IF($A11&lt;&gt;0,H11/$B11*100,"")</f>
        <v>1.0375686308417276</v>
      </c>
      <c r="J11" s="554"/>
      <c r="K11" s="747">
        <f>SUM(K13+K96)</f>
        <v>277</v>
      </c>
      <c r="L11" s="162">
        <f>IF($A11&lt;&gt;0,K11/$B11*100,"")</f>
        <v>1.1975271280964939</v>
      </c>
      <c r="M11" s="117"/>
      <c r="N11" s="943"/>
    </row>
    <row r="12" spans="1:14" ht="10" customHeight="1">
      <c r="A12" s="33"/>
      <c r="B12" s="746" t="str">
        <f>IF(A12&lt;&gt;0,E12+H12+K12,"")</f>
        <v/>
      </c>
      <c r="C12" s="588" t="str">
        <f t="shared" ref="C12:C75" si="0">IF($A12&lt;&gt;0,B12/$B$11*100,"")</f>
        <v/>
      </c>
      <c r="D12" s="206"/>
      <c r="E12" s="207"/>
      <c r="F12" s="218" t="str">
        <f t="shared" ref="F12:F75" si="1">IF($A12&lt;&gt;0,E12/$B12*100,"")</f>
        <v/>
      </c>
      <c r="G12" s="206"/>
      <c r="H12" s="207"/>
      <c r="I12" s="218" t="str">
        <f t="shared" ref="I12:I75" si="2">IF($A12&lt;&gt;0,H12/$B12*100,"")</f>
        <v/>
      </c>
      <c r="J12" s="554"/>
      <c r="K12" s="207"/>
      <c r="L12" s="162" t="str">
        <f t="shared" ref="L12:L75" si="3">IF($A12&lt;&gt;0,K12/$B12*100,"")</f>
        <v/>
      </c>
      <c r="M12" s="117"/>
      <c r="N12" s="944"/>
    </row>
    <row r="13" spans="1:14" ht="13.25" customHeight="1">
      <c r="A13" s="55" t="s">
        <v>1462</v>
      </c>
      <c r="B13" s="746">
        <f>IF(A13&lt;&gt;0,E13+H13+K13,"")</f>
        <v>15209</v>
      </c>
      <c r="C13" s="588">
        <f t="shared" si="0"/>
        <v>65.751588776965974</v>
      </c>
      <c r="D13" s="206"/>
      <c r="E13" s="207">
        <f>E15+E26+E34+E60+E74+E81+E93+E94</f>
        <v>14922</v>
      </c>
      <c r="F13" s="218">
        <f t="shared" si="1"/>
        <v>98.112959431915314</v>
      </c>
      <c r="G13" s="206"/>
      <c r="H13" s="207">
        <f>H15+H26+H34+H60+H74+H81+H93+H94</f>
        <v>131</v>
      </c>
      <c r="I13" s="218">
        <f t="shared" si="2"/>
        <v>0.86133210598987442</v>
      </c>
      <c r="J13" s="554"/>
      <c r="K13" s="207">
        <f>K15+K26+K34+K60+K74+K81+K93+K94</f>
        <v>156</v>
      </c>
      <c r="L13" s="162">
        <f t="shared" si="3"/>
        <v>1.0257084620948123</v>
      </c>
      <c r="M13" s="117"/>
      <c r="N13" s="945"/>
    </row>
    <row r="14" spans="1:14" ht="10" customHeight="1">
      <c r="A14" s="55"/>
      <c r="B14" s="746" t="str">
        <f t="shared" ref="B14:B77" si="4">IF(A14&lt;&gt;0,E14+H14+K14,"")</f>
        <v/>
      </c>
      <c r="C14" s="588"/>
      <c r="D14" s="206"/>
      <c r="E14" s="207"/>
      <c r="F14" s="218" t="str">
        <f t="shared" si="1"/>
        <v/>
      </c>
      <c r="G14" s="206"/>
      <c r="H14" s="207"/>
      <c r="I14" s="218"/>
      <c r="J14" s="554"/>
      <c r="K14" s="207"/>
      <c r="L14" s="162"/>
      <c r="M14" s="117"/>
      <c r="N14" s="946"/>
    </row>
    <row r="15" spans="1:14" ht="13.25" customHeight="1">
      <c r="A15" s="55" t="s">
        <v>404</v>
      </c>
      <c r="B15" s="746">
        <f t="shared" si="4"/>
        <v>1417</v>
      </c>
      <c r="C15" s="588">
        <f t="shared" si="0"/>
        <v>6.1259781245946998</v>
      </c>
      <c r="D15" s="206"/>
      <c r="E15" s="207">
        <f>E16+E21</f>
        <v>1383</v>
      </c>
      <c r="F15" s="218">
        <f t="shared" si="1"/>
        <v>97.600564573041638</v>
      </c>
      <c r="G15" s="206"/>
      <c r="H15" s="207">
        <f>H16+H21</f>
        <v>18</v>
      </c>
      <c r="I15" s="218">
        <f t="shared" si="2"/>
        <v>1.2702893436838392</v>
      </c>
      <c r="J15" s="554"/>
      <c r="K15" s="207">
        <f>K16+K21</f>
        <v>16</v>
      </c>
      <c r="L15" s="162">
        <f t="shared" si="3"/>
        <v>1.1291460832745237</v>
      </c>
      <c r="M15" s="117"/>
      <c r="N15" s="945"/>
    </row>
    <row r="16" spans="1:14" ht="13.25" customHeight="1">
      <c r="A16" s="33" t="s">
        <v>162</v>
      </c>
      <c r="B16" s="746">
        <f t="shared" si="4"/>
        <v>429</v>
      </c>
      <c r="C16" s="588">
        <f t="shared" si="0"/>
        <v>1.8546539276295879</v>
      </c>
      <c r="D16" s="206"/>
      <c r="E16" s="207">
        <f>SUM(E17:E19)</f>
        <v>416</v>
      </c>
      <c r="F16" s="218">
        <f t="shared" si="1"/>
        <v>96.969696969696969</v>
      </c>
      <c r="G16" s="206"/>
      <c r="H16" s="207">
        <f>SUM(H17:H19)</f>
        <v>9</v>
      </c>
      <c r="I16" s="218">
        <f t="shared" si="2"/>
        <v>2.0979020979020979</v>
      </c>
      <c r="J16" s="554"/>
      <c r="K16" s="207">
        <f>SUM(K17:K19)</f>
        <v>4</v>
      </c>
      <c r="L16" s="162">
        <f t="shared" si="3"/>
        <v>0.93240093240093236</v>
      </c>
      <c r="M16" s="117"/>
      <c r="N16" s="946"/>
    </row>
    <row r="17" spans="1:14" ht="13.25" customHeight="1">
      <c r="A17" s="33" t="s">
        <v>163</v>
      </c>
      <c r="B17" s="746">
        <f t="shared" si="4"/>
        <v>71</v>
      </c>
      <c r="C17" s="588">
        <f t="shared" si="0"/>
        <v>0.30694738662401105</v>
      </c>
      <c r="D17" s="206"/>
      <c r="E17" s="939">
        <v>70</v>
      </c>
      <c r="F17" s="218">
        <f t="shared" si="1"/>
        <v>98.591549295774655</v>
      </c>
      <c r="G17" s="940"/>
      <c r="H17" s="939">
        <v>0</v>
      </c>
      <c r="I17" s="218">
        <f t="shared" si="2"/>
        <v>0</v>
      </c>
      <c r="J17" s="940"/>
      <c r="K17" s="939">
        <v>1</v>
      </c>
      <c r="L17" s="162">
        <f t="shared" si="3"/>
        <v>1.4084507042253522</v>
      </c>
      <c r="M17" s="117"/>
      <c r="N17" s="946"/>
    </row>
    <row r="18" spans="1:14" ht="13.25" customHeight="1">
      <c r="A18" s="33" t="s">
        <v>164</v>
      </c>
      <c r="B18" s="746">
        <f t="shared" si="4"/>
        <v>100</v>
      </c>
      <c r="C18" s="588">
        <f t="shared" si="0"/>
        <v>0.43232026285071984</v>
      </c>
      <c r="D18" s="206"/>
      <c r="E18" s="939">
        <v>98</v>
      </c>
      <c r="F18" s="218">
        <f t="shared" si="1"/>
        <v>98</v>
      </c>
      <c r="G18" s="940"/>
      <c r="H18" s="939">
        <v>2</v>
      </c>
      <c r="I18" s="218">
        <f t="shared" si="2"/>
        <v>2</v>
      </c>
      <c r="J18" s="940"/>
      <c r="K18" s="939">
        <v>0</v>
      </c>
      <c r="L18" s="162">
        <f t="shared" si="3"/>
        <v>0</v>
      </c>
      <c r="M18" s="117"/>
      <c r="N18" s="946"/>
    </row>
    <row r="19" spans="1:14" ht="13.25" customHeight="1">
      <c r="A19" s="33" t="s">
        <v>165</v>
      </c>
      <c r="B19" s="746">
        <f t="shared" si="4"/>
        <v>258</v>
      </c>
      <c r="C19" s="588">
        <f t="shared" si="0"/>
        <v>1.1153862781548571</v>
      </c>
      <c r="D19" s="206"/>
      <c r="E19" s="939">
        <v>248</v>
      </c>
      <c r="F19" s="218">
        <f t="shared" si="1"/>
        <v>96.124031007751938</v>
      </c>
      <c r="G19" s="940"/>
      <c r="H19" s="939">
        <v>7</v>
      </c>
      <c r="I19" s="218">
        <f t="shared" si="2"/>
        <v>2.7131782945736433</v>
      </c>
      <c r="J19" s="940"/>
      <c r="K19" s="939">
        <v>3</v>
      </c>
      <c r="L19" s="162">
        <f t="shared" si="3"/>
        <v>1.1627906976744187</v>
      </c>
      <c r="M19" s="117"/>
      <c r="N19" s="946"/>
    </row>
    <row r="20" spans="1:14" ht="10" customHeight="1">
      <c r="A20" s="33"/>
      <c r="B20" s="746" t="str">
        <f t="shared" si="4"/>
        <v/>
      </c>
      <c r="C20" s="588" t="str">
        <f t="shared" si="0"/>
        <v/>
      </c>
      <c r="D20" s="206"/>
      <c r="E20" s="207"/>
      <c r="F20" s="218" t="str">
        <f t="shared" si="1"/>
        <v/>
      </c>
      <c r="G20" s="206"/>
      <c r="H20" s="207"/>
      <c r="I20" s="218" t="str">
        <f t="shared" si="2"/>
        <v/>
      </c>
      <c r="J20" s="554"/>
      <c r="K20" s="207"/>
      <c r="L20" s="162" t="str">
        <f t="shared" si="3"/>
        <v/>
      </c>
      <c r="M20" s="117"/>
      <c r="N20" s="165"/>
    </row>
    <row r="21" spans="1:14" ht="13.25" customHeight="1">
      <c r="A21" s="33" t="s">
        <v>166</v>
      </c>
      <c r="B21" s="746">
        <f t="shared" si="4"/>
        <v>988</v>
      </c>
      <c r="C21" s="588">
        <f t="shared" si="0"/>
        <v>4.2713241969651117</v>
      </c>
      <c r="D21" s="206"/>
      <c r="E21" s="207">
        <f>SUM(E22:E24)</f>
        <v>967</v>
      </c>
      <c r="F21" s="218">
        <f t="shared" si="1"/>
        <v>97.874493927125499</v>
      </c>
      <c r="G21" s="206"/>
      <c r="H21" s="207">
        <f>SUM(H22:H24)</f>
        <v>9</v>
      </c>
      <c r="I21" s="218">
        <f t="shared" si="2"/>
        <v>0.91093117408906876</v>
      </c>
      <c r="J21" s="554"/>
      <c r="K21" s="207">
        <f>SUM(K22:K24)</f>
        <v>12</v>
      </c>
      <c r="L21" s="162">
        <f t="shared" si="3"/>
        <v>1.214574898785425</v>
      </c>
      <c r="M21" s="117"/>
      <c r="N21" s="946"/>
    </row>
    <row r="22" spans="1:14" ht="13.25" customHeight="1">
      <c r="A22" s="33" t="s">
        <v>167</v>
      </c>
      <c r="B22" s="746">
        <f t="shared" si="4"/>
        <v>336</v>
      </c>
      <c r="C22" s="588">
        <f t="shared" si="0"/>
        <v>1.4525960831784186</v>
      </c>
      <c r="D22" s="206"/>
      <c r="E22" s="939">
        <v>326</v>
      </c>
      <c r="F22" s="218">
        <f t="shared" si="1"/>
        <v>97.023809523809518</v>
      </c>
      <c r="G22" s="940"/>
      <c r="H22" s="939">
        <v>3</v>
      </c>
      <c r="I22" s="218">
        <f t="shared" si="2"/>
        <v>0.89285714285714279</v>
      </c>
      <c r="J22" s="940"/>
      <c r="K22" s="939">
        <v>7</v>
      </c>
      <c r="L22" s="162">
        <f t="shared" si="3"/>
        <v>2.083333333333333</v>
      </c>
      <c r="M22" s="117"/>
      <c r="N22" s="946"/>
    </row>
    <row r="23" spans="1:14" ht="13.25" customHeight="1">
      <c r="A23" s="33" t="s">
        <v>168</v>
      </c>
      <c r="B23" s="746">
        <f t="shared" si="4"/>
        <v>123</v>
      </c>
      <c r="C23" s="588">
        <f t="shared" si="0"/>
        <v>0.53175392330638538</v>
      </c>
      <c r="D23" s="206"/>
      <c r="E23" s="939">
        <v>122</v>
      </c>
      <c r="F23" s="218">
        <f t="shared" si="1"/>
        <v>99.1869918699187</v>
      </c>
      <c r="G23" s="940"/>
      <c r="H23" s="939">
        <v>0</v>
      </c>
      <c r="I23" s="218">
        <f t="shared" si="2"/>
        <v>0</v>
      </c>
      <c r="J23" s="940"/>
      <c r="K23" s="939">
        <v>1</v>
      </c>
      <c r="L23" s="162">
        <f t="shared" si="3"/>
        <v>0.81300813008130091</v>
      </c>
      <c r="M23" s="117"/>
      <c r="N23" s="946"/>
    </row>
    <row r="24" spans="1:14" ht="13.25" customHeight="1">
      <c r="A24" s="33" t="s">
        <v>169</v>
      </c>
      <c r="B24" s="746">
        <f t="shared" si="4"/>
        <v>529</v>
      </c>
      <c r="C24" s="588">
        <f t="shared" si="0"/>
        <v>2.2869741904803078</v>
      </c>
      <c r="D24" s="206"/>
      <c r="E24" s="939">
        <v>519</v>
      </c>
      <c r="F24" s="218">
        <f t="shared" si="1"/>
        <v>98.109640831758043</v>
      </c>
      <c r="G24" s="940"/>
      <c r="H24" s="939">
        <v>6</v>
      </c>
      <c r="I24" s="218">
        <f t="shared" si="2"/>
        <v>1.1342155009451798</v>
      </c>
      <c r="J24" s="940"/>
      <c r="K24" s="939">
        <v>4</v>
      </c>
      <c r="L24" s="162">
        <f t="shared" si="3"/>
        <v>0.75614366729678639</v>
      </c>
      <c r="M24" s="117"/>
      <c r="N24" s="946"/>
    </row>
    <row r="25" spans="1:14" ht="10" customHeight="1">
      <c r="A25" s="33"/>
      <c r="B25" s="746" t="str">
        <f t="shared" si="4"/>
        <v/>
      </c>
      <c r="C25" s="588" t="str">
        <f t="shared" si="0"/>
        <v/>
      </c>
      <c r="D25" s="206"/>
      <c r="E25" s="207"/>
      <c r="F25" s="218" t="str">
        <f t="shared" si="1"/>
        <v/>
      </c>
      <c r="G25" s="206"/>
      <c r="H25" s="207"/>
      <c r="I25" s="218" t="str">
        <f t="shared" si="2"/>
        <v/>
      </c>
      <c r="J25" s="554"/>
      <c r="K25" s="207"/>
      <c r="L25" s="162" t="str">
        <f t="shared" si="3"/>
        <v/>
      </c>
      <c r="M25" s="117"/>
      <c r="N25" s="946"/>
    </row>
    <row r="26" spans="1:14" ht="13.25" customHeight="1">
      <c r="A26" s="55" t="s">
        <v>464</v>
      </c>
      <c r="B26" s="746">
        <f t="shared" si="4"/>
        <v>986</v>
      </c>
      <c r="C26" s="588">
        <f t="shared" si="0"/>
        <v>4.2626777917080974</v>
      </c>
      <c r="D26" s="206"/>
      <c r="E26" s="207">
        <f>SUM(E27)</f>
        <v>978</v>
      </c>
      <c r="F26" s="218">
        <f t="shared" si="1"/>
        <v>99.188640973630825</v>
      </c>
      <c r="G26" s="206"/>
      <c r="H26" s="207">
        <f>SUM(H27)</f>
        <v>3</v>
      </c>
      <c r="I26" s="218">
        <f t="shared" si="2"/>
        <v>0.3042596348884381</v>
      </c>
      <c r="J26" s="554"/>
      <c r="K26" s="207">
        <f>SUM(K27)</f>
        <v>5</v>
      </c>
      <c r="L26" s="162">
        <f t="shared" si="3"/>
        <v>0.50709939148073024</v>
      </c>
      <c r="M26" s="117"/>
      <c r="N26" s="945"/>
    </row>
    <row r="27" spans="1:14" ht="13.25" customHeight="1">
      <c r="A27" s="33" t="s">
        <v>171</v>
      </c>
      <c r="B27" s="746">
        <f t="shared" si="4"/>
        <v>986</v>
      </c>
      <c r="C27" s="588">
        <f t="shared" si="0"/>
        <v>4.2626777917080974</v>
      </c>
      <c r="D27" s="206"/>
      <c r="E27" s="207">
        <f>SUM(E28:E32)</f>
        <v>978</v>
      </c>
      <c r="F27" s="218">
        <f t="shared" si="1"/>
        <v>99.188640973630825</v>
      </c>
      <c r="G27" s="206"/>
      <c r="H27" s="207">
        <f>SUM(H28:H32)</f>
        <v>3</v>
      </c>
      <c r="I27" s="218">
        <f t="shared" si="2"/>
        <v>0.3042596348884381</v>
      </c>
      <c r="J27" s="554"/>
      <c r="K27" s="207">
        <f>SUM(K28:K32)</f>
        <v>5</v>
      </c>
      <c r="L27" s="162">
        <f t="shared" si="3"/>
        <v>0.50709939148073024</v>
      </c>
      <c r="M27" s="117"/>
      <c r="N27" s="946"/>
    </row>
    <row r="28" spans="1:14" ht="13.25" customHeight="1">
      <c r="A28" s="33" t="s">
        <v>172</v>
      </c>
      <c r="B28" s="746">
        <f t="shared" si="4"/>
        <v>152</v>
      </c>
      <c r="C28" s="588">
        <f t="shared" si="0"/>
        <v>0.65712679953309416</v>
      </c>
      <c r="D28" s="206"/>
      <c r="E28" s="939">
        <v>148</v>
      </c>
      <c r="F28" s="218">
        <f t="shared" si="1"/>
        <v>97.368421052631575</v>
      </c>
      <c r="G28" s="940"/>
      <c r="H28" s="939">
        <v>2</v>
      </c>
      <c r="I28" s="218">
        <f t="shared" si="2"/>
        <v>1.3157894736842104</v>
      </c>
      <c r="J28" s="940"/>
      <c r="K28" s="939">
        <v>2</v>
      </c>
      <c r="L28" s="162">
        <f t="shared" si="3"/>
        <v>1.3157894736842104</v>
      </c>
      <c r="M28" s="117"/>
      <c r="N28" s="946"/>
    </row>
    <row r="29" spans="1:14" ht="13.25" customHeight="1">
      <c r="A29" s="33" t="s">
        <v>173</v>
      </c>
      <c r="B29" s="746">
        <f t="shared" si="4"/>
        <v>237</v>
      </c>
      <c r="C29" s="588">
        <f t="shared" si="0"/>
        <v>1.0245990229562061</v>
      </c>
      <c r="D29" s="206"/>
      <c r="E29" s="939">
        <v>235</v>
      </c>
      <c r="F29" s="218">
        <f t="shared" si="1"/>
        <v>99.156118143459921</v>
      </c>
      <c r="G29" s="940"/>
      <c r="H29" s="939">
        <v>1</v>
      </c>
      <c r="I29" s="218">
        <f t="shared" si="2"/>
        <v>0.42194092827004215</v>
      </c>
      <c r="J29" s="940"/>
      <c r="K29" s="939">
        <v>1</v>
      </c>
      <c r="L29" s="162">
        <f t="shared" si="3"/>
        <v>0.42194092827004215</v>
      </c>
      <c r="M29" s="117"/>
      <c r="N29" s="946"/>
    </row>
    <row r="30" spans="1:14" ht="13.25" customHeight="1">
      <c r="A30" s="33" t="s">
        <v>174</v>
      </c>
      <c r="B30" s="746">
        <f t="shared" si="4"/>
        <v>175</v>
      </c>
      <c r="C30" s="588">
        <f t="shared" si="0"/>
        <v>0.75656045998875976</v>
      </c>
      <c r="D30" s="206"/>
      <c r="E30" s="939">
        <v>174</v>
      </c>
      <c r="F30" s="218">
        <f t="shared" si="1"/>
        <v>99.428571428571431</v>
      </c>
      <c r="G30" s="940"/>
      <c r="H30" s="939">
        <v>0</v>
      </c>
      <c r="I30" s="218">
        <f t="shared" si="2"/>
        <v>0</v>
      </c>
      <c r="J30" s="940"/>
      <c r="K30" s="939">
        <v>1</v>
      </c>
      <c r="L30" s="162">
        <f>IF($A30&lt;&gt;0,K30/$B30*100,"")</f>
        <v>0.5714285714285714</v>
      </c>
      <c r="M30" s="117"/>
      <c r="N30" s="946"/>
    </row>
    <row r="31" spans="1:14" ht="13.25" customHeight="1">
      <c r="A31" s="33" t="s">
        <v>175</v>
      </c>
      <c r="B31" s="746">
        <f t="shared" si="4"/>
        <v>254</v>
      </c>
      <c r="C31" s="588">
        <f t="shared" si="0"/>
        <v>1.0980934676408283</v>
      </c>
      <c r="D31" s="206"/>
      <c r="E31" s="939">
        <v>253</v>
      </c>
      <c r="F31" s="218">
        <f t="shared" si="1"/>
        <v>99.606299212598429</v>
      </c>
      <c r="G31" s="940"/>
      <c r="H31" s="939">
        <v>0</v>
      </c>
      <c r="I31" s="218">
        <f t="shared" si="2"/>
        <v>0</v>
      </c>
      <c r="J31" s="940"/>
      <c r="K31" s="939">
        <v>1</v>
      </c>
      <c r="L31" s="162">
        <f t="shared" si="3"/>
        <v>0.39370078740157477</v>
      </c>
      <c r="M31" s="117"/>
      <c r="N31" s="946"/>
    </row>
    <row r="32" spans="1:14" ht="13.25" customHeight="1">
      <c r="A32" s="33" t="s">
        <v>176</v>
      </c>
      <c r="B32" s="746">
        <f t="shared" si="4"/>
        <v>168</v>
      </c>
      <c r="C32" s="588">
        <f t="shared" si="0"/>
        <v>0.7262980415892093</v>
      </c>
      <c r="D32" s="206"/>
      <c r="E32" s="939">
        <v>168</v>
      </c>
      <c r="F32" s="218">
        <f t="shared" si="1"/>
        <v>100</v>
      </c>
      <c r="G32" s="940"/>
      <c r="H32" s="939">
        <v>0</v>
      </c>
      <c r="I32" s="218">
        <f t="shared" si="2"/>
        <v>0</v>
      </c>
      <c r="J32" s="940"/>
      <c r="K32" s="939">
        <v>0</v>
      </c>
      <c r="L32" s="162">
        <f t="shared" si="3"/>
        <v>0</v>
      </c>
      <c r="M32" s="117"/>
      <c r="N32" s="946"/>
    </row>
    <row r="33" spans="1:14" ht="10" customHeight="1">
      <c r="A33" s="33"/>
      <c r="B33" s="746" t="str">
        <f t="shared" si="4"/>
        <v/>
      </c>
      <c r="C33" s="588" t="str">
        <f t="shared" si="0"/>
        <v/>
      </c>
      <c r="D33" s="206"/>
      <c r="E33" s="747"/>
      <c r="F33" s="218" t="str">
        <f t="shared" si="1"/>
        <v/>
      </c>
      <c r="G33" s="206"/>
      <c r="H33" s="207"/>
      <c r="I33" s="218" t="str">
        <f t="shared" si="2"/>
        <v/>
      </c>
      <c r="J33" s="554"/>
      <c r="K33" s="207"/>
      <c r="L33" s="162" t="str">
        <f t="shared" si="3"/>
        <v/>
      </c>
      <c r="M33" s="117"/>
      <c r="N33" s="946"/>
    </row>
    <row r="34" spans="1:14" ht="13.25" customHeight="1">
      <c r="A34" s="55" t="s">
        <v>406</v>
      </c>
      <c r="B34" s="746">
        <f t="shared" si="4"/>
        <v>6682</v>
      </c>
      <c r="C34" s="588">
        <f t="shared" si="0"/>
        <v>28.887639963685096</v>
      </c>
      <c r="D34" s="206"/>
      <c r="E34" s="747">
        <f>E35+E41+E51+E53</f>
        <v>6514</v>
      </c>
      <c r="F34" s="218">
        <f t="shared" si="1"/>
        <v>97.485782699790477</v>
      </c>
      <c r="G34" s="206"/>
      <c r="H34" s="207">
        <f>H35+H41+H51+H53</f>
        <v>80</v>
      </c>
      <c r="I34" s="218">
        <f t="shared" si="2"/>
        <v>1.197246333433104</v>
      </c>
      <c r="J34" s="554"/>
      <c r="K34" s="207">
        <f>K35+K41+K51+K53</f>
        <v>88</v>
      </c>
      <c r="L34" s="162">
        <f t="shared" si="3"/>
        <v>1.3169709667764142</v>
      </c>
      <c r="M34" s="117"/>
      <c r="N34" s="945"/>
    </row>
    <row r="35" spans="1:14" ht="13.25" customHeight="1">
      <c r="A35" s="33" t="s">
        <v>178</v>
      </c>
      <c r="B35" s="746">
        <f t="shared" si="4"/>
        <v>2259</v>
      </c>
      <c r="C35" s="588">
        <f t="shared" si="0"/>
        <v>9.7661147377977606</v>
      </c>
      <c r="D35" s="206"/>
      <c r="E35" s="747">
        <f>SUM(E36:E39)</f>
        <v>2218</v>
      </c>
      <c r="F35" s="218">
        <f t="shared" si="1"/>
        <v>98.185037627268699</v>
      </c>
      <c r="G35" s="206"/>
      <c r="H35" s="207">
        <f>SUM(H36:H39)</f>
        <v>21</v>
      </c>
      <c r="I35" s="218">
        <f t="shared" si="2"/>
        <v>0.92961487383798147</v>
      </c>
      <c r="J35" s="554"/>
      <c r="K35" s="207">
        <f>SUM(K36:K39)</f>
        <v>20</v>
      </c>
      <c r="L35" s="162">
        <f t="shared" si="3"/>
        <v>0.88534749889331554</v>
      </c>
      <c r="M35" s="117"/>
      <c r="N35" s="946"/>
    </row>
    <row r="36" spans="1:14" ht="13.25" customHeight="1">
      <c r="A36" s="33" t="s">
        <v>179</v>
      </c>
      <c r="B36" s="746">
        <f t="shared" si="4"/>
        <v>1222</v>
      </c>
      <c r="C36" s="588">
        <f t="shared" si="0"/>
        <v>5.2829536120357963</v>
      </c>
      <c r="D36" s="206"/>
      <c r="E36" s="939">
        <v>1198</v>
      </c>
      <c r="F36" s="218">
        <f t="shared" si="1"/>
        <v>98.036006546644856</v>
      </c>
      <c r="G36" s="940"/>
      <c r="H36" s="939">
        <v>14</v>
      </c>
      <c r="I36" s="218">
        <f t="shared" si="2"/>
        <v>1.1456628477905073</v>
      </c>
      <c r="J36" s="940"/>
      <c r="K36" s="939">
        <v>10</v>
      </c>
      <c r="L36" s="162">
        <f t="shared" si="3"/>
        <v>0.81833060556464821</v>
      </c>
      <c r="M36" s="117"/>
      <c r="N36" s="946"/>
    </row>
    <row r="37" spans="1:14" ht="13.25" customHeight="1">
      <c r="A37" s="33" t="s">
        <v>180</v>
      </c>
      <c r="B37" s="746">
        <f t="shared" si="4"/>
        <v>600</v>
      </c>
      <c r="C37" s="588">
        <f t="shared" si="0"/>
        <v>2.5939215771043189</v>
      </c>
      <c r="D37" s="206"/>
      <c r="E37" s="939">
        <v>587</v>
      </c>
      <c r="F37" s="218">
        <f t="shared" si="1"/>
        <v>97.833333333333343</v>
      </c>
      <c r="G37" s="940"/>
      <c r="H37" s="939">
        <v>6</v>
      </c>
      <c r="I37" s="218">
        <f t="shared" si="2"/>
        <v>1</v>
      </c>
      <c r="J37" s="940"/>
      <c r="K37" s="939">
        <v>7</v>
      </c>
      <c r="L37" s="162">
        <f t="shared" si="3"/>
        <v>1.1666666666666667</v>
      </c>
      <c r="M37" s="117"/>
      <c r="N37" s="946"/>
    </row>
    <row r="38" spans="1:14" ht="13.25" customHeight="1">
      <c r="A38" s="33" t="s">
        <v>181</v>
      </c>
      <c r="B38" s="746">
        <f t="shared" si="4"/>
        <v>188</v>
      </c>
      <c r="C38" s="588">
        <f t="shared" si="0"/>
        <v>0.8127620941593533</v>
      </c>
      <c r="D38" s="206"/>
      <c r="E38" s="939">
        <v>187</v>
      </c>
      <c r="F38" s="218">
        <f t="shared" si="1"/>
        <v>99.468085106382972</v>
      </c>
      <c r="G38" s="940"/>
      <c r="H38" s="939">
        <v>0</v>
      </c>
      <c r="I38" s="218">
        <f t="shared" si="2"/>
        <v>0</v>
      </c>
      <c r="J38" s="940"/>
      <c r="K38" s="939">
        <v>1</v>
      </c>
      <c r="L38" s="162">
        <f t="shared" si="3"/>
        <v>0.53191489361702127</v>
      </c>
      <c r="M38" s="117"/>
      <c r="N38" s="946"/>
    </row>
    <row r="39" spans="1:14" ht="13.25" customHeight="1">
      <c r="A39" s="33" t="s">
        <v>182</v>
      </c>
      <c r="B39" s="746">
        <f t="shared" si="4"/>
        <v>249</v>
      </c>
      <c r="C39" s="588">
        <f t="shared" si="0"/>
        <v>1.0764774544982922</v>
      </c>
      <c r="D39" s="206"/>
      <c r="E39" s="939">
        <v>246</v>
      </c>
      <c r="F39" s="218">
        <f t="shared" si="1"/>
        <v>98.795180722891558</v>
      </c>
      <c r="G39" s="940"/>
      <c r="H39" s="939">
        <v>1</v>
      </c>
      <c r="I39" s="218">
        <f t="shared" si="2"/>
        <v>0.40160642570281119</v>
      </c>
      <c r="J39" s="940"/>
      <c r="K39" s="939">
        <v>2</v>
      </c>
      <c r="L39" s="162">
        <f t="shared" si="3"/>
        <v>0.80321285140562237</v>
      </c>
      <c r="M39" s="117"/>
      <c r="N39" s="946"/>
    </row>
    <row r="40" spans="1:14" ht="10" customHeight="1">
      <c r="A40" s="33"/>
      <c r="B40" s="746" t="str">
        <f t="shared" si="4"/>
        <v/>
      </c>
      <c r="C40" s="588" t="str">
        <f t="shared" si="0"/>
        <v/>
      </c>
      <c r="D40" s="206"/>
      <c r="E40" s="207"/>
      <c r="F40" s="218" t="str">
        <f t="shared" si="1"/>
        <v/>
      </c>
      <c r="G40" s="206"/>
      <c r="H40" s="207"/>
      <c r="I40" s="218" t="str">
        <f t="shared" si="2"/>
        <v/>
      </c>
      <c r="J40" s="554"/>
      <c r="K40" s="207"/>
      <c r="L40" s="162" t="str">
        <f t="shared" si="3"/>
        <v/>
      </c>
      <c r="M40" s="117"/>
      <c r="N40" s="111"/>
    </row>
    <row r="41" spans="1:14" ht="13.25" customHeight="1">
      <c r="A41" s="33" t="s">
        <v>183</v>
      </c>
      <c r="B41" s="746">
        <f t="shared" si="4"/>
        <v>1937</v>
      </c>
      <c r="C41" s="588">
        <f t="shared" si="0"/>
        <v>8.3740434914184423</v>
      </c>
      <c r="D41" s="206"/>
      <c r="E41" s="207">
        <f>SUM(E42:E49)</f>
        <v>1893</v>
      </c>
      <c r="F41" s="218">
        <f t="shared" si="1"/>
        <v>97.728446050593703</v>
      </c>
      <c r="G41" s="206"/>
      <c r="H41" s="207">
        <f>SUM(H42:H49)</f>
        <v>17</v>
      </c>
      <c r="I41" s="218">
        <f t="shared" si="2"/>
        <v>0.87764584408879709</v>
      </c>
      <c r="J41" s="554"/>
      <c r="K41" s="207">
        <f>SUM(K42:K49)</f>
        <v>27</v>
      </c>
      <c r="L41" s="162">
        <f t="shared" si="3"/>
        <v>1.3939081053175013</v>
      </c>
      <c r="M41" s="117"/>
      <c r="N41" s="946"/>
    </row>
    <row r="42" spans="1:14" ht="13.25" customHeight="1">
      <c r="A42" s="33" t="s">
        <v>191</v>
      </c>
      <c r="B42" s="746">
        <f t="shared" si="4"/>
        <v>224</v>
      </c>
      <c r="C42" s="588">
        <f t="shared" si="0"/>
        <v>0.96839738878561243</v>
      </c>
      <c r="D42" s="206"/>
      <c r="E42" s="939">
        <v>218</v>
      </c>
      <c r="F42" s="218">
        <f t="shared" si="1"/>
        <v>97.321428571428569</v>
      </c>
      <c r="G42" s="940"/>
      <c r="H42" s="939">
        <v>1</v>
      </c>
      <c r="I42" s="218">
        <f t="shared" si="2"/>
        <v>0.4464285714285714</v>
      </c>
      <c r="J42" s="940"/>
      <c r="K42" s="939">
        <v>5</v>
      </c>
      <c r="L42" s="162">
        <f t="shared" si="3"/>
        <v>2.2321428571428572</v>
      </c>
      <c r="M42" s="117"/>
      <c r="N42" s="946"/>
    </row>
    <row r="43" spans="1:14" ht="13.25" customHeight="1">
      <c r="A43" s="33" t="s">
        <v>184</v>
      </c>
      <c r="B43" s="746">
        <f t="shared" si="4"/>
        <v>222</v>
      </c>
      <c r="C43" s="588">
        <f t="shared" si="0"/>
        <v>0.959750983528598</v>
      </c>
      <c r="D43" s="206"/>
      <c r="E43" s="939">
        <v>216</v>
      </c>
      <c r="F43" s="218">
        <f t="shared" si="1"/>
        <v>97.297297297297305</v>
      </c>
      <c r="G43" s="940"/>
      <c r="H43" s="939">
        <v>3</v>
      </c>
      <c r="I43" s="218">
        <f t="shared" si="2"/>
        <v>1.3513513513513513</v>
      </c>
      <c r="J43" s="940"/>
      <c r="K43" s="939">
        <v>3</v>
      </c>
      <c r="L43" s="162">
        <f t="shared" si="3"/>
        <v>1.3513513513513513</v>
      </c>
      <c r="M43" s="117"/>
      <c r="N43" s="946"/>
    </row>
    <row r="44" spans="1:14" ht="13.25" customHeight="1">
      <c r="A44" s="33" t="s">
        <v>185</v>
      </c>
      <c r="B44" s="746">
        <f t="shared" si="4"/>
        <v>124</v>
      </c>
      <c r="C44" s="588">
        <f t="shared" si="0"/>
        <v>0.53607712593489254</v>
      </c>
      <c r="D44" s="206"/>
      <c r="E44" s="939">
        <v>123</v>
      </c>
      <c r="F44" s="218">
        <f t="shared" si="1"/>
        <v>99.193548387096769</v>
      </c>
      <c r="G44" s="940"/>
      <c r="H44" s="939">
        <v>0</v>
      </c>
      <c r="I44" s="218">
        <f t="shared" si="2"/>
        <v>0</v>
      </c>
      <c r="J44" s="940"/>
      <c r="K44" s="939">
        <v>1</v>
      </c>
      <c r="L44" s="162">
        <f t="shared" si="3"/>
        <v>0.80645161290322576</v>
      </c>
      <c r="M44" s="117"/>
      <c r="N44" s="946"/>
    </row>
    <row r="45" spans="1:14" ht="13.25" customHeight="1">
      <c r="A45" s="33" t="s">
        <v>186</v>
      </c>
      <c r="B45" s="746">
        <f t="shared" si="4"/>
        <v>282</v>
      </c>
      <c r="C45" s="588">
        <f t="shared" si="0"/>
        <v>1.2191431412390299</v>
      </c>
      <c r="D45" s="206"/>
      <c r="E45" s="939">
        <v>279</v>
      </c>
      <c r="F45" s="218">
        <f t="shared" si="1"/>
        <v>98.936170212765958</v>
      </c>
      <c r="G45" s="940"/>
      <c r="H45" s="939">
        <v>1</v>
      </c>
      <c r="I45" s="218">
        <f t="shared" si="2"/>
        <v>0.3546099290780142</v>
      </c>
      <c r="J45" s="940"/>
      <c r="K45" s="939">
        <v>2</v>
      </c>
      <c r="L45" s="162">
        <f t="shared" si="3"/>
        <v>0.70921985815602839</v>
      </c>
      <c r="M45" s="117"/>
      <c r="N45" s="946"/>
    </row>
    <row r="46" spans="1:14" ht="13.25" customHeight="1">
      <c r="A46" s="33" t="s">
        <v>408</v>
      </c>
      <c r="B46" s="746">
        <f>IF(A46&lt;&gt;0,E46+H46+K46,"")</f>
        <v>405</v>
      </c>
      <c r="C46" s="588">
        <f>IF($A46&lt;&gt;0,B46/$B$11*100,"")</f>
        <v>1.7508970645454154</v>
      </c>
      <c r="D46" s="206"/>
      <c r="E46" s="939">
        <v>395</v>
      </c>
      <c r="F46" s="218">
        <f t="shared" si="1"/>
        <v>97.53086419753086</v>
      </c>
      <c r="G46" s="940"/>
      <c r="H46" s="939">
        <v>3</v>
      </c>
      <c r="I46" s="218">
        <f t="shared" si="2"/>
        <v>0.74074074074074081</v>
      </c>
      <c r="J46" s="940"/>
      <c r="K46" s="939">
        <v>7</v>
      </c>
      <c r="L46" s="162">
        <f>IF($A46&lt;&gt;0,K46/$B46*100,"")</f>
        <v>1.728395061728395</v>
      </c>
      <c r="M46" s="117"/>
      <c r="N46" s="946"/>
    </row>
    <row r="47" spans="1:14" ht="13.25" customHeight="1">
      <c r="A47" s="33" t="s">
        <v>190</v>
      </c>
      <c r="B47" s="746">
        <f>IF(A47&lt;&gt;0,E47+H47+K47,"")</f>
        <v>214</v>
      </c>
      <c r="C47" s="588">
        <f>IF($A47&lt;&gt;0,B47/$B$11*100,"")</f>
        <v>0.92516536250054038</v>
      </c>
      <c r="D47" s="206"/>
      <c r="E47" s="939">
        <v>210</v>
      </c>
      <c r="F47" s="218">
        <f t="shared" si="1"/>
        <v>98.130841121495322</v>
      </c>
      <c r="G47" s="940"/>
      <c r="H47" s="939">
        <v>1</v>
      </c>
      <c r="I47" s="218">
        <f t="shared" si="2"/>
        <v>0.46728971962616817</v>
      </c>
      <c r="J47" s="940"/>
      <c r="K47" s="939">
        <v>3</v>
      </c>
      <c r="L47" s="162">
        <f>IF($A47&lt;&gt;0,K47/$B47*100,"")</f>
        <v>1.4018691588785046</v>
      </c>
      <c r="M47" s="117"/>
      <c r="N47" s="946"/>
    </row>
    <row r="48" spans="1:14" ht="13.25" customHeight="1">
      <c r="A48" s="33" t="s">
        <v>189</v>
      </c>
      <c r="B48" s="746">
        <f t="shared" si="4"/>
        <v>158</v>
      </c>
      <c r="C48" s="588">
        <f t="shared" si="0"/>
        <v>0.68306601530413724</v>
      </c>
      <c r="D48" s="206"/>
      <c r="E48" s="939">
        <v>150</v>
      </c>
      <c r="F48" s="218">
        <f t="shared" si="1"/>
        <v>94.936708860759495</v>
      </c>
      <c r="G48" s="940"/>
      <c r="H48" s="939">
        <v>5</v>
      </c>
      <c r="I48" s="218">
        <f t="shared" si="2"/>
        <v>3.1645569620253164</v>
      </c>
      <c r="J48" s="940"/>
      <c r="K48" s="939">
        <v>3</v>
      </c>
      <c r="L48" s="162">
        <f t="shared" si="3"/>
        <v>1.89873417721519</v>
      </c>
      <c r="M48" s="117"/>
      <c r="N48" s="946"/>
    </row>
    <row r="49" spans="1:14" ht="13.25" customHeight="1">
      <c r="A49" s="33" t="s">
        <v>188</v>
      </c>
      <c r="B49" s="746">
        <f t="shared" si="4"/>
        <v>308</v>
      </c>
      <c r="C49" s="588">
        <f t="shared" si="0"/>
        <v>1.3315464095802172</v>
      </c>
      <c r="D49" s="206"/>
      <c r="E49" s="939">
        <v>302</v>
      </c>
      <c r="F49" s="218">
        <f t="shared" si="1"/>
        <v>98.05194805194806</v>
      </c>
      <c r="G49" s="940"/>
      <c r="H49" s="939">
        <v>3</v>
      </c>
      <c r="I49" s="218">
        <f t="shared" si="2"/>
        <v>0.97402597402597402</v>
      </c>
      <c r="J49" s="940"/>
      <c r="K49" s="939">
        <v>3</v>
      </c>
      <c r="L49" s="162">
        <f t="shared" si="3"/>
        <v>0.97402597402597402</v>
      </c>
      <c r="M49" s="117"/>
      <c r="N49" s="946"/>
    </row>
    <row r="50" spans="1:14" ht="10" customHeight="1">
      <c r="A50" s="33"/>
      <c r="B50" s="746" t="str">
        <f t="shared" si="4"/>
        <v/>
      </c>
      <c r="C50" s="588" t="str">
        <f t="shared" si="0"/>
        <v/>
      </c>
      <c r="D50" s="206"/>
      <c r="E50" s="941"/>
      <c r="F50" s="218" t="str">
        <f t="shared" si="1"/>
        <v/>
      </c>
      <c r="G50" s="110"/>
      <c r="H50" s="941"/>
      <c r="I50" s="218" t="str">
        <f t="shared" si="2"/>
        <v/>
      </c>
      <c r="J50" s="110"/>
      <c r="K50" s="941"/>
      <c r="L50" s="162" t="str">
        <f t="shared" si="3"/>
        <v/>
      </c>
      <c r="M50" s="117"/>
      <c r="N50" s="111"/>
    </row>
    <row r="51" spans="1:14" ht="13.25" customHeight="1">
      <c r="A51" s="33" t="s">
        <v>192</v>
      </c>
      <c r="B51" s="746">
        <f t="shared" si="4"/>
        <v>411</v>
      </c>
      <c r="C51" s="588">
        <f t="shared" si="0"/>
        <v>1.7768362803164583</v>
      </c>
      <c r="D51" s="206"/>
      <c r="E51" s="939">
        <v>404</v>
      </c>
      <c r="F51" s="218">
        <f t="shared" si="1"/>
        <v>98.296836982968372</v>
      </c>
      <c r="G51" s="940"/>
      <c r="H51" s="939">
        <v>3</v>
      </c>
      <c r="I51" s="218">
        <f t="shared" si="2"/>
        <v>0.72992700729927007</v>
      </c>
      <c r="J51" s="940"/>
      <c r="K51" s="939">
        <v>4</v>
      </c>
      <c r="L51" s="162">
        <f t="shared" si="3"/>
        <v>0.97323600973236013</v>
      </c>
      <c r="M51" s="117"/>
      <c r="N51" s="946"/>
    </row>
    <row r="52" spans="1:14" ht="10" customHeight="1">
      <c r="A52" s="33"/>
      <c r="B52" s="746" t="str">
        <f t="shared" si="4"/>
        <v/>
      </c>
      <c r="C52" s="588" t="str">
        <f t="shared" si="0"/>
        <v/>
      </c>
      <c r="D52" s="206"/>
      <c r="E52" s="207"/>
      <c r="F52" s="218" t="str">
        <f t="shared" si="1"/>
        <v/>
      </c>
      <c r="G52" s="206"/>
      <c r="H52" s="207"/>
      <c r="I52" s="218" t="str">
        <f t="shared" si="2"/>
        <v/>
      </c>
      <c r="J52" s="554"/>
      <c r="K52" s="207"/>
      <c r="L52" s="162" t="str">
        <f t="shared" si="3"/>
        <v/>
      </c>
      <c r="M52" s="117"/>
      <c r="N52" s="946"/>
    </row>
    <row r="53" spans="1:14" ht="13.25" customHeight="1">
      <c r="A53" s="33" t="s">
        <v>193</v>
      </c>
      <c r="B53" s="746">
        <f t="shared" si="4"/>
        <v>2075</v>
      </c>
      <c r="C53" s="588">
        <f t="shared" si="0"/>
        <v>8.9706454541524359</v>
      </c>
      <c r="D53" s="206"/>
      <c r="E53" s="207">
        <f>SUM(E54:E58)</f>
        <v>1999</v>
      </c>
      <c r="F53" s="218">
        <f t="shared" si="1"/>
        <v>96.337349397590373</v>
      </c>
      <c r="G53" s="206"/>
      <c r="H53" s="207">
        <f>SUM(H54:H58)</f>
        <v>39</v>
      </c>
      <c r="I53" s="218">
        <f t="shared" si="2"/>
        <v>1.8795180722891567</v>
      </c>
      <c r="J53" s="554"/>
      <c r="K53" s="207">
        <f>SUM(K54:K58)</f>
        <v>37</v>
      </c>
      <c r="L53" s="162">
        <f t="shared" si="3"/>
        <v>1.7831325301204819</v>
      </c>
      <c r="M53" s="117"/>
      <c r="N53" s="946"/>
    </row>
    <row r="54" spans="1:14" ht="13.25" customHeight="1">
      <c r="A54" s="33" t="s">
        <v>194</v>
      </c>
      <c r="B54" s="746">
        <f t="shared" si="4"/>
        <v>55</v>
      </c>
      <c r="C54" s="588">
        <f t="shared" si="0"/>
        <v>0.23777614456789589</v>
      </c>
      <c r="D54" s="206"/>
      <c r="E54" s="939">
        <v>54</v>
      </c>
      <c r="F54" s="218">
        <f t="shared" si="1"/>
        <v>98.181818181818187</v>
      </c>
      <c r="G54" s="940"/>
      <c r="H54" s="939">
        <v>0</v>
      </c>
      <c r="I54" s="218">
        <f t="shared" si="2"/>
        <v>0</v>
      </c>
      <c r="J54" s="940"/>
      <c r="K54" s="939">
        <v>1</v>
      </c>
      <c r="L54" s="162">
        <f t="shared" si="3"/>
        <v>1.8181818181818181</v>
      </c>
      <c r="M54" s="117"/>
      <c r="N54" s="946"/>
    </row>
    <row r="55" spans="1:14" ht="13.25" customHeight="1">
      <c r="A55" s="33" t="s">
        <v>195</v>
      </c>
      <c r="B55" s="746">
        <f t="shared" si="4"/>
        <v>1300</v>
      </c>
      <c r="C55" s="588">
        <f t="shared" si="0"/>
        <v>5.6201634170593575</v>
      </c>
      <c r="D55" s="206"/>
      <c r="E55" s="939">
        <v>1252</v>
      </c>
      <c r="F55" s="218">
        <f t="shared" si="1"/>
        <v>96.307692307692307</v>
      </c>
      <c r="G55" s="940"/>
      <c r="H55" s="939">
        <v>26</v>
      </c>
      <c r="I55" s="218">
        <f t="shared" si="2"/>
        <v>2</v>
      </c>
      <c r="J55" s="940"/>
      <c r="K55" s="939">
        <v>22</v>
      </c>
      <c r="L55" s="162">
        <f t="shared" si="3"/>
        <v>1.6923076923076923</v>
      </c>
      <c r="M55" s="117"/>
      <c r="N55" s="946"/>
    </row>
    <row r="56" spans="1:14" ht="13.25" customHeight="1">
      <c r="A56" s="33" t="s">
        <v>196</v>
      </c>
      <c r="B56" s="746">
        <f t="shared" si="4"/>
        <v>236</v>
      </c>
      <c r="C56" s="588">
        <f t="shared" si="0"/>
        <v>1.0202758203276989</v>
      </c>
      <c r="D56" s="206"/>
      <c r="E56" s="939">
        <v>225</v>
      </c>
      <c r="F56" s="218">
        <f t="shared" si="1"/>
        <v>95.33898305084746</v>
      </c>
      <c r="G56" s="940"/>
      <c r="H56" s="939">
        <v>7</v>
      </c>
      <c r="I56" s="218">
        <f t="shared" si="2"/>
        <v>2.9661016949152543</v>
      </c>
      <c r="J56" s="940"/>
      <c r="K56" s="939">
        <v>4</v>
      </c>
      <c r="L56" s="162">
        <f t="shared" si="3"/>
        <v>1.6949152542372881</v>
      </c>
      <c r="M56" s="117"/>
      <c r="N56" s="946"/>
    </row>
    <row r="57" spans="1:14" ht="13.25" customHeight="1">
      <c r="A57" s="33" t="s">
        <v>409</v>
      </c>
      <c r="B57" s="746">
        <f t="shared" si="4"/>
        <v>323</v>
      </c>
      <c r="C57" s="588">
        <f t="shared" si="0"/>
        <v>1.3963944490078251</v>
      </c>
      <c r="D57" s="206"/>
      <c r="E57" s="939">
        <v>310</v>
      </c>
      <c r="F57" s="218">
        <f t="shared" si="1"/>
        <v>95.975232198142407</v>
      </c>
      <c r="G57" s="940"/>
      <c r="H57" s="939">
        <v>5</v>
      </c>
      <c r="I57" s="218">
        <f t="shared" si="2"/>
        <v>1.5479876160990713</v>
      </c>
      <c r="J57" s="940"/>
      <c r="K57" s="939">
        <v>8</v>
      </c>
      <c r="L57" s="162">
        <f t="shared" si="3"/>
        <v>2.4767801857585141</v>
      </c>
      <c r="M57" s="117"/>
      <c r="N57" s="946"/>
    </row>
    <row r="58" spans="1:14" ht="13.25" customHeight="1">
      <c r="A58" s="33" t="s">
        <v>198</v>
      </c>
      <c r="B58" s="746">
        <f t="shared" si="4"/>
        <v>161</v>
      </c>
      <c r="C58" s="588">
        <f t="shared" si="0"/>
        <v>0.69603562318965884</v>
      </c>
      <c r="D58" s="206"/>
      <c r="E58" s="939">
        <v>158</v>
      </c>
      <c r="F58" s="218">
        <f t="shared" si="1"/>
        <v>98.136645962732914</v>
      </c>
      <c r="G58" s="940"/>
      <c r="H58" s="939">
        <v>1</v>
      </c>
      <c r="I58" s="218">
        <f t="shared" si="2"/>
        <v>0.6211180124223602</v>
      </c>
      <c r="J58" s="940"/>
      <c r="K58" s="939">
        <v>2</v>
      </c>
      <c r="L58" s="162">
        <f t="shared" si="3"/>
        <v>1.2422360248447204</v>
      </c>
      <c r="M58" s="117"/>
      <c r="N58" s="946"/>
    </row>
    <row r="59" spans="1:14" ht="10" customHeight="1">
      <c r="A59" s="33"/>
      <c r="B59" s="746" t="str">
        <f t="shared" si="4"/>
        <v/>
      </c>
      <c r="C59" s="588" t="str">
        <f t="shared" si="0"/>
        <v/>
      </c>
      <c r="D59" s="206"/>
      <c r="E59" s="207"/>
      <c r="F59" s="218" t="str">
        <f t="shared" si="1"/>
        <v/>
      </c>
      <c r="G59" s="206"/>
      <c r="H59" s="207"/>
      <c r="I59" s="218" t="str">
        <f t="shared" si="2"/>
        <v/>
      </c>
      <c r="J59" s="554"/>
      <c r="K59" s="207"/>
      <c r="L59" s="162" t="str">
        <f t="shared" si="3"/>
        <v/>
      </c>
      <c r="M59" s="117"/>
      <c r="N59" s="946"/>
    </row>
    <row r="60" spans="1:14" ht="13.25" customHeight="1">
      <c r="A60" s="55" t="s">
        <v>410</v>
      </c>
      <c r="B60" s="746">
        <f t="shared" si="4"/>
        <v>1852</v>
      </c>
      <c r="C60" s="588">
        <f t="shared" si="0"/>
        <v>8.0065712679953318</v>
      </c>
      <c r="D60" s="206"/>
      <c r="E60" s="207">
        <f>SUM(E61+E63+E70+E72)</f>
        <v>1826</v>
      </c>
      <c r="F60" s="218">
        <f t="shared" si="1"/>
        <v>98.596112311015119</v>
      </c>
      <c r="G60" s="206"/>
      <c r="H60" s="207">
        <f>SUM(H61+H63+H70+H72)</f>
        <v>9</v>
      </c>
      <c r="I60" s="218">
        <f t="shared" si="2"/>
        <v>0.48596112311015116</v>
      </c>
      <c r="J60" s="554"/>
      <c r="K60" s="207">
        <f>SUM(K61+K63+K70+K72)</f>
        <v>17</v>
      </c>
      <c r="L60" s="162">
        <f t="shared" si="3"/>
        <v>0.91792656587473009</v>
      </c>
      <c r="M60" s="117"/>
      <c r="N60" s="945"/>
    </row>
    <row r="61" spans="1:14" ht="13.25" customHeight="1">
      <c r="A61" s="33" t="s">
        <v>411</v>
      </c>
      <c r="B61" s="746">
        <f t="shared" si="4"/>
        <v>263</v>
      </c>
      <c r="C61" s="588">
        <f t="shared" si="0"/>
        <v>1.1370022912973932</v>
      </c>
      <c r="D61" s="206"/>
      <c r="E61" s="939">
        <v>261</v>
      </c>
      <c r="F61" s="218">
        <f t="shared" si="1"/>
        <v>99.239543726235752</v>
      </c>
      <c r="G61" s="940"/>
      <c r="H61" s="939">
        <v>1</v>
      </c>
      <c r="I61" s="218">
        <f t="shared" si="2"/>
        <v>0.38022813688212925</v>
      </c>
      <c r="J61" s="940"/>
      <c r="K61" s="939">
        <v>1</v>
      </c>
      <c r="L61" s="162">
        <f t="shared" si="3"/>
        <v>0.38022813688212925</v>
      </c>
      <c r="M61" s="117"/>
      <c r="N61" s="946"/>
    </row>
    <row r="62" spans="1:14" ht="10" customHeight="1">
      <c r="A62" s="33"/>
      <c r="B62" s="746" t="str">
        <f t="shared" si="4"/>
        <v/>
      </c>
      <c r="C62" s="588"/>
      <c r="D62" s="206"/>
      <c r="E62" s="207"/>
      <c r="F62" s="218" t="str">
        <f t="shared" si="1"/>
        <v/>
      </c>
      <c r="G62" s="206"/>
      <c r="H62" s="207"/>
      <c r="I62" s="218" t="str">
        <f t="shared" si="2"/>
        <v/>
      </c>
      <c r="J62" s="554"/>
      <c r="K62" s="207"/>
      <c r="L62" s="162"/>
      <c r="M62" s="117"/>
      <c r="N62" s="945"/>
    </row>
    <row r="63" spans="1:14" ht="13.25" customHeight="1">
      <c r="A63" s="33" t="s">
        <v>202</v>
      </c>
      <c r="B63" s="746">
        <f t="shared" si="4"/>
        <v>1113</v>
      </c>
      <c r="C63" s="588">
        <f t="shared" si="0"/>
        <v>4.8117245255285113</v>
      </c>
      <c r="D63" s="206"/>
      <c r="E63" s="207">
        <f>SUM(E64:E68)</f>
        <v>1098</v>
      </c>
      <c r="F63" s="218">
        <f t="shared" si="1"/>
        <v>98.652291105121293</v>
      </c>
      <c r="G63" s="206"/>
      <c r="H63" s="207">
        <f>SUM(H64:H68)</f>
        <v>3</v>
      </c>
      <c r="I63" s="218">
        <f t="shared" si="2"/>
        <v>0.26954177897574128</v>
      </c>
      <c r="J63" s="554"/>
      <c r="K63" s="207">
        <f>SUM(K64:K68)</f>
        <v>12</v>
      </c>
      <c r="L63" s="162">
        <f t="shared" si="3"/>
        <v>1.0781671159029651</v>
      </c>
      <c r="M63" s="117"/>
      <c r="N63" s="946"/>
    </row>
    <row r="64" spans="1:14" ht="13.25" customHeight="1">
      <c r="A64" s="33" t="s">
        <v>203</v>
      </c>
      <c r="B64" s="746">
        <f t="shared" si="4"/>
        <v>239</v>
      </c>
      <c r="C64" s="588">
        <f t="shared" si="0"/>
        <v>1.0332454282132204</v>
      </c>
      <c r="D64" s="206"/>
      <c r="E64" s="939">
        <v>236</v>
      </c>
      <c r="F64" s="218">
        <f t="shared" si="1"/>
        <v>98.744769874476987</v>
      </c>
      <c r="G64" s="940"/>
      <c r="H64" s="939">
        <v>0</v>
      </c>
      <c r="I64" s="218">
        <f t="shared" si="2"/>
        <v>0</v>
      </c>
      <c r="J64" s="940"/>
      <c r="K64" s="939">
        <v>3</v>
      </c>
      <c r="L64" s="162">
        <f t="shared" si="3"/>
        <v>1.2552301255230125</v>
      </c>
      <c r="M64" s="117"/>
      <c r="N64" s="946"/>
    </row>
    <row r="65" spans="1:14" ht="13.25" customHeight="1">
      <c r="A65" s="33" t="s">
        <v>204</v>
      </c>
      <c r="B65" s="746">
        <f t="shared" si="4"/>
        <v>277</v>
      </c>
      <c r="C65" s="588">
        <f t="shared" si="0"/>
        <v>1.1975271280964939</v>
      </c>
      <c r="D65" s="206"/>
      <c r="E65" s="939">
        <v>274</v>
      </c>
      <c r="F65" s="218">
        <f t="shared" si="1"/>
        <v>98.91696750902527</v>
      </c>
      <c r="G65" s="940"/>
      <c r="H65" s="939">
        <v>1</v>
      </c>
      <c r="I65" s="218">
        <f t="shared" si="2"/>
        <v>0.36101083032490977</v>
      </c>
      <c r="J65" s="940"/>
      <c r="K65" s="939">
        <v>2</v>
      </c>
      <c r="L65" s="162">
        <f t="shared" si="3"/>
        <v>0.72202166064981954</v>
      </c>
      <c r="M65" s="117"/>
      <c r="N65" s="946"/>
    </row>
    <row r="66" spans="1:14" ht="13.25" customHeight="1">
      <c r="A66" s="33" t="s">
        <v>206</v>
      </c>
      <c r="B66" s="746">
        <f>IF(A68&lt;&gt;0,E66+H66+K66,"")</f>
        <v>119</v>
      </c>
      <c r="C66" s="588">
        <f t="shared" si="0"/>
        <v>0.51446111279235662</v>
      </c>
      <c r="D66" s="206"/>
      <c r="E66" s="939">
        <v>117</v>
      </c>
      <c r="F66" s="218">
        <f t="shared" si="1"/>
        <v>98.319327731092429</v>
      </c>
      <c r="G66" s="940"/>
      <c r="H66" s="939">
        <v>1</v>
      </c>
      <c r="I66" s="218">
        <f t="shared" si="2"/>
        <v>0.84033613445378152</v>
      </c>
      <c r="J66" s="940"/>
      <c r="K66" s="939">
        <v>1</v>
      </c>
      <c r="L66" s="162">
        <f>IF($A68&lt;&gt;0,K66/$B66*100,"")</f>
        <v>0.84033613445378152</v>
      </c>
      <c r="M66" s="117"/>
      <c r="N66" s="946"/>
    </row>
    <row r="67" spans="1:14" ht="13.25" customHeight="1">
      <c r="A67" s="95" t="s">
        <v>205</v>
      </c>
      <c r="B67" s="746">
        <f>IF(A67&lt;&gt;0,E67+H67+K67,"")</f>
        <v>88</v>
      </c>
      <c r="C67" s="588">
        <f t="shared" si="0"/>
        <v>0.3804418313086334</v>
      </c>
      <c r="D67" s="206"/>
      <c r="E67" s="939">
        <v>85</v>
      </c>
      <c r="F67" s="218">
        <f t="shared" si="1"/>
        <v>96.590909090909093</v>
      </c>
      <c r="G67" s="940"/>
      <c r="H67" s="939">
        <v>0</v>
      </c>
      <c r="I67" s="218">
        <f t="shared" si="2"/>
        <v>0</v>
      </c>
      <c r="J67" s="940"/>
      <c r="K67" s="939">
        <v>3</v>
      </c>
      <c r="L67" s="162">
        <f>IF($A68&lt;&gt;0,K67/$B67*100,"")</f>
        <v>3.4090909090909087</v>
      </c>
      <c r="M67" s="117"/>
      <c r="N67" s="946"/>
    </row>
    <row r="68" spans="1:14" ht="13.25" customHeight="1">
      <c r="A68" s="33" t="s">
        <v>207</v>
      </c>
      <c r="B68" s="746">
        <f>IF(A66&lt;&gt;0,E68+H68+K68,"")</f>
        <v>390</v>
      </c>
      <c r="C68" s="588">
        <f t="shared" si="0"/>
        <v>1.6860490251178073</v>
      </c>
      <c r="D68" s="206"/>
      <c r="E68" s="939">
        <v>386</v>
      </c>
      <c r="F68" s="218">
        <f t="shared" si="1"/>
        <v>98.974358974358978</v>
      </c>
      <c r="G68" s="940"/>
      <c r="H68" s="939">
        <v>1</v>
      </c>
      <c r="I68" s="218">
        <f t="shared" si="2"/>
        <v>0.25641025641025639</v>
      </c>
      <c r="J68" s="940"/>
      <c r="K68" s="939">
        <v>3</v>
      </c>
      <c r="L68" s="162">
        <f>IF($A66&lt;&gt;0,K68/$B68*100,"")</f>
        <v>0.76923076923076927</v>
      </c>
      <c r="M68" s="117"/>
      <c r="N68" s="946"/>
    </row>
    <row r="69" spans="1:14" ht="10" customHeight="1">
      <c r="A69" s="33"/>
      <c r="B69" s="746" t="str">
        <f t="shared" si="4"/>
        <v/>
      </c>
      <c r="C69" s="588"/>
      <c r="D69" s="206"/>
      <c r="E69" s="939"/>
      <c r="F69" s="218" t="str">
        <f t="shared" si="1"/>
        <v/>
      </c>
      <c r="G69" s="940"/>
      <c r="H69" s="939"/>
      <c r="I69" s="218" t="str">
        <f t="shared" si="2"/>
        <v/>
      </c>
      <c r="J69" s="940"/>
      <c r="K69" s="939"/>
      <c r="L69" s="162"/>
      <c r="M69" s="117"/>
      <c r="N69" s="945"/>
    </row>
    <row r="70" spans="1:14" ht="13.25" customHeight="1">
      <c r="A70" s="33" t="s">
        <v>208</v>
      </c>
      <c r="B70" s="746">
        <f t="shared" si="4"/>
        <v>201</v>
      </c>
      <c r="C70" s="588">
        <f t="shared" si="0"/>
        <v>0.86896372832994695</v>
      </c>
      <c r="D70" s="206"/>
      <c r="E70" s="939">
        <v>200</v>
      </c>
      <c r="F70" s="218">
        <f t="shared" si="1"/>
        <v>99.50248756218906</v>
      </c>
      <c r="G70" s="940"/>
      <c r="H70" s="939">
        <v>1</v>
      </c>
      <c r="I70" s="218">
        <f t="shared" si="2"/>
        <v>0.49751243781094528</v>
      </c>
      <c r="J70" s="940"/>
      <c r="K70" s="939">
        <v>0</v>
      </c>
      <c r="L70" s="162">
        <f t="shared" si="3"/>
        <v>0</v>
      </c>
      <c r="M70" s="117"/>
      <c r="N70" s="946"/>
    </row>
    <row r="71" spans="1:14" ht="11" customHeight="1">
      <c r="A71" s="33"/>
      <c r="B71" s="746" t="str">
        <f t="shared" si="4"/>
        <v/>
      </c>
      <c r="C71" s="588" t="str">
        <f t="shared" si="0"/>
        <v/>
      </c>
      <c r="D71" s="206"/>
      <c r="E71" s="939"/>
      <c r="F71" s="218" t="str">
        <f t="shared" si="1"/>
        <v/>
      </c>
      <c r="G71" s="940"/>
      <c r="H71" s="939"/>
      <c r="I71" s="218" t="str">
        <f t="shared" si="2"/>
        <v/>
      </c>
      <c r="J71" s="940"/>
      <c r="K71" s="939"/>
      <c r="L71" s="162" t="str">
        <f t="shared" si="3"/>
        <v/>
      </c>
      <c r="M71" s="117"/>
      <c r="N71" s="945"/>
    </row>
    <row r="72" spans="1:14" ht="13.25" customHeight="1">
      <c r="A72" s="33" t="s">
        <v>209</v>
      </c>
      <c r="B72" s="746">
        <f t="shared" si="4"/>
        <v>275</v>
      </c>
      <c r="C72" s="588">
        <f t="shared" si="0"/>
        <v>1.1888807228394795</v>
      </c>
      <c r="D72" s="206"/>
      <c r="E72" s="939">
        <v>267</v>
      </c>
      <c r="F72" s="218">
        <f t="shared" si="1"/>
        <v>97.090909090909093</v>
      </c>
      <c r="G72" s="940"/>
      <c r="H72" s="939">
        <v>4</v>
      </c>
      <c r="I72" s="218">
        <f t="shared" si="2"/>
        <v>1.4545454545454546</v>
      </c>
      <c r="J72" s="940"/>
      <c r="K72" s="939">
        <v>4</v>
      </c>
      <c r="L72" s="162">
        <f t="shared" si="3"/>
        <v>1.4545454545454546</v>
      </c>
      <c r="M72" s="117"/>
      <c r="N72" s="946"/>
    </row>
    <row r="73" spans="1:14" ht="10" customHeight="1">
      <c r="A73" s="33"/>
      <c r="B73" s="746" t="str">
        <f t="shared" si="4"/>
        <v/>
      </c>
      <c r="C73" s="588" t="str">
        <f t="shared" si="0"/>
        <v/>
      </c>
      <c r="D73" s="206"/>
      <c r="E73" s="207"/>
      <c r="F73" s="218" t="str">
        <f t="shared" si="1"/>
        <v/>
      </c>
      <c r="G73" s="206"/>
      <c r="H73" s="207"/>
      <c r="I73" s="218" t="str">
        <f t="shared" si="2"/>
        <v/>
      </c>
      <c r="J73" s="554"/>
      <c r="K73" s="207"/>
      <c r="L73" s="162" t="str">
        <f t="shared" si="3"/>
        <v/>
      </c>
      <c r="M73" s="117"/>
      <c r="N73" s="111"/>
    </row>
    <row r="74" spans="1:14" ht="13.25" customHeight="1">
      <c r="A74" s="55" t="s">
        <v>413</v>
      </c>
      <c r="B74" s="746">
        <f t="shared" si="4"/>
        <v>739</v>
      </c>
      <c r="C74" s="588">
        <f t="shared" si="0"/>
        <v>3.1948467424668197</v>
      </c>
      <c r="D74" s="206"/>
      <c r="E74" s="207">
        <f>E75</f>
        <v>726</v>
      </c>
      <c r="F74" s="218">
        <f t="shared" si="1"/>
        <v>98.240866035182677</v>
      </c>
      <c r="G74" s="206"/>
      <c r="H74" s="207">
        <f>H75</f>
        <v>6</v>
      </c>
      <c r="I74" s="218">
        <f t="shared" si="2"/>
        <v>0.81190798376184026</v>
      </c>
      <c r="J74" s="554"/>
      <c r="K74" s="207">
        <f>K75</f>
        <v>7</v>
      </c>
      <c r="L74" s="162">
        <f t="shared" si="3"/>
        <v>0.94722598105548039</v>
      </c>
      <c r="M74" s="117"/>
      <c r="N74" s="946"/>
    </row>
    <row r="75" spans="1:14" ht="13.25" customHeight="1">
      <c r="A75" s="33" t="s">
        <v>211</v>
      </c>
      <c r="B75" s="746">
        <f t="shared" si="4"/>
        <v>739</v>
      </c>
      <c r="C75" s="588">
        <f t="shared" si="0"/>
        <v>3.1948467424668197</v>
      </c>
      <c r="D75" s="206"/>
      <c r="E75" s="207">
        <f>SUM(E76:E79)</f>
        <v>726</v>
      </c>
      <c r="F75" s="218">
        <f t="shared" si="1"/>
        <v>98.240866035182677</v>
      </c>
      <c r="G75" s="206"/>
      <c r="H75" s="207">
        <f>SUM(H76:H79)</f>
        <v>6</v>
      </c>
      <c r="I75" s="218">
        <f t="shared" si="2"/>
        <v>0.81190798376184026</v>
      </c>
      <c r="J75" s="554"/>
      <c r="K75" s="207">
        <f>SUM(K76:K79)</f>
        <v>7</v>
      </c>
      <c r="L75" s="162">
        <f t="shared" si="3"/>
        <v>0.94722598105548039</v>
      </c>
      <c r="M75" s="117"/>
      <c r="N75" s="946"/>
    </row>
    <row r="76" spans="1:14" ht="13.25" customHeight="1">
      <c r="A76" s="33" t="s">
        <v>212</v>
      </c>
      <c r="B76" s="746">
        <f t="shared" si="4"/>
        <v>224</v>
      </c>
      <c r="C76" s="588">
        <f t="shared" ref="C76:C101" si="5">IF($A76&lt;&gt;0,B76/$B$11*100,"")</f>
        <v>0.96839738878561243</v>
      </c>
      <c r="D76" s="206"/>
      <c r="E76" s="939">
        <v>219</v>
      </c>
      <c r="F76" s="218">
        <f t="shared" ref="F76:F101" si="6">IF($A76&lt;&gt;0,E76/$B76*100,"")</f>
        <v>97.767857142857139</v>
      </c>
      <c r="G76" s="940"/>
      <c r="H76" s="939">
        <v>3</v>
      </c>
      <c r="I76" s="218">
        <f t="shared" ref="I76:I101" si="7">IF($A76&lt;&gt;0,H76/$B76*100,"")</f>
        <v>1.3392857142857142</v>
      </c>
      <c r="J76" s="940"/>
      <c r="K76" s="939">
        <v>2</v>
      </c>
      <c r="L76" s="162">
        <f t="shared" ref="L76:L96" si="8">IF($A76&lt;&gt;0,K76/$B76*100,"")</f>
        <v>0.89285714285714279</v>
      </c>
      <c r="M76" s="117"/>
      <c r="N76" s="946"/>
    </row>
    <row r="77" spans="1:14" ht="13.25" customHeight="1">
      <c r="A77" s="33" t="s">
        <v>213</v>
      </c>
      <c r="B77" s="746">
        <f t="shared" si="4"/>
        <v>255</v>
      </c>
      <c r="C77" s="588">
        <f t="shared" si="5"/>
        <v>1.1024166702693354</v>
      </c>
      <c r="D77" s="206"/>
      <c r="E77" s="939">
        <v>251</v>
      </c>
      <c r="F77" s="218">
        <f t="shared" si="6"/>
        <v>98.431372549019599</v>
      </c>
      <c r="G77" s="940"/>
      <c r="H77" s="939">
        <v>2</v>
      </c>
      <c r="I77" s="218">
        <f t="shared" si="7"/>
        <v>0.78431372549019607</v>
      </c>
      <c r="J77" s="940"/>
      <c r="K77" s="939">
        <v>2</v>
      </c>
      <c r="L77" s="162">
        <f t="shared" si="8"/>
        <v>0.78431372549019607</v>
      </c>
      <c r="M77" s="117"/>
      <c r="N77" s="946"/>
    </row>
    <row r="78" spans="1:14" ht="13.25" customHeight="1">
      <c r="A78" s="33" t="s">
        <v>214</v>
      </c>
      <c r="B78" s="746">
        <f t="shared" ref="B78:B96" si="9">IF(A78&lt;&gt;0,E78+H78+K78,"")</f>
        <v>190</v>
      </c>
      <c r="C78" s="588">
        <f t="shared" si="5"/>
        <v>0.82140849941636762</v>
      </c>
      <c r="D78" s="206"/>
      <c r="E78" s="939">
        <v>187</v>
      </c>
      <c r="F78" s="218">
        <f t="shared" si="6"/>
        <v>98.421052631578945</v>
      </c>
      <c r="G78" s="940"/>
      <c r="H78" s="939">
        <v>1</v>
      </c>
      <c r="I78" s="218">
        <f t="shared" si="7"/>
        <v>0.52631578947368418</v>
      </c>
      <c r="J78" s="940"/>
      <c r="K78" s="939">
        <v>2</v>
      </c>
      <c r="L78" s="162">
        <f t="shared" si="8"/>
        <v>1.0526315789473684</v>
      </c>
      <c r="M78" s="117"/>
      <c r="N78" s="946"/>
    </row>
    <row r="79" spans="1:14" ht="13.25" customHeight="1">
      <c r="A79" s="33" t="s">
        <v>215</v>
      </c>
      <c r="B79" s="746">
        <f t="shared" si="9"/>
        <v>70</v>
      </c>
      <c r="C79" s="588">
        <f t="shared" si="5"/>
        <v>0.30262418399550384</v>
      </c>
      <c r="D79" s="206"/>
      <c r="E79" s="939">
        <v>69</v>
      </c>
      <c r="F79" s="218">
        <f t="shared" si="6"/>
        <v>98.571428571428584</v>
      </c>
      <c r="G79" s="940"/>
      <c r="H79" s="939">
        <v>0</v>
      </c>
      <c r="I79" s="218">
        <f t="shared" si="7"/>
        <v>0</v>
      </c>
      <c r="J79" s="940"/>
      <c r="K79" s="939">
        <v>1</v>
      </c>
      <c r="L79" s="162">
        <f t="shared" si="8"/>
        <v>1.4285714285714286</v>
      </c>
      <c r="M79" s="117"/>
      <c r="N79" s="946"/>
    </row>
    <row r="80" spans="1:14" ht="10" customHeight="1">
      <c r="A80" s="33"/>
      <c r="B80" s="746"/>
      <c r="C80" s="588"/>
      <c r="D80" s="206"/>
      <c r="E80" s="748"/>
      <c r="F80" s="218" t="str">
        <f t="shared" si="6"/>
        <v/>
      </c>
      <c r="G80" s="206"/>
      <c r="H80" s="748"/>
      <c r="I80" s="218" t="str">
        <f t="shared" si="7"/>
        <v/>
      </c>
      <c r="J80" s="554"/>
      <c r="K80" s="748"/>
      <c r="L80" s="162"/>
      <c r="M80" s="117"/>
      <c r="N80" s="111"/>
    </row>
    <row r="81" spans="1:14" ht="11" customHeight="1">
      <c r="A81" s="55" t="s">
        <v>483</v>
      </c>
      <c r="B81" s="746">
        <f t="shared" si="9"/>
        <v>2684</v>
      </c>
      <c r="C81" s="588">
        <f t="shared" si="5"/>
        <v>11.60347585491332</v>
      </c>
      <c r="D81" s="206"/>
      <c r="E81" s="568">
        <f>SUM(E82)</f>
        <v>2661</v>
      </c>
      <c r="F81" s="218">
        <f t="shared" si="6"/>
        <v>99.14307004470939</v>
      </c>
      <c r="G81" s="206"/>
      <c r="H81" s="207">
        <f>SUM(H82)</f>
        <v>13</v>
      </c>
      <c r="I81" s="218">
        <f t="shared" si="7"/>
        <v>0.48435171385991055</v>
      </c>
      <c r="J81" s="554"/>
      <c r="K81" s="207">
        <f>SUM(K82)</f>
        <v>10</v>
      </c>
      <c r="L81" s="162">
        <f t="shared" si="8"/>
        <v>0.37257824143070045</v>
      </c>
      <c r="M81" s="117"/>
      <c r="N81" s="945"/>
    </row>
    <row r="82" spans="1:14" ht="13.25" customHeight="1">
      <c r="A82" s="33" t="s">
        <v>217</v>
      </c>
      <c r="B82" s="746">
        <f t="shared" si="9"/>
        <v>2684</v>
      </c>
      <c r="C82" s="588">
        <f t="shared" si="5"/>
        <v>11.60347585491332</v>
      </c>
      <c r="D82" s="206"/>
      <c r="E82" s="207">
        <f>SUM(E83:E91)</f>
        <v>2661</v>
      </c>
      <c r="F82" s="218">
        <f t="shared" si="6"/>
        <v>99.14307004470939</v>
      </c>
      <c r="G82" s="206"/>
      <c r="H82" s="207">
        <f>SUM(H83:H91)</f>
        <v>13</v>
      </c>
      <c r="I82" s="218">
        <f t="shared" si="7"/>
        <v>0.48435171385991055</v>
      </c>
      <c r="J82" s="554"/>
      <c r="K82" s="207">
        <f>SUM(K83:K91)</f>
        <v>10</v>
      </c>
      <c r="L82" s="162">
        <f t="shared" si="8"/>
        <v>0.37257824143070045</v>
      </c>
      <c r="M82" s="117"/>
      <c r="N82" s="946"/>
    </row>
    <row r="83" spans="1:14" ht="13.25" customHeight="1">
      <c r="A83" s="33" t="s">
        <v>415</v>
      </c>
      <c r="B83" s="746">
        <f t="shared" si="9"/>
        <v>298</v>
      </c>
      <c r="C83" s="588">
        <f t="shared" si="5"/>
        <v>1.2883143832951451</v>
      </c>
      <c r="D83" s="206"/>
      <c r="E83" s="939">
        <v>297</v>
      </c>
      <c r="F83" s="218">
        <f t="shared" si="6"/>
        <v>99.664429530201332</v>
      </c>
      <c r="G83" s="940"/>
      <c r="H83" s="939">
        <v>0</v>
      </c>
      <c r="I83" s="218">
        <f t="shared" si="7"/>
        <v>0</v>
      </c>
      <c r="J83" s="940"/>
      <c r="K83" s="939">
        <v>1</v>
      </c>
      <c r="L83" s="162">
        <f t="shared" si="8"/>
        <v>0.33557046979865773</v>
      </c>
      <c r="M83" s="117"/>
      <c r="N83" s="946"/>
    </row>
    <row r="84" spans="1:14" ht="13.25" customHeight="1">
      <c r="A84" s="33" t="s">
        <v>218</v>
      </c>
      <c r="B84" s="746">
        <f t="shared" si="9"/>
        <v>401</v>
      </c>
      <c r="C84" s="588">
        <f t="shared" si="5"/>
        <v>1.7336042540313865</v>
      </c>
      <c r="D84" s="206"/>
      <c r="E84" s="939">
        <v>398</v>
      </c>
      <c r="F84" s="218">
        <f t="shared" si="6"/>
        <v>99.251870324189525</v>
      </c>
      <c r="G84" s="940"/>
      <c r="H84" s="939">
        <v>2</v>
      </c>
      <c r="I84" s="218">
        <f t="shared" si="7"/>
        <v>0.49875311720698251</v>
      </c>
      <c r="J84" s="940"/>
      <c r="K84" s="939">
        <v>1</v>
      </c>
      <c r="L84" s="162">
        <f t="shared" si="8"/>
        <v>0.24937655860349126</v>
      </c>
      <c r="M84" s="117"/>
      <c r="N84" s="946"/>
    </row>
    <row r="85" spans="1:14" ht="13.25" customHeight="1">
      <c r="A85" s="33" t="s">
        <v>220</v>
      </c>
      <c r="B85" s="746">
        <f t="shared" si="9"/>
        <v>500</v>
      </c>
      <c r="C85" s="588">
        <f t="shared" si="5"/>
        <v>2.1616013142535988</v>
      </c>
      <c r="D85" s="206"/>
      <c r="E85" s="939">
        <v>495</v>
      </c>
      <c r="F85" s="218">
        <f t="shared" si="6"/>
        <v>99</v>
      </c>
      <c r="G85" s="940"/>
      <c r="H85" s="939">
        <v>3</v>
      </c>
      <c r="I85" s="218">
        <f t="shared" si="7"/>
        <v>0.6</v>
      </c>
      <c r="J85" s="940"/>
      <c r="K85" s="939">
        <v>2</v>
      </c>
      <c r="L85" s="162">
        <f t="shared" si="8"/>
        <v>0.4</v>
      </c>
      <c r="M85" s="117"/>
      <c r="N85" s="946"/>
    </row>
    <row r="86" spans="1:14" ht="13.25" customHeight="1">
      <c r="A86" s="33" t="s">
        <v>222</v>
      </c>
      <c r="B86" s="746">
        <f t="shared" si="9"/>
        <v>149</v>
      </c>
      <c r="C86" s="588">
        <f t="shared" si="5"/>
        <v>0.64415719164757257</v>
      </c>
      <c r="D86" s="206"/>
      <c r="E86" s="939">
        <v>148</v>
      </c>
      <c r="F86" s="218">
        <f t="shared" si="6"/>
        <v>99.328859060402692</v>
      </c>
      <c r="G86" s="940"/>
      <c r="H86" s="939">
        <v>1</v>
      </c>
      <c r="I86" s="218">
        <f t="shared" si="7"/>
        <v>0.67114093959731547</v>
      </c>
      <c r="J86" s="940"/>
      <c r="K86" s="939">
        <v>0</v>
      </c>
      <c r="L86" s="162">
        <f t="shared" si="8"/>
        <v>0</v>
      </c>
      <c r="M86" s="117"/>
      <c r="N86" s="946"/>
    </row>
    <row r="87" spans="1:14" ht="13.25" customHeight="1">
      <c r="A87" s="33" t="s">
        <v>221</v>
      </c>
      <c r="B87" s="746">
        <f t="shared" si="9"/>
        <v>197</v>
      </c>
      <c r="C87" s="588">
        <f t="shared" si="5"/>
        <v>0.85167091781591808</v>
      </c>
      <c r="D87" s="206"/>
      <c r="E87" s="939">
        <v>196</v>
      </c>
      <c r="F87" s="218">
        <f t="shared" si="6"/>
        <v>99.492385786802032</v>
      </c>
      <c r="G87" s="940"/>
      <c r="H87" s="939">
        <v>1</v>
      </c>
      <c r="I87" s="218">
        <f t="shared" si="7"/>
        <v>0.50761421319796951</v>
      </c>
      <c r="J87" s="940"/>
      <c r="K87" s="939">
        <v>0</v>
      </c>
      <c r="L87" s="162">
        <f t="shared" si="8"/>
        <v>0</v>
      </c>
      <c r="M87" s="117"/>
      <c r="N87" s="946"/>
    </row>
    <row r="88" spans="1:14" ht="13.25" customHeight="1">
      <c r="A88" s="33" t="s">
        <v>219</v>
      </c>
      <c r="B88" s="746">
        <f t="shared" si="9"/>
        <v>282</v>
      </c>
      <c r="C88" s="588">
        <f t="shared" si="5"/>
        <v>1.2191431412390299</v>
      </c>
      <c r="D88" s="206"/>
      <c r="E88" s="939">
        <v>278</v>
      </c>
      <c r="F88" s="218">
        <f t="shared" si="6"/>
        <v>98.581560283687935</v>
      </c>
      <c r="G88" s="940"/>
      <c r="H88" s="939">
        <v>2</v>
      </c>
      <c r="I88" s="218">
        <f t="shared" si="7"/>
        <v>0.70921985815602839</v>
      </c>
      <c r="J88" s="940"/>
      <c r="K88" s="939">
        <v>2</v>
      </c>
      <c r="L88" s="162">
        <f t="shared" si="8"/>
        <v>0.70921985815602839</v>
      </c>
      <c r="M88" s="117"/>
      <c r="N88" s="946"/>
    </row>
    <row r="89" spans="1:14" ht="13.25" customHeight="1">
      <c r="A89" s="33" t="s">
        <v>223</v>
      </c>
      <c r="B89" s="746">
        <f t="shared" si="9"/>
        <v>298</v>
      </c>
      <c r="C89" s="588">
        <f t="shared" si="5"/>
        <v>1.2883143832951451</v>
      </c>
      <c r="D89" s="206"/>
      <c r="E89" s="939">
        <v>294</v>
      </c>
      <c r="F89" s="218">
        <f t="shared" si="6"/>
        <v>98.65771812080537</v>
      </c>
      <c r="G89" s="940"/>
      <c r="H89" s="939">
        <v>1</v>
      </c>
      <c r="I89" s="218">
        <f t="shared" si="7"/>
        <v>0.33557046979865773</v>
      </c>
      <c r="J89" s="940"/>
      <c r="K89" s="939">
        <v>3</v>
      </c>
      <c r="L89" s="162">
        <f t="shared" si="8"/>
        <v>1.006711409395973</v>
      </c>
      <c r="M89" s="117"/>
      <c r="N89" s="946"/>
    </row>
    <row r="90" spans="1:14" ht="13.25" customHeight="1">
      <c r="A90" s="95" t="s">
        <v>1183</v>
      </c>
      <c r="B90" s="746">
        <f t="shared" si="9"/>
        <v>264</v>
      </c>
      <c r="C90" s="588">
        <f t="shared" si="5"/>
        <v>1.1413254939259003</v>
      </c>
      <c r="D90" s="206"/>
      <c r="E90" s="939">
        <v>264</v>
      </c>
      <c r="F90" s="218">
        <f t="shared" si="6"/>
        <v>100</v>
      </c>
      <c r="G90" s="940"/>
      <c r="H90" s="939">
        <v>0</v>
      </c>
      <c r="I90" s="218">
        <f t="shared" si="7"/>
        <v>0</v>
      </c>
      <c r="J90" s="940"/>
      <c r="K90" s="939">
        <v>0</v>
      </c>
      <c r="L90" s="162">
        <f t="shared" si="8"/>
        <v>0</v>
      </c>
      <c r="M90" s="117"/>
      <c r="N90" s="946"/>
    </row>
    <row r="91" spans="1:14" ht="13.25" customHeight="1">
      <c r="A91" s="33" t="s">
        <v>416</v>
      </c>
      <c r="B91" s="746">
        <f t="shared" si="9"/>
        <v>295</v>
      </c>
      <c r="C91" s="588">
        <f t="shared" si="5"/>
        <v>1.2753447754096234</v>
      </c>
      <c r="D91" s="206"/>
      <c r="E91" s="939">
        <v>291</v>
      </c>
      <c r="F91" s="218">
        <f t="shared" si="6"/>
        <v>98.644067796610173</v>
      </c>
      <c r="G91" s="940"/>
      <c r="H91" s="939">
        <v>3</v>
      </c>
      <c r="I91" s="218">
        <f t="shared" si="7"/>
        <v>1.0169491525423728</v>
      </c>
      <c r="J91" s="940"/>
      <c r="K91" s="939">
        <v>1</v>
      </c>
      <c r="L91" s="162">
        <f t="shared" si="8"/>
        <v>0.33898305084745761</v>
      </c>
      <c r="M91" s="117"/>
      <c r="N91" s="946"/>
    </row>
    <row r="92" spans="1:14" ht="9.75" customHeight="1">
      <c r="A92" s="33"/>
      <c r="B92" s="746" t="str">
        <f t="shared" si="9"/>
        <v/>
      </c>
      <c r="C92" s="588" t="str">
        <f t="shared" si="5"/>
        <v/>
      </c>
      <c r="D92" s="206"/>
      <c r="E92" s="941"/>
      <c r="F92" s="218" t="str">
        <f t="shared" si="6"/>
        <v/>
      </c>
      <c r="G92" s="110"/>
      <c r="H92" s="941"/>
      <c r="I92" s="218" t="str">
        <f t="shared" si="7"/>
        <v/>
      </c>
      <c r="J92" s="110"/>
      <c r="K92" s="941"/>
      <c r="L92" s="162" t="str">
        <f t="shared" si="8"/>
        <v/>
      </c>
      <c r="M92" s="117"/>
      <c r="N92" s="111"/>
    </row>
    <row r="93" spans="1:14" ht="13.25" customHeight="1">
      <c r="A93" s="749" t="s">
        <v>417</v>
      </c>
      <c r="B93" s="746">
        <f t="shared" si="9"/>
        <v>418</v>
      </c>
      <c r="C93" s="588">
        <f t="shared" si="5"/>
        <v>1.8070986987160087</v>
      </c>
      <c r="D93" s="206"/>
      <c r="E93" s="939">
        <v>405</v>
      </c>
      <c r="F93" s="218">
        <f t="shared" si="6"/>
        <v>96.889952153110045</v>
      </c>
      <c r="G93" s="940"/>
      <c r="H93" s="939">
        <v>1</v>
      </c>
      <c r="I93" s="218">
        <f t="shared" si="7"/>
        <v>0.23923444976076555</v>
      </c>
      <c r="J93" s="940"/>
      <c r="K93" s="939">
        <v>12</v>
      </c>
      <c r="L93" s="162">
        <f t="shared" si="8"/>
        <v>2.8708133971291865</v>
      </c>
      <c r="M93" s="117"/>
      <c r="N93" s="946"/>
    </row>
    <row r="94" spans="1:14" ht="13.25" customHeight="1">
      <c r="A94" s="95" t="s">
        <v>2224</v>
      </c>
      <c r="B94" s="746">
        <f t="shared" si="9"/>
        <v>431</v>
      </c>
      <c r="C94" s="588">
        <f t="shared" si="5"/>
        <v>1.8633003328866022</v>
      </c>
      <c r="D94" s="206"/>
      <c r="E94" s="939">
        <v>429</v>
      </c>
      <c r="F94" s="218">
        <f t="shared" si="6"/>
        <v>99.535962877030158</v>
      </c>
      <c r="G94" s="940"/>
      <c r="H94" s="939">
        <v>1</v>
      </c>
      <c r="I94" s="218">
        <f t="shared" si="7"/>
        <v>0.23201856148491878</v>
      </c>
      <c r="J94" s="940"/>
      <c r="K94" s="939">
        <v>1</v>
      </c>
      <c r="L94" s="162">
        <f t="shared" si="8"/>
        <v>0.23201856148491878</v>
      </c>
      <c r="M94" s="117"/>
      <c r="N94" s="946"/>
    </row>
    <row r="95" spans="1:14" ht="10" customHeight="1">
      <c r="A95" s="33"/>
      <c r="B95" s="746" t="str">
        <f t="shared" si="9"/>
        <v/>
      </c>
      <c r="C95" s="588" t="str">
        <f t="shared" si="5"/>
        <v/>
      </c>
      <c r="D95" s="206"/>
      <c r="E95" s="207"/>
      <c r="F95" s="218" t="str">
        <f t="shared" si="6"/>
        <v/>
      </c>
      <c r="G95" s="206"/>
      <c r="H95" s="207"/>
      <c r="I95" s="218" t="str">
        <f t="shared" si="7"/>
        <v/>
      </c>
      <c r="J95" s="554"/>
      <c r="K95" s="568"/>
      <c r="L95" s="162" t="str">
        <f t="shared" si="8"/>
        <v/>
      </c>
      <c r="M95" s="117"/>
      <c r="N95" s="946"/>
    </row>
    <row r="96" spans="1:14" ht="12" customHeight="1">
      <c r="A96" s="55" t="s">
        <v>423</v>
      </c>
      <c r="B96" s="746">
        <f t="shared" si="9"/>
        <v>7922</v>
      </c>
      <c r="C96" s="588">
        <f t="shared" si="5"/>
        <v>34.248411223034026</v>
      </c>
      <c r="D96" s="206"/>
      <c r="E96" s="207">
        <f>SUM(E97:E101)</f>
        <v>7692</v>
      </c>
      <c r="F96" s="218">
        <f t="shared" si="6"/>
        <v>97.096692754354962</v>
      </c>
      <c r="G96" s="206"/>
      <c r="H96" s="207">
        <f>SUM(H97:H101)</f>
        <v>109</v>
      </c>
      <c r="I96" s="218">
        <f t="shared" si="7"/>
        <v>1.3759151729361272</v>
      </c>
      <c r="J96" s="554"/>
      <c r="K96" s="207">
        <f>SUM(K97:K101)</f>
        <v>121</v>
      </c>
      <c r="L96" s="162">
        <f t="shared" si="8"/>
        <v>1.5273920727089119</v>
      </c>
      <c r="M96" s="117"/>
      <c r="N96" s="946"/>
    </row>
    <row r="97" spans="1:14" ht="13.25" customHeight="1">
      <c r="A97" s="33" t="s">
        <v>424</v>
      </c>
      <c r="B97" s="746">
        <f>IF(A97&lt;&gt;0,E97+H97+K97,"")</f>
        <v>2347</v>
      </c>
      <c r="C97" s="588">
        <f t="shared" si="5"/>
        <v>10.146556569106394</v>
      </c>
      <c r="D97" s="206"/>
      <c r="E97" s="939">
        <v>2286</v>
      </c>
      <c r="F97" s="218">
        <f t="shared" si="6"/>
        <v>97.400937366851309</v>
      </c>
      <c r="G97" s="940"/>
      <c r="H97" s="939">
        <v>30</v>
      </c>
      <c r="I97" s="218">
        <f t="shared" si="7"/>
        <v>1.2782275244993611</v>
      </c>
      <c r="J97" s="940"/>
      <c r="K97" s="939">
        <v>31</v>
      </c>
      <c r="L97" s="162">
        <f>IF($A97&lt;&gt;0,K97/$B97*100,"")</f>
        <v>1.3208351086493395</v>
      </c>
      <c r="M97" s="117"/>
      <c r="N97" s="947"/>
    </row>
    <row r="98" spans="1:14" ht="13.25" customHeight="1">
      <c r="A98" s="33" t="s">
        <v>425</v>
      </c>
      <c r="B98" s="746">
        <f>IF(A98&lt;&gt;0,E98+H98+K98,"")</f>
        <v>1657</v>
      </c>
      <c r="C98" s="588">
        <f t="shared" si="5"/>
        <v>7.1635467554364274</v>
      </c>
      <c r="D98" s="206"/>
      <c r="E98" s="939">
        <v>1602</v>
      </c>
      <c r="F98" s="218">
        <f t="shared" si="6"/>
        <v>96.680748340374166</v>
      </c>
      <c r="G98" s="940"/>
      <c r="H98" s="939">
        <v>28</v>
      </c>
      <c r="I98" s="218">
        <f t="shared" si="7"/>
        <v>1.6898008449004225</v>
      </c>
      <c r="J98" s="940"/>
      <c r="K98" s="939">
        <v>27</v>
      </c>
      <c r="L98" s="162">
        <f>IF($A98&lt;&gt;0,K98/$B98*100,"")</f>
        <v>1.6294508147254072</v>
      </c>
      <c r="M98" s="117"/>
      <c r="N98" s="946"/>
    </row>
    <row r="99" spans="1:14" ht="13.25" customHeight="1">
      <c r="A99" s="33" t="s">
        <v>426</v>
      </c>
      <c r="B99" s="746">
        <f>IF(A99&lt;&gt;0,E99+H99+K99,"")</f>
        <v>1682</v>
      </c>
      <c r="C99" s="588">
        <f t="shared" si="5"/>
        <v>7.2716268211491073</v>
      </c>
      <c r="D99" s="219"/>
      <c r="E99" s="939">
        <v>1633</v>
      </c>
      <c r="F99" s="218">
        <f t="shared" si="6"/>
        <v>97.086801426872768</v>
      </c>
      <c r="G99" s="940"/>
      <c r="H99" s="939">
        <v>19</v>
      </c>
      <c r="I99" s="218">
        <f t="shared" si="7"/>
        <v>1.1296076099881094</v>
      </c>
      <c r="J99" s="940"/>
      <c r="K99" s="939">
        <v>30</v>
      </c>
      <c r="L99" s="162">
        <f>IF($A99&lt;&gt;0,K99/$B99*100,"")</f>
        <v>1.78359096313912</v>
      </c>
      <c r="M99" s="117"/>
      <c r="N99" s="946"/>
    </row>
    <row r="100" spans="1:14" ht="13.25" customHeight="1">
      <c r="A100" s="33" t="s">
        <v>427</v>
      </c>
      <c r="B100" s="746">
        <f>IF(A100&lt;&gt;0,E100+H100+K100,"")</f>
        <v>1182</v>
      </c>
      <c r="C100" s="588">
        <f t="shared" si="5"/>
        <v>5.1100255068955081</v>
      </c>
      <c r="D100" s="219"/>
      <c r="E100" s="939">
        <v>1139</v>
      </c>
      <c r="F100" s="218">
        <f t="shared" si="6"/>
        <v>96.362098138747882</v>
      </c>
      <c r="G100" s="940"/>
      <c r="H100" s="939">
        <v>19</v>
      </c>
      <c r="I100" s="218">
        <f t="shared" si="7"/>
        <v>1.6074450084602367</v>
      </c>
      <c r="J100" s="940"/>
      <c r="K100" s="939">
        <v>24</v>
      </c>
      <c r="L100" s="162">
        <f>IF($A100&lt;&gt;0,K100/$B100*100,"")</f>
        <v>2.030456852791878</v>
      </c>
      <c r="N100" s="946"/>
    </row>
    <row r="101" spans="1:14" ht="13.25" customHeight="1">
      <c r="A101" s="33" t="s">
        <v>1550</v>
      </c>
      <c r="B101" s="746">
        <f>IF(A101&lt;&gt;0,E101+H101+K101,"")</f>
        <v>1054</v>
      </c>
      <c r="C101" s="588">
        <f t="shared" si="5"/>
        <v>4.556655570446587</v>
      </c>
      <c r="D101" s="219"/>
      <c r="E101" s="939">
        <v>1032</v>
      </c>
      <c r="F101" s="218">
        <f t="shared" si="6"/>
        <v>97.912713472485763</v>
      </c>
      <c r="G101" s="940"/>
      <c r="H101" s="939">
        <v>13</v>
      </c>
      <c r="I101" s="218">
        <f t="shared" si="7"/>
        <v>1.2333965844402277</v>
      </c>
      <c r="J101" s="940"/>
      <c r="K101" s="939">
        <v>9</v>
      </c>
      <c r="L101" s="162">
        <f>IF($A101&lt;&gt;0,K101/$B101*100,"")</f>
        <v>0.85388994307400379</v>
      </c>
      <c r="N101" s="946"/>
    </row>
    <row r="102" spans="1:14" ht="10" customHeight="1" thickBot="1">
      <c r="B102" s="744" t="str">
        <f>IF(A102&lt;&gt;0,E102+H102+K102+#REF!,"")</f>
        <v/>
      </c>
      <c r="N102" s="946"/>
    </row>
    <row r="103" spans="1:14" ht="7.5" customHeight="1">
      <c r="A103" s="97"/>
      <c r="B103" s="738"/>
      <c r="C103" s="631"/>
      <c r="D103" s="581"/>
      <c r="E103" s="739"/>
      <c r="F103" s="580"/>
      <c r="G103" s="581"/>
      <c r="H103" s="739"/>
      <c r="I103" s="580"/>
      <c r="J103" s="580"/>
      <c r="K103" s="739"/>
      <c r="L103" s="581"/>
      <c r="M103" s="581"/>
    </row>
    <row r="104" spans="1:14" ht="12.75" customHeight="1">
      <c r="A104" s="569" t="s">
        <v>2145</v>
      </c>
      <c r="B104" s="744"/>
      <c r="C104" s="170"/>
      <c r="D104" s="117"/>
      <c r="E104" s="745"/>
      <c r="F104" s="150"/>
      <c r="G104" s="117"/>
      <c r="H104" s="745"/>
      <c r="I104" s="150"/>
      <c r="J104" s="150"/>
      <c r="K104" s="745"/>
      <c r="L104" s="117"/>
      <c r="M104" s="117"/>
    </row>
    <row r="105" spans="1:14" ht="13.5" customHeight="1">
      <c r="A105" s="33" t="s">
        <v>1562</v>
      </c>
      <c r="D105" s="163"/>
      <c r="G105" s="163"/>
      <c r="J105" s="107"/>
    </row>
    <row r="106" spans="1:14" ht="13.5" customHeight="1">
      <c r="A106" s="59" t="s">
        <v>1823</v>
      </c>
    </row>
    <row r="107" spans="1:14" ht="10" customHeight="1">
      <c r="A107" s="116"/>
    </row>
    <row r="108" spans="1:14" ht="11" customHeight="1">
      <c r="A108" s="95" t="s">
        <v>1563</v>
      </c>
    </row>
    <row r="109" spans="1:14" ht="13.25" customHeight="1">
      <c r="A109" s="95" t="s">
        <v>1534</v>
      </c>
    </row>
    <row r="110" spans="1:14" ht="13.25" customHeight="1"/>
    <row r="111" spans="1:14" ht="13.25" customHeight="1"/>
  </sheetData>
  <mergeCells count="4">
    <mergeCell ref="B7:C7"/>
    <mergeCell ref="E7:F7"/>
    <mergeCell ref="H7:I7"/>
    <mergeCell ref="K7:L7"/>
  </mergeCells>
  <conditionalFormatting sqref="A1:XFD1048576">
    <cfRule type="cellIs" dxfId="6" priority="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2:K13"/>
  <sheetViews>
    <sheetView workbookViewId="0"/>
  </sheetViews>
  <sheetFormatPr baseColWidth="10" defaultRowHeight="15"/>
  <sheetData>
    <row r="2" spans="1:11">
      <c r="B2" s="33" t="s">
        <v>458</v>
      </c>
      <c r="C2" s="33" t="s">
        <v>602</v>
      </c>
      <c r="D2" s="33" t="s">
        <v>459</v>
      </c>
      <c r="E2" s="33" t="s">
        <v>461</v>
      </c>
    </row>
    <row r="3" spans="1:11">
      <c r="A3">
        <v>2015</v>
      </c>
      <c r="B3" s="28">
        <v>24.78</v>
      </c>
      <c r="C3" s="28">
        <v>25.49</v>
      </c>
      <c r="D3" s="28">
        <v>9.99</v>
      </c>
      <c r="E3" s="28">
        <v>39.74</v>
      </c>
      <c r="G3" s="24"/>
    </row>
    <row r="4" spans="1:11">
      <c r="A4">
        <v>2016</v>
      </c>
      <c r="B4" s="28">
        <v>24.89</v>
      </c>
      <c r="C4" s="28">
        <v>25.39</v>
      </c>
      <c r="D4" s="28">
        <v>9.67</v>
      </c>
      <c r="E4" s="28">
        <v>40.049999999999997</v>
      </c>
      <c r="G4" s="24"/>
    </row>
    <row r="5" spans="1:11">
      <c r="A5">
        <v>2017</v>
      </c>
      <c r="B5" s="28">
        <v>24.82</v>
      </c>
      <c r="C5" s="28">
        <v>24.92</v>
      </c>
      <c r="D5" s="28">
        <v>9.64</v>
      </c>
      <c r="E5" s="28">
        <v>40.619999999999997</v>
      </c>
      <c r="G5" s="24"/>
    </row>
    <row r="6" spans="1:11">
      <c r="A6">
        <v>2018</v>
      </c>
      <c r="B6" s="24">
        <v>24.03560830860534</v>
      </c>
      <c r="C6" s="24">
        <v>24.233432245301682</v>
      </c>
      <c r="D6" s="24">
        <v>9.792284866468842</v>
      </c>
      <c r="E6" s="24">
        <v>41.938674579624134</v>
      </c>
    </row>
    <row r="7" spans="1:11">
      <c r="A7">
        <v>2019</v>
      </c>
      <c r="B7" s="24">
        <v>24.83</v>
      </c>
      <c r="C7" s="24">
        <v>23.09</v>
      </c>
      <c r="D7" s="24">
        <v>10.26</v>
      </c>
      <c r="E7" s="24">
        <v>41.82</v>
      </c>
      <c r="K7" s="24"/>
    </row>
    <row r="8" spans="1:11">
      <c r="K8" s="24"/>
    </row>
    <row r="9" spans="1:11">
      <c r="K9" s="24"/>
    </row>
    <row r="10" spans="1:11">
      <c r="K10" s="24"/>
    </row>
    <row r="11" spans="1:11">
      <c r="K11" s="24"/>
    </row>
    <row r="12" spans="1:11">
      <c r="K12" s="24"/>
    </row>
    <row r="13" spans="1:11">
      <c r="K13" s="24"/>
    </row>
  </sheetData>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77"/>
  <sheetViews>
    <sheetView workbookViewId="0">
      <selection activeCell="K18" sqref="K18"/>
    </sheetView>
  </sheetViews>
  <sheetFormatPr baseColWidth="10" defaultColWidth="9.1640625" defaultRowHeight="13"/>
  <cols>
    <col min="1" max="1" width="37.5" style="95" customWidth="1"/>
    <col min="2" max="2" width="7.6640625" style="165" customWidth="1"/>
    <col min="3" max="3" width="7.6640625" style="162" customWidth="1"/>
    <col min="4" max="4" width="2.6640625" style="107" customWidth="1"/>
    <col min="5" max="5" width="7.6640625" style="163" customWidth="1"/>
    <col min="6" max="6" width="7.6640625" style="162" customWidth="1"/>
    <col min="7" max="7" width="2.6640625" style="107" customWidth="1"/>
    <col min="8" max="8" width="7.6640625" style="163" customWidth="1"/>
    <col min="9" max="9" width="7.6640625" style="162" customWidth="1"/>
    <col min="10" max="10" width="2.6640625" style="162" customWidth="1"/>
    <col min="11" max="11" width="7.6640625" style="163" customWidth="1"/>
    <col min="12" max="12" width="7.6640625" style="107" customWidth="1"/>
    <col min="13" max="13" width="2.6640625" style="107" customWidth="1"/>
    <col min="14" max="256" width="9.1640625" style="95"/>
    <col min="257" max="257" width="37.5" style="95" customWidth="1"/>
    <col min="258" max="259" width="7.6640625" style="95" customWidth="1"/>
    <col min="260" max="260" width="2.6640625" style="95" customWidth="1"/>
    <col min="261" max="262" width="7.6640625" style="95" customWidth="1"/>
    <col min="263" max="263" width="2.6640625" style="95" customWidth="1"/>
    <col min="264" max="265" width="7.6640625" style="95" customWidth="1"/>
    <col min="266" max="266" width="2.6640625" style="95" customWidth="1"/>
    <col min="267" max="268" width="7.6640625" style="95" customWidth="1"/>
    <col min="269" max="269" width="2.6640625" style="95" customWidth="1"/>
    <col min="270" max="512" width="9.1640625" style="95"/>
    <col min="513" max="513" width="37.5" style="95" customWidth="1"/>
    <col min="514" max="515" width="7.6640625" style="95" customWidth="1"/>
    <col min="516" max="516" width="2.6640625" style="95" customWidth="1"/>
    <col min="517" max="518" width="7.6640625" style="95" customWidth="1"/>
    <col min="519" max="519" width="2.6640625" style="95" customWidth="1"/>
    <col min="520" max="521" width="7.6640625" style="95" customWidth="1"/>
    <col min="522" max="522" width="2.6640625" style="95" customWidth="1"/>
    <col min="523" max="524" width="7.6640625" style="95" customWidth="1"/>
    <col min="525" max="525" width="2.6640625" style="95" customWidth="1"/>
    <col min="526" max="768" width="9.1640625" style="95"/>
    <col min="769" max="769" width="37.5" style="95" customWidth="1"/>
    <col min="770" max="771" width="7.6640625" style="95" customWidth="1"/>
    <col min="772" max="772" width="2.6640625" style="95" customWidth="1"/>
    <col min="773" max="774" width="7.6640625" style="95" customWidth="1"/>
    <col min="775" max="775" width="2.6640625" style="95" customWidth="1"/>
    <col min="776" max="777" width="7.6640625" style="95" customWidth="1"/>
    <col min="778" max="778" width="2.6640625" style="95" customWidth="1"/>
    <col min="779" max="780" width="7.6640625" style="95" customWidth="1"/>
    <col min="781" max="781" width="2.6640625" style="95" customWidth="1"/>
    <col min="782" max="1024" width="9.1640625" style="95"/>
    <col min="1025" max="1025" width="37.5" style="95" customWidth="1"/>
    <col min="1026" max="1027" width="7.6640625" style="95" customWidth="1"/>
    <col min="1028" max="1028" width="2.6640625" style="95" customWidth="1"/>
    <col min="1029" max="1030" width="7.6640625" style="95" customWidth="1"/>
    <col min="1031" max="1031" width="2.6640625" style="95" customWidth="1"/>
    <col min="1032" max="1033" width="7.6640625" style="95" customWidth="1"/>
    <col min="1034" max="1034" width="2.6640625" style="95" customWidth="1"/>
    <col min="1035" max="1036" width="7.6640625" style="95" customWidth="1"/>
    <col min="1037" max="1037" width="2.6640625" style="95" customWidth="1"/>
    <col min="1038" max="1280" width="9.1640625" style="95"/>
    <col min="1281" max="1281" width="37.5" style="95" customWidth="1"/>
    <col min="1282" max="1283" width="7.6640625" style="95" customWidth="1"/>
    <col min="1284" max="1284" width="2.6640625" style="95" customWidth="1"/>
    <col min="1285" max="1286" width="7.6640625" style="95" customWidth="1"/>
    <col min="1287" max="1287" width="2.6640625" style="95" customWidth="1"/>
    <col min="1288" max="1289" width="7.6640625" style="95" customWidth="1"/>
    <col min="1290" max="1290" width="2.6640625" style="95" customWidth="1"/>
    <col min="1291" max="1292" width="7.6640625" style="95" customWidth="1"/>
    <col min="1293" max="1293" width="2.6640625" style="95" customWidth="1"/>
    <col min="1294" max="1536" width="9.1640625" style="95"/>
    <col min="1537" max="1537" width="37.5" style="95" customWidth="1"/>
    <col min="1538" max="1539" width="7.6640625" style="95" customWidth="1"/>
    <col min="1540" max="1540" width="2.6640625" style="95" customWidth="1"/>
    <col min="1541" max="1542" width="7.6640625" style="95" customWidth="1"/>
    <col min="1543" max="1543" width="2.6640625" style="95" customWidth="1"/>
    <col min="1544" max="1545" width="7.6640625" style="95" customWidth="1"/>
    <col min="1546" max="1546" width="2.6640625" style="95" customWidth="1"/>
    <col min="1547" max="1548" width="7.6640625" style="95" customWidth="1"/>
    <col min="1549" max="1549" width="2.6640625" style="95" customWidth="1"/>
    <col min="1550" max="1792" width="9.1640625" style="95"/>
    <col min="1793" max="1793" width="37.5" style="95" customWidth="1"/>
    <col min="1794" max="1795" width="7.6640625" style="95" customWidth="1"/>
    <col min="1796" max="1796" width="2.6640625" style="95" customWidth="1"/>
    <col min="1797" max="1798" width="7.6640625" style="95" customWidth="1"/>
    <col min="1799" max="1799" width="2.6640625" style="95" customWidth="1"/>
    <col min="1800" max="1801" width="7.6640625" style="95" customWidth="1"/>
    <col min="1802" max="1802" width="2.6640625" style="95" customWidth="1"/>
    <col min="1803" max="1804" width="7.6640625" style="95" customWidth="1"/>
    <col min="1805" max="1805" width="2.6640625" style="95" customWidth="1"/>
    <col min="1806" max="2048" width="9.1640625" style="95"/>
    <col min="2049" max="2049" width="37.5" style="95" customWidth="1"/>
    <col min="2050" max="2051" width="7.6640625" style="95" customWidth="1"/>
    <col min="2052" max="2052" width="2.6640625" style="95" customWidth="1"/>
    <col min="2053" max="2054" width="7.6640625" style="95" customWidth="1"/>
    <col min="2055" max="2055" width="2.6640625" style="95" customWidth="1"/>
    <col min="2056" max="2057" width="7.6640625" style="95" customWidth="1"/>
    <col min="2058" max="2058" width="2.6640625" style="95" customWidth="1"/>
    <col min="2059" max="2060" width="7.6640625" style="95" customWidth="1"/>
    <col min="2061" max="2061" width="2.6640625" style="95" customWidth="1"/>
    <col min="2062" max="2304" width="9.1640625" style="95"/>
    <col min="2305" max="2305" width="37.5" style="95" customWidth="1"/>
    <col min="2306" max="2307" width="7.6640625" style="95" customWidth="1"/>
    <col min="2308" max="2308" width="2.6640625" style="95" customWidth="1"/>
    <col min="2309" max="2310" width="7.6640625" style="95" customWidth="1"/>
    <col min="2311" max="2311" width="2.6640625" style="95" customWidth="1"/>
    <col min="2312" max="2313" width="7.6640625" style="95" customWidth="1"/>
    <col min="2314" max="2314" width="2.6640625" style="95" customWidth="1"/>
    <col min="2315" max="2316" width="7.6640625" style="95" customWidth="1"/>
    <col min="2317" max="2317" width="2.6640625" style="95" customWidth="1"/>
    <col min="2318" max="2560" width="9.1640625" style="95"/>
    <col min="2561" max="2561" width="37.5" style="95" customWidth="1"/>
    <col min="2562" max="2563" width="7.6640625" style="95" customWidth="1"/>
    <col min="2564" max="2564" width="2.6640625" style="95" customWidth="1"/>
    <col min="2565" max="2566" width="7.6640625" style="95" customWidth="1"/>
    <col min="2567" max="2567" width="2.6640625" style="95" customWidth="1"/>
    <col min="2568" max="2569" width="7.6640625" style="95" customWidth="1"/>
    <col min="2570" max="2570" width="2.6640625" style="95" customWidth="1"/>
    <col min="2571" max="2572" width="7.6640625" style="95" customWidth="1"/>
    <col min="2573" max="2573" width="2.6640625" style="95" customWidth="1"/>
    <col min="2574" max="2816" width="9.1640625" style="95"/>
    <col min="2817" max="2817" width="37.5" style="95" customWidth="1"/>
    <col min="2818" max="2819" width="7.6640625" style="95" customWidth="1"/>
    <col min="2820" max="2820" width="2.6640625" style="95" customWidth="1"/>
    <col min="2821" max="2822" width="7.6640625" style="95" customWidth="1"/>
    <col min="2823" max="2823" width="2.6640625" style="95" customWidth="1"/>
    <col min="2824" max="2825" width="7.6640625" style="95" customWidth="1"/>
    <col min="2826" max="2826" width="2.6640625" style="95" customWidth="1"/>
    <col min="2827" max="2828" width="7.6640625" style="95" customWidth="1"/>
    <col min="2829" max="2829" width="2.6640625" style="95" customWidth="1"/>
    <col min="2830" max="3072" width="9.1640625" style="95"/>
    <col min="3073" max="3073" width="37.5" style="95" customWidth="1"/>
    <col min="3074" max="3075" width="7.6640625" style="95" customWidth="1"/>
    <col min="3076" max="3076" width="2.6640625" style="95" customWidth="1"/>
    <col min="3077" max="3078" width="7.6640625" style="95" customWidth="1"/>
    <col min="3079" max="3079" width="2.6640625" style="95" customWidth="1"/>
    <col min="3080" max="3081" width="7.6640625" style="95" customWidth="1"/>
    <col min="3082" max="3082" width="2.6640625" style="95" customWidth="1"/>
    <col min="3083" max="3084" width="7.6640625" style="95" customWidth="1"/>
    <col min="3085" max="3085" width="2.6640625" style="95" customWidth="1"/>
    <col min="3086" max="3328" width="9.1640625" style="95"/>
    <col min="3329" max="3329" width="37.5" style="95" customWidth="1"/>
    <col min="3330" max="3331" width="7.6640625" style="95" customWidth="1"/>
    <col min="3332" max="3332" width="2.6640625" style="95" customWidth="1"/>
    <col min="3333" max="3334" width="7.6640625" style="95" customWidth="1"/>
    <col min="3335" max="3335" width="2.6640625" style="95" customWidth="1"/>
    <col min="3336" max="3337" width="7.6640625" style="95" customWidth="1"/>
    <col min="3338" max="3338" width="2.6640625" style="95" customWidth="1"/>
    <col min="3339" max="3340" width="7.6640625" style="95" customWidth="1"/>
    <col min="3341" max="3341" width="2.6640625" style="95" customWidth="1"/>
    <col min="3342" max="3584" width="9.1640625" style="95"/>
    <col min="3585" max="3585" width="37.5" style="95" customWidth="1"/>
    <col min="3586" max="3587" width="7.6640625" style="95" customWidth="1"/>
    <col min="3588" max="3588" width="2.6640625" style="95" customWidth="1"/>
    <col min="3589" max="3590" width="7.6640625" style="95" customWidth="1"/>
    <col min="3591" max="3591" width="2.6640625" style="95" customWidth="1"/>
    <col min="3592" max="3593" width="7.6640625" style="95" customWidth="1"/>
    <col min="3594" max="3594" width="2.6640625" style="95" customWidth="1"/>
    <col min="3595" max="3596" width="7.6640625" style="95" customWidth="1"/>
    <col min="3597" max="3597" width="2.6640625" style="95" customWidth="1"/>
    <col min="3598" max="3840" width="9.1640625" style="95"/>
    <col min="3841" max="3841" width="37.5" style="95" customWidth="1"/>
    <col min="3842" max="3843" width="7.6640625" style="95" customWidth="1"/>
    <col min="3844" max="3844" width="2.6640625" style="95" customWidth="1"/>
    <col min="3845" max="3846" width="7.6640625" style="95" customWidth="1"/>
    <col min="3847" max="3847" width="2.6640625" style="95" customWidth="1"/>
    <col min="3848" max="3849" width="7.6640625" style="95" customWidth="1"/>
    <col min="3850" max="3850" width="2.6640625" style="95" customWidth="1"/>
    <col min="3851" max="3852" width="7.6640625" style="95" customWidth="1"/>
    <col min="3853" max="3853" width="2.6640625" style="95" customWidth="1"/>
    <col min="3854" max="4096" width="9.1640625" style="95"/>
    <col min="4097" max="4097" width="37.5" style="95" customWidth="1"/>
    <col min="4098" max="4099" width="7.6640625" style="95" customWidth="1"/>
    <col min="4100" max="4100" width="2.6640625" style="95" customWidth="1"/>
    <col min="4101" max="4102" width="7.6640625" style="95" customWidth="1"/>
    <col min="4103" max="4103" width="2.6640625" style="95" customWidth="1"/>
    <col min="4104" max="4105" width="7.6640625" style="95" customWidth="1"/>
    <col min="4106" max="4106" width="2.6640625" style="95" customWidth="1"/>
    <col min="4107" max="4108" width="7.6640625" style="95" customWidth="1"/>
    <col min="4109" max="4109" width="2.6640625" style="95" customWidth="1"/>
    <col min="4110" max="4352" width="9.1640625" style="95"/>
    <col min="4353" max="4353" width="37.5" style="95" customWidth="1"/>
    <col min="4354" max="4355" width="7.6640625" style="95" customWidth="1"/>
    <col min="4356" max="4356" width="2.6640625" style="95" customWidth="1"/>
    <col min="4357" max="4358" width="7.6640625" style="95" customWidth="1"/>
    <col min="4359" max="4359" width="2.6640625" style="95" customWidth="1"/>
    <col min="4360" max="4361" width="7.6640625" style="95" customWidth="1"/>
    <col min="4362" max="4362" width="2.6640625" style="95" customWidth="1"/>
    <col min="4363" max="4364" width="7.6640625" style="95" customWidth="1"/>
    <col min="4365" max="4365" width="2.6640625" style="95" customWidth="1"/>
    <col min="4366" max="4608" width="9.1640625" style="95"/>
    <col min="4609" max="4609" width="37.5" style="95" customWidth="1"/>
    <col min="4610" max="4611" width="7.6640625" style="95" customWidth="1"/>
    <col min="4612" max="4612" width="2.6640625" style="95" customWidth="1"/>
    <col min="4613" max="4614" width="7.6640625" style="95" customWidth="1"/>
    <col min="4615" max="4615" width="2.6640625" style="95" customWidth="1"/>
    <col min="4616" max="4617" width="7.6640625" style="95" customWidth="1"/>
    <col min="4618" max="4618" width="2.6640625" style="95" customWidth="1"/>
    <col min="4619" max="4620" width="7.6640625" style="95" customWidth="1"/>
    <col min="4621" max="4621" width="2.6640625" style="95" customWidth="1"/>
    <col min="4622" max="4864" width="9.1640625" style="95"/>
    <col min="4865" max="4865" width="37.5" style="95" customWidth="1"/>
    <col min="4866" max="4867" width="7.6640625" style="95" customWidth="1"/>
    <col min="4868" max="4868" width="2.6640625" style="95" customWidth="1"/>
    <col min="4869" max="4870" width="7.6640625" style="95" customWidth="1"/>
    <col min="4871" max="4871" width="2.6640625" style="95" customWidth="1"/>
    <col min="4872" max="4873" width="7.6640625" style="95" customWidth="1"/>
    <col min="4874" max="4874" width="2.6640625" style="95" customWidth="1"/>
    <col min="4875" max="4876" width="7.6640625" style="95" customWidth="1"/>
    <col min="4877" max="4877" width="2.6640625" style="95" customWidth="1"/>
    <col min="4878" max="5120" width="9.1640625" style="95"/>
    <col min="5121" max="5121" width="37.5" style="95" customWidth="1"/>
    <col min="5122" max="5123" width="7.6640625" style="95" customWidth="1"/>
    <col min="5124" max="5124" width="2.6640625" style="95" customWidth="1"/>
    <col min="5125" max="5126" width="7.6640625" style="95" customWidth="1"/>
    <col min="5127" max="5127" width="2.6640625" style="95" customWidth="1"/>
    <col min="5128" max="5129" width="7.6640625" style="95" customWidth="1"/>
    <col min="5130" max="5130" width="2.6640625" style="95" customWidth="1"/>
    <col min="5131" max="5132" width="7.6640625" style="95" customWidth="1"/>
    <col min="5133" max="5133" width="2.6640625" style="95" customWidth="1"/>
    <col min="5134" max="5376" width="9.1640625" style="95"/>
    <col min="5377" max="5377" width="37.5" style="95" customWidth="1"/>
    <col min="5378" max="5379" width="7.6640625" style="95" customWidth="1"/>
    <col min="5380" max="5380" width="2.6640625" style="95" customWidth="1"/>
    <col min="5381" max="5382" width="7.6640625" style="95" customWidth="1"/>
    <col min="5383" max="5383" width="2.6640625" style="95" customWidth="1"/>
    <col min="5384" max="5385" width="7.6640625" style="95" customWidth="1"/>
    <col min="5386" max="5386" width="2.6640625" style="95" customWidth="1"/>
    <col min="5387" max="5388" width="7.6640625" style="95" customWidth="1"/>
    <col min="5389" max="5389" width="2.6640625" style="95" customWidth="1"/>
    <col min="5390" max="5632" width="9.1640625" style="95"/>
    <col min="5633" max="5633" width="37.5" style="95" customWidth="1"/>
    <col min="5634" max="5635" width="7.6640625" style="95" customWidth="1"/>
    <col min="5636" max="5636" width="2.6640625" style="95" customWidth="1"/>
    <col min="5637" max="5638" width="7.6640625" style="95" customWidth="1"/>
    <col min="5639" max="5639" width="2.6640625" style="95" customWidth="1"/>
    <col min="5640" max="5641" width="7.6640625" style="95" customWidth="1"/>
    <col min="5642" max="5642" width="2.6640625" style="95" customWidth="1"/>
    <col min="5643" max="5644" width="7.6640625" style="95" customWidth="1"/>
    <col min="5645" max="5645" width="2.6640625" style="95" customWidth="1"/>
    <col min="5646" max="5888" width="9.1640625" style="95"/>
    <col min="5889" max="5889" width="37.5" style="95" customWidth="1"/>
    <col min="5890" max="5891" width="7.6640625" style="95" customWidth="1"/>
    <col min="5892" max="5892" width="2.6640625" style="95" customWidth="1"/>
    <col min="5893" max="5894" width="7.6640625" style="95" customWidth="1"/>
    <col min="5895" max="5895" width="2.6640625" style="95" customWidth="1"/>
    <col min="5896" max="5897" width="7.6640625" style="95" customWidth="1"/>
    <col min="5898" max="5898" width="2.6640625" style="95" customWidth="1"/>
    <col min="5899" max="5900" width="7.6640625" style="95" customWidth="1"/>
    <col min="5901" max="5901" width="2.6640625" style="95" customWidth="1"/>
    <col min="5902" max="6144" width="9.1640625" style="95"/>
    <col min="6145" max="6145" width="37.5" style="95" customWidth="1"/>
    <col min="6146" max="6147" width="7.6640625" style="95" customWidth="1"/>
    <col min="6148" max="6148" width="2.6640625" style="95" customWidth="1"/>
    <col min="6149" max="6150" width="7.6640625" style="95" customWidth="1"/>
    <col min="6151" max="6151" width="2.6640625" style="95" customWidth="1"/>
    <col min="6152" max="6153" width="7.6640625" style="95" customWidth="1"/>
    <col min="6154" max="6154" width="2.6640625" style="95" customWidth="1"/>
    <col min="6155" max="6156" width="7.6640625" style="95" customWidth="1"/>
    <col min="6157" max="6157" width="2.6640625" style="95" customWidth="1"/>
    <col min="6158" max="6400" width="9.1640625" style="95"/>
    <col min="6401" max="6401" width="37.5" style="95" customWidth="1"/>
    <col min="6402" max="6403" width="7.6640625" style="95" customWidth="1"/>
    <col min="6404" max="6404" width="2.6640625" style="95" customWidth="1"/>
    <col min="6405" max="6406" width="7.6640625" style="95" customWidth="1"/>
    <col min="6407" max="6407" width="2.6640625" style="95" customWidth="1"/>
    <col min="6408" max="6409" width="7.6640625" style="95" customWidth="1"/>
    <col min="6410" max="6410" width="2.6640625" style="95" customWidth="1"/>
    <col min="6411" max="6412" width="7.6640625" style="95" customWidth="1"/>
    <col min="6413" max="6413" width="2.6640625" style="95" customWidth="1"/>
    <col min="6414" max="6656" width="9.1640625" style="95"/>
    <col min="6657" max="6657" width="37.5" style="95" customWidth="1"/>
    <col min="6658" max="6659" width="7.6640625" style="95" customWidth="1"/>
    <col min="6660" max="6660" width="2.6640625" style="95" customWidth="1"/>
    <col min="6661" max="6662" width="7.6640625" style="95" customWidth="1"/>
    <col min="6663" max="6663" width="2.6640625" style="95" customWidth="1"/>
    <col min="6664" max="6665" width="7.6640625" style="95" customWidth="1"/>
    <col min="6666" max="6666" width="2.6640625" style="95" customWidth="1"/>
    <col min="6667" max="6668" width="7.6640625" style="95" customWidth="1"/>
    <col min="6669" max="6669" width="2.6640625" style="95" customWidth="1"/>
    <col min="6670" max="6912" width="9.1640625" style="95"/>
    <col min="6913" max="6913" width="37.5" style="95" customWidth="1"/>
    <col min="6914" max="6915" width="7.6640625" style="95" customWidth="1"/>
    <col min="6916" max="6916" width="2.6640625" style="95" customWidth="1"/>
    <col min="6917" max="6918" width="7.6640625" style="95" customWidth="1"/>
    <col min="6919" max="6919" width="2.6640625" style="95" customWidth="1"/>
    <col min="6920" max="6921" width="7.6640625" style="95" customWidth="1"/>
    <col min="6922" max="6922" width="2.6640625" style="95" customWidth="1"/>
    <col min="6923" max="6924" width="7.6640625" style="95" customWidth="1"/>
    <col min="6925" max="6925" width="2.6640625" style="95" customWidth="1"/>
    <col min="6926" max="7168" width="9.1640625" style="95"/>
    <col min="7169" max="7169" width="37.5" style="95" customWidth="1"/>
    <col min="7170" max="7171" width="7.6640625" style="95" customWidth="1"/>
    <col min="7172" max="7172" width="2.6640625" style="95" customWidth="1"/>
    <col min="7173" max="7174" width="7.6640625" style="95" customWidth="1"/>
    <col min="7175" max="7175" width="2.6640625" style="95" customWidth="1"/>
    <col min="7176" max="7177" width="7.6640625" style="95" customWidth="1"/>
    <col min="7178" max="7178" width="2.6640625" style="95" customWidth="1"/>
    <col min="7179" max="7180" width="7.6640625" style="95" customWidth="1"/>
    <col min="7181" max="7181" width="2.6640625" style="95" customWidth="1"/>
    <col min="7182" max="7424" width="9.1640625" style="95"/>
    <col min="7425" max="7425" width="37.5" style="95" customWidth="1"/>
    <col min="7426" max="7427" width="7.6640625" style="95" customWidth="1"/>
    <col min="7428" max="7428" width="2.6640625" style="95" customWidth="1"/>
    <col min="7429" max="7430" width="7.6640625" style="95" customWidth="1"/>
    <col min="7431" max="7431" width="2.6640625" style="95" customWidth="1"/>
    <col min="7432" max="7433" width="7.6640625" style="95" customWidth="1"/>
    <col min="7434" max="7434" width="2.6640625" style="95" customWidth="1"/>
    <col min="7435" max="7436" width="7.6640625" style="95" customWidth="1"/>
    <col min="7437" max="7437" width="2.6640625" style="95" customWidth="1"/>
    <col min="7438" max="7680" width="9.1640625" style="95"/>
    <col min="7681" max="7681" width="37.5" style="95" customWidth="1"/>
    <col min="7682" max="7683" width="7.6640625" style="95" customWidth="1"/>
    <col min="7684" max="7684" width="2.6640625" style="95" customWidth="1"/>
    <col min="7685" max="7686" width="7.6640625" style="95" customWidth="1"/>
    <col min="7687" max="7687" width="2.6640625" style="95" customWidth="1"/>
    <col min="7688" max="7689" width="7.6640625" style="95" customWidth="1"/>
    <col min="7690" max="7690" width="2.6640625" style="95" customWidth="1"/>
    <col min="7691" max="7692" width="7.6640625" style="95" customWidth="1"/>
    <col min="7693" max="7693" width="2.6640625" style="95" customWidth="1"/>
    <col min="7694" max="7936" width="9.1640625" style="95"/>
    <col min="7937" max="7937" width="37.5" style="95" customWidth="1"/>
    <col min="7938" max="7939" width="7.6640625" style="95" customWidth="1"/>
    <col min="7940" max="7940" width="2.6640625" style="95" customWidth="1"/>
    <col min="7941" max="7942" width="7.6640625" style="95" customWidth="1"/>
    <col min="7943" max="7943" width="2.6640625" style="95" customWidth="1"/>
    <col min="7944" max="7945" width="7.6640625" style="95" customWidth="1"/>
    <col min="7946" max="7946" width="2.6640625" style="95" customWidth="1"/>
    <col min="7947" max="7948" width="7.6640625" style="95" customWidth="1"/>
    <col min="7949" max="7949" width="2.6640625" style="95" customWidth="1"/>
    <col min="7950" max="8192" width="9.1640625" style="95"/>
    <col min="8193" max="8193" width="37.5" style="95" customWidth="1"/>
    <col min="8194" max="8195" width="7.6640625" style="95" customWidth="1"/>
    <col min="8196" max="8196" width="2.6640625" style="95" customWidth="1"/>
    <col min="8197" max="8198" width="7.6640625" style="95" customWidth="1"/>
    <col min="8199" max="8199" width="2.6640625" style="95" customWidth="1"/>
    <col min="8200" max="8201" width="7.6640625" style="95" customWidth="1"/>
    <col min="8202" max="8202" width="2.6640625" style="95" customWidth="1"/>
    <col min="8203" max="8204" width="7.6640625" style="95" customWidth="1"/>
    <col min="8205" max="8205" width="2.6640625" style="95" customWidth="1"/>
    <col min="8206" max="8448" width="9.1640625" style="95"/>
    <col min="8449" max="8449" width="37.5" style="95" customWidth="1"/>
    <col min="8450" max="8451" width="7.6640625" style="95" customWidth="1"/>
    <col min="8452" max="8452" width="2.6640625" style="95" customWidth="1"/>
    <col min="8453" max="8454" width="7.6640625" style="95" customWidth="1"/>
    <col min="8455" max="8455" width="2.6640625" style="95" customWidth="1"/>
    <col min="8456" max="8457" width="7.6640625" style="95" customWidth="1"/>
    <col min="8458" max="8458" width="2.6640625" style="95" customWidth="1"/>
    <col min="8459" max="8460" width="7.6640625" style="95" customWidth="1"/>
    <col min="8461" max="8461" width="2.6640625" style="95" customWidth="1"/>
    <col min="8462" max="8704" width="9.1640625" style="95"/>
    <col min="8705" max="8705" width="37.5" style="95" customWidth="1"/>
    <col min="8706" max="8707" width="7.6640625" style="95" customWidth="1"/>
    <col min="8708" max="8708" width="2.6640625" style="95" customWidth="1"/>
    <col min="8709" max="8710" width="7.6640625" style="95" customWidth="1"/>
    <col min="8711" max="8711" width="2.6640625" style="95" customWidth="1"/>
    <col min="8712" max="8713" width="7.6640625" style="95" customWidth="1"/>
    <col min="8714" max="8714" width="2.6640625" style="95" customWidth="1"/>
    <col min="8715" max="8716" width="7.6640625" style="95" customWidth="1"/>
    <col min="8717" max="8717" width="2.6640625" style="95" customWidth="1"/>
    <col min="8718" max="8960" width="9.1640625" style="95"/>
    <col min="8961" max="8961" width="37.5" style="95" customWidth="1"/>
    <col min="8962" max="8963" width="7.6640625" style="95" customWidth="1"/>
    <col min="8964" max="8964" width="2.6640625" style="95" customWidth="1"/>
    <col min="8965" max="8966" width="7.6640625" style="95" customWidth="1"/>
    <col min="8967" max="8967" width="2.6640625" style="95" customWidth="1"/>
    <col min="8968" max="8969" width="7.6640625" style="95" customWidth="1"/>
    <col min="8970" max="8970" width="2.6640625" style="95" customWidth="1"/>
    <col min="8971" max="8972" width="7.6640625" style="95" customWidth="1"/>
    <col min="8973" max="8973" width="2.6640625" style="95" customWidth="1"/>
    <col min="8974" max="9216" width="9.1640625" style="95"/>
    <col min="9217" max="9217" width="37.5" style="95" customWidth="1"/>
    <col min="9218" max="9219" width="7.6640625" style="95" customWidth="1"/>
    <col min="9220" max="9220" width="2.6640625" style="95" customWidth="1"/>
    <col min="9221" max="9222" width="7.6640625" style="95" customWidth="1"/>
    <col min="9223" max="9223" width="2.6640625" style="95" customWidth="1"/>
    <col min="9224" max="9225" width="7.6640625" style="95" customWidth="1"/>
    <col min="9226" max="9226" width="2.6640625" style="95" customWidth="1"/>
    <col min="9227" max="9228" width="7.6640625" style="95" customWidth="1"/>
    <col min="9229" max="9229" width="2.6640625" style="95" customWidth="1"/>
    <col min="9230" max="9472" width="9.1640625" style="95"/>
    <col min="9473" max="9473" width="37.5" style="95" customWidth="1"/>
    <col min="9474" max="9475" width="7.6640625" style="95" customWidth="1"/>
    <col min="9476" max="9476" width="2.6640625" style="95" customWidth="1"/>
    <col min="9477" max="9478" width="7.6640625" style="95" customWidth="1"/>
    <col min="9479" max="9479" width="2.6640625" style="95" customWidth="1"/>
    <col min="9480" max="9481" width="7.6640625" style="95" customWidth="1"/>
    <col min="9482" max="9482" width="2.6640625" style="95" customWidth="1"/>
    <col min="9483" max="9484" width="7.6640625" style="95" customWidth="1"/>
    <col min="9485" max="9485" width="2.6640625" style="95" customWidth="1"/>
    <col min="9486" max="9728" width="9.1640625" style="95"/>
    <col min="9729" max="9729" width="37.5" style="95" customWidth="1"/>
    <col min="9730" max="9731" width="7.6640625" style="95" customWidth="1"/>
    <col min="9732" max="9732" width="2.6640625" style="95" customWidth="1"/>
    <col min="9733" max="9734" width="7.6640625" style="95" customWidth="1"/>
    <col min="9735" max="9735" width="2.6640625" style="95" customWidth="1"/>
    <col min="9736" max="9737" width="7.6640625" style="95" customWidth="1"/>
    <col min="9738" max="9738" width="2.6640625" style="95" customWidth="1"/>
    <col min="9739" max="9740" width="7.6640625" style="95" customWidth="1"/>
    <col min="9741" max="9741" width="2.6640625" style="95" customWidth="1"/>
    <col min="9742" max="9984" width="9.1640625" style="95"/>
    <col min="9985" max="9985" width="37.5" style="95" customWidth="1"/>
    <col min="9986" max="9987" width="7.6640625" style="95" customWidth="1"/>
    <col min="9988" max="9988" width="2.6640625" style="95" customWidth="1"/>
    <col min="9989" max="9990" width="7.6640625" style="95" customWidth="1"/>
    <col min="9991" max="9991" width="2.6640625" style="95" customWidth="1"/>
    <col min="9992" max="9993" width="7.6640625" style="95" customWidth="1"/>
    <col min="9994" max="9994" width="2.6640625" style="95" customWidth="1"/>
    <col min="9995" max="9996" width="7.6640625" style="95" customWidth="1"/>
    <col min="9997" max="9997" width="2.6640625" style="95" customWidth="1"/>
    <col min="9998" max="10240" width="9.1640625" style="95"/>
    <col min="10241" max="10241" width="37.5" style="95" customWidth="1"/>
    <col min="10242" max="10243" width="7.6640625" style="95" customWidth="1"/>
    <col min="10244" max="10244" width="2.6640625" style="95" customWidth="1"/>
    <col min="10245" max="10246" width="7.6640625" style="95" customWidth="1"/>
    <col min="10247" max="10247" width="2.6640625" style="95" customWidth="1"/>
    <col min="10248" max="10249" width="7.6640625" style="95" customWidth="1"/>
    <col min="10250" max="10250" width="2.6640625" style="95" customWidth="1"/>
    <col min="10251" max="10252" width="7.6640625" style="95" customWidth="1"/>
    <col min="10253" max="10253" width="2.6640625" style="95" customWidth="1"/>
    <col min="10254" max="10496" width="9.1640625" style="95"/>
    <col min="10497" max="10497" width="37.5" style="95" customWidth="1"/>
    <col min="10498" max="10499" width="7.6640625" style="95" customWidth="1"/>
    <col min="10500" max="10500" width="2.6640625" style="95" customWidth="1"/>
    <col min="10501" max="10502" width="7.6640625" style="95" customWidth="1"/>
    <col min="10503" max="10503" width="2.6640625" style="95" customWidth="1"/>
    <col min="10504" max="10505" width="7.6640625" style="95" customWidth="1"/>
    <col min="10506" max="10506" width="2.6640625" style="95" customWidth="1"/>
    <col min="10507" max="10508" width="7.6640625" style="95" customWidth="1"/>
    <col min="10509" max="10509" width="2.6640625" style="95" customWidth="1"/>
    <col min="10510" max="10752" width="9.1640625" style="95"/>
    <col min="10753" max="10753" width="37.5" style="95" customWidth="1"/>
    <col min="10754" max="10755" width="7.6640625" style="95" customWidth="1"/>
    <col min="10756" max="10756" width="2.6640625" style="95" customWidth="1"/>
    <col min="10757" max="10758" width="7.6640625" style="95" customWidth="1"/>
    <col min="10759" max="10759" width="2.6640625" style="95" customWidth="1"/>
    <col min="10760" max="10761" width="7.6640625" style="95" customWidth="1"/>
    <col min="10762" max="10762" width="2.6640625" style="95" customWidth="1"/>
    <col min="10763" max="10764" width="7.6640625" style="95" customWidth="1"/>
    <col min="10765" max="10765" width="2.6640625" style="95" customWidth="1"/>
    <col min="10766" max="11008" width="9.1640625" style="95"/>
    <col min="11009" max="11009" width="37.5" style="95" customWidth="1"/>
    <col min="11010" max="11011" width="7.6640625" style="95" customWidth="1"/>
    <col min="11012" max="11012" width="2.6640625" style="95" customWidth="1"/>
    <col min="11013" max="11014" width="7.6640625" style="95" customWidth="1"/>
    <col min="11015" max="11015" width="2.6640625" style="95" customWidth="1"/>
    <col min="11016" max="11017" width="7.6640625" style="95" customWidth="1"/>
    <col min="11018" max="11018" width="2.6640625" style="95" customWidth="1"/>
    <col min="11019" max="11020" width="7.6640625" style="95" customWidth="1"/>
    <col min="11021" max="11021" width="2.6640625" style="95" customWidth="1"/>
    <col min="11022" max="11264" width="9.1640625" style="95"/>
    <col min="11265" max="11265" width="37.5" style="95" customWidth="1"/>
    <col min="11266" max="11267" width="7.6640625" style="95" customWidth="1"/>
    <col min="11268" max="11268" width="2.6640625" style="95" customWidth="1"/>
    <col min="11269" max="11270" width="7.6640625" style="95" customWidth="1"/>
    <col min="11271" max="11271" width="2.6640625" style="95" customWidth="1"/>
    <col min="11272" max="11273" width="7.6640625" style="95" customWidth="1"/>
    <col min="11274" max="11274" width="2.6640625" style="95" customWidth="1"/>
    <col min="11275" max="11276" width="7.6640625" style="95" customWidth="1"/>
    <col min="11277" max="11277" width="2.6640625" style="95" customWidth="1"/>
    <col min="11278" max="11520" width="9.1640625" style="95"/>
    <col min="11521" max="11521" width="37.5" style="95" customWidth="1"/>
    <col min="11522" max="11523" width="7.6640625" style="95" customWidth="1"/>
    <col min="11524" max="11524" width="2.6640625" style="95" customWidth="1"/>
    <col min="11525" max="11526" width="7.6640625" style="95" customWidth="1"/>
    <col min="11527" max="11527" width="2.6640625" style="95" customWidth="1"/>
    <col min="11528" max="11529" width="7.6640625" style="95" customWidth="1"/>
    <col min="11530" max="11530" width="2.6640625" style="95" customWidth="1"/>
    <col min="11531" max="11532" width="7.6640625" style="95" customWidth="1"/>
    <col min="11533" max="11533" width="2.6640625" style="95" customWidth="1"/>
    <col min="11534" max="11776" width="9.1640625" style="95"/>
    <col min="11777" max="11777" width="37.5" style="95" customWidth="1"/>
    <col min="11778" max="11779" width="7.6640625" style="95" customWidth="1"/>
    <col min="11780" max="11780" width="2.6640625" style="95" customWidth="1"/>
    <col min="11781" max="11782" width="7.6640625" style="95" customWidth="1"/>
    <col min="11783" max="11783" width="2.6640625" style="95" customWidth="1"/>
    <col min="11784" max="11785" width="7.6640625" style="95" customWidth="1"/>
    <col min="11786" max="11786" width="2.6640625" style="95" customWidth="1"/>
    <col min="11787" max="11788" width="7.6640625" style="95" customWidth="1"/>
    <col min="11789" max="11789" width="2.6640625" style="95" customWidth="1"/>
    <col min="11790" max="12032" width="9.1640625" style="95"/>
    <col min="12033" max="12033" width="37.5" style="95" customWidth="1"/>
    <col min="12034" max="12035" width="7.6640625" style="95" customWidth="1"/>
    <col min="12036" max="12036" width="2.6640625" style="95" customWidth="1"/>
    <col min="12037" max="12038" width="7.6640625" style="95" customWidth="1"/>
    <col min="12039" max="12039" width="2.6640625" style="95" customWidth="1"/>
    <col min="12040" max="12041" width="7.6640625" style="95" customWidth="1"/>
    <col min="12042" max="12042" width="2.6640625" style="95" customWidth="1"/>
    <col min="12043" max="12044" width="7.6640625" style="95" customWidth="1"/>
    <col min="12045" max="12045" width="2.6640625" style="95" customWidth="1"/>
    <col min="12046" max="12288" width="9.1640625" style="95"/>
    <col min="12289" max="12289" width="37.5" style="95" customWidth="1"/>
    <col min="12290" max="12291" width="7.6640625" style="95" customWidth="1"/>
    <col min="12292" max="12292" width="2.6640625" style="95" customWidth="1"/>
    <col min="12293" max="12294" width="7.6640625" style="95" customWidth="1"/>
    <col min="12295" max="12295" width="2.6640625" style="95" customWidth="1"/>
    <col min="12296" max="12297" width="7.6640625" style="95" customWidth="1"/>
    <col min="12298" max="12298" width="2.6640625" style="95" customWidth="1"/>
    <col min="12299" max="12300" width="7.6640625" style="95" customWidth="1"/>
    <col min="12301" max="12301" width="2.6640625" style="95" customWidth="1"/>
    <col min="12302" max="12544" width="9.1640625" style="95"/>
    <col min="12545" max="12545" width="37.5" style="95" customWidth="1"/>
    <col min="12546" max="12547" width="7.6640625" style="95" customWidth="1"/>
    <col min="12548" max="12548" width="2.6640625" style="95" customWidth="1"/>
    <col min="12549" max="12550" width="7.6640625" style="95" customWidth="1"/>
    <col min="12551" max="12551" width="2.6640625" style="95" customWidth="1"/>
    <col min="12552" max="12553" width="7.6640625" style="95" customWidth="1"/>
    <col min="12554" max="12554" width="2.6640625" style="95" customWidth="1"/>
    <col min="12555" max="12556" width="7.6640625" style="95" customWidth="1"/>
    <col min="12557" max="12557" width="2.6640625" style="95" customWidth="1"/>
    <col min="12558" max="12800" width="9.1640625" style="95"/>
    <col min="12801" max="12801" width="37.5" style="95" customWidth="1"/>
    <col min="12802" max="12803" width="7.6640625" style="95" customWidth="1"/>
    <col min="12804" max="12804" width="2.6640625" style="95" customWidth="1"/>
    <col min="12805" max="12806" width="7.6640625" style="95" customWidth="1"/>
    <col min="12807" max="12807" width="2.6640625" style="95" customWidth="1"/>
    <col min="12808" max="12809" width="7.6640625" style="95" customWidth="1"/>
    <col min="12810" max="12810" width="2.6640625" style="95" customWidth="1"/>
    <col min="12811" max="12812" width="7.6640625" style="95" customWidth="1"/>
    <col min="12813" max="12813" width="2.6640625" style="95" customWidth="1"/>
    <col min="12814" max="13056" width="9.1640625" style="95"/>
    <col min="13057" max="13057" width="37.5" style="95" customWidth="1"/>
    <col min="13058" max="13059" width="7.6640625" style="95" customWidth="1"/>
    <col min="13060" max="13060" width="2.6640625" style="95" customWidth="1"/>
    <col min="13061" max="13062" width="7.6640625" style="95" customWidth="1"/>
    <col min="13063" max="13063" width="2.6640625" style="95" customWidth="1"/>
    <col min="13064" max="13065" width="7.6640625" style="95" customWidth="1"/>
    <col min="13066" max="13066" width="2.6640625" style="95" customWidth="1"/>
    <col min="13067" max="13068" width="7.6640625" style="95" customWidth="1"/>
    <col min="13069" max="13069" width="2.6640625" style="95" customWidth="1"/>
    <col min="13070" max="13312" width="9.1640625" style="95"/>
    <col min="13313" max="13313" width="37.5" style="95" customWidth="1"/>
    <col min="13314" max="13315" width="7.6640625" style="95" customWidth="1"/>
    <col min="13316" max="13316" width="2.6640625" style="95" customWidth="1"/>
    <col min="13317" max="13318" width="7.6640625" style="95" customWidth="1"/>
    <col min="13319" max="13319" width="2.6640625" style="95" customWidth="1"/>
    <col min="13320" max="13321" width="7.6640625" style="95" customWidth="1"/>
    <col min="13322" max="13322" width="2.6640625" style="95" customWidth="1"/>
    <col min="13323" max="13324" width="7.6640625" style="95" customWidth="1"/>
    <col min="13325" max="13325" width="2.6640625" style="95" customWidth="1"/>
    <col min="13326" max="13568" width="9.1640625" style="95"/>
    <col min="13569" max="13569" width="37.5" style="95" customWidth="1"/>
    <col min="13570" max="13571" width="7.6640625" style="95" customWidth="1"/>
    <col min="13572" max="13572" width="2.6640625" style="95" customWidth="1"/>
    <col min="13573" max="13574" width="7.6640625" style="95" customWidth="1"/>
    <col min="13575" max="13575" width="2.6640625" style="95" customWidth="1"/>
    <col min="13576" max="13577" width="7.6640625" style="95" customWidth="1"/>
    <col min="13578" max="13578" width="2.6640625" style="95" customWidth="1"/>
    <col min="13579" max="13580" width="7.6640625" style="95" customWidth="1"/>
    <col min="13581" max="13581" width="2.6640625" style="95" customWidth="1"/>
    <col min="13582" max="13824" width="9.1640625" style="95"/>
    <col min="13825" max="13825" width="37.5" style="95" customWidth="1"/>
    <col min="13826" max="13827" width="7.6640625" style="95" customWidth="1"/>
    <col min="13828" max="13828" width="2.6640625" style="95" customWidth="1"/>
    <col min="13829" max="13830" width="7.6640625" style="95" customWidth="1"/>
    <col min="13831" max="13831" width="2.6640625" style="95" customWidth="1"/>
    <col min="13832" max="13833" width="7.6640625" style="95" customWidth="1"/>
    <col min="13834" max="13834" width="2.6640625" style="95" customWidth="1"/>
    <col min="13835" max="13836" width="7.6640625" style="95" customWidth="1"/>
    <col min="13837" max="13837" width="2.6640625" style="95" customWidth="1"/>
    <col min="13838" max="14080" width="9.1640625" style="95"/>
    <col min="14081" max="14081" width="37.5" style="95" customWidth="1"/>
    <col min="14082" max="14083" width="7.6640625" style="95" customWidth="1"/>
    <col min="14084" max="14084" width="2.6640625" style="95" customWidth="1"/>
    <col min="14085" max="14086" width="7.6640625" style="95" customWidth="1"/>
    <col min="14087" max="14087" width="2.6640625" style="95" customWidth="1"/>
    <col min="14088" max="14089" width="7.6640625" style="95" customWidth="1"/>
    <col min="14090" max="14090" width="2.6640625" style="95" customWidth="1"/>
    <col min="14091" max="14092" width="7.6640625" style="95" customWidth="1"/>
    <col min="14093" max="14093" width="2.6640625" style="95" customWidth="1"/>
    <col min="14094" max="14336" width="9.1640625" style="95"/>
    <col min="14337" max="14337" width="37.5" style="95" customWidth="1"/>
    <col min="14338" max="14339" width="7.6640625" style="95" customWidth="1"/>
    <col min="14340" max="14340" width="2.6640625" style="95" customWidth="1"/>
    <col min="14341" max="14342" width="7.6640625" style="95" customWidth="1"/>
    <col min="14343" max="14343" width="2.6640625" style="95" customWidth="1"/>
    <col min="14344" max="14345" width="7.6640625" style="95" customWidth="1"/>
    <col min="14346" max="14346" width="2.6640625" style="95" customWidth="1"/>
    <col min="14347" max="14348" width="7.6640625" style="95" customWidth="1"/>
    <col min="14349" max="14349" width="2.6640625" style="95" customWidth="1"/>
    <col min="14350" max="14592" width="9.1640625" style="95"/>
    <col min="14593" max="14593" width="37.5" style="95" customWidth="1"/>
    <col min="14594" max="14595" width="7.6640625" style="95" customWidth="1"/>
    <col min="14596" max="14596" width="2.6640625" style="95" customWidth="1"/>
    <col min="14597" max="14598" width="7.6640625" style="95" customWidth="1"/>
    <col min="14599" max="14599" width="2.6640625" style="95" customWidth="1"/>
    <col min="14600" max="14601" width="7.6640625" style="95" customWidth="1"/>
    <col min="14602" max="14602" width="2.6640625" style="95" customWidth="1"/>
    <col min="14603" max="14604" width="7.6640625" style="95" customWidth="1"/>
    <col min="14605" max="14605" width="2.6640625" style="95" customWidth="1"/>
    <col min="14606" max="14848" width="9.1640625" style="95"/>
    <col min="14849" max="14849" width="37.5" style="95" customWidth="1"/>
    <col min="14850" max="14851" width="7.6640625" style="95" customWidth="1"/>
    <col min="14852" max="14852" width="2.6640625" style="95" customWidth="1"/>
    <col min="14853" max="14854" width="7.6640625" style="95" customWidth="1"/>
    <col min="14855" max="14855" width="2.6640625" style="95" customWidth="1"/>
    <col min="14856" max="14857" width="7.6640625" style="95" customWidth="1"/>
    <col min="14858" max="14858" width="2.6640625" style="95" customWidth="1"/>
    <col min="14859" max="14860" width="7.6640625" style="95" customWidth="1"/>
    <col min="14861" max="14861" width="2.6640625" style="95" customWidth="1"/>
    <col min="14862" max="15104" width="9.1640625" style="95"/>
    <col min="15105" max="15105" width="37.5" style="95" customWidth="1"/>
    <col min="15106" max="15107" width="7.6640625" style="95" customWidth="1"/>
    <col min="15108" max="15108" width="2.6640625" style="95" customWidth="1"/>
    <col min="15109" max="15110" width="7.6640625" style="95" customWidth="1"/>
    <col min="15111" max="15111" width="2.6640625" style="95" customWidth="1"/>
    <col min="15112" max="15113" width="7.6640625" style="95" customWidth="1"/>
    <col min="15114" max="15114" width="2.6640625" style="95" customWidth="1"/>
    <col min="15115" max="15116" width="7.6640625" style="95" customWidth="1"/>
    <col min="15117" max="15117" width="2.6640625" style="95" customWidth="1"/>
    <col min="15118" max="15360" width="9.1640625" style="95"/>
    <col min="15361" max="15361" width="37.5" style="95" customWidth="1"/>
    <col min="15362" max="15363" width="7.6640625" style="95" customWidth="1"/>
    <col min="15364" max="15364" width="2.6640625" style="95" customWidth="1"/>
    <col min="15365" max="15366" width="7.6640625" style="95" customWidth="1"/>
    <col min="15367" max="15367" width="2.6640625" style="95" customWidth="1"/>
    <col min="15368" max="15369" width="7.6640625" style="95" customWidth="1"/>
    <col min="15370" max="15370" width="2.6640625" style="95" customWidth="1"/>
    <col min="15371" max="15372" width="7.6640625" style="95" customWidth="1"/>
    <col min="15373" max="15373" width="2.6640625" style="95" customWidth="1"/>
    <col min="15374" max="15616" width="9.1640625" style="95"/>
    <col min="15617" max="15617" width="37.5" style="95" customWidth="1"/>
    <col min="15618" max="15619" width="7.6640625" style="95" customWidth="1"/>
    <col min="15620" max="15620" width="2.6640625" style="95" customWidth="1"/>
    <col min="15621" max="15622" width="7.6640625" style="95" customWidth="1"/>
    <col min="15623" max="15623" width="2.6640625" style="95" customWidth="1"/>
    <col min="15624" max="15625" width="7.6640625" style="95" customWidth="1"/>
    <col min="15626" max="15626" width="2.6640625" style="95" customWidth="1"/>
    <col min="15627" max="15628" width="7.6640625" style="95" customWidth="1"/>
    <col min="15629" max="15629" width="2.6640625" style="95" customWidth="1"/>
    <col min="15630" max="15872" width="9.1640625" style="95"/>
    <col min="15873" max="15873" width="37.5" style="95" customWidth="1"/>
    <col min="15874" max="15875" width="7.6640625" style="95" customWidth="1"/>
    <col min="15876" max="15876" width="2.6640625" style="95" customWidth="1"/>
    <col min="15877" max="15878" width="7.6640625" style="95" customWidth="1"/>
    <col min="15879" max="15879" width="2.6640625" style="95" customWidth="1"/>
    <col min="15880" max="15881" width="7.6640625" style="95" customWidth="1"/>
    <col min="15882" max="15882" width="2.6640625" style="95" customWidth="1"/>
    <col min="15883" max="15884" width="7.6640625" style="95" customWidth="1"/>
    <col min="15885" max="15885" width="2.6640625" style="95" customWidth="1"/>
    <col min="15886" max="16128" width="9.1640625" style="95"/>
    <col min="16129" max="16129" width="37.5" style="95" customWidth="1"/>
    <col min="16130" max="16131" width="7.6640625" style="95" customWidth="1"/>
    <col min="16132" max="16132" width="2.6640625" style="95" customWidth="1"/>
    <col min="16133" max="16134" width="7.6640625" style="95" customWidth="1"/>
    <col min="16135" max="16135" width="2.6640625" style="95" customWidth="1"/>
    <col min="16136" max="16137" width="7.6640625" style="95" customWidth="1"/>
    <col min="16138" max="16138" width="2.6640625" style="95" customWidth="1"/>
    <col min="16139" max="16140" width="7.6640625" style="95" customWidth="1"/>
    <col min="16141" max="16141" width="2.6640625" style="95" customWidth="1"/>
    <col min="16142" max="16384" width="9.1640625" style="95"/>
  </cols>
  <sheetData>
    <row r="1" spans="1:13" ht="13.25" customHeight="1">
      <c r="A1" s="95" t="s">
        <v>453</v>
      </c>
    </row>
    <row r="2" spans="1:13" ht="13.25" customHeight="1">
      <c r="A2" s="95" t="s">
        <v>454</v>
      </c>
    </row>
    <row r="3" spans="1:13" ht="10.5" customHeight="1"/>
    <row r="4" spans="1:13" ht="13.25" customHeight="1">
      <c r="A4" s="33" t="s">
        <v>2241</v>
      </c>
    </row>
    <row r="5" spans="1:13" ht="13.25" customHeight="1" thickBot="1"/>
    <row r="6" spans="1:13" ht="15" customHeight="1">
      <c r="A6" s="97"/>
      <c r="B6" s="579"/>
      <c r="C6" s="580"/>
      <c r="D6" s="581"/>
      <c r="E6" s="582"/>
      <c r="F6" s="580"/>
      <c r="G6" s="581"/>
      <c r="H6" s="582"/>
      <c r="I6" s="580"/>
      <c r="J6" s="580"/>
      <c r="K6" s="582"/>
      <c r="L6" s="581"/>
      <c r="M6" s="581"/>
    </row>
    <row r="7" spans="1:13" ht="15" customHeight="1">
      <c r="A7" s="116" t="s">
        <v>1564</v>
      </c>
      <c r="B7" s="1037" t="s">
        <v>1565</v>
      </c>
      <c r="C7" s="1026"/>
      <c r="D7" s="117"/>
      <c r="E7" s="1019" t="s">
        <v>1558</v>
      </c>
      <c r="F7" s="1019"/>
      <c r="G7" s="117"/>
      <c r="H7" s="1019" t="s">
        <v>1559</v>
      </c>
      <c r="I7" s="1019"/>
      <c r="J7" s="150"/>
      <c r="K7" s="1021" t="s">
        <v>1566</v>
      </c>
      <c r="L7" s="1019"/>
    </row>
    <row r="8" spans="1:13" ht="15" customHeight="1">
      <c r="A8" s="95" t="s">
        <v>1567</v>
      </c>
      <c r="B8" s="583" t="s">
        <v>400</v>
      </c>
      <c r="C8" s="101" t="s">
        <v>1568</v>
      </c>
      <c r="D8" s="117"/>
      <c r="E8" s="149" t="s">
        <v>400</v>
      </c>
      <c r="F8" s="101" t="s">
        <v>1568</v>
      </c>
      <c r="G8" s="117"/>
      <c r="H8" s="149" t="s">
        <v>400</v>
      </c>
      <c r="I8" s="101" t="s">
        <v>1569</v>
      </c>
      <c r="J8" s="150"/>
      <c r="K8" s="149" t="s">
        <v>400</v>
      </c>
      <c r="L8" s="101" t="s">
        <v>1568</v>
      </c>
    </row>
    <row r="9" spans="1:13" ht="15" customHeight="1" thickBot="1">
      <c r="A9" s="102"/>
      <c r="B9" s="584"/>
      <c r="C9" s="585"/>
      <c r="D9" s="109"/>
      <c r="E9" s="586"/>
      <c r="F9" s="585"/>
      <c r="G9" s="109"/>
      <c r="H9" s="586"/>
      <c r="I9" s="585"/>
      <c r="J9" s="585"/>
      <c r="K9" s="586"/>
      <c r="L9" s="109"/>
    </row>
    <row r="10" spans="1:13" ht="10" customHeight="1">
      <c r="A10" s="116"/>
      <c r="B10" s="587"/>
      <c r="C10" s="150"/>
      <c r="D10" s="117"/>
      <c r="E10" s="917"/>
      <c r="F10" s="150"/>
      <c r="G10" s="117"/>
      <c r="H10" s="917"/>
      <c r="I10" s="150"/>
      <c r="J10" s="150"/>
      <c r="K10" s="917"/>
      <c r="L10" s="117"/>
      <c r="M10" s="581"/>
    </row>
    <row r="11" spans="1:13" ht="15" customHeight="1">
      <c r="A11" s="55" t="s">
        <v>290</v>
      </c>
      <c r="B11" s="570">
        <f>IF($A11&lt;&gt;0,E11+H11+K11,"")</f>
        <v>164</v>
      </c>
      <c r="C11" s="571">
        <f>SUM(C13:C50)</f>
        <v>99.999999999999972</v>
      </c>
      <c r="D11" s="572"/>
      <c r="E11" s="380">
        <f>SUM(E13:E50)</f>
        <v>156</v>
      </c>
      <c r="F11" s="573">
        <f>IF($A11&lt;&gt;0,E11/$B11*100,"")</f>
        <v>95.121951219512198</v>
      </c>
      <c r="G11" s="572"/>
      <c r="H11" s="380">
        <f>SUM(H13:H50)</f>
        <v>5</v>
      </c>
      <c r="I11" s="573">
        <f>IF($A11&lt;&gt;0,H11/$B11*100,"")</f>
        <v>3.0487804878048781</v>
      </c>
      <c r="J11" s="574"/>
      <c r="K11" s="380">
        <f>SUM(K13:K50)</f>
        <v>3</v>
      </c>
      <c r="L11" s="575">
        <f>IF($A11&lt;&gt;0,K11/$B11*100,"")</f>
        <v>1.8292682926829267</v>
      </c>
    </row>
    <row r="12" spans="1:13" ht="12" customHeight="1">
      <c r="A12" s="55"/>
      <c r="B12" s="570" t="str">
        <f t="shared" ref="B12:B49" si="0">IF($A12&lt;&gt;0,E12+H12+K12,"")</f>
        <v/>
      </c>
      <c r="C12" s="588"/>
      <c r="D12" s="589"/>
      <c r="E12" s="221"/>
      <c r="F12" s="578" t="str">
        <f t="shared" ref="F12:F50" si="1">IF($A12&lt;&gt;0,E12/$B12*100,"")</f>
        <v/>
      </c>
      <c r="G12" s="589"/>
      <c r="H12" s="221"/>
      <c r="I12" s="289" t="str">
        <f t="shared" ref="I12:I50" si="2">IF($A12&lt;&gt;0,H12/$B12*100,"")</f>
        <v/>
      </c>
      <c r="J12" s="554"/>
      <c r="K12" s="217"/>
      <c r="L12" s="162"/>
    </row>
    <row r="13" spans="1:13" ht="14.25" customHeight="1">
      <c r="A13" s="405" t="s">
        <v>715</v>
      </c>
      <c r="B13" s="384">
        <f t="shared" si="0"/>
        <v>3</v>
      </c>
      <c r="C13" s="588">
        <f t="shared" ref="C13:C49" si="3">IF($A13&lt;&gt;0,B13/$B$11*100,"")</f>
        <v>1.8292682926829267</v>
      </c>
      <c r="D13" s="589"/>
      <c r="E13" s="948">
        <v>3</v>
      </c>
      <c r="F13" s="578">
        <f t="shared" si="1"/>
        <v>100</v>
      </c>
      <c r="G13" s="949"/>
      <c r="H13" s="948">
        <v>0</v>
      </c>
      <c r="I13" s="289">
        <f t="shared" si="2"/>
        <v>0</v>
      </c>
      <c r="J13" s="949"/>
      <c r="K13" s="948">
        <v>0</v>
      </c>
      <c r="L13" s="162">
        <f>IF($A13&lt;&gt;0,K13/$B13*100,"")</f>
        <v>0</v>
      </c>
    </row>
    <row r="14" spans="1:13" ht="14.25" customHeight="1">
      <c r="A14" s="925" t="s">
        <v>716</v>
      </c>
      <c r="B14" s="384">
        <f t="shared" si="0"/>
        <v>1</v>
      </c>
      <c r="C14" s="588">
        <f t="shared" si="3"/>
        <v>0.6097560975609756</v>
      </c>
      <c r="D14" s="589"/>
      <c r="E14" s="948">
        <v>1</v>
      </c>
      <c r="F14" s="578">
        <f t="shared" si="1"/>
        <v>100</v>
      </c>
      <c r="G14" s="949"/>
      <c r="H14" s="948">
        <v>0</v>
      </c>
      <c r="I14" s="289">
        <f t="shared" si="2"/>
        <v>0</v>
      </c>
      <c r="J14" s="949"/>
      <c r="K14" s="948">
        <v>0</v>
      </c>
      <c r="L14" s="162">
        <f t="shared" ref="L14:L44" si="4">IF($A14&lt;&gt;0,K14/$B14*100,"")</f>
        <v>0</v>
      </c>
    </row>
    <row r="15" spans="1:13" ht="14.25" customHeight="1">
      <c r="A15" s="405" t="s">
        <v>1536</v>
      </c>
      <c r="B15" s="384">
        <f t="shared" si="0"/>
        <v>1</v>
      </c>
      <c r="C15" s="588">
        <f t="shared" si="3"/>
        <v>0.6097560975609756</v>
      </c>
      <c r="D15" s="589"/>
      <c r="E15" s="948">
        <v>1</v>
      </c>
      <c r="F15" s="578">
        <f t="shared" si="1"/>
        <v>100</v>
      </c>
      <c r="G15" s="949"/>
      <c r="H15" s="948">
        <v>0</v>
      </c>
      <c r="I15" s="289">
        <f t="shared" si="2"/>
        <v>0</v>
      </c>
      <c r="J15" s="949"/>
      <c r="K15" s="948">
        <v>0</v>
      </c>
      <c r="L15" s="162">
        <f t="shared" si="4"/>
        <v>0</v>
      </c>
    </row>
    <row r="16" spans="1:13" ht="14.25" customHeight="1">
      <c r="A16" s="405" t="s">
        <v>718</v>
      </c>
      <c r="B16" s="384">
        <f t="shared" si="0"/>
        <v>13</v>
      </c>
      <c r="C16" s="588">
        <f t="shared" si="3"/>
        <v>7.9268292682926829</v>
      </c>
      <c r="D16" s="589"/>
      <c r="E16" s="948">
        <v>12</v>
      </c>
      <c r="F16" s="578">
        <f t="shared" si="1"/>
        <v>92.307692307692307</v>
      </c>
      <c r="G16" s="949"/>
      <c r="H16" s="948">
        <v>0</v>
      </c>
      <c r="I16" s="289">
        <f t="shared" si="2"/>
        <v>0</v>
      </c>
      <c r="J16" s="949"/>
      <c r="K16" s="948">
        <v>1</v>
      </c>
      <c r="L16" s="162">
        <f t="shared" si="4"/>
        <v>7.6923076923076925</v>
      </c>
    </row>
    <row r="17" spans="1:12" ht="14.25" customHeight="1">
      <c r="A17" s="405" t="s">
        <v>720</v>
      </c>
      <c r="B17" s="384">
        <f t="shared" si="0"/>
        <v>3</v>
      </c>
      <c r="C17" s="588">
        <f t="shared" si="3"/>
        <v>1.8292682926829267</v>
      </c>
      <c r="D17" s="589"/>
      <c r="E17" s="948">
        <v>3</v>
      </c>
      <c r="F17" s="578">
        <f t="shared" si="1"/>
        <v>100</v>
      </c>
      <c r="G17" s="949"/>
      <c r="H17" s="948">
        <v>0</v>
      </c>
      <c r="I17" s="289">
        <f t="shared" si="2"/>
        <v>0</v>
      </c>
      <c r="J17" s="949"/>
      <c r="K17" s="948">
        <v>0</v>
      </c>
      <c r="L17" s="162">
        <f t="shared" si="4"/>
        <v>0</v>
      </c>
    </row>
    <row r="18" spans="1:12" ht="14.25" customHeight="1">
      <c r="A18" s="405" t="s">
        <v>722</v>
      </c>
      <c r="B18" s="384">
        <f t="shared" si="0"/>
        <v>12</v>
      </c>
      <c r="C18" s="588">
        <f t="shared" si="3"/>
        <v>7.3170731707317067</v>
      </c>
      <c r="D18" s="589"/>
      <c r="E18" s="948">
        <v>12</v>
      </c>
      <c r="F18" s="578">
        <f t="shared" si="1"/>
        <v>100</v>
      </c>
      <c r="G18" s="949"/>
      <c r="H18" s="948">
        <v>0</v>
      </c>
      <c r="I18" s="289">
        <f t="shared" si="2"/>
        <v>0</v>
      </c>
      <c r="J18" s="949"/>
      <c r="K18" s="948">
        <v>0</v>
      </c>
      <c r="L18" s="162">
        <f t="shared" si="4"/>
        <v>0</v>
      </c>
    </row>
    <row r="19" spans="1:12" ht="14.25" customHeight="1">
      <c r="A19" s="405" t="s">
        <v>1537</v>
      </c>
      <c r="B19" s="384">
        <f t="shared" si="0"/>
        <v>6</v>
      </c>
      <c r="C19" s="588">
        <f>IF($A20&lt;&gt;0,B19/$B$11*100,"")</f>
        <v>3.6585365853658534</v>
      </c>
      <c r="D19" s="589"/>
      <c r="E19" s="948">
        <v>6</v>
      </c>
      <c r="F19" s="578">
        <f t="shared" si="1"/>
        <v>100</v>
      </c>
      <c r="G19" s="949"/>
      <c r="H19" s="948">
        <v>0</v>
      </c>
      <c r="I19" s="289">
        <f t="shared" si="2"/>
        <v>0</v>
      </c>
      <c r="J19" s="949"/>
      <c r="K19" s="948">
        <v>0</v>
      </c>
      <c r="L19" s="162">
        <f>IF($A20&lt;&gt;0,K19/$B19*100,"")</f>
        <v>0</v>
      </c>
    </row>
    <row r="20" spans="1:12" ht="14.25" customHeight="1">
      <c r="A20" s="405" t="s">
        <v>726</v>
      </c>
      <c r="B20" s="384">
        <f t="shared" si="0"/>
        <v>1</v>
      </c>
      <c r="C20" s="588">
        <f>IF($A19&lt;&gt;0,B20/$B$11*100,"")</f>
        <v>0.6097560975609756</v>
      </c>
      <c r="D20" s="589"/>
      <c r="E20" s="948">
        <v>1</v>
      </c>
      <c r="F20" s="578">
        <f t="shared" si="1"/>
        <v>100</v>
      </c>
      <c r="G20" s="949"/>
      <c r="H20" s="948">
        <v>0</v>
      </c>
      <c r="I20" s="289">
        <f t="shared" si="2"/>
        <v>0</v>
      </c>
      <c r="J20" s="949"/>
      <c r="K20" s="948">
        <v>0</v>
      </c>
      <c r="L20" s="162">
        <f>IF($A19&lt;&gt;0,K20/$B20*100,"")</f>
        <v>0</v>
      </c>
    </row>
    <row r="21" spans="1:12" ht="14.25" customHeight="1">
      <c r="A21" s="932" t="s">
        <v>2139</v>
      </c>
      <c r="B21" s="384">
        <f t="shared" si="0"/>
        <v>1</v>
      </c>
      <c r="C21" s="588">
        <f t="shared" si="3"/>
        <v>0.6097560975609756</v>
      </c>
      <c r="D21" s="589"/>
      <c r="E21" s="948">
        <v>1</v>
      </c>
      <c r="F21" s="578">
        <f t="shared" si="1"/>
        <v>100</v>
      </c>
      <c r="G21" s="949"/>
      <c r="H21" s="948">
        <v>0</v>
      </c>
      <c r="I21" s="289">
        <f t="shared" si="2"/>
        <v>0</v>
      </c>
      <c r="J21" s="949"/>
      <c r="K21" s="948">
        <v>0</v>
      </c>
      <c r="L21" s="162">
        <f t="shared" si="4"/>
        <v>0</v>
      </c>
    </row>
    <row r="22" spans="1:12" ht="14.25" customHeight="1">
      <c r="A22" s="405" t="s">
        <v>727</v>
      </c>
      <c r="B22" s="384">
        <f t="shared" si="0"/>
        <v>2</v>
      </c>
      <c r="C22" s="588">
        <f t="shared" si="3"/>
        <v>1.2195121951219512</v>
      </c>
      <c r="D22" s="589"/>
      <c r="E22" s="948">
        <v>2</v>
      </c>
      <c r="F22" s="578">
        <f t="shared" si="1"/>
        <v>100</v>
      </c>
      <c r="G22" s="949"/>
      <c r="H22" s="948">
        <v>0</v>
      </c>
      <c r="I22" s="289">
        <f t="shared" si="2"/>
        <v>0</v>
      </c>
      <c r="J22" s="949"/>
      <c r="K22" s="948">
        <v>0</v>
      </c>
      <c r="L22" s="162">
        <f t="shared" si="4"/>
        <v>0</v>
      </c>
    </row>
    <row r="23" spans="1:12" ht="14.25" customHeight="1">
      <c r="A23" s="405" t="s">
        <v>1538</v>
      </c>
      <c r="B23" s="384">
        <f t="shared" si="0"/>
        <v>9</v>
      </c>
      <c r="C23" s="588">
        <f t="shared" si="3"/>
        <v>5.4878048780487809</v>
      </c>
      <c r="D23" s="589"/>
      <c r="E23" s="948">
        <v>9</v>
      </c>
      <c r="F23" s="578">
        <f t="shared" si="1"/>
        <v>100</v>
      </c>
      <c r="G23" s="949"/>
      <c r="H23" s="948">
        <v>0</v>
      </c>
      <c r="I23" s="289">
        <f t="shared" si="2"/>
        <v>0</v>
      </c>
      <c r="J23" s="949"/>
      <c r="K23" s="948">
        <v>0</v>
      </c>
      <c r="L23" s="162">
        <f t="shared" si="4"/>
        <v>0</v>
      </c>
    </row>
    <row r="24" spans="1:12" ht="14.25" customHeight="1">
      <c r="A24" s="405" t="s">
        <v>730</v>
      </c>
      <c r="B24" s="384">
        <f t="shared" si="0"/>
        <v>3</v>
      </c>
      <c r="C24" s="588">
        <f t="shared" si="3"/>
        <v>1.8292682926829267</v>
      </c>
      <c r="D24" s="589"/>
      <c r="E24" s="948">
        <v>3</v>
      </c>
      <c r="F24" s="578">
        <f t="shared" si="1"/>
        <v>100</v>
      </c>
      <c r="G24" s="949"/>
      <c r="H24" s="948">
        <v>0</v>
      </c>
      <c r="I24" s="289">
        <f t="shared" si="2"/>
        <v>0</v>
      </c>
      <c r="J24" s="949"/>
      <c r="K24" s="948">
        <v>0</v>
      </c>
      <c r="L24" s="162">
        <f t="shared" si="4"/>
        <v>0</v>
      </c>
    </row>
    <row r="25" spans="1:12" ht="14.25" customHeight="1">
      <c r="A25" s="405" t="s">
        <v>731</v>
      </c>
      <c r="B25" s="384">
        <f t="shared" si="0"/>
        <v>4</v>
      </c>
      <c r="C25" s="588">
        <f t="shared" si="3"/>
        <v>2.4390243902439024</v>
      </c>
      <c r="D25" s="589"/>
      <c r="E25" s="948">
        <v>4</v>
      </c>
      <c r="F25" s="578">
        <f t="shared" si="1"/>
        <v>100</v>
      </c>
      <c r="G25" s="949"/>
      <c r="H25" s="948">
        <v>0</v>
      </c>
      <c r="I25" s="289">
        <f t="shared" si="2"/>
        <v>0</v>
      </c>
      <c r="J25" s="949"/>
      <c r="K25" s="948">
        <v>0</v>
      </c>
      <c r="L25" s="162">
        <f t="shared" si="4"/>
        <v>0</v>
      </c>
    </row>
    <row r="26" spans="1:12" ht="14.25" customHeight="1">
      <c r="A26" s="405" t="s">
        <v>732</v>
      </c>
      <c r="B26" s="384">
        <f t="shared" si="0"/>
        <v>3</v>
      </c>
      <c r="C26" s="588">
        <f t="shared" si="3"/>
        <v>1.8292682926829267</v>
      </c>
      <c r="D26" s="589"/>
      <c r="E26" s="948">
        <v>3</v>
      </c>
      <c r="F26" s="578">
        <f t="shared" si="1"/>
        <v>100</v>
      </c>
      <c r="G26" s="949"/>
      <c r="H26" s="948">
        <v>0</v>
      </c>
      <c r="I26" s="289">
        <f t="shared" si="2"/>
        <v>0</v>
      </c>
      <c r="J26" s="949"/>
      <c r="K26" s="948">
        <v>0</v>
      </c>
      <c r="L26" s="162">
        <f t="shared" si="4"/>
        <v>0</v>
      </c>
    </row>
    <row r="27" spans="1:12" ht="14.25" customHeight="1">
      <c r="A27" s="925" t="s">
        <v>2140</v>
      </c>
      <c r="B27" s="384">
        <f t="shared" si="0"/>
        <v>1</v>
      </c>
      <c r="C27" s="588">
        <f t="shared" si="3"/>
        <v>0.6097560975609756</v>
      </c>
      <c r="D27" s="589"/>
      <c r="E27" s="948">
        <v>1</v>
      </c>
      <c r="F27" s="578">
        <f t="shared" si="1"/>
        <v>100</v>
      </c>
      <c r="G27" s="949"/>
      <c r="H27" s="948">
        <v>0</v>
      </c>
      <c r="I27" s="289">
        <f t="shared" si="2"/>
        <v>0</v>
      </c>
      <c r="J27" s="949"/>
      <c r="K27" s="948">
        <v>0</v>
      </c>
      <c r="L27" s="162">
        <f t="shared" si="4"/>
        <v>0</v>
      </c>
    </row>
    <row r="28" spans="1:12" ht="14.25" customHeight="1">
      <c r="A28" s="925" t="s">
        <v>2141</v>
      </c>
      <c r="B28" s="384">
        <f t="shared" si="0"/>
        <v>2</v>
      </c>
      <c r="C28" s="588">
        <f t="shared" si="3"/>
        <v>1.2195121951219512</v>
      </c>
      <c r="D28" s="589"/>
      <c r="E28" s="948">
        <v>1</v>
      </c>
      <c r="F28" s="578">
        <f t="shared" si="1"/>
        <v>50</v>
      </c>
      <c r="G28" s="949"/>
      <c r="H28" s="948">
        <v>0</v>
      </c>
      <c r="I28" s="289">
        <f t="shared" si="2"/>
        <v>0</v>
      </c>
      <c r="J28" s="949"/>
      <c r="K28" s="948">
        <v>1</v>
      </c>
      <c r="L28" s="162">
        <f t="shared" si="4"/>
        <v>50</v>
      </c>
    </row>
    <row r="29" spans="1:12" ht="14.25" customHeight="1">
      <c r="A29" s="405" t="s">
        <v>1539</v>
      </c>
      <c r="B29" s="384">
        <f t="shared" si="0"/>
        <v>4</v>
      </c>
      <c r="C29" s="588">
        <f t="shared" si="3"/>
        <v>2.4390243902439024</v>
      </c>
      <c r="D29" s="589"/>
      <c r="E29" s="948">
        <v>4</v>
      </c>
      <c r="F29" s="578">
        <f t="shared" si="1"/>
        <v>100</v>
      </c>
      <c r="G29" s="949"/>
      <c r="H29" s="948">
        <v>0</v>
      </c>
      <c r="I29" s="289">
        <f t="shared" si="2"/>
        <v>0</v>
      </c>
      <c r="J29" s="949"/>
      <c r="K29" s="948">
        <v>0</v>
      </c>
      <c r="L29" s="162">
        <f t="shared" si="4"/>
        <v>0</v>
      </c>
    </row>
    <row r="30" spans="1:12" ht="14.25" customHeight="1">
      <c r="A30" s="405" t="s">
        <v>736</v>
      </c>
      <c r="B30" s="384">
        <f>IF($A30&lt;&gt;0,E30+H30+K30,"")</f>
        <v>2</v>
      </c>
      <c r="C30" s="588">
        <f>IF($A30&lt;&gt;0,B30/$B$11*100,"")</f>
        <v>1.2195121951219512</v>
      </c>
      <c r="D30" s="589"/>
      <c r="E30" s="948">
        <v>2</v>
      </c>
      <c r="F30" s="578">
        <f t="shared" si="1"/>
        <v>100</v>
      </c>
      <c r="G30" s="949"/>
      <c r="H30" s="948">
        <v>0</v>
      </c>
      <c r="I30" s="289">
        <f t="shared" si="2"/>
        <v>0</v>
      </c>
      <c r="J30" s="949"/>
      <c r="K30" s="948">
        <v>0</v>
      </c>
      <c r="L30" s="162"/>
    </row>
    <row r="31" spans="1:12" ht="14.25" customHeight="1">
      <c r="A31" s="405" t="s">
        <v>1540</v>
      </c>
      <c r="B31" s="384">
        <f t="shared" si="0"/>
        <v>7</v>
      </c>
      <c r="C31" s="588">
        <f t="shared" si="3"/>
        <v>4.2682926829268295</v>
      </c>
      <c r="D31" s="589"/>
      <c r="E31" s="948">
        <v>5</v>
      </c>
      <c r="F31" s="578">
        <f t="shared" si="1"/>
        <v>71.428571428571431</v>
      </c>
      <c r="G31" s="949"/>
      <c r="H31" s="948">
        <v>2</v>
      </c>
      <c r="I31" s="289">
        <f t="shared" si="2"/>
        <v>28.571428571428569</v>
      </c>
      <c r="J31" s="949"/>
      <c r="K31" s="948">
        <v>0</v>
      </c>
      <c r="L31" s="162">
        <f t="shared" si="4"/>
        <v>0</v>
      </c>
    </row>
    <row r="32" spans="1:12" ht="14.25" customHeight="1">
      <c r="A32" s="405" t="s">
        <v>739</v>
      </c>
      <c r="B32" s="384">
        <f t="shared" si="0"/>
        <v>2</v>
      </c>
      <c r="C32" s="588">
        <f t="shared" si="3"/>
        <v>1.2195121951219512</v>
      </c>
      <c r="D32" s="589"/>
      <c r="E32" s="948">
        <v>2</v>
      </c>
      <c r="F32" s="578">
        <f t="shared" si="1"/>
        <v>100</v>
      </c>
      <c r="G32" s="949"/>
      <c r="H32" s="948">
        <v>0</v>
      </c>
      <c r="I32" s="289">
        <f t="shared" si="2"/>
        <v>0</v>
      </c>
      <c r="J32" s="949"/>
      <c r="K32" s="948">
        <v>0</v>
      </c>
      <c r="L32" s="162">
        <f t="shared" si="4"/>
        <v>0</v>
      </c>
    </row>
    <row r="33" spans="1:12" ht="14.25" customHeight="1">
      <c r="A33" s="405" t="s">
        <v>740</v>
      </c>
      <c r="B33" s="384">
        <f>IF($A33&lt;&gt;0,E33+H33+K33,"")</f>
        <v>6</v>
      </c>
      <c r="C33" s="588">
        <f>IF($A33&lt;&gt;0,B33/$B$11*100,"")</f>
        <v>3.6585365853658534</v>
      </c>
      <c r="D33" s="589"/>
      <c r="E33" s="948">
        <v>6</v>
      </c>
      <c r="F33" s="578">
        <f t="shared" si="1"/>
        <v>100</v>
      </c>
      <c r="G33" s="949"/>
      <c r="H33" s="948">
        <v>0</v>
      </c>
      <c r="I33" s="289">
        <f t="shared" si="2"/>
        <v>0</v>
      </c>
      <c r="J33" s="949"/>
      <c r="K33" s="948">
        <v>0</v>
      </c>
      <c r="L33" s="162"/>
    </row>
    <row r="34" spans="1:12" ht="14.25" customHeight="1">
      <c r="A34" s="932" t="s">
        <v>2142</v>
      </c>
      <c r="B34" s="384">
        <f>IF($A34&lt;&gt;0,E34+H34+K34,"")</f>
        <v>7</v>
      </c>
      <c r="C34" s="588">
        <f>IF($A34&lt;&gt;0,B34/$B$11*100,"")</f>
        <v>4.2682926829268295</v>
      </c>
      <c r="D34" s="589"/>
      <c r="E34" s="948">
        <v>7</v>
      </c>
      <c r="F34" s="578">
        <f t="shared" si="1"/>
        <v>100</v>
      </c>
      <c r="G34" s="949"/>
      <c r="H34" s="948">
        <v>0</v>
      </c>
      <c r="I34" s="289">
        <f t="shared" si="2"/>
        <v>0</v>
      </c>
      <c r="J34" s="949"/>
      <c r="K34" s="948">
        <v>0</v>
      </c>
      <c r="L34" s="162">
        <f t="shared" si="4"/>
        <v>0</v>
      </c>
    </row>
    <row r="35" spans="1:12" ht="14.25" customHeight="1">
      <c r="A35" s="925" t="s">
        <v>2143</v>
      </c>
      <c r="B35" s="384">
        <f t="shared" si="0"/>
        <v>2</v>
      </c>
      <c r="C35" s="588">
        <f t="shared" si="3"/>
        <v>1.2195121951219512</v>
      </c>
      <c r="D35" s="589"/>
      <c r="E35" s="948">
        <v>2</v>
      </c>
      <c r="F35" s="578">
        <f t="shared" si="1"/>
        <v>100</v>
      </c>
      <c r="G35" s="949"/>
      <c r="H35" s="948">
        <v>0</v>
      </c>
      <c r="I35" s="289">
        <f t="shared" si="2"/>
        <v>0</v>
      </c>
      <c r="J35" s="949"/>
      <c r="K35" s="948">
        <v>0</v>
      </c>
      <c r="L35" s="162">
        <f t="shared" si="4"/>
        <v>0</v>
      </c>
    </row>
    <row r="36" spans="1:12" ht="14.25" customHeight="1">
      <c r="A36" s="405" t="s">
        <v>746</v>
      </c>
      <c r="B36" s="384">
        <f t="shared" si="0"/>
        <v>11</v>
      </c>
      <c r="C36" s="588">
        <f t="shared" si="3"/>
        <v>6.7073170731707323</v>
      </c>
      <c r="D36" s="589"/>
      <c r="E36" s="948">
        <v>10</v>
      </c>
      <c r="F36" s="578">
        <f t="shared" si="1"/>
        <v>90.909090909090907</v>
      </c>
      <c r="G36" s="949"/>
      <c r="H36" s="948">
        <v>0</v>
      </c>
      <c r="I36" s="289">
        <f t="shared" si="2"/>
        <v>0</v>
      </c>
      <c r="J36" s="949"/>
      <c r="K36" s="948">
        <v>1</v>
      </c>
      <c r="L36" s="162">
        <f t="shared" si="4"/>
        <v>9.0909090909090917</v>
      </c>
    </row>
    <row r="37" spans="1:12" ht="14.25" customHeight="1">
      <c r="A37" s="405" t="s">
        <v>747</v>
      </c>
      <c r="B37" s="384">
        <f>IF($A37&lt;&gt;0,E37+H37+K37,"")</f>
        <v>2</v>
      </c>
      <c r="C37" s="588">
        <f>IF($A37&lt;&gt;0,B37/$B$11*100,"")</f>
        <v>1.2195121951219512</v>
      </c>
      <c r="D37" s="589"/>
      <c r="E37" s="948">
        <v>1</v>
      </c>
      <c r="F37" s="578">
        <f t="shared" si="1"/>
        <v>50</v>
      </c>
      <c r="G37" s="949"/>
      <c r="H37" s="948">
        <v>1</v>
      </c>
      <c r="I37" s="289">
        <f t="shared" si="2"/>
        <v>50</v>
      </c>
      <c r="J37" s="949"/>
      <c r="K37" s="948">
        <v>0</v>
      </c>
      <c r="L37" s="162"/>
    </row>
    <row r="38" spans="1:12" ht="14.25" customHeight="1">
      <c r="A38" s="405" t="s">
        <v>748</v>
      </c>
      <c r="B38" s="384">
        <f t="shared" si="0"/>
        <v>4</v>
      </c>
      <c r="C38" s="588">
        <f t="shared" si="3"/>
        <v>2.4390243902439024</v>
      </c>
      <c r="D38" s="589"/>
      <c r="E38" s="948">
        <v>4</v>
      </c>
      <c r="F38" s="578">
        <f t="shared" si="1"/>
        <v>100</v>
      </c>
      <c r="G38" s="949"/>
      <c r="H38" s="948">
        <v>0</v>
      </c>
      <c r="I38" s="289">
        <f t="shared" si="2"/>
        <v>0</v>
      </c>
      <c r="J38" s="949"/>
      <c r="K38" s="948">
        <v>0</v>
      </c>
      <c r="L38" s="162">
        <f t="shared" si="4"/>
        <v>0</v>
      </c>
    </row>
    <row r="39" spans="1:12" ht="14.25" customHeight="1">
      <c r="A39" s="405" t="s">
        <v>749</v>
      </c>
      <c r="B39" s="384">
        <f t="shared" si="0"/>
        <v>1</v>
      </c>
      <c r="C39" s="588">
        <f t="shared" si="3"/>
        <v>0.6097560975609756</v>
      </c>
      <c r="D39" s="589"/>
      <c r="E39" s="948">
        <v>1</v>
      </c>
      <c r="F39" s="578">
        <f t="shared" si="1"/>
        <v>100</v>
      </c>
      <c r="G39" s="949"/>
      <c r="H39" s="948">
        <v>0</v>
      </c>
      <c r="I39" s="289">
        <f t="shared" si="2"/>
        <v>0</v>
      </c>
      <c r="J39" s="949"/>
      <c r="K39" s="948">
        <v>0</v>
      </c>
      <c r="L39" s="162">
        <f t="shared" si="4"/>
        <v>0</v>
      </c>
    </row>
    <row r="40" spans="1:12" ht="14.25" customHeight="1">
      <c r="A40" s="932" t="s">
        <v>751</v>
      </c>
      <c r="B40" s="384">
        <f t="shared" si="0"/>
        <v>3</v>
      </c>
      <c r="C40" s="588">
        <f t="shared" si="3"/>
        <v>1.8292682926829267</v>
      </c>
      <c r="D40" s="589"/>
      <c r="E40" s="948">
        <v>3</v>
      </c>
      <c r="F40" s="578">
        <f t="shared" si="1"/>
        <v>100</v>
      </c>
      <c r="G40" s="949"/>
      <c r="H40" s="948">
        <v>0</v>
      </c>
      <c r="I40" s="289">
        <f t="shared" si="2"/>
        <v>0</v>
      </c>
      <c r="J40" s="949"/>
      <c r="K40" s="948">
        <v>0</v>
      </c>
      <c r="L40" s="162">
        <f t="shared" si="4"/>
        <v>0</v>
      </c>
    </row>
    <row r="41" spans="1:12" ht="14.25" customHeight="1">
      <c r="A41" s="405" t="s">
        <v>752</v>
      </c>
      <c r="B41" s="384">
        <f t="shared" si="0"/>
        <v>1</v>
      </c>
      <c r="C41" s="588">
        <f t="shared" si="3"/>
        <v>0.6097560975609756</v>
      </c>
      <c r="D41" s="589"/>
      <c r="E41" s="948">
        <v>1</v>
      </c>
      <c r="F41" s="578">
        <f t="shared" si="1"/>
        <v>100</v>
      </c>
      <c r="G41" s="949"/>
      <c r="H41" s="948">
        <v>0</v>
      </c>
      <c r="I41" s="289">
        <f t="shared" si="2"/>
        <v>0</v>
      </c>
      <c r="J41" s="949"/>
      <c r="K41" s="948">
        <v>0</v>
      </c>
      <c r="L41" s="162">
        <f t="shared" si="4"/>
        <v>0</v>
      </c>
    </row>
    <row r="42" spans="1:12" ht="14.25" customHeight="1">
      <c r="A42" s="405" t="s">
        <v>755</v>
      </c>
      <c r="B42" s="384">
        <f t="shared" si="0"/>
        <v>8</v>
      </c>
      <c r="C42" s="588">
        <f t="shared" si="3"/>
        <v>4.8780487804878048</v>
      </c>
      <c r="D42" s="589"/>
      <c r="E42" s="948">
        <v>8</v>
      </c>
      <c r="F42" s="578">
        <f t="shared" si="1"/>
        <v>100</v>
      </c>
      <c r="G42" s="949"/>
      <c r="H42" s="948">
        <v>0</v>
      </c>
      <c r="I42" s="289">
        <f t="shared" si="2"/>
        <v>0</v>
      </c>
      <c r="J42" s="949"/>
      <c r="K42" s="948">
        <v>0</v>
      </c>
      <c r="L42" s="162">
        <f t="shared" si="4"/>
        <v>0</v>
      </c>
    </row>
    <row r="43" spans="1:12" ht="14.25" customHeight="1">
      <c r="A43" s="405" t="s">
        <v>757</v>
      </c>
      <c r="B43" s="384">
        <f t="shared" si="0"/>
        <v>3</v>
      </c>
      <c r="C43" s="588">
        <f t="shared" si="3"/>
        <v>1.8292682926829267</v>
      </c>
      <c r="D43" s="589"/>
      <c r="E43" s="948">
        <v>3</v>
      </c>
      <c r="F43" s="578">
        <f t="shared" si="1"/>
        <v>100</v>
      </c>
      <c r="G43" s="949"/>
      <c r="H43" s="948">
        <v>0</v>
      </c>
      <c r="I43" s="289">
        <f t="shared" si="2"/>
        <v>0</v>
      </c>
      <c r="J43" s="949"/>
      <c r="K43" s="948">
        <v>0</v>
      </c>
      <c r="L43" s="162">
        <f t="shared" si="4"/>
        <v>0</v>
      </c>
    </row>
    <row r="44" spans="1:12" ht="14.25" customHeight="1">
      <c r="A44" s="932" t="s">
        <v>2144</v>
      </c>
      <c r="B44" s="384">
        <f t="shared" si="0"/>
        <v>1</v>
      </c>
      <c r="C44" s="588">
        <f t="shared" si="3"/>
        <v>0.6097560975609756</v>
      </c>
      <c r="D44" s="589"/>
      <c r="E44" s="948">
        <v>1</v>
      </c>
      <c r="F44" s="578">
        <f t="shared" si="1"/>
        <v>100</v>
      </c>
      <c r="G44" s="949"/>
      <c r="H44" s="948">
        <v>0</v>
      </c>
      <c r="I44" s="289">
        <f t="shared" si="2"/>
        <v>0</v>
      </c>
      <c r="J44" s="949"/>
      <c r="K44" s="948">
        <v>0</v>
      </c>
      <c r="L44" s="162">
        <f t="shared" si="4"/>
        <v>0</v>
      </c>
    </row>
    <row r="45" spans="1:12" ht="14.25" customHeight="1">
      <c r="A45" s="405" t="s">
        <v>761</v>
      </c>
      <c r="B45" s="384">
        <f t="shared" si="0"/>
        <v>10</v>
      </c>
      <c r="C45" s="588">
        <f t="shared" si="3"/>
        <v>6.0975609756097562</v>
      </c>
      <c r="D45" s="589"/>
      <c r="E45" s="948">
        <v>10</v>
      </c>
      <c r="F45" s="578">
        <f t="shared" si="1"/>
        <v>100</v>
      </c>
      <c r="G45" s="949"/>
      <c r="H45" s="948">
        <v>0</v>
      </c>
      <c r="I45" s="289">
        <f t="shared" si="2"/>
        <v>0</v>
      </c>
      <c r="J45" s="949"/>
      <c r="K45" s="948">
        <v>0</v>
      </c>
      <c r="L45" s="162"/>
    </row>
    <row r="46" spans="1:12" ht="14.25" customHeight="1">
      <c r="A46" s="405" t="s">
        <v>762</v>
      </c>
      <c r="B46" s="384">
        <f t="shared" si="0"/>
        <v>14</v>
      </c>
      <c r="C46" s="588">
        <f t="shared" si="3"/>
        <v>8.536585365853659</v>
      </c>
      <c r="D46" s="589"/>
      <c r="E46" s="948">
        <v>13</v>
      </c>
      <c r="F46" s="578">
        <f t="shared" si="1"/>
        <v>92.857142857142861</v>
      </c>
      <c r="G46" s="949"/>
      <c r="H46" s="948">
        <v>1</v>
      </c>
      <c r="I46" s="289">
        <f t="shared" si="2"/>
        <v>7.1428571428571423</v>
      </c>
      <c r="J46" s="949"/>
      <c r="K46" s="948">
        <v>0</v>
      </c>
      <c r="L46" s="162"/>
    </row>
    <row r="47" spans="1:12" ht="14.25" customHeight="1">
      <c r="A47" s="405" t="s">
        <v>763</v>
      </c>
      <c r="B47" s="384">
        <f t="shared" si="0"/>
        <v>3</v>
      </c>
      <c r="C47" s="588">
        <f t="shared" si="3"/>
        <v>1.8292682926829267</v>
      </c>
      <c r="D47" s="589"/>
      <c r="E47" s="948">
        <v>3</v>
      </c>
      <c r="F47" s="578">
        <f t="shared" si="1"/>
        <v>100</v>
      </c>
      <c r="G47" s="949"/>
      <c r="H47" s="948">
        <v>0</v>
      </c>
      <c r="I47" s="289">
        <f t="shared" si="2"/>
        <v>0</v>
      </c>
      <c r="J47" s="949"/>
      <c r="K47" s="948">
        <v>0</v>
      </c>
      <c r="L47" s="162"/>
    </row>
    <row r="48" spans="1:12" ht="14.25" customHeight="1">
      <c r="A48" s="925" t="s">
        <v>768</v>
      </c>
      <c r="B48" s="384">
        <f t="shared" si="0"/>
        <v>3</v>
      </c>
      <c r="C48" s="588">
        <f t="shared" si="3"/>
        <v>1.8292682926829267</v>
      </c>
      <c r="D48" s="589"/>
      <c r="E48" s="948">
        <v>3</v>
      </c>
      <c r="F48" s="578">
        <f t="shared" si="1"/>
        <v>100</v>
      </c>
      <c r="G48" s="949"/>
      <c r="H48" s="948">
        <v>0</v>
      </c>
      <c r="I48" s="289">
        <f t="shared" si="2"/>
        <v>0</v>
      </c>
      <c r="J48" s="949"/>
      <c r="K48" s="948">
        <v>0</v>
      </c>
      <c r="L48" s="162"/>
    </row>
    <row r="49" spans="1:13" ht="14.25" customHeight="1">
      <c r="A49" s="405" t="s">
        <v>769</v>
      </c>
      <c r="B49" s="384">
        <f t="shared" si="0"/>
        <v>2</v>
      </c>
      <c r="C49" s="588">
        <f t="shared" si="3"/>
        <v>1.2195121951219512</v>
      </c>
      <c r="D49" s="589"/>
      <c r="E49" s="948">
        <v>2</v>
      </c>
      <c r="F49" s="578">
        <f t="shared" si="1"/>
        <v>100</v>
      </c>
      <c r="G49" s="949"/>
      <c r="H49" s="948">
        <v>0</v>
      </c>
      <c r="I49" s="289">
        <f t="shared" si="2"/>
        <v>0</v>
      </c>
      <c r="J49" s="949"/>
      <c r="K49" s="948">
        <v>0</v>
      </c>
      <c r="L49" s="162"/>
    </row>
    <row r="50" spans="1:13" ht="14.25" customHeight="1">
      <c r="A50" s="405" t="s">
        <v>771</v>
      </c>
      <c r="B50" s="384">
        <f>IF($A50&lt;&gt;0,E50+H50+K50,"")</f>
        <v>3</v>
      </c>
      <c r="C50" s="588">
        <f>IF($A50&lt;&gt;0,B50/$B$11*100,"")</f>
        <v>1.8292682926829267</v>
      </c>
      <c r="D50" s="589"/>
      <c r="E50" s="948">
        <v>2</v>
      </c>
      <c r="F50" s="578">
        <f t="shared" si="1"/>
        <v>66.666666666666657</v>
      </c>
      <c r="G50" s="949"/>
      <c r="H50" s="948">
        <v>1</v>
      </c>
      <c r="I50" s="289">
        <f t="shared" si="2"/>
        <v>33.333333333333329</v>
      </c>
      <c r="J50" s="949"/>
      <c r="K50" s="948">
        <v>0</v>
      </c>
      <c r="L50" s="162"/>
    </row>
    <row r="51" spans="1:13" ht="8.25" customHeight="1" thickBot="1">
      <c r="K51" s="107"/>
    </row>
    <row r="52" spans="1:13" ht="13" customHeight="1">
      <c r="A52" s="97"/>
      <c r="B52" s="579"/>
      <c r="C52" s="580"/>
      <c r="D52" s="581"/>
      <c r="E52" s="582"/>
      <c r="F52" s="580"/>
      <c r="G52" s="581"/>
      <c r="H52" s="582"/>
      <c r="I52" s="580"/>
      <c r="J52" s="580"/>
      <c r="K52" s="582"/>
      <c r="L52" s="581"/>
      <c r="M52" s="581"/>
    </row>
    <row r="53" spans="1:13" ht="15">
      <c r="A53" s="14" t="s">
        <v>2149</v>
      </c>
      <c r="B53" s="587"/>
      <c r="C53" s="150"/>
      <c r="D53" s="117"/>
      <c r="E53" s="917"/>
      <c r="F53" s="150"/>
      <c r="G53" s="117"/>
      <c r="H53" s="917"/>
      <c r="I53" s="150"/>
      <c r="J53" s="150"/>
      <c r="K53" s="917"/>
      <c r="L53" s="117"/>
      <c r="M53" s="117"/>
    </row>
    <row r="54" spans="1:13" ht="15">
      <c r="A54" s="203" t="s">
        <v>1571</v>
      </c>
      <c r="B54" s="166"/>
      <c r="D54" s="163"/>
      <c r="G54" s="163"/>
      <c r="J54" s="107"/>
      <c r="K54" s="107"/>
    </row>
    <row r="55" spans="1:13" ht="15">
      <c r="A55" s="59" t="s">
        <v>1572</v>
      </c>
    </row>
    <row r="56" spans="1:13" ht="13" customHeight="1">
      <c r="A56" s="116"/>
      <c r="B56" s="587"/>
      <c r="C56" s="150"/>
      <c r="D56" s="117"/>
      <c r="E56" s="917"/>
      <c r="F56" s="150"/>
      <c r="G56" s="117"/>
      <c r="H56" s="917"/>
      <c r="I56" s="150"/>
      <c r="J56" s="150"/>
      <c r="K56" s="917"/>
      <c r="L56" s="117"/>
    </row>
    <row r="57" spans="1:13" ht="13" customHeight="1">
      <c r="A57" s="95" t="s">
        <v>1570</v>
      </c>
    </row>
    <row r="58" spans="1:13" ht="13" customHeight="1">
      <c r="A58" s="95" t="s">
        <v>471</v>
      </c>
    </row>
    <row r="59" spans="1:13" ht="13" customHeight="1"/>
    <row r="60" spans="1:13" ht="13" customHeight="1"/>
    <row r="61" spans="1:13" ht="13" customHeight="1"/>
    <row r="62" spans="1:13" ht="13" customHeight="1"/>
    <row r="63" spans="1:13" ht="13" customHeight="1"/>
    <row r="64" spans="1:13" ht="15" customHeight="1"/>
    <row r="65" ht="10" customHeight="1"/>
    <row r="66" ht="15" customHeight="1"/>
    <row r="67" ht="15" customHeight="1"/>
    <row r="68" ht="15" customHeight="1"/>
    <row r="69" ht="10" customHeight="1"/>
    <row r="70" ht="13.25" customHeight="1"/>
    <row r="71" ht="13.25" customHeight="1"/>
    <row r="72" ht="13.25" customHeight="1"/>
    <row r="73" ht="13.25" customHeight="1"/>
    <row r="74" ht="13.25" customHeight="1"/>
    <row r="75" ht="13.25" customHeight="1"/>
    <row r="76" ht="13.25" customHeight="1"/>
    <row r="77" ht="13.25" customHeight="1"/>
  </sheetData>
  <mergeCells count="4">
    <mergeCell ref="B7:C7"/>
    <mergeCell ref="E7:F7"/>
    <mergeCell ref="H7:I7"/>
    <mergeCell ref="K7:L7"/>
  </mergeCells>
  <conditionalFormatting sqref="A1:XFD1048576">
    <cfRule type="cellIs" dxfId="5"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5" tint="-0.249977111117893"/>
  </sheetPr>
  <dimension ref="A2:K42"/>
  <sheetViews>
    <sheetView workbookViewId="0">
      <selection activeCell="K18" sqref="K18"/>
    </sheetView>
  </sheetViews>
  <sheetFormatPr baseColWidth="10" defaultRowHeight="15"/>
  <sheetData>
    <row r="2" spans="1:11" ht="12.75" customHeight="1">
      <c r="B2" s="33"/>
      <c r="C2" s="33"/>
      <c r="D2" s="33"/>
    </row>
    <row r="3" spans="1:11" ht="12.75" customHeight="1">
      <c r="B3" s="28"/>
      <c r="C3" s="28"/>
      <c r="D3" s="28"/>
      <c r="K3" s="29"/>
    </row>
    <row r="4" spans="1:11" ht="12.75" customHeight="1">
      <c r="I4" s="30"/>
    </row>
    <row r="5" spans="1:11" ht="12.75" customHeight="1">
      <c r="I5" s="30"/>
    </row>
    <row r="6" spans="1:11" ht="12.75" customHeight="1">
      <c r="B6" s="563"/>
      <c r="C6" s="547"/>
      <c r="D6" s="547"/>
      <c r="E6" s="547"/>
      <c r="F6" s="527"/>
      <c r="G6" s="527"/>
      <c r="H6" s="529"/>
      <c r="I6" s="30"/>
    </row>
    <row r="7" spans="1:11" ht="12.75" customHeight="1">
      <c r="B7" s="563"/>
      <c r="C7" s="380"/>
      <c r="D7" s="380"/>
      <c r="E7" s="380"/>
      <c r="F7" s="637"/>
      <c r="G7" s="637"/>
      <c r="H7" s="637"/>
      <c r="I7" s="31"/>
    </row>
    <row r="8" spans="1:11">
      <c r="B8" s="563"/>
      <c r="C8" s="35"/>
      <c r="D8" s="35"/>
      <c r="E8" s="35"/>
      <c r="F8" s="546"/>
      <c r="G8" s="546"/>
      <c r="H8" s="546"/>
    </row>
    <row r="9" spans="1:11" ht="23">
      <c r="D9" s="32"/>
      <c r="F9" s="546"/>
      <c r="G9" s="546"/>
      <c r="H9" s="546"/>
    </row>
    <row r="10" spans="1:11">
      <c r="C10" s="546"/>
      <c r="D10" s="546"/>
      <c r="E10" s="546"/>
    </row>
    <row r="11" spans="1:11">
      <c r="B11" s="28"/>
      <c r="C11" s="28"/>
      <c r="D11" s="28"/>
    </row>
    <row r="12" spans="1:11">
      <c r="B12" s="28"/>
      <c r="C12" s="28"/>
      <c r="D12" s="28"/>
    </row>
    <row r="13" spans="1:11">
      <c r="A13" s="70"/>
      <c r="B13" s="567"/>
      <c r="C13" s="567"/>
      <c r="D13" s="567"/>
    </row>
    <row r="14" spans="1:11">
      <c r="A14" s="70"/>
      <c r="B14" s="380"/>
      <c r="C14" s="380"/>
      <c r="D14" s="380"/>
    </row>
    <row r="15" spans="1:11">
      <c r="A15" s="70"/>
      <c r="B15" s="70"/>
      <c r="C15" s="70"/>
      <c r="D15" s="70"/>
    </row>
    <row r="17" spans="2:4">
      <c r="B17" s="28"/>
      <c r="C17" s="28"/>
      <c r="D17" s="28"/>
    </row>
    <row r="36" spans="2:5">
      <c r="B36" s="547"/>
      <c r="C36" s="547"/>
      <c r="D36" s="547"/>
    </row>
    <row r="39" spans="2:5">
      <c r="E39" s="28"/>
    </row>
    <row r="40" spans="2:5">
      <c r="E40" s="28"/>
    </row>
    <row r="41" spans="2:5">
      <c r="E41" s="28"/>
    </row>
    <row r="42" spans="2:5">
      <c r="E42" s="28"/>
    </row>
  </sheetData>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M108"/>
  <sheetViews>
    <sheetView workbookViewId="0">
      <selection activeCell="K18" sqref="K18"/>
    </sheetView>
  </sheetViews>
  <sheetFormatPr baseColWidth="10" defaultRowHeight="13"/>
  <cols>
    <col min="1" max="1" width="39.5" style="95" bestFit="1" customWidth="1"/>
    <col min="2" max="2" width="10.6640625" style="590" customWidth="1"/>
    <col min="3" max="3" width="10.6640625" style="868" customWidth="1"/>
    <col min="4" max="4" width="1.6640625" style="107" customWidth="1"/>
    <col min="5" max="5" width="10.6640625" style="591" customWidth="1"/>
    <col min="6" max="6" width="10.6640625" style="107" customWidth="1"/>
    <col min="7" max="7" width="1.6640625" style="107" customWidth="1"/>
    <col min="8" max="8" width="10.6640625" style="591" customWidth="1"/>
    <col min="9" max="9" width="11.5" style="107" customWidth="1"/>
    <col min="10" max="10" width="1.6640625" style="107" customWidth="1"/>
    <col min="11" max="11" width="10.6640625" style="591" customWidth="1"/>
    <col min="12" max="12" width="10.6640625" style="107" customWidth="1"/>
    <col min="13" max="13" width="2.33203125" style="95" customWidth="1"/>
    <col min="14" max="256" width="10.83203125" style="95"/>
    <col min="257" max="257" width="39.5" style="95" bestFit="1" customWidth="1"/>
    <col min="258" max="259" width="10.6640625" style="95" customWidth="1"/>
    <col min="260" max="260" width="1.6640625" style="95" customWidth="1"/>
    <col min="261" max="262" width="10.6640625" style="95" customWidth="1"/>
    <col min="263" max="263" width="1.6640625" style="95" customWidth="1"/>
    <col min="264" max="264" width="10.6640625" style="95" customWidth="1"/>
    <col min="265" max="265" width="11.5" style="95" customWidth="1"/>
    <col min="266" max="266" width="1.6640625" style="95" customWidth="1"/>
    <col min="267" max="268" width="10.6640625" style="95" customWidth="1"/>
    <col min="269" max="269" width="2.33203125" style="95" customWidth="1"/>
    <col min="270" max="512" width="10.83203125" style="95"/>
    <col min="513" max="513" width="39.5" style="95" bestFit="1" customWidth="1"/>
    <col min="514" max="515" width="10.6640625" style="95" customWidth="1"/>
    <col min="516" max="516" width="1.6640625" style="95" customWidth="1"/>
    <col min="517" max="518" width="10.6640625" style="95" customWidth="1"/>
    <col min="519" max="519" width="1.6640625" style="95" customWidth="1"/>
    <col min="520" max="520" width="10.6640625" style="95" customWidth="1"/>
    <col min="521" max="521" width="11.5" style="95" customWidth="1"/>
    <col min="522" max="522" width="1.6640625" style="95" customWidth="1"/>
    <col min="523" max="524" width="10.6640625" style="95" customWidth="1"/>
    <col min="525" max="525" width="2.33203125" style="95" customWidth="1"/>
    <col min="526" max="768" width="10.83203125" style="95"/>
    <col min="769" max="769" width="39.5" style="95" bestFit="1" customWidth="1"/>
    <col min="770" max="771" width="10.6640625" style="95" customWidth="1"/>
    <col min="772" max="772" width="1.6640625" style="95" customWidth="1"/>
    <col min="773" max="774" width="10.6640625" style="95" customWidth="1"/>
    <col min="775" max="775" width="1.6640625" style="95" customWidth="1"/>
    <col min="776" max="776" width="10.6640625" style="95" customWidth="1"/>
    <col min="777" max="777" width="11.5" style="95" customWidth="1"/>
    <col min="778" max="778" width="1.6640625" style="95" customWidth="1"/>
    <col min="779" max="780" width="10.6640625" style="95" customWidth="1"/>
    <col min="781" max="781" width="2.33203125" style="95" customWidth="1"/>
    <col min="782" max="1024" width="10.83203125" style="95"/>
    <col min="1025" max="1025" width="39.5" style="95" bestFit="1" customWidth="1"/>
    <col min="1026" max="1027" width="10.6640625" style="95" customWidth="1"/>
    <col min="1028" max="1028" width="1.6640625" style="95" customWidth="1"/>
    <col min="1029" max="1030" width="10.6640625" style="95" customWidth="1"/>
    <col min="1031" max="1031" width="1.6640625" style="95" customWidth="1"/>
    <col min="1032" max="1032" width="10.6640625" style="95" customWidth="1"/>
    <col min="1033" max="1033" width="11.5" style="95" customWidth="1"/>
    <col min="1034" max="1034" width="1.6640625" style="95" customWidth="1"/>
    <col min="1035" max="1036" width="10.6640625" style="95" customWidth="1"/>
    <col min="1037" max="1037" width="2.33203125" style="95" customWidth="1"/>
    <col min="1038" max="1280" width="10.83203125" style="95"/>
    <col min="1281" max="1281" width="39.5" style="95" bestFit="1" customWidth="1"/>
    <col min="1282" max="1283" width="10.6640625" style="95" customWidth="1"/>
    <col min="1284" max="1284" width="1.6640625" style="95" customWidth="1"/>
    <col min="1285" max="1286" width="10.6640625" style="95" customWidth="1"/>
    <col min="1287" max="1287" width="1.6640625" style="95" customWidth="1"/>
    <col min="1288" max="1288" width="10.6640625" style="95" customWidth="1"/>
    <col min="1289" max="1289" width="11.5" style="95" customWidth="1"/>
    <col min="1290" max="1290" width="1.6640625" style="95" customWidth="1"/>
    <col min="1291" max="1292" width="10.6640625" style="95" customWidth="1"/>
    <col min="1293" max="1293" width="2.33203125" style="95" customWidth="1"/>
    <col min="1294" max="1536" width="10.83203125" style="95"/>
    <col min="1537" max="1537" width="39.5" style="95" bestFit="1" customWidth="1"/>
    <col min="1538" max="1539" width="10.6640625" style="95" customWidth="1"/>
    <col min="1540" max="1540" width="1.6640625" style="95" customWidth="1"/>
    <col min="1541" max="1542" width="10.6640625" style="95" customWidth="1"/>
    <col min="1543" max="1543" width="1.6640625" style="95" customWidth="1"/>
    <col min="1544" max="1544" width="10.6640625" style="95" customWidth="1"/>
    <col min="1545" max="1545" width="11.5" style="95" customWidth="1"/>
    <col min="1546" max="1546" width="1.6640625" style="95" customWidth="1"/>
    <col min="1547" max="1548" width="10.6640625" style="95" customWidth="1"/>
    <col min="1549" max="1549" width="2.33203125" style="95" customWidth="1"/>
    <col min="1550" max="1792" width="10.83203125" style="95"/>
    <col min="1793" max="1793" width="39.5" style="95" bestFit="1" customWidth="1"/>
    <col min="1794" max="1795" width="10.6640625" style="95" customWidth="1"/>
    <col min="1796" max="1796" width="1.6640625" style="95" customWidth="1"/>
    <col min="1797" max="1798" width="10.6640625" style="95" customWidth="1"/>
    <col min="1799" max="1799" width="1.6640625" style="95" customWidth="1"/>
    <col min="1800" max="1800" width="10.6640625" style="95" customWidth="1"/>
    <col min="1801" max="1801" width="11.5" style="95" customWidth="1"/>
    <col min="1802" max="1802" width="1.6640625" style="95" customWidth="1"/>
    <col min="1803" max="1804" width="10.6640625" style="95" customWidth="1"/>
    <col min="1805" max="1805" width="2.33203125" style="95" customWidth="1"/>
    <col min="1806" max="2048" width="10.83203125" style="95"/>
    <col min="2049" max="2049" width="39.5" style="95" bestFit="1" customWidth="1"/>
    <col min="2050" max="2051" width="10.6640625" style="95" customWidth="1"/>
    <col min="2052" max="2052" width="1.6640625" style="95" customWidth="1"/>
    <col min="2053" max="2054" width="10.6640625" style="95" customWidth="1"/>
    <col min="2055" max="2055" width="1.6640625" style="95" customWidth="1"/>
    <col min="2056" max="2056" width="10.6640625" style="95" customWidth="1"/>
    <col min="2057" max="2057" width="11.5" style="95" customWidth="1"/>
    <col min="2058" max="2058" width="1.6640625" style="95" customWidth="1"/>
    <col min="2059" max="2060" width="10.6640625" style="95" customWidth="1"/>
    <col min="2061" max="2061" width="2.33203125" style="95" customWidth="1"/>
    <col min="2062" max="2304" width="10.83203125" style="95"/>
    <col min="2305" max="2305" width="39.5" style="95" bestFit="1" customWidth="1"/>
    <col min="2306" max="2307" width="10.6640625" style="95" customWidth="1"/>
    <col min="2308" max="2308" width="1.6640625" style="95" customWidth="1"/>
    <col min="2309" max="2310" width="10.6640625" style="95" customWidth="1"/>
    <col min="2311" max="2311" width="1.6640625" style="95" customWidth="1"/>
    <col min="2312" max="2312" width="10.6640625" style="95" customWidth="1"/>
    <col min="2313" max="2313" width="11.5" style="95" customWidth="1"/>
    <col min="2314" max="2314" width="1.6640625" style="95" customWidth="1"/>
    <col min="2315" max="2316" width="10.6640625" style="95" customWidth="1"/>
    <col min="2317" max="2317" width="2.33203125" style="95" customWidth="1"/>
    <col min="2318" max="2560" width="10.83203125" style="95"/>
    <col min="2561" max="2561" width="39.5" style="95" bestFit="1" customWidth="1"/>
    <col min="2562" max="2563" width="10.6640625" style="95" customWidth="1"/>
    <col min="2564" max="2564" width="1.6640625" style="95" customWidth="1"/>
    <col min="2565" max="2566" width="10.6640625" style="95" customWidth="1"/>
    <col min="2567" max="2567" width="1.6640625" style="95" customWidth="1"/>
    <col min="2568" max="2568" width="10.6640625" style="95" customWidth="1"/>
    <col min="2569" max="2569" width="11.5" style="95" customWidth="1"/>
    <col min="2570" max="2570" width="1.6640625" style="95" customWidth="1"/>
    <col min="2571" max="2572" width="10.6640625" style="95" customWidth="1"/>
    <col min="2573" max="2573" width="2.33203125" style="95" customWidth="1"/>
    <col min="2574" max="2816" width="10.83203125" style="95"/>
    <col min="2817" max="2817" width="39.5" style="95" bestFit="1" customWidth="1"/>
    <col min="2818" max="2819" width="10.6640625" style="95" customWidth="1"/>
    <col min="2820" max="2820" width="1.6640625" style="95" customWidth="1"/>
    <col min="2821" max="2822" width="10.6640625" style="95" customWidth="1"/>
    <col min="2823" max="2823" width="1.6640625" style="95" customWidth="1"/>
    <col min="2824" max="2824" width="10.6640625" style="95" customWidth="1"/>
    <col min="2825" max="2825" width="11.5" style="95" customWidth="1"/>
    <col min="2826" max="2826" width="1.6640625" style="95" customWidth="1"/>
    <col min="2827" max="2828" width="10.6640625" style="95" customWidth="1"/>
    <col min="2829" max="2829" width="2.33203125" style="95" customWidth="1"/>
    <col min="2830" max="3072" width="10.83203125" style="95"/>
    <col min="3073" max="3073" width="39.5" style="95" bestFit="1" customWidth="1"/>
    <col min="3074" max="3075" width="10.6640625" style="95" customWidth="1"/>
    <col min="3076" max="3076" width="1.6640625" style="95" customWidth="1"/>
    <col min="3077" max="3078" width="10.6640625" style="95" customWidth="1"/>
    <col min="3079" max="3079" width="1.6640625" style="95" customWidth="1"/>
    <col min="3080" max="3080" width="10.6640625" style="95" customWidth="1"/>
    <col min="3081" max="3081" width="11.5" style="95" customWidth="1"/>
    <col min="3082" max="3082" width="1.6640625" style="95" customWidth="1"/>
    <col min="3083" max="3084" width="10.6640625" style="95" customWidth="1"/>
    <col min="3085" max="3085" width="2.33203125" style="95" customWidth="1"/>
    <col min="3086" max="3328" width="10.83203125" style="95"/>
    <col min="3329" max="3329" width="39.5" style="95" bestFit="1" customWidth="1"/>
    <col min="3330" max="3331" width="10.6640625" style="95" customWidth="1"/>
    <col min="3332" max="3332" width="1.6640625" style="95" customWidth="1"/>
    <col min="3333" max="3334" width="10.6640625" style="95" customWidth="1"/>
    <col min="3335" max="3335" width="1.6640625" style="95" customWidth="1"/>
    <col min="3336" max="3336" width="10.6640625" style="95" customWidth="1"/>
    <col min="3337" max="3337" width="11.5" style="95" customWidth="1"/>
    <col min="3338" max="3338" width="1.6640625" style="95" customWidth="1"/>
    <col min="3339" max="3340" width="10.6640625" style="95" customWidth="1"/>
    <col min="3341" max="3341" width="2.33203125" style="95" customWidth="1"/>
    <col min="3342" max="3584" width="10.83203125" style="95"/>
    <col min="3585" max="3585" width="39.5" style="95" bestFit="1" customWidth="1"/>
    <col min="3586" max="3587" width="10.6640625" style="95" customWidth="1"/>
    <col min="3588" max="3588" width="1.6640625" style="95" customWidth="1"/>
    <col min="3589" max="3590" width="10.6640625" style="95" customWidth="1"/>
    <col min="3591" max="3591" width="1.6640625" style="95" customWidth="1"/>
    <col min="3592" max="3592" width="10.6640625" style="95" customWidth="1"/>
    <col min="3593" max="3593" width="11.5" style="95" customWidth="1"/>
    <col min="3594" max="3594" width="1.6640625" style="95" customWidth="1"/>
    <col min="3595" max="3596" width="10.6640625" style="95" customWidth="1"/>
    <col min="3597" max="3597" width="2.33203125" style="95" customWidth="1"/>
    <col min="3598" max="3840" width="10.83203125" style="95"/>
    <col min="3841" max="3841" width="39.5" style="95" bestFit="1" customWidth="1"/>
    <col min="3842" max="3843" width="10.6640625" style="95" customWidth="1"/>
    <col min="3844" max="3844" width="1.6640625" style="95" customWidth="1"/>
    <col min="3845" max="3846" width="10.6640625" style="95" customWidth="1"/>
    <col min="3847" max="3847" width="1.6640625" style="95" customWidth="1"/>
    <col min="3848" max="3848" width="10.6640625" style="95" customWidth="1"/>
    <col min="3849" max="3849" width="11.5" style="95" customWidth="1"/>
    <col min="3850" max="3850" width="1.6640625" style="95" customWidth="1"/>
    <col min="3851" max="3852" width="10.6640625" style="95" customWidth="1"/>
    <col min="3853" max="3853" width="2.33203125" style="95" customWidth="1"/>
    <col min="3854" max="4096" width="10.83203125" style="95"/>
    <col min="4097" max="4097" width="39.5" style="95" bestFit="1" customWidth="1"/>
    <col min="4098" max="4099" width="10.6640625" style="95" customWidth="1"/>
    <col min="4100" max="4100" width="1.6640625" style="95" customWidth="1"/>
    <col min="4101" max="4102" width="10.6640625" style="95" customWidth="1"/>
    <col min="4103" max="4103" width="1.6640625" style="95" customWidth="1"/>
    <col min="4104" max="4104" width="10.6640625" style="95" customWidth="1"/>
    <col min="4105" max="4105" width="11.5" style="95" customWidth="1"/>
    <col min="4106" max="4106" width="1.6640625" style="95" customWidth="1"/>
    <col min="4107" max="4108" width="10.6640625" style="95" customWidth="1"/>
    <col min="4109" max="4109" width="2.33203125" style="95" customWidth="1"/>
    <col min="4110" max="4352" width="10.83203125" style="95"/>
    <col min="4353" max="4353" width="39.5" style="95" bestFit="1" customWidth="1"/>
    <col min="4354" max="4355" width="10.6640625" style="95" customWidth="1"/>
    <col min="4356" max="4356" width="1.6640625" style="95" customWidth="1"/>
    <col min="4357" max="4358" width="10.6640625" style="95" customWidth="1"/>
    <col min="4359" max="4359" width="1.6640625" style="95" customWidth="1"/>
    <col min="4360" max="4360" width="10.6640625" style="95" customWidth="1"/>
    <col min="4361" max="4361" width="11.5" style="95" customWidth="1"/>
    <col min="4362" max="4362" width="1.6640625" style="95" customWidth="1"/>
    <col min="4363" max="4364" width="10.6640625" style="95" customWidth="1"/>
    <col min="4365" max="4365" width="2.33203125" style="95" customWidth="1"/>
    <col min="4366" max="4608" width="10.83203125" style="95"/>
    <col min="4609" max="4609" width="39.5" style="95" bestFit="1" customWidth="1"/>
    <col min="4610" max="4611" width="10.6640625" style="95" customWidth="1"/>
    <col min="4612" max="4612" width="1.6640625" style="95" customWidth="1"/>
    <col min="4613" max="4614" width="10.6640625" style="95" customWidth="1"/>
    <col min="4615" max="4615" width="1.6640625" style="95" customWidth="1"/>
    <col min="4616" max="4616" width="10.6640625" style="95" customWidth="1"/>
    <col min="4617" max="4617" width="11.5" style="95" customWidth="1"/>
    <col min="4618" max="4618" width="1.6640625" style="95" customWidth="1"/>
    <col min="4619" max="4620" width="10.6640625" style="95" customWidth="1"/>
    <col min="4621" max="4621" width="2.33203125" style="95" customWidth="1"/>
    <col min="4622" max="4864" width="10.83203125" style="95"/>
    <col min="4865" max="4865" width="39.5" style="95" bestFit="1" customWidth="1"/>
    <col min="4866" max="4867" width="10.6640625" style="95" customWidth="1"/>
    <col min="4868" max="4868" width="1.6640625" style="95" customWidth="1"/>
    <col min="4869" max="4870" width="10.6640625" style="95" customWidth="1"/>
    <col min="4871" max="4871" width="1.6640625" style="95" customWidth="1"/>
    <col min="4872" max="4872" width="10.6640625" style="95" customWidth="1"/>
    <col min="4873" max="4873" width="11.5" style="95" customWidth="1"/>
    <col min="4874" max="4874" width="1.6640625" style="95" customWidth="1"/>
    <col min="4875" max="4876" width="10.6640625" style="95" customWidth="1"/>
    <col min="4877" max="4877" width="2.33203125" style="95" customWidth="1"/>
    <col min="4878" max="5120" width="10.83203125" style="95"/>
    <col min="5121" max="5121" width="39.5" style="95" bestFit="1" customWidth="1"/>
    <col min="5122" max="5123" width="10.6640625" style="95" customWidth="1"/>
    <col min="5124" max="5124" width="1.6640625" style="95" customWidth="1"/>
    <col min="5125" max="5126" width="10.6640625" style="95" customWidth="1"/>
    <col min="5127" max="5127" width="1.6640625" style="95" customWidth="1"/>
    <col min="5128" max="5128" width="10.6640625" style="95" customWidth="1"/>
    <col min="5129" max="5129" width="11.5" style="95" customWidth="1"/>
    <col min="5130" max="5130" width="1.6640625" style="95" customWidth="1"/>
    <col min="5131" max="5132" width="10.6640625" style="95" customWidth="1"/>
    <col min="5133" max="5133" width="2.33203125" style="95" customWidth="1"/>
    <col min="5134" max="5376" width="10.83203125" style="95"/>
    <col min="5377" max="5377" width="39.5" style="95" bestFit="1" customWidth="1"/>
    <col min="5378" max="5379" width="10.6640625" style="95" customWidth="1"/>
    <col min="5380" max="5380" width="1.6640625" style="95" customWidth="1"/>
    <col min="5381" max="5382" width="10.6640625" style="95" customWidth="1"/>
    <col min="5383" max="5383" width="1.6640625" style="95" customWidth="1"/>
    <col min="5384" max="5384" width="10.6640625" style="95" customWidth="1"/>
    <col min="5385" max="5385" width="11.5" style="95" customWidth="1"/>
    <col min="5386" max="5386" width="1.6640625" style="95" customWidth="1"/>
    <col min="5387" max="5388" width="10.6640625" style="95" customWidth="1"/>
    <col min="5389" max="5389" width="2.33203125" style="95" customWidth="1"/>
    <col min="5390" max="5632" width="10.83203125" style="95"/>
    <col min="5633" max="5633" width="39.5" style="95" bestFit="1" customWidth="1"/>
    <col min="5634" max="5635" width="10.6640625" style="95" customWidth="1"/>
    <col min="5636" max="5636" width="1.6640625" style="95" customWidth="1"/>
    <col min="5637" max="5638" width="10.6640625" style="95" customWidth="1"/>
    <col min="5639" max="5639" width="1.6640625" style="95" customWidth="1"/>
    <col min="5640" max="5640" width="10.6640625" style="95" customWidth="1"/>
    <col min="5641" max="5641" width="11.5" style="95" customWidth="1"/>
    <col min="5642" max="5642" width="1.6640625" style="95" customWidth="1"/>
    <col min="5643" max="5644" width="10.6640625" style="95" customWidth="1"/>
    <col min="5645" max="5645" width="2.33203125" style="95" customWidth="1"/>
    <col min="5646" max="5888" width="10.83203125" style="95"/>
    <col min="5889" max="5889" width="39.5" style="95" bestFit="1" customWidth="1"/>
    <col min="5890" max="5891" width="10.6640625" style="95" customWidth="1"/>
    <col min="5892" max="5892" width="1.6640625" style="95" customWidth="1"/>
    <col min="5893" max="5894" width="10.6640625" style="95" customWidth="1"/>
    <col min="5895" max="5895" width="1.6640625" style="95" customWidth="1"/>
    <col min="5896" max="5896" width="10.6640625" style="95" customWidth="1"/>
    <col min="5897" max="5897" width="11.5" style="95" customWidth="1"/>
    <col min="5898" max="5898" width="1.6640625" style="95" customWidth="1"/>
    <col min="5899" max="5900" width="10.6640625" style="95" customWidth="1"/>
    <col min="5901" max="5901" width="2.33203125" style="95" customWidth="1"/>
    <col min="5902" max="6144" width="10.83203125" style="95"/>
    <col min="6145" max="6145" width="39.5" style="95" bestFit="1" customWidth="1"/>
    <col min="6146" max="6147" width="10.6640625" style="95" customWidth="1"/>
    <col min="6148" max="6148" width="1.6640625" style="95" customWidth="1"/>
    <col min="6149" max="6150" width="10.6640625" style="95" customWidth="1"/>
    <col min="6151" max="6151" width="1.6640625" style="95" customWidth="1"/>
    <col min="6152" max="6152" width="10.6640625" style="95" customWidth="1"/>
    <col min="6153" max="6153" width="11.5" style="95" customWidth="1"/>
    <col min="6154" max="6154" width="1.6640625" style="95" customWidth="1"/>
    <col min="6155" max="6156" width="10.6640625" style="95" customWidth="1"/>
    <col min="6157" max="6157" width="2.33203125" style="95" customWidth="1"/>
    <col min="6158" max="6400" width="10.83203125" style="95"/>
    <col min="6401" max="6401" width="39.5" style="95" bestFit="1" customWidth="1"/>
    <col min="6402" max="6403" width="10.6640625" style="95" customWidth="1"/>
    <col min="6404" max="6404" width="1.6640625" style="95" customWidth="1"/>
    <col min="6405" max="6406" width="10.6640625" style="95" customWidth="1"/>
    <col min="6407" max="6407" width="1.6640625" style="95" customWidth="1"/>
    <col min="6408" max="6408" width="10.6640625" style="95" customWidth="1"/>
    <col min="6409" max="6409" width="11.5" style="95" customWidth="1"/>
    <col min="6410" max="6410" width="1.6640625" style="95" customWidth="1"/>
    <col min="6411" max="6412" width="10.6640625" style="95" customWidth="1"/>
    <col min="6413" max="6413" width="2.33203125" style="95" customWidth="1"/>
    <col min="6414" max="6656" width="10.83203125" style="95"/>
    <col min="6657" max="6657" width="39.5" style="95" bestFit="1" customWidth="1"/>
    <col min="6658" max="6659" width="10.6640625" style="95" customWidth="1"/>
    <col min="6660" max="6660" width="1.6640625" style="95" customWidth="1"/>
    <col min="6661" max="6662" width="10.6640625" style="95" customWidth="1"/>
    <col min="6663" max="6663" width="1.6640625" style="95" customWidth="1"/>
    <col min="6664" max="6664" width="10.6640625" style="95" customWidth="1"/>
    <col min="6665" max="6665" width="11.5" style="95" customWidth="1"/>
    <col min="6666" max="6666" width="1.6640625" style="95" customWidth="1"/>
    <col min="6667" max="6668" width="10.6640625" style="95" customWidth="1"/>
    <col min="6669" max="6669" width="2.33203125" style="95" customWidth="1"/>
    <col min="6670" max="6912" width="10.83203125" style="95"/>
    <col min="6913" max="6913" width="39.5" style="95" bestFit="1" customWidth="1"/>
    <col min="6914" max="6915" width="10.6640625" style="95" customWidth="1"/>
    <col min="6916" max="6916" width="1.6640625" style="95" customWidth="1"/>
    <col min="6917" max="6918" width="10.6640625" style="95" customWidth="1"/>
    <col min="6919" max="6919" width="1.6640625" style="95" customWidth="1"/>
    <col min="6920" max="6920" width="10.6640625" style="95" customWidth="1"/>
    <col min="6921" max="6921" width="11.5" style="95" customWidth="1"/>
    <col min="6922" max="6922" width="1.6640625" style="95" customWidth="1"/>
    <col min="6923" max="6924" width="10.6640625" style="95" customWidth="1"/>
    <col min="6925" max="6925" width="2.33203125" style="95" customWidth="1"/>
    <col min="6926" max="7168" width="10.83203125" style="95"/>
    <col min="7169" max="7169" width="39.5" style="95" bestFit="1" customWidth="1"/>
    <col min="7170" max="7171" width="10.6640625" style="95" customWidth="1"/>
    <col min="7172" max="7172" width="1.6640625" style="95" customWidth="1"/>
    <col min="7173" max="7174" width="10.6640625" style="95" customWidth="1"/>
    <col min="7175" max="7175" width="1.6640625" style="95" customWidth="1"/>
    <col min="7176" max="7176" width="10.6640625" style="95" customWidth="1"/>
    <col min="7177" max="7177" width="11.5" style="95" customWidth="1"/>
    <col min="7178" max="7178" width="1.6640625" style="95" customWidth="1"/>
    <col min="7179" max="7180" width="10.6640625" style="95" customWidth="1"/>
    <col min="7181" max="7181" width="2.33203125" style="95" customWidth="1"/>
    <col min="7182" max="7424" width="10.83203125" style="95"/>
    <col min="7425" max="7425" width="39.5" style="95" bestFit="1" customWidth="1"/>
    <col min="7426" max="7427" width="10.6640625" style="95" customWidth="1"/>
    <col min="7428" max="7428" width="1.6640625" style="95" customWidth="1"/>
    <col min="7429" max="7430" width="10.6640625" style="95" customWidth="1"/>
    <col min="7431" max="7431" width="1.6640625" style="95" customWidth="1"/>
    <col min="7432" max="7432" width="10.6640625" style="95" customWidth="1"/>
    <col min="7433" max="7433" width="11.5" style="95" customWidth="1"/>
    <col min="7434" max="7434" width="1.6640625" style="95" customWidth="1"/>
    <col min="7435" max="7436" width="10.6640625" style="95" customWidth="1"/>
    <col min="7437" max="7437" width="2.33203125" style="95" customWidth="1"/>
    <col min="7438" max="7680" width="10.83203125" style="95"/>
    <col min="7681" max="7681" width="39.5" style="95" bestFit="1" customWidth="1"/>
    <col min="7682" max="7683" width="10.6640625" style="95" customWidth="1"/>
    <col min="7684" max="7684" width="1.6640625" style="95" customWidth="1"/>
    <col min="7685" max="7686" width="10.6640625" style="95" customWidth="1"/>
    <col min="7687" max="7687" width="1.6640625" style="95" customWidth="1"/>
    <col min="7688" max="7688" width="10.6640625" style="95" customWidth="1"/>
    <col min="7689" max="7689" width="11.5" style="95" customWidth="1"/>
    <col min="7690" max="7690" width="1.6640625" style="95" customWidth="1"/>
    <col min="7691" max="7692" width="10.6640625" style="95" customWidth="1"/>
    <col min="7693" max="7693" width="2.33203125" style="95" customWidth="1"/>
    <col min="7694" max="7936" width="10.83203125" style="95"/>
    <col min="7937" max="7937" width="39.5" style="95" bestFit="1" customWidth="1"/>
    <col min="7938" max="7939" width="10.6640625" style="95" customWidth="1"/>
    <col min="7940" max="7940" width="1.6640625" style="95" customWidth="1"/>
    <col min="7941" max="7942" width="10.6640625" style="95" customWidth="1"/>
    <col min="7943" max="7943" width="1.6640625" style="95" customWidth="1"/>
    <col min="7944" max="7944" width="10.6640625" style="95" customWidth="1"/>
    <col min="7945" max="7945" width="11.5" style="95" customWidth="1"/>
    <col min="7946" max="7946" width="1.6640625" style="95" customWidth="1"/>
    <col min="7947" max="7948" width="10.6640625" style="95" customWidth="1"/>
    <col min="7949" max="7949" width="2.33203125" style="95" customWidth="1"/>
    <col min="7950" max="8192" width="10.83203125" style="95"/>
    <col min="8193" max="8193" width="39.5" style="95" bestFit="1" customWidth="1"/>
    <col min="8194" max="8195" width="10.6640625" style="95" customWidth="1"/>
    <col min="8196" max="8196" width="1.6640625" style="95" customWidth="1"/>
    <col min="8197" max="8198" width="10.6640625" style="95" customWidth="1"/>
    <col min="8199" max="8199" width="1.6640625" style="95" customWidth="1"/>
    <col min="8200" max="8200" width="10.6640625" style="95" customWidth="1"/>
    <col min="8201" max="8201" width="11.5" style="95" customWidth="1"/>
    <col min="8202" max="8202" width="1.6640625" style="95" customWidth="1"/>
    <col min="8203" max="8204" width="10.6640625" style="95" customWidth="1"/>
    <col min="8205" max="8205" width="2.33203125" style="95" customWidth="1"/>
    <col min="8206" max="8448" width="10.83203125" style="95"/>
    <col min="8449" max="8449" width="39.5" style="95" bestFit="1" customWidth="1"/>
    <col min="8450" max="8451" width="10.6640625" style="95" customWidth="1"/>
    <col min="8452" max="8452" width="1.6640625" style="95" customWidth="1"/>
    <col min="8453" max="8454" width="10.6640625" style="95" customWidth="1"/>
    <col min="8455" max="8455" width="1.6640625" style="95" customWidth="1"/>
    <col min="8456" max="8456" width="10.6640625" style="95" customWidth="1"/>
    <col min="8457" max="8457" width="11.5" style="95" customWidth="1"/>
    <col min="8458" max="8458" width="1.6640625" style="95" customWidth="1"/>
    <col min="8459" max="8460" width="10.6640625" style="95" customWidth="1"/>
    <col min="8461" max="8461" width="2.33203125" style="95" customWidth="1"/>
    <col min="8462" max="8704" width="10.83203125" style="95"/>
    <col min="8705" max="8705" width="39.5" style="95" bestFit="1" customWidth="1"/>
    <col min="8706" max="8707" width="10.6640625" style="95" customWidth="1"/>
    <col min="8708" max="8708" width="1.6640625" style="95" customWidth="1"/>
    <col min="8709" max="8710" width="10.6640625" style="95" customWidth="1"/>
    <col min="8711" max="8711" width="1.6640625" style="95" customWidth="1"/>
    <col min="8712" max="8712" width="10.6640625" style="95" customWidth="1"/>
    <col min="8713" max="8713" width="11.5" style="95" customWidth="1"/>
    <col min="8714" max="8714" width="1.6640625" style="95" customWidth="1"/>
    <col min="8715" max="8716" width="10.6640625" style="95" customWidth="1"/>
    <col min="8717" max="8717" width="2.33203125" style="95" customWidth="1"/>
    <col min="8718" max="8960" width="10.83203125" style="95"/>
    <col min="8961" max="8961" width="39.5" style="95" bestFit="1" customWidth="1"/>
    <col min="8962" max="8963" width="10.6640625" style="95" customWidth="1"/>
    <col min="8964" max="8964" width="1.6640625" style="95" customWidth="1"/>
    <col min="8965" max="8966" width="10.6640625" style="95" customWidth="1"/>
    <col min="8967" max="8967" width="1.6640625" style="95" customWidth="1"/>
    <col min="8968" max="8968" width="10.6640625" style="95" customWidth="1"/>
    <col min="8969" max="8969" width="11.5" style="95" customWidth="1"/>
    <col min="8970" max="8970" width="1.6640625" style="95" customWidth="1"/>
    <col min="8971" max="8972" width="10.6640625" style="95" customWidth="1"/>
    <col min="8973" max="8973" width="2.33203125" style="95" customWidth="1"/>
    <col min="8974" max="9216" width="10.83203125" style="95"/>
    <col min="9217" max="9217" width="39.5" style="95" bestFit="1" customWidth="1"/>
    <col min="9218" max="9219" width="10.6640625" style="95" customWidth="1"/>
    <col min="9220" max="9220" width="1.6640625" style="95" customWidth="1"/>
    <col min="9221" max="9222" width="10.6640625" style="95" customWidth="1"/>
    <col min="9223" max="9223" width="1.6640625" style="95" customWidth="1"/>
    <col min="9224" max="9224" width="10.6640625" style="95" customWidth="1"/>
    <col min="9225" max="9225" width="11.5" style="95" customWidth="1"/>
    <col min="9226" max="9226" width="1.6640625" style="95" customWidth="1"/>
    <col min="9227" max="9228" width="10.6640625" style="95" customWidth="1"/>
    <col min="9229" max="9229" width="2.33203125" style="95" customWidth="1"/>
    <col min="9230" max="9472" width="10.83203125" style="95"/>
    <col min="9473" max="9473" width="39.5" style="95" bestFit="1" customWidth="1"/>
    <col min="9474" max="9475" width="10.6640625" style="95" customWidth="1"/>
    <col min="9476" max="9476" width="1.6640625" style="95" customWidth="1"/>
    <col min="9477" max="9478" width="10.6640625" style="95" customWidth="1"/>
    <col min="9479" max="9479" width="1.6640625" style="95" customWidth="1"/>
    <col min="9480" max="9480" width="10.6640625" style="95" customWidth="1"/>
    <col min="9481" max="9481" width="11.5" style="95" customWidth="1"/>
    <col min="9482" max="9482" width="1.6640625" style="95" customWidth="1"/>
    <col min="9483" max="9484" width="10.6640625" style="95" customWidth="1"/>
    <col min="9485" max="9485" width="2.33203125" style="95" customWidth="1"/>
    <col min="9486" max="9728" width="10.83203125" style="95"/>
    <col min="9729" max="9729" width="39.5" style="95" bestFit="1" customWidth="1"/>
    <col min="9730" max="9731" width="10.6640625" style="95" customWidth="1"/>
    <col min="9732" max="9732" width="1.6640625" style="95" customWidth="1"/>
    <col min="9733" max="9734" width="10.6640625" style="95" customWidth="1"/>
    <col min="9735" max="9735" width="1.6640625" style="95" customWidth="1"/>
    <col min="9736" max="9736" width="10.6640625" style="95" customWidth="1"/>
    <col min="9737" max="9737" width="11.5" style="95" customWidth="1"/>
    <col min="9738" max="9738" width="1.6640625" style="95" customWidth="1"/>
    <col min="9739" max="9740" width="10.6640625" style="95" customWidth="1"/>
    <col min="9741" max="9741" width="2.33203125" style="95" customWidth="1"/>
    <col min="9742" max="9984" width="10.83203125" style="95"/>
    <col min="9985" max="9985" width="39.5" style="95" bestFit="1" customWidth="1"/>
    <col min="9986" max="9987" width="10.6640625" style="95" customWidth="1"/>
    <col min="9988" max="9988" width="1.6640625" style="95" customWidth="1"/>
    <col min="9989" max="9990" width="10.6640625" style="95" customWidth="1"/>
    <col min="9991" max="9991" width="1.6640625" style="95" customWidth="1"/>
    <col min="9992" max="9992" width="10.6640625" style="95" customWidth="1"/>
    <col min="9993" max="9993" width="11.5" style="95" customWidth="1"/>
    <col min="9994" max="9994" width="1.6640625" style="95" customWidth="1"/>
    <col min="9995" max="9996" width="10.6640625" style="95" customWidth="1"/>
    <col min="9997" max="9997" width="2.33203125" style="95" customWidth="1"/>
    <col min="9998" max="10240" width="10.83203125" style="95"/>
    <col min="10241" max="10241" width="39.5" style="95" bestFit="1" customWidth="1"/>
    <col min="10242" max="10243" width="10.6640625" style="95" customWidth="1"/>
    <col min="10244" max="10244" width="1.6640625" style="95" customWidth="1"/>
    <col min="10245" max="10246" width="10.6640625" style="95" customWidth="1"/>
    <col min="10247" max="10247" width="1.6640625" style="95" customWidth="1"/>
    <col min="10248" max="10248" width="10.6640625" style="95" customWidth="1"/>
    <col min="10249" max="10249" width="11.5" style="95" customWidth="1"/>
    <col min="10250" max="10250" width="1.6640625" style="95" customWidth="1"/>
    <col min="10251" max="10252" width="10.6640625" style="95" customWidth="1"/>
    <col min="10253" max="10253" width="2.33203125" style="95" customWidth="1"/>
    <col min="10254" max="10496" width="10.83203125" style="95"/>
    <col min="10497" max="10497" width="39.5" style="95" bestFit="1" customWidth="1"/>
    <col min="10498" max="10499" width="10.6640625" style="95" customWidth="1"/>
    <col min="10500" max="10500" width="1.6640625" style="95" customWidth="1"/>
    <col min="10501" max="10502" width="10.6640625" style="95" customWidth="1"/>
    <col min="10503" max="10503" width="1.6640625" style="95" customWidth="1"/>
    <col min="10504" max="10504" width="10.6640625" style="95" customWidth="1"/>
    <col min="10505" max="10505" width="11.5" style="95" customWidth="1"/>
    <col min="10506" max="10506" width="1.6640625" style="95" customWidth="1"/>
    <col min="10507" max="10508" width="10.6640625" style="95" customWidth="1"/>
    <col min="10509" max="10509" width="2.33203125" style="95" customWidth="1"/>
    <col min="10510" max="10752" width="10.83203125" style="95"/>
    <col min="10753" max="10753" width="39.5" style="95" bestFit="1" customWidth="1"/>
    <col min="10754" max="10755" width="10.6640625" style="95" customWidth="1"/>
    <col min="10756" max="10756" width="1.6640625" style="95" customWidth="1"/>
    <col min="10757" max="10758" width="10.6640625" style="95" customWidth="1"/>
    <col min="10759" max="10759" width="1.6640625" style="95" customWidth="1"/>
    <col min="10760" max="10760" width="10.6640625" style="95" customWidth="1"/>
    <col min="10761" max="10761" width="11.5" style="95" customWidth="1"/>
    <col min="10762" max="10762" width="1.6640625" style="95" customWidth="1"/>
    <col min="10763" max="10764" width="10.6640625" style="95" customWidth="1"/>
    <col min="10765" max="10765" width="2.33203125" style="95" customWidth="1"/>
    <col min="10766" max="11008" width="10.83203125" style="95"/>
    <col min="11009" max="11009" width="39.5" style="95" bestFit="1" customWidth="1"/>
    <col min="11010" max="11011" width="10.6640625" style="95" customWidth="1"/>
    <col min="11012" max="11012" width="1.6640625" style="95" customWidth="1"/>
    <col min="11013" max="11014" width="10.6640625" style="95" customWidth="1"/>
    <col min="11015" max="11015" width="1.6640625" style="95" customWidth="1"/>
    <col min="11016" max="11016" width="10.6640625" style="95" customWidth="1"/>
    <col min="11017" max="11017" width="11.5" style="95" customWidth="1"/>
    <col min="11018" max="11018" width="1.6640625" style="95" customWidth="1"/>
    <col min="11019" max="11020" width="10.6640625" style="95" customWidth="1"/>
    <col min="11021" max="11021" width="2.33203125" style="95" customWidth="1"/>
    <col min="11022" max="11264" width="10.83203125" style="95"/>
    <col min="11265" max="11265" width="39.5" style="95" bestFit="1" customWidth="1"/>
    <col min="11266" max="11267" width="10.6640625" style="95" customWidth="1"/>
    <col min="11268" max="11268" width="1.6640625" style="95" customWidth="1"/>
    <col min="11269" max="11270" width="10.6640625" style="95" customWidth="1"/>
    <col min="11271" max="11271" width="1.6640625" style="95" customWidth="1"/>
    <col min="11272" max="11272" width="10.6640625" style="95" customWidth="1"/>
    <col min="11273" max="11273" width="11.5" style="95" customWidth="1"/>
    <col min="11274" max="11274" width="1.6640625" style="95" customWidth="1"/>
    <col min="11275" max="11276" width="10.6640625" style="95" customWidth="1"/>
    <col min="11277" max="11277" width="2.33203125" style="95" customWidth="1"/>
    <col min="11278" max="11520" width="10.83203125" style="95"/>
    <col min="11521" max="11521" width="39.5" style="95" bestFit="1" customWidth="1"/>
    <col min="11522" max="11523" width="10.6640625" style="95" customWidth="1"/>
    <col min="11524" max="11524" width="1.6640625" style="95" customWidth="1"/>
    <col min="11525" max="11526" width="10.6640625" style="95" customWidth="1"/>
    <col min="11527" max="11527" width="1.6640625" style="95" customWidth="1"/>
    <col min="11528" max="11528" width="10.6640625" style="95" customWidth="1"/>
    <col min="11529" max="11529" width="11.5" style="95" customWidth="1"/>
    <col min="11530" max="11530" width="1.6640625" style="95" customWidth="1"/>
    <col min="11531" max="11532" width="10.6640625" style="95" customWidth="1"/>
    <col min="11533" max="11533" width="2.33203125" style="95" customWidth="1"/>
    <col min="11534" max="11776" width="10.83203125" style="95"/>
    <col min="11777" max="11777" width="39.5" style="95" bestFit="1" customWidth="1"/>
    <col min="11778" max="11779" width="10.6640625" style="95" customWidth="1"/>
    <col min="11780" max="11780" width="1.6640625" style="95" customWidth="1"/>
    <col min="11781" max="11782" width="10.6640625" style="95" customWidth="1"/>
    <col min="11783" max="11783" width="1.6640625" style="95" customWidth="1"/>
    <col min="11784" max="11784" width="10.6640625" style="95" customWidth="1"/>
    <col min="11785" max="11785" width="11.5" style="95" customWidth="1"/>
    <col min="11786" max="11786" width="1.6640625" style="95" customWidth="1"/>
    <col min="11787" max="11788" width="10.6640625" style="95" customWidth="1"/>
    <col min="11789" max="11789" width="2.33203125" style="95" customWidth="1"/>
    <col min="11790" max="12032" width="10.83203125" style="95"/>
    <col min="12033" max="12033" width="39.5" style="95" bestFit="1" customWidth="1"/>
    <col min="12034" max="12035" width="10.6640625" style="95" customWidth="1"/>
    <col min="12036" max="12036" width="1.6640625" style="95" customWidth="1"/>
    <col min="12037" max="12038" width="10.6640625" style="95" customWidth="1"/>
    <col min="12039" max="12039" width="1.6640625" style="95" customWidth="1"/>
    <col min="12040" max="12040" width="10.6640625" style="95" customWidth="1"/>
    <col min="12041" max="12041" width="11.5" style="95" customWidth="1"/>
    <col min="12042" max="12042" width="1.6640625" style="95" customWidth="1"/>
    <col min="12043" max="12044" width="10.6640625" style="95" customWidth="1"/>
    <col min="12045" max="12045" width="2.33203125" style="95" customWidth="1"/>
    <col min="12046" max="12288" width="10.83203125" style="95"/>
    <col min="12289" max="12289" width="39.5" style="95" bestFit="1" customWidth="1"/>
    <col min="12290" max="12291" width="10.6640625" style="95" customWidth="1"/>
    <col min="12292" max="12292" width="1.6640625" style="95" customWidth="1"/>
    <col min="12293" max="12294" width="10.6640625" style="95" customWidth="1"/>
    <col min="12295" max="12295" width="1.6640625" style="95" customWidth="1"/>
    <col min="12296" max="12296" width="10.6640625" style="95" customWidth="1"/>
    <col min="12297" max="12297" width="11.5" style="95" customWidth="1"/>
    <col min="12298" max="12298" width="1.6640625" style="95" customWidth="1"/>
    <col min="12299" max="12300" width="10.6640625" style="95" customWidth="1"/>
    <col min="12301" max="12301" width="2.33203125" style="95" customWidth="1"/>
    <col min="12302" max="12544" width="10.83203125" style="95"/>
    <col min="12545" max="12545" width="39.5" style="95" bestFit="1" customWidth="1"/>
    <col min="12546" max="12547" width="10.6640625" style="95" customWidth="1"/>
    <col min="12548" max="12548" width="1.6640625" style="95" customWidth="1"/>
    <col min="12549" max="12550" width="10.6640625" style="95" customWidth="1"/>
    <col min="12551" max="12551" width="1.6640625" style="95" customWidth="1"/>
    <col min="12552" max="12552" width="10.6640625" style="95" customWidth="1"/>
    <col min="12553" max="12553" width="11.5" style="95" customWidth="1"/>
    <col min="12554" max="12554" width="1.6640625" style="95" customWidth="1"/>
    <col min="12555" max="12556" width="10.6640625" style="95" customWidth="1"/>
    <col min="12557" max="12557" width="2.33203125" style="95" customWidth="1"/>
    <col min="12558" max="12800" width="10.83203125" style="95"/>
    <col min="12801" max="12801" width="39.5" style="95" bestFit="1" customWidth="1"/>
    <col min="12802" max="12803" width="10.6640625" style="95" customWidth="1"/>
    <col min="12804" max="12804" width="1.6640625" style="95" customWidth="1"/>
    <col min="12805" max="12806" width="10.6640625" style="95" customWidth="1"/>
    <col min="12807" max="12807" width="1.6640625" style="95" customWidth="1"/>
    <col min="12808" max="12808" width="10.6640625" style="95" customWidth="1"/>
    <col min="12809" max="12809" width="11.5" style="95" customWidth="1"/>
    <col min="12810" max="12810" width="1.6640625" style="95" customWidth="1"/>
    <col min="12811" max="12812" width="10.6640625" style="95" customWidth="1"/>
    <col min="12813" max="12813" width="2.33203125" style="95" customWidth="1"/>
    <col min="12814" max="13056" width="10.83203125" style="95"/>
    <col min="13057" max="13057" width="39.5" style="95" bestFit="1" customWidth="1"/>
    <col min="13058" max="13059" width="10.6640625" style="95" customWidth="1"/>
    <col min="13060" max="13060" width="1.6640625" style="95" customWidth="1"/>
    <col min="13061" max="13062" width="10.6640625" style="95" customWidth="1"/>
    <col min="13063" max="13063" width="1.6640625" style="95" customWidth="1"/>
    <col min="13064" max="13064" width="10.6640625" style="95" customWidth="1"/>
    <col min="13065" max="13065" width="11.5" style="95" customWidth="1"/>
    <col min="13066" max="13066" width="1.6640625" style="95" customWidth="1"/>
    <col min="13067" max="13068" width="10.6640625" style="95" customWidth="1"/>
    <col min="13069" max="13069" width="2.33203125" style="95" customWidth="1"/>
    <col min="13070" max="13312" width="10.83203125" style="95"/>
    <col min="13313" max="13313" width="39.5" style="95" bestFit="1" customWidth="1"/>
    <col min="13314" max="13315" width="10.6640625" style="95" customWidth="1"/>
    <col min="13316" max="13316" width="1.6640625" style="95" customWidth="1"/>
    <col min="13317" max="13318" width="10.6640625" style="95" customWidth="1"/>
    <col min="13319" max="13319" width="1.6640625" style="95" customWidth="1"/>
    <col min="13320" max="13320" width="10.6640625" style="95" customWidth="1"/>
    <col min="13321" max="13321" width="11.5" style="95" customWidth="1"/>
    <col min="13322" max="13322" width="1.6640625" style="95" customWidth="1"/>
    <col min="13323" max="13324" width="10.6640625" style="95" customWidth="1"/>
    <col min="13325" max="13325" width="2.33203125" style="95" customWidth="1"/>
    <col min="13326" max="13568" width="10.83203125" style="95"/>
    <col min="13569" max="13569" width="39.5" style="95" bestFit="1" customWidth="1"/>
    <col min="13570" max="13571" width="10.6640625" style="95" customWidth="1"/>
    <col min="13572" max="13572" width="1.6640625" style="95" customWidth="1"/>
    <col min="13573" max="13574" width="10.6640625" style="95" customWidth="1"/>
    <col min="13575" max="13575" width="1.6640625" style="95" customWidth="1"/>
    <col min="13576" max="13576" width="10.6640625" style="95" customWidth="1"/>
    <col min="13577" max="13577" width="11.5" style="95" customWidth="1"/>
    <col min="13578" max="13578" width="1.6640625" style="95" customWidth="1"/>
    <col min="13579" max="13580" width="10.6640625" style="95" customWidth="1"/>
    <col min="13581" max="13581" width="2.33203125" style="95" customWidth="1"/>
    <col min="13582" max="13824" width="10.83203125" style="95"/>
    <col min="13825" max="13825" width="39.5" style="95" bestFit="1" customWidth="1"/>
    <col min="13826" max="13827" width="10.6640625" style="95" customWidth="1"/>
    <col min="13828" max="13828" width="1.6640625" style="95" customWidth="1"/>
    <col min="13829" max="13830" width="10.6640625" style="95" customWidth="1"/>
    <col min="13831" max="13831" width="1.6640625" style="95" customWidth="1"/>
    <col min="13832" max="13832" width="10.6640625" style="95" customWidth="1"/>
    <col min="13833" max="13833" width="11.5" style="95" customWidth="1"/>
    <col min="13834" max="13834" width="1.6640625" style="95" customWidth="1"/>
    <col min="13835" max="13836" width="10.6640625" style="95" customWidth="1"/>
    <col min="13837" max="13837" width="2.33203125" style="95" customWidth="1"/>
    <col min="13838" max="14080" width="10.83203125" style="95"/>
    <col min="14081" max="14081" width="39.5" style="95" bestFit="1" customWidth="1"/>
    <col min="14082" max="14083" width="10.6640625" style="95" customWidth="1"/>
    <col min="14084" max="14084" width="1.6640625" style="95" customWidth="1"/>
    <col min="14085" max="14086" width="10.6640625" style="95" customWidth="1"/>
    <col min="14087" max="14087" width="1.6640625" style="95" customWidth="1"/>
    <col min="14088" max="14088" width="10.6640625" style="95" customWidth="1"/>
    <col min="14089" max="14089" width="11.5" style="95" customWidth="1"/>
    <col min="14090" max="14090" width="1.6640625" style="95" customWidth="1"/>
    <col min="14091" max="14092" width="10.6640625" style="95" customWidth="1"/>
    <col min="14093" max="14093" width="2.33203125" style="95" customWidth="1"/>
    <col min="14094" max="14336" width="10.83203125" style="95"/>
    <col min="14337" max="14337" width="39.5" style="95" bestFit="1" customWidth="1"/>
    <col min="14338" max="14339" width="10.6640625" style="95" customWidth="1"/>
    <col min="14340" max="14340" width="1.6640625" style="95" customWidth="1"/>
    <col min="14341" max="14342" width="10.6640625" style="95" customWidth="1"/>
    <col min="14343" max="14343" width="1.6640625" style="95" customWidth="1"/>
    <col min="14344" max="14344" width="10.6640625" style="95" customWidth="1"/>
    <col min="14345" max="14345" width="11.5" style="95" customWidth="1"/>
    <col min="14346" max="14346" width="1.6640625" style="95" customWidth="1"/>
    <col min="14347" max="14348" width="10.6640625" style="95" customWidth="1"/>
    <col min="14349" max="14349" width="2.33203125" style="95" customWidth="1"/>
    <col min="14350" max="14592" width="10.83203125" style="95"/>
    <col min="14593" max="14593" width="39.5" style="95" bestFit="1" customWidth="1"/>
    <col min="14594" max="14595" width="10.6640625" style="95" customWidth="1"/>
    <col min="14596" max="14596" width="1.6640625" style="95" customWidth="1"/>
    <col min="14597" max="14598" width="10.6640625" style="95" customWidth="1"/>
    <col min="14599" max="14599" width="1.6640625" style="95" customWidth="1"/>
    <col min="14600" max="14600" width="10.6640625" style="95" customWidth="1"/>
    <col min="14601" max="14601" width="11.5" style="95" customWidth="1"/>
    <col min="14602" max="14602" width="1.6640625" style="95" customWidth="1"/>
    <col min="14603" max="14604" width="10.6640625" style="95" customWidth="1"/>
    <col min="14605" max="14605" width="2.33203125" style="95" customWidth="1"/>
    <col min="14606" max="14848" width="10.83203125" style="95"/>
    <col min="14849" max="14849" width="39.5" style="95" bestFit="1" customWidth="1"/>
    <col min="14850" max="14851" width="10.6640625" style="95" customWidth="1"/>
    <col min="14852" max="14852" width="1.6640625" style="95" customWidth="1"/>
    <col min="14853" max="14854" width="10.6640625" style="95" customWidth="1"/>
    <col min="14855" max="14855" width="1.6640625" style="95" customWidth="1"/>
    <col min="14856" max="14856" width="10.6640625" style="95" customWidth="1"/>
    <col min="14857" max="14857" width="11.5" style="95" customWidth="1"/>
    <col min="14858" max="14858" width="1.6640625" style="95" customWidth="1"/>
    <col min="14859" max="14860" width="10.6640625" style="95" customWidth="1"/>
    <col min="14861" max="14861" width="2.33203125" style="95" customWidth="1"/>
    <col min="14862" max="15104" width="10.83203125" style="95"/>
    <col min="15105" max="15105" width="39.5" style="95" bestFit="1" customWidth="1"/>
    <col min="15106" max="15107" width="10.6640625" style="95" customWidth="1"/>
    <col min="15108" max="15108" width="1.6640625" style="95" customWidth="1"/>
    <col min="15109" max="15110" width="10.6640625" style="95" customWidth="1"/>
    <col min="15111" max="15111" width="1.6640625" style="95" customWidth="1"/>
    <col min="15112" max="15112" width="10.6640625" style="95" customWidth="1"/>
    <col min="15113" max="15113" width="11.5" style="95" customWidth="1"/>
    <col min="15114" max="15114" width="1.6640625" style="95" customWidth="1"/>
    <col min="15115" max="15116" width="10.6640625" style="95" customWidth="1"/>
    <col min="15117" max="15117" width="2.33203125" style="95" customWidth="1"/>
    <col min="15118" max="15360" width="10.83203125" style="95"/>
    <col min="15361" max="15361" width="39.5" style="95" bestFit="1" customWidth="1"/>
    <col min="15362" max="15363" width="10.6640625" style="95" customWidth="1"/>
    <col min="15364" max="15364" width="1.6640625" style="95" customWidth="1"/>
    <col min="15365" max="15366" width="10.6640625" style="95" customWidth="1"/>
    <col min="15367" max="15367" width="1.6640625" style="95" customWidth="1"/>
    <col min="15368" max="15368" width="10.6640625" style="95" customWidth="1"/>
    <col min="15369" max="15369" width="11.5" style="95" customWidth="1"/>
    <col min="15370" max="15370" width="1.6640625" style="95" customWidth="1"/>
    <col min="15371" max="15372" width="10.6640625" style="95" customWidth="1"/>
    <col min="15373" max="15373" width="2.33203125" style="95" customWidth="1"/>
    <col min="15374" max="15616" width="10.83203125" style="95"/>
    <col min="15617" max="15617" width="39.5" style="95" bestFit="1" customWidth="1"/>
    <col min="15618" max="15619" width="10.6640625" style="95" customWidth="1"/>
    <col min="15620" max="15620" width="1.6640625" style="95" customWidth="1"/>
    <col min="15621" max="15622" width="10.6640625" style="95" customWidth="1"/>
    <col min="15623" max="15623" width="1.6640625" style="95" customWidth="1"/>
    <col min="15624" max="15624" width="10.6640625" style="95" customWidth="1"/>
    <col min="15625" max="15625" width="11.5" style="95" customWidth="1"/>
    <col min="15626" max="15626" width="1.6640625" style="95" customWidth="1"/>
    <col min="15627" max="15628" width="10.6640625" style="95" customWidth="1"/>
    <col min="15629" max="15629" width="2.33203125" style="95" customWidth="1"/>
    <col min="15630" max="15872" width="10.83203125" style="95"/>
    <col min="15873" max="15873" width="39.5" style="95" bestFit="1" customWidth="1"/>
    <col min="15874" max="15875" width="10.6640625" style="95" customWidth="1"/>
    <col min="15876" max="15876" width="1.6640625" style="95" customWidth="1"/>
    <col min="15877" max="15878" width="10.6640625" style="95" customWidth="1"/>
    <col min="15879" max="15879" width="1.6640625" style="95" customWidth="1"/>
    <col min="15880" max="15880" width="10.6640625" style="95" customWidth="1"/>
    <col min="15881" max="15881" width="11.5" style="95" customWidth="1"/>
    <col min="15882" max="15882" width="1.6640625" style="95" customWidth="1"/>
    <col min="15883" max="15884" width="10.6640625" style="95" customWidth="1"/>
    <col min="15885" max="15885" width="2.33203125" style="95" customWidth="1"/>
    <col min="15886" max="16128" width="10.83203125" style="95"/>
    <col min="16129" max="16129" width="39.5" style="95" bestFit="1" customWidth="1"/>
    <col min="16130" max="16131" width="10.6640625" style="95" customWidth="1"/>
    <col min="16132" max="16132" width="1.6640625" style="95" customWidth="1"/>
    <col min="16133" max="16134" width="10.6640625" style="95" customWidth="1"/>
    <col min="16135" max="16135" width="1.6640625" style="95" customWidth="1"/>
    <col min="16136" max="16136" width="10.6640625" style="95" customWidth="1"/>
    <col min="16137" max="16137" width="11.5" style="95" customWidth="1"/>
    <col min="16138" max="16138" width="1.6640625" style="95" customWidth="1"/>
    <col min="16139" max="16140" width="10.6640625" style="95" customWidth="1"/>
    <col min="16141" max="16141" width="2.33203125" style="95" customWidth="1"/>
    <col min="16142" max="16384" width="10.83203125" style="95"/>
  </cols>
  <sheetData>
    <row r="1" spans="1:13">
      <c r="A1" s="33" t="s">
        <v>466</v>
      </c>
      <c r="C1" s="578"/>
      <c r="D1" s="61"/>
      <c r="F1" s="401"/>
      <c r="G1" s="61"/>
      <c r="I1" s="401"/>
      <c r="L1" s="164"/>
    </row>
    <row r="2" spans="1:13">
      <c r="A2" s="33" t="s">
        <v>467</v>
      </c>
      <c r="C2" s="578"/>
      <c r="D2" s="61"/>
      <c r="F2" s="401"/>
      <c r="G2" s="61"/>
      <c r="I2" s="401"/>
      <c r="L2" s="164"/>
    </row>
    <row r="3" spans="1:13" ht="10" customHeight="1">
      <c r="A3" s="33"/>
      <c r="C3" s="578"/>
      <c r="D3" s="61"/>
      <c r="F3" s="401"/>
      <c r="G3" s="61"/>
      <c r="I3" s="401"/>
      <c r="L3" s="164"/>
    </row>
    <row r="4" spans="1:13">
      <c r="A4" s="33" t="s">
        <v>2150</v>
      </c>
      <c r="C4" s="578"/>
      <c r="D4" s="61"/>
      <c r="F4" s="401"/>
      <c r="G4" s="61"/>
      <c r="I4" s="401"/>
      <c r="L4" s="164"/>
    </row>
    <row r="5" spans="1:13" ht="10" customHeight="1" thickBot="1">
      <c r="A5" s="33"/>
      <c r="C5" s="578"/>
      <c r="D5" s="61"/>
      <c r="F5" s="401"/>
      <c r="G5" s="61"/>
      <c r="I5" s="401"/>
      <c r="J5" s="401"/>
      <c r="L5" s="164"/>
    </row>
    <row r="6" spans="1:13" s="55" customFormat="1" ht="10" customHeight="1">
      <c r="A6" s="188"/>
      <c r="B6" s="592"/>
      <c r="C6" s="950"/>
      <c r="D6" s="594"/>
      <c r="E6" s="595"/>
      <c r="F6" s="596"/>
      <c r="G6" s="594"/>
      <c r="H6" s="595"/>
      <c r="I6" s="596"/>
      <c r="J6" s="596"/>
      <c r="K6" s="595"/>
      <c r="L6" s="750"/>
      <c r="M6" s="98"/>
    </row>
    <row r="7" spans="1:13" s="55" customFormat="1">
      <c r="A7" s="95" t="s">
        <v>1052</v>
      </c>
      <c r="B7" s="1040" t="s">
        <v>1565</v>
      </c>
      <c r="C7" s="1040"/>
      <c r="D7" s="916"/>
      <c r="E7" s="1073" t="s">
        <v>1573</v>
      </c>
      <c r="F7" s="1073"/>
      <c r="G7" s="916"/>
      <c r="H7" s="1021" t="s">
        <v>1574</v>
      </c>
      <c r="I7" s="1021"/>
      <c r="J7" s="107"/>
      <c r="K7" s="1026" t="s">
        <v>1575</v>
      </c>
      <c r="L7" s="1026"/>
    </row>
    <row r="8" spans="1:13">
      <c r="A8" s="57" t="s">
        <v>1576</v>
      </c>
      <c r="B8" s="597" t="s">
        <v>400</v>
      </c>
      <c r="C8" s="951" t="s">
        <v>401</v>
      </c>
      <c r="D8" s="916"/>
      <c r="E8" s="598" t="s">
        <v>400</v>
      </c>
      <c r="F8" s="195" t="s">
        <v>401</v>
      </c>
      <c r="G8" s="916"/>
      <c r="H8" s="598" t="s">
        <v>400</v>
      </c>
      <c r="I8" s="195" t="s">
        <v>401</v>
      </c>
      <c r="K8" s="591" t="s">
        <v>1356</v>
      </c>
      <c r="L8" s="164" t="s">
        <v>153</v>
      </c>
    </row>
    <row r="9" spans="1:13" ht="10" customHeight="1" thickBot="1">
      <c r="A9" s="199"/>
      <c r="B9" s="599"/>
      <c r="C9" s="615"/>
      <c r="D9" s="534"/>
      <c r="E9" s="600"/>
      <c r="F9" s="535"/>
      <c r="G9" s="534"/>
      <c r="H9" s="600"/>
      <c r="I9" s="535"/>
      <c r="J9" s="401"/>
      <c r="K9" s="600"/>
      <c r="L9" s="751"/>
    </row>
    <row r="10" spans="1:13" ht="10" customHeight="1">
      <c r="A10" s="57"/>
      <c r="B10" s="202"/>
      <c r="C10" s="561"/>
      <c r="D10" s="916"/>
      <c r="E10" s="601"/>
      <c r="F10" s="192"/>
      <c r="G10" s="916"/>
      <c r="H10" s="601"/>
      <c r="I10" s="192"/>
      <c r="J10" s="596"/>
      <c r="L10" s="164"/>
      <c r="M10" s="98"/>
    </row>
    <row r="11" spans="1:13" s="55" customFormat="1">
      <c r="A11" s="55" t="s">
        <v>402</v>
      </c>
      <c r="B11" s="602">
        <f>IF(A11&lt;&gt;0,E11+H11+K11,"")</f>
        <v>23131</v>
      </c>
      <c r="C11" s="19">
        <f>SUM(C13+C96)</f>
        <v>100</v>
      </c>
      <c r="D11" s="538"/>
      <c r="E11" s="604">
        <f>SUM(E13+E96)</f>
        <v>22692</v>
      </c>
      <c r="F11" s="574">
        <f>IF(A11&lt;&gt;0,E11/B11*100,"")</f>
        <v>98.102114046085347</v>
      </c>
      <c r="G11" s="572"/>
      <c r="H11" s="604">
        <f>SUM(H13+H96)</f>
        <v>195</v>
      </c>
      <c r="I11" s="574">
        <f>IF(A11&lt;&gt;0,H11/B11*100,"")</f>
        <v>0.84302451255890365</v>
      </c>
      <c r="J11" s="605"/>
      <c r="K11" s="604">
        <f>SUM(K13+K96)</f>
        <v>244</v>
      </c>
      <c r="L11" s="571">
        <f>IF(A11&lt;&gt;0,K11/B11*100,"")</f>
        <v>1.0548614413557562</v>
      </c>
    </row>
    <row r="12" spans="1:13" ht="10" customHeight="1">
      <c r="A12" s="33"/>
      <c r="B12" s="202" t="str">
        <f t="shared" ref="B12:B75" si="0">IF(A12&lt;&gt;0,E12+H12+K12,"")</f>
        <v/>
      </c>
      <c r="C12" s="578"/>
      <c r="D12" s="61"/>
      <c r="E12" s="568"/>
      <c r="F12" s="537" t="str">
        <f t="shared" ref="F12:F75" si="1">IF(A12&lt;&gt;0,E12/B12*100,"")</f>
        <v/>
      </c>
      <c r="G12" s="77"/>
      <c r="H12" s="568"/>
      <c r="I12" s="537" t="str">
        <f t="shared" ref="I12:I75" si="2">IF(A12&lt;&gt;0,H12/B12*100,"")</f>
        <v/>
      </c>
      <c r="J12" s="77"/>
      <c r="K12" s="568"/>
      <c r="L12" s="606" t="str">
        <f t="shared" ref="L12:L75" si="3">IF(A12&lt;&gt;0,K12/B12*100,"")</f>
        <v/>
      </c>
    </row>
    <row r="13" spans="1:13" s="55" customFormat="1">
      <c r="A13" s="55" t="s">
        <v>1462</v>
      </c>
      <c r="B13" s="602">
        <f>IF(A13&lt;&gt;0,E13+H13+K13,"")</f>
        <v>15209</v>
      </c>
      <c r="C13" s="577">
        <f>IF($A13&lt;&gt;0,B13/$B$11*100,"")</f>
        <v>65.751588776965974</v>
      </c>
      <c r="D13" s="607"/>
      <c r="E13" s="608">
        <f>E15+E26+E34+E60+E74+E81+E93+E94</f>
        <v>15000</v>
      </c>
      <c r="F13" s="574">
        <f t="shared" si="1"/>
        <v>98.625813662962727</v>
      </c>
      <c r="G13" s="605"/>
      <c r="H13" s="608">
        <f>H15+H26+H34+H60+H74+H81+H93+H94</f>
        <v>86</v>
      </c>
      <c r="I13" s="574">
        <f t="shared" si="2"/>
        <v>0.56545466500098629</v>
      </c>
      <c r="J13" s="605"/>
      <c r="K13" s="608">
        <f>K15+K26+K34+K60+K74+K81+K93+K94</f>
        <v>123</v>
      </c>
      <c r="L13" s="571">
        <f t="shared" si="3"/>
        <v>0.80873167203629437</v>
      </c>
    </row>
    <row r="14" spans="1:13" ht="10" customHeight="1">
      <c r="A14" s="55"/>
      <c r="B14" s="202" t="str">
        <f t="shared" si="0"/>
        <v/>
      </c>
      <c r="C14" s="578" t="str">
        <f t="shared" ref="C14:C77" si="4">IF($A14&lt;&gt;0,B14/$B$11*100,"")</f>
        <v/>
      </c>
      <c r="D14" s="61"/>
      <c r="E14" s="568"/>
      <c r="F14" s="537" t="str">
        <f t="shared" si="1"/>
        <v/>
      </c>
      <c r="G14" s="77"/>
      <c r="H14" s="568"/>
      <c r="I14" s="537" t="str">
        <f t="shared" si="2"/>
        <v/>
      </c>
      <c r="J14" s="77"/>
      <c r="K14" s="568"/>
      <c r="L14" s="606" t="str">
        <f t="shared" si="3"/>
        <v/>
      </c>
    </row>
    <row r="15" spans="1:13" s="609" customFormat="1">
      <c r="A15" s="55" t="s">
        <v>404</v>
      </c>
      <c r="B15" s="602">
        <f t="shared" si="0"/>
        <v>1417</v>
      </c>
      <c r="C15" s="577">
        <f t="shared" si="4"/>
        <v>6.1259781245946998</v>
      </c>
      <c r="D15" s="607"/>
      <c r="E15" s="608">
        <f>E16+E21</f>
        <v>1389</v>
      </c>
      <c r="F15" s="574">
        <f t="shared" si="1"/>
        <v>98.02399435426959</v>
      </c>
      <c r="G15" s="605"/>
      <c r="H15" s="608">
        <f>H16+H21</f>
        <v>15</v>
      </c>
      <c r="I15" s="574">
        <f t="shared" si="2"/>
        <v>1.058574453069866</v>
      </c>
      <c r="J15" s="605"/>
      <c r="K15" s="608">
        <f>K16+K21</f>
        <v>13</v>
      </c>
      <c r="L15" s="571">
        <f t="shared" si="3"/>
        <v>0.91743119266055051</v>
      </c>
    </row>
    <row r="16" spans="1:13" s="749" customFormat="1">
      <c r="A16" s="33" t="s">
        <v>162</v>
      </c>
      <c r="B16" s="202">
        <f t="shared" si="0"/>
        <v>429</v>
      </c>
      <c r="C16" s="578">
        <f t="shared" si="4"/>
        <v>1.8546539276295879</v>
      </c>
      <c r="D16" s="61"/>
      <c r="E16" s="202">
        <f>SUM(E17:E19)</f>
        <v>421</v>
      </c>
      <c r="F16" s="537">
        <f t="shared" si="1"/>
        <v>98.135198135198138</v>
      </c>
      <c r="G16" s="560"/>
      <c r="H16" s="202">
        <f>SUM(H17:H19)</f>
        <v>4</v>
      </c>
      <c r="I16" s="537">
        <f t="shared" si="2"/>
        <v>0.93240093240093236</v>
      </c>
      <c r="J16" s="560"/>
      <c r="K16" s="202">
        <f>SUM(K17:K19)</f>
        <v>4</v>
      </c>
      <c r="L16" s="560">
        <f t="shared" si="3"/>
        <v>0.93240093240093236</v>
      </c>
    </row>
    <row r="17" spans="1:12" s="752" customFormat="1">
      <c r="A17" s="33" t="s">
        <v>163</v>
      </c>
      <c r="B17" s="202">
        <f t="shared" si="0"/>
        <v>71</v>
      </c>
      <c r="C17" s="578">
        <f t="shared" si="4"/>
        <v>0.30694738662401105</v>
      </c>
      <c r="D17" s="61"/>
      <c r="E17" s="952">
        <v>69</v>
      </c>
      <c r="F17" s="537">
        <f t="shared" si="1"/>
        <v>97.183098591549296</v>
      </c>
      <c r="G17" s="952"/>
      <c r="H17" s="952">
        <v>1</v>
      </c>
      <c r="I17" s="537">
        <f t="shared" si="2"/>
        <v>1.4084507042253522</v>
      </c>
      <c r="J17" s="952"/>
      <c r="K17" s="952">
        <v>1</v>
      </c>
      <c r="L17" s="560">
        <f t="shared" si="3"/>
        <v>1.4084507042253522</v>
      </c>
    </row>
    <row r="18" spans="1:12" s="752" customFormat="1">
      <c r="A18" s="33" t="s">
        <v>164</v>
      </c>
      <c r="B18" s="202">
        <f t="shared" si="0"/>
        <v>100</v>
      </c>
      <c r="C18" s="578">
        <f t="shared" si="4"/>
        <v>0.43232026285071984</v>
      </c>
      <c r="D18" s="61"/>
      <c r="E18" s="952">
        <v>100</v>
      </c>
      <c r="F18" s="537">
        <f t="shared" si="1"/>
        <v>100</v>
      </c>
      <c r="G18" s="952"/>
      <c r="H18" s="952">
        <v>0</v>
      </c>
      <c r="I18" s="537">
        <f t="shared" si="2"/>
        <v>0</v>
      </c>
      <c r="J18" s="952"/>
      <c r="K18" s="952">
        <v>0</v>
      </c>
      <c r="L18" s="560">
        <f t="shared" si="3"/>
        <v>0</v>
      </c>
    </row>
    <row r="19" spans="1:12" s="752" customFormat="1">
      <c r="A19" s="33" t="s">
        <v>165</v>
      </c>
      <c r="B19" s="202">
        <f t="shared" si="0"/>
        <v>258</v>
      </c>
      <c r="C19" s="578">
        <f t="shared" si="4"/>
        <v>1.1153862781548571</v>
      </c>
      <c r="D19" s="61"/>
      <c r="E19" s="952">
        <v>252</v>
      </c>
      <c r="F19" s="537">
        <f t="shared" si="1"/>
        <v>97.674418604651152</v>
      </c>
      <c r="G19" s="952"/>
      <c r="H19" s="952">
        <v>3</v>
      </c>
      <c r="I19" s="537">
        <f t="shared" si="2"/>
        <v>1.1627906976744187</v>
      </c>
      <c r="J19" s="952"/>
      <c r="K19" s="952">
        <v>3</v>
      </c>
      <c r="L19" s="560">
        <f t="shared" si="3"/>
        <v>1.1627906976744187</v>
      </c>
    </row>
    <row r="20" spans="1:12" ht="10" customHeight="1">
      <c r="A20" s="33"/>
      <c r="B20" s="202" t="str">
        <f t="shared" si="0"/>
        <v/>
      </c>
      <c r="C20" s="578" t="str">
        <f t="shared" si="4"/>
        <v/>
      </c>
      <c r="D20" s="61"/>
      <c r="E20" s="202"/>
      <c r="F20" s="537" t="str">
        <f t="shared" si="1"/>
        <v/>
      </c>
      <c r="G20" s="560"/>
      <c r="H20" s="202"/>
      <c r="I20" s="537" t="str">
        <f t="shared" si="2"/>
        <v/>
      </c>
      <c r="J20" s="560"/>
      <c r="K20" s="202"/>
      <c r="L20" s="560" t="str">
        <f t="shared" si="3"/>
        <v/>
      </c>
    </row>
    <row r="21" spans="1:12" s="749" customFormat="1">
      <c r="A21" s="33" t="s">
        <v>166</v>
      </c>
      <c r="B21" s="202">
        <f t="shared" si="0"/>
        <v>988</v>
      </c>
      <c r="C21" s="578">
        <f t="shared" si="4"/>
        <v>4.2713241969651117</v>
      </c>
      <c r="D21" s="61"/>
      <c r="E21" s="568">
        <f>SUM(E22:E24)</f>
        <v>968</v>
      </c>
      <c r="F21" s="537">
        <f t="shared" si="1"/>
        <v>97.97570850202429</v>
      </c>
      <c r="G21" s="77"/>
      <c r="H21" s="568">
        <f>SUM(H22:H24)</f>
        <v>11</v>
      </c>
      <c r="I21" s="537">
        <f t="shared" si="2"/>
        <v>1.1133603238866396</v>
      </c>
      <c r="J21" s="77"/>
      <c r="K21" s="568">
        <f>SUM(K22:K24)</f>
        <v>9</v>
      </c>
      <c r="L21" s="606">
        <f t="shared" si="3"/>
        <v>0.91093117408906876</v>
      </c>
    </row>
    <row r="22" spans="1:12" s="752" customFormat="1">
      <c r="A22" s="33" t="s">
        <v>167</v>
      </c>
      <c r="B22" s="202">
        <f t="shared" si="0"/>
        <v>336</v>
      </c>
      <c r="C22" s="578">
        <f t="shared" si="4"/>
        <v>1.4525960831784186</v>
      </c>
      <c r="D22" s="61"/>
      <c r="E22" s="952">
        <v>329</v>
      </c>
      <c r="F22" s="537">
        <f t="shared" si="1"/>
        <v>97.916666666666657</v>
      </c>
      <c r="G22" s="952"/>
      <c r="H22" s="952">
        <v>4</v>
      </c>
      <c r="I22" s="537">
        <f t="shared" si="2"/>
        <v>1.1904761904761905</v>
      </c>
      <c r="J22" s="952"/>
      <c r="K22" s="952">
        <v>3</v>
      </c>
      <c r="L22" s="606">
        <f t="shared" si="3"/>
        <v>0.89285714285714279</v>
      </c>
    </row>
    <row r="23" spans="1:12" s="752" customFormat="1">
      <c r="A23" s="33" t="s">
        <v>168</v>
      </c>
      <c r="B23" s="202">
        <f t="shared" si="0"/>
        <v>123</v>
      </c>
      <c r="C23" s="578">
        <f t="shared" si="4"/>
        <v>0.53175392330638538</v>
      </c>
      <c r="D23" s="61"/>
      <c r="E23" s="952">
        <v>122</v>
      </c>
      <c r="F23" s="537">
        <f t="shared" si="1"/>
        <v>99.1869918699187</v>
      </c>
      <c r="G23" s="952"/>
      <c r="H23" s="952">
        <v>1</v>
      </c>
      <c r="I23" s="537">
        <f t="shared" si="2"/>
        <v>0.81300813008130091</v>
      </c>
      <c r="J23" s="952"/>
      <c r="K23" s="952">
        <v>0</v>
      </c>
      <c r="L23" s="606">
        <f t="shared" si="3"/>
        <v>0</v>
      </c>
    </row>
    <row r="24" spans="1:12" s="752" customFormat="1">
      <c r="A24" s="33" t="s">
        <v>169</v>
      </c>
      <c r="B24" s="202">
        <f t="shared" si="0"/>
        <v>529</v>
      </c>
      <c r="C24" s="578">
        <f t="shared" si="4"/>
        <v>2.2869741904803078</v>
      </c>
      <c r="D24" s="61"/>
      <c r="E24" s="952">
        <v>517</v>
      </c>
      <c r="F24" s="537">
        <f t="shared" si="1"/>
        <v>97.731568998109637</v>
      </c>
      <c r="G24" s="952"/>
      <c r="H24" s="952">
        <v>6</v>
      </c>
      <c r="I24" s="537">
        <f t="shared" si="2"/>
        <v>1.1342155009451798</v>
      </c>
      <c r="J24" s="952"/>
      <c r="K24" s="952">
        <v>6</v>
      </c>
      <c r="L24" s="606">
        <f t="shared" si="3"/>
        <v>1.1342155009451798</v>
      </c>
    </row>
    <row r="25" spans="1:12" ht="10" customHeight="1">
      <c r="A25" s="33"/>
      <c r="B25" s="202" t="str">
        <f t="shared" si="0"/>
        <v/>
      </c>
      <c r="C25" s="578" t="str">
        <f t="shared" si="4"/>
        <v/>
      </c>
      <c r="D25" s="61"/>
      <c r="E25" s="568"/>
      <c r="F25" s="537" t="str">
        <f t="shared" si="1"/>
        <v/>
      </c>
      <c r="G25" s="77"/>
      <c r="H25" s="568"/>
      <c r="I25" s="537" t="str">
        <f t="shared" si="2"/>
        <v/>
      </c>
      <c r="J25" s="77"/>
      <c r="K25" s="568"/>
      <c r="L25" s="606" t="str">
        <f t="shared" si="3"/>
        <v/>
      </c>
    </row>
    <row r="26" spans="1:12" s="609" customFormat="1">
      <c r="A26" s="55" t="s">
        <v>464</v>
      </c>
      <c r="B26" s="602">
        <f t="shared" si="0"/>
        <v>986</v>
      </c>
      <c r="C26" s="577">
        <f t="shared" si="4"/>
        <v>4.2626777917080974</v>
      </c>
      <c r="D26" s="607"/>
      <c r="E26" s="608">
        <f>E27</f>
        <v>974</v>
      </c>
      <c r="F26" s="574">
        <f t="shared" si="1"/>
        <v>98.782961460446245</v>
      </c>
      <c r="G26" s="605"/>
      <c r="H26" s="608">
        <f>H27</f>
        <v>4</v>
      </c>
      <c r="I26" s="574">
        <f t="shared" si="2"/>
        <v>0.40567951318458417</v>
      </c>
      <c r="J26" s="605"/>
      <c r="K26" s="608">
        <f>K27</f>
        <v>8</v>
      </c>
      <c r="L26" s="571">
        <f t="shared" si="3"/>
        <v>0.81135902636916835</v>
      </c>
    </row>
    <row r="27" spans="1:12" s="749" customFormat="1">
      <c r="A27" s="33" t="s">
        <v>171</v>
      </c>
      <c r="B27" s="202">
        <f t="shared" si="0"/>
        <v>986</v>
      </c>
      <c r="C27" s="578">
        <f t="shared" si="4"/>
        <v>4.2626777917080974</v>
      </c>
      <c r="D27" s="61"/>
      <c r="E27" s="568">
        <f>SUM(E28:E32)</f>
        <v>974</v>
      </c>
      <c r="F27" s="537">
        <f t="shared" si="1"/>
        <v>98.782961460446245</v>
      </c>
      <c r="G27" s="77"/>
      <c r="H27" s="568">
        <f>SUM(H28:H32)</f>
        <v>4</v>
      </c>
      <c r="I27" s="537">
        <f t="shared" si="2"/>
        <v>0.40567951318458417</v>
      </c>
      <c r="J27" s="77"/>
      <c r="K27" s="568">
        <f>SUM(K28:K32)</f>
        <v>8</v>
      </c>
      <c r="L27" s="606">
        <f t="shared" si="3"/>
        <v>0.81135902636916835</v>
      </c>
    </row>
    <row r="28" spans="1:12" s="752" customFormat="1">
      <c r="A28" s="33" t="s">
        <v>172</v>
      </c>
      <c r="B28" s="202">
        <f t="shared" si="0"/>
        <v>152</v>
      </c>
      <c r="C28" s="578">
        <f t="shared" si="4"/>
        <v>0.65712679953309416</v>
      </c>
      <c r="D28" s="61"/>
      <c r="E28" s="952">
        <v>151</v>
      </c>
      <c r="F28" s="537">
        <f t="shared" si="1"/>
        <v>99.342105263157904</v>
      </c>
      <c r="G28" s="952"/>
      <c r="H28" s="952">
        <v>0</v>
      </c>
      <c r="I28" s="537">
        <f t="shared" si="2"/>
        <v>0</v>
      </c>
      <c r="J28" s="952"/>
      <c r="K28" s="952">
        <v>1</v>
      </c>
      <c r="L28" s="606">
        <f t="shared" si="3"/>
        <v>0.6578947368421052</v>
      </c>
    </row>
    <row r="29" spans="1:12" s="752" customFormat="1">
      <c r="A29" s="33" t="s">
        <v>173</v>
      </c>
      <c r="B29" s="202">
        <f t="shared" si="0"/>
        <v>237</v>
      </c>
      <c r="C29" s="578">
        <f t="shared" si="4"/>
        <v>1.0245990229562061</v>
      </c>
      <c r="D29" s="61"/>
      <c r="E29" s="952">
        <v>233</v>
      </c>
      <c r="F29" s="537">
        <f t="shared" si="1"/>
        <v>98.312236286919827</v>
      </c>
      <c r="G29" s="952"/>
      <c r="H29" s="952">
        <v>1</v>
      </c>
      <c r="I29" s="537">
        <f t="shared" si="2"/>
        <v>0.42194092827004215</v>
      </c>
      <c r="J29" s="952"/>
      <c r="K29" s="952">
        <v>3</v>
      </c>
      <c r="L29" s="606">
        <f t="shared" si="3"/>
        <v>1.2658227848101267</v>
      </c>
    </row>
    <row r="30" spans="1:12" s="752" customFormat="1">
      <c r="A30" s="33" t="s">
        <v>174</v>
      </c>
      <c r="B30" s="202">
        <f t="shared" si="0"/>
        <v>175</v>
      </c>
      <c r="C30" s="578">
        <f t="shared" si="4"/>
        <v>0.75656045998875976</v>
      </c>
      <c r="D30" s="61"/>
      <c r="E30" s="952">
        <v>175</v>
      </c>
      <c r="F30" s="537">
        <f t="shared" si="1"/>
        <v>100</v>
      </c>
      <c r="G30" s="952"/>
      <c r="H30" s="952">
        <v>0</v>
      </c>
      <c r="I30" s="537">
        <f t="shared" si="2"/>
        <v>0</v>
      </c>
      <c r="J30" s="952"/>
      <c r="K30" s="952">
        <v>0</v>
      </c>
      <c r="L30" s="606">
        <f t="shared" si="3"/>
        <v>0</v>
      </c>
    </row>
    <row r="31" spans="1:12" s="752" customFormat="1">
      <c r="A31" s="33" t="s">
        <v>175</v>
      </c>
      <c r="B31" s="202">
        <f t="shared" si="0"/>
        <v>254</v>
      </c>
      <c r="C31" s="578">
        <f t="shared" si="4"/>
        <v>1.0980934676408283</v>
      </c>
      <c r="D31" s="61"/>
      <c r="E31" s="952">
        <v>248</v>
      </c>
      <c r="F31" s="537">
        <f t="shared" si="1"/>
        <v>97.637795275590548</v>
      </c>
      <c r="G31" s="952"/>
      <c r="H31" s="952">
        <v>3</v>
      </c>
      <c r="I31" s="537">
        <f t="shared" si="2"/>
        <v>1.1811023622047243</v>
      </c>
      <c r="J31" s="952"/>
      <c r="K31" s="952">
        <v>3</v>
      </c>
      <c r="L31" s="606">
        <f t="shared" si="3"/>
        <v>1.1811023622047243</v>
      </c>
    </row>
    <row r="32" spans="1:12" s="752" customFormat="1">
      <c r="A32" s="33" t="s">
        <v>176</v>
      </c>
      <c r="B32" s="202">
        <f t="shared" si="0"/>
        <v>168</v>
      </c>
      <c r="C32" s="578">
        <f t="shared" si="4"/>
        <v>0.7262980415892093</v>
      </c>
      <c r="D32" s="61"/>
      <c r="E32" s="952">
        <v>167</v>
      </c>
      <c r="F32" s="537">
        <f t="shared" si="1"/>
        <v>99.404761904761912</v>
      </c>
      <c r="G32" s="952"/>
      <c r="H32" s="952">
        <v>0</v>
      </c>
      <c r="I32" s="537">
        <f t="shared" si="2"/>
        <v>0</v>
      </c>
      <c r="J32" s="952"/>
      <c r="K32" s="952">
        <v>1</v>
      </c>
      <c r="L32" s="606">
        <f t="shared" si="3"/>
        <v>0.59523809523809523</v>
      </c>
    </row>
    <row r="33" spans="1:12" ht="10" customHeight="1">
      <c r="A33" s="33"/>
      <c r="B33" s="202" t="str">
        <f t="shared" si="0"/>
        <v/>
      </c>
      <c r="C33" s="578" t="str">
        <f t="shared" si="4"/>
        <v/>
      </c>
      <c r="D33" s="61"/>
      <c r="E33" s="568"/>
      <c r="F33" s="537" t="str">
        <f t="shared" si="1"/>
        <v/>
      </c>
      <c r="G33" s="77"/>
      <c r="H33" s="568"/>
      <c r="I33" s="537" t="str">
        <f t="shared" si="2"/>
        <v/>
      </c>
      <c r="J33" s="77"/>
      <c r="K33" s="568"/>
      <c r="L33" s="606" t="str">
        <f t="shared" si="3"/>
        <v/>
      </c>
    </row>
    <row r="34" spans="1:12" s="609" customFormat="1">
      <c r="A34" s="55" t="s">
        <v>406</v>
      </c>
      <c r="B34" s="602">
        <f t="shared" si="0"/>
        <v>6682</v>
      </c>
      <c r="C34" s="577">
        <f t="shared" si="4"/>
        <v>28.887639963685096</v>
      </c>
      <c r="D34" s="607"/>
      <c r="E34" s="608">
        <f>E35+E41+E51+E53</f>
        <v>6582</v>
      </c>
      <c r="F34" s="574">
        <f t="shared" si="1"/>
        <v>98.503442083208625</v>
      </c>
      <c r="G34" s="605"/>
      <c r="H34" s="608">
        <f>H35+H41+H51+H53</f>
        <v>43</v>
      </c>
      <c r="I34" s="574">
        <f t="shared" si="2"/>
        <v>0.64351990422029326</v>
      </c>
      <c r="J34" s="605"/>
      <c r="K34" s="608">
        <f>K35+K41+K51+K53</f>
        <v>57</v>
      </c>
      <c r="L34" s="571">
        <f t="shared" si="3"/>
        <v>0.85303801257108647</v>
      </c>
    </row>
    <row r="35" spans="1:12" s="749" customFormat="1">
      <c r="A35" s="33" t="s">
        <v>178</v>
      </c>
      <c r="B35" s="202">
        <f t="shared" si="0"/>
        <v>2259</v>
      </c>
      <c r="C35" s="578">
        <f t="shared" si="4"/>
        <v>9.7661147377977606</v>
      </c>
      <c r="D35" s="61"/>
      <c r="E35" s="568">
        <f>SUM(E36:E39)</f>
        <v>2214</v>
      </c>
      <c r="F35" s="537">
        <f t="shared" si="1"/>
        <v>98.007968127490045</v>
      </c>
      <c r="G35" s="77"/>
      <c r="H35" s="568">
        <f>SUM(H36:H39)</f>
        <v>16</v>
      </c>
      <c r="I35" s="537">
        <f t="shared" si="2"/>
        <v>0.7082779991146525</v>
      </c>
      <c r="J35" s="77"/>
      <c r="K35" s="568">
        <f>SUM(K36:K39)</f>
        <v>29</v>
      </c>
      <c r="L35" s="606">
        <f t="shared" si="3"/>
        <v>1.2837538733953076</v>
      </c>
    </row>
    <row r="36" spans="1:12" s="752" customFormat="1">
      <c r="A36" s="33" t="s">
        <v>179</v>
      </c>
      <c r="B36" s="202">
        <f t="shared" si="0"/>
        <v>1222</v>
      </c>
      <c r="C36" s="578">
        <f t="shared" si="4"/>
        <v>5.2829536120357963</v>
      </c>
      <c r="D36" s="61"/>
      <c r="E36" s="952">
        <v>1193</v>
      </c>
      <c r="F36" s="537">
        <f t="shared" si="1"/>
        <v>97.626841243862515</v>
      </c>
      <c r="G36" s="952"/>
      <c r="H36" s="952">
        <v>9</v>
      </c>
      <c r="I36" s="537">
        <f t="shared" si="2"/>
        <v>0.73649754500818332</v>
      </c>
      <c r="J36" s="952"/>
      <c r="K36" s="952">
        <v>20</v>
      </c>
      <c r="L36" s="606">
        <f t="shared" si="3"/>
        <v>1.6366612111292964</v>
      </c>
    </row>
    <row r="37" spans="1:12" s="752" customFormat="1">
      <c r="A37" s="33" t="s">
        <v>180</v>
      </c>
      <c r="B37" s="202">
        <f t="shared" si="0"/>
        <v>600</v>
      </c>
      <c r="C37" s="578">
        <f t="shared" si="4"/>
        <v>2.5939215771043189</v>
      </c>
      <c r="D37" s="61"/>
      <c r="E37" s="952">
        <v>594</v>
      </c>
      <c r="F37" s="537">
        <f t="shared" si="1"/>
        <v>99</v>
      </c>
      <c r="G37" s="952"/>
      <c r="H37" s="952">
        <v>3</v>
      </c>
      <c r="I37" s="537">
        <f t="shared" si="2"/>
        <v>0.5</v>
      </c>
      <c r="J37" s="952"/>
      <c r="K37" s="952">
        <v>3</v>
      </c>
      <c r="L37" s="606">
        <f t="shared" si="3"/>
        <v>0.5</v>
      </c>
    </row>
    <row r="38" spans="1:12" s="752" customFormat="1">
      <c r="A38" s="33" t="s">
        <v>181</v>
      </c>
      <c r="B38" s="202">
        <f t="shared" si="0"/>
        <v>188</v>
      </c>
      <c r="C38" s="578">
        <f t="shared" si="4"/>
        <v>0.8127620941593533</v>
      </c>
      <c r="D38" s="61"/>
      <c r="E38" s="952">
        <v>185</v>
      </c>
      <c r="F38" s="537">
        <f t="shared" si="1"/>
        <v>98.40425531914893</v>
      </c>
      <c r="G38" s="952"/>
      <c r="H38" s="952">
        <v>1</v>
      </c>
      <c r="I38" s="537">
        <f t="shared" si="2"/>
        <v>0.53191489361702127</v>
      </c>
      <c r="J38" s="952"/>
      <c r="K38" s="952">
        <v>2</v>
      </c>
      <c r="L38" s="606">
        <f t="shared" si="3"/>
        <v>1.0638297872340425</v>
      </c>
    </row>
    <row r="39" spans="1:12" s="752" customFormat="1">
      <c r="A39" s="33" t="s">
        <v>182</v>
      </c>
      <c r="B39" s="202">
        <f t="shared" si="0"/>
        <v>249</v>
      </c>
      <c r="C39" s="578">
        <f t="shared" si="4"/>
        <v>1.0764774544982922</v>
      </c>
      <c r="D39" s="61"/>
      <c r="E39" s="952">
        <v>242</v>
      </c>
      <c r="F39" s="537">
        <f t="shared" si="1"/>
        <v>97.188755020080322</v>
      </c>
      <c r="G39" s="952"/>
      <c r="H39" s="952">
        <v>3</v>
      </c>
      <c r="I39" s="537">
        <f t="shared" si="2"/>
        <v>1.2048192771084338</v>
      </c>
      <c r="J39" s="952"/>
      <c r="K39" s="952">
        <v>4</v>
      </c>
      <c r="L39" s="606">
        <f t="shared" si="3"/>
        <v>1.6064257028112447</v>
      </c>
    </row>
    <row r="40" spans="1:12" ht="10" customHeight="1">
      <c r="A40" s="33"/>
      <c r="B40" s="202" t="str">
        <f t="shared" si="0"/>
        <v/>
      </c>
      <c r="C40" s="578" t="str">
        <f t="shared" si="4"/>
        <v/>
      </c>
      <c r="D40" s="61"/>
      <c r="E40" s="568"/>
      <c r="F40" s="537" t="str">
        <f t="shared" si="1"/>
        <v/>
      </c>
      <c r="G40" s="77"/>
      <c r="H40" s="568"/>
      <c r="I40" s="537" t="str">
        <f t="shared" si="2"/>
        <v/>
      </c>
      <c r="J40" s="77"/>
      <c r="K40" s="207">
        <v>0</v>
      </c>
      <c r="L40" s="606" t="str">
        <f t="shared" si="3"/>
        <v/>
      </c>
    </row>
    <row r="41" spans="1:12" s="749" customFormat="1">
      <c r="A41" s="33" t="s">
        <v>183</v>
      </c>
      <c r="B41" s="202">
        <f t="shared" si="0"/>
        <v>1937</v>
      </c>
      <c r="C41" s="578">
        <f t="shared" si="4"/>
        <v>8.3740434914184423</v>
      </c>
      <c r="D41" s="61"/>
      <c r="E41" s="568">
        <f>SUM(E42:E49)</f>
        <v>1915</v>
      </c>
      <c r="F41" s="537">
        <f t="shared" si="1"/>
        <v>98.864223025296852</v>
      </c>
      <c r="G41" s="77"/>
      <c r="H41" s="568">
        <f>SUM(H42:H49)</f>
        <v>11</v>
      </c>
      <c r="I41" s="537">
        <f t="shared" si="2"/>
        <v>0.5678884873515746</v>
      </c>
      <c r="J41" s="77"/>
      <c r="K41" s="568">
        <f>SUM(K42:K49)</f>
        <v>11</v>
      </c>
      <c r="L41" s="606">
        <f t="shared" si="3"/>
        <v>0.5678884873515746</v>
      </c>
    </row>
    <row r="42" spans="1:12" s="752" customFormat="1">
      <c r="A42" s="33" t="s">
        <v>407</v>
      </c>
      <c r="B42" s="202">
        <f t="shared" si="0"/>
        <v>224</v>
      </c>
      <c r="C42" s="578">
        <f t="shared" si="4"/>
        <v>0.96839738878561243</v>
      </c>
      <c r="D42" s="61"/>
      <c r="E42" s="952">
        <v>222</v>
      </c>
      <c r="F42" s="537">
        <f t="shared" si="1"/>
        <v>99.107142857142861</v>
      </c>
      <c r="G42" s="952"/>
      <c r="H42" s="952">
        <v>0</v>
      </c>
      <c r="I42" s="537">
        <f t="shared" si="2"/>
        <v>0</v>
      </c>
      <c r="J42" s="952"/>
      <c r="K42" s="952">
        <v>2</v>
      </c>
      <c r="L42" s="606">
        <f t="shared" si="3"/>
        <v>0.89285714285714279</v>
      </c>
    </row>
    <row r="43" spans="1:12" s="752" customFormat="1">
      <c r="A43" s="33" t="s">
        <v>184</v>
      </c>
      <c r="B43" s="202">
        <f t="shared" si="0"/>
        <v>222</v>
      </c>
      <c r="C43" s="578">
        <f t="shared" si="4"/>
        <v>0.959750983528598</v>
      </c>
      <c r="D43" s="61"/>
      <c r="E43" s="952">
        <v>219</v>
      </c>
      <c r="F43" s="537">
        <f t="shared" si="1"/>
        <v>98.648648648648646</v>
      </c>
      <c r="G43" s="952"/>
      <c r="H43" s="952">
        <v>2</v>
      </c>
      <c r="I43" s="537">
        <f t="shared" si="2"/>
        <v>0.90090090090090091</v>
      </c>
      <c r="J43" s="952"/>
      <c r="K43" s="952">
        <v>1</v>
      </c>
      <c r="L43" s="606">
        <f t="shared" si="3"/>
        <v>0.45045045045045046</v>
      </c>
    </row>
    <row r="44" spans="1:12" s="752" customFormat="1">
      <c r="A44" s="33" t="s">
        <v>185</v>
      </c>
      <c r="B44" s="202">
        <f t="shared" si="0"/>
        <v>124</v>
      </c>
      <c r="C44" s="578">
        <f t="shared" si="4"/>
        <v>0.53607712593489254</v>
      </c>
      <c r="D44" s="61"/>
      <c r="E44" s="952">
        <v>123</v>
      </c>
      <c r="F44" s="537">
        <f t="shared" si="1"/>
        <v>99.193548387096769</v>
      </c>
      <c r="G44" s="952"/>
      <c r="H44" s="952">
        <v>0</v>
      </c>
      <c r="I44" s="537">
        <f t="shared" si="2"/>
        <v>0</v>
      </c>
      <c r="J44" s="952"/>
      <c r="K44" s="952">
        <v>1</v>
      </c>
      <c r="L44" s="606">
        <f t="shared" si="3"/>
        <v>0.80645161290322576</v>
      </c>
    </row>
    <row r="45" spans="1:12" s="752" customFormat="1">
      <c r="A45" s="33" t="s">
        <v>186</v>
      </c>
      <c r="B45" s="202">
        <f t="shared" si="0"/>
        <v>282</v>
      </c>
      <c r="C45" s="578">
        <f t="shared" si="4"/>
        <v>1.2191431412390299</v>
      </c>
      <c r="D45" s="61"/>
      <c r="E45" s="952">
        <v>278</v>
      </c>
      <c r="F45" s="537">
        <f t="shared" si="1"/>
        <v>98.581560283687935</v>
      </c>
      <c r="G45" s="952"/>
      <c r="H45" s="952">
        <v>4</v>
      </c>
      <c r="I45" s="537">
        <f t="shared" si="2"/>
        <v>1.4184397163120568</v>
      </c>
      <c r="J45" s="952"/>
      <c r="K45" s="952">
        <v>0</v>
      </c>
      <c r="L45" s="606">
        <f t="shared" si="3"/>
        <v>0</v>
      </c>
    </row>
    <row r="46" spans="1:12" s="752" customFormat="1">
      <c r="A46" s="33" t="s">
        <v>190</v>
      </c>
      <c r="B46" s="202">
        <f t="shared" si="0"/>
        <v>214</v>
      </c>
      <c r="C46" s="578">
        <f t="shared" si="4"/>
        <v>0.92516536250054038</v>
      </c>
      <c r="D46" s="61"/>
      <c r="E46" s="952">
        <v>210</v>
      </c>
      <c r="F46" s="537">
        <f t="shared" si="1"/>
        <v>98.130841121495322</v>
      </c>
      <c r="G46" s="952"/>
      <c r="H46" s="952">
        <v>2</v>
      </c>
      <c r="I46" s="537">
        <f t="shared" si="2"/>
        <v>0.93457943925233633</v>
      </c>
      <c r="J46" s="952"/>
      <c r="K46" s="952">
        <v>2</v>
      </c>
      <c r="L46" s="606">
        <f t="shared" si="3"/>
        <v>0.93457943925233633</v>
      </c>
    </row>
    <row r="47" spans="1:12" s="752" customFormat="1">
      <c r="A47" s="33" t="s">
        <v>408</v>
      </c>
      <c r="B47" s="202">
        <f t="shared" si="0"/>
        <v>405</v>
      </c>
      <c r="C47" s="578">
        <f t="shared" si="4"/>
        <v>1.7508970645454154</v>
      </c>
      <c r="D47" s="61"/>
      <c r="E47" s="952">
        <v>404</v>
      </c>
      <c r="F47" s="537">
        <f t="shared" si="1"/>
        <v>99.753086419753089</v>
      </c>
      <c r="G47" s="952"/>
      <c r="H47" s="952">
        <v>0</v>
      </c>
      <c r="I47" s="537">
        <f t="shared" si="2"/>
        <v>0</v>
      </c>
      <c r="J47" s="952"/>
      <c r="K47" s="952">
        <v>1</v>
      </c>
      <c r="L47" s="606">
        <f t="shared" si="3"/>
        <v>0.24691358024691357</v>
      </c>
    </row>
    <row r="48" spans="1:12" s="752" customFormat="1">
      <c r="A48" s="33" t="s">
        <v>189</v>
      </c>
      <c r="B48" s="202">
        <f t="shared" si="0"/>
        <v>158</v>
      </c>
      <c r="C48" s="578">
        <f t="shared" si="4"/>
        <v>0.68306601530413724</v>
      </c>
      <c r="D48" s="61"/>
      <c r="E48" s="952">
        <v>156</v>
      </c>
      <c r="F48" s="537">
        <f t="shared" si="1"/>
        <v>98.734177215189874</v>
      </c>
      <c r="G48" s="952"/>
      <c r="H48" s="952">
        <v>0</v>
      </c>
      <c r="I48" s="537">
        <f t="shared" si="2"/>
        <v>0</v>
      </c>
      <c r="J48" s="952"/>
      <c r="K48" s="952">
        <v>2</v>
      </c>
      <c r="L48" s="606">
        <f t="shared" si="3"/>
        <v>1.2658227848101267</v>
      </c>
    </row>
    <row r="49" spans="1:12" s="752" customFormat="1">
      <c r="A49" s="33" t="s">
        <v>188</v>
      </c>
      <c r="B49" s="202">
        <f t="shared" si="0"/>
        <v>308</v>
      </c>
      <c r="C49" s="578">
        <f t="shared" si="4"/>
        <v>1.3315464095802172</v>
      </c>
      <c r="D49" s="61"/>
      <c r="E49" s="952">
        <v>303</v>
      </c>
      <c r="F49" s="537">
        <f t="shared" si="1"/>
        <v>98.376623376623371</v>
      </c>
      <c r="G49" s="952"/>
      <c r="H49" s="952">
        <v>3</v>
      </c>
      <c r="I49" s="537">
        <f t="shared" si="2"/>
        <v>0.97402597402597402</v>
      </c>
      <c r="J49" s="952"/>
      <c r="K49" s="952">
        <v>2</v>
      </c>
      <c r="L49" s="606">
        <f t="shared" si="3"/>
        <v>0.64935064935064934</v>
      </c>
    </row>
    <row r="50" spans="1:12" ht="10" customHeight="1">
      <c r="A50" s="33"/>
      <c r="B50" s="202" t="str">
        <f t="shared" si="0"/>
        <v/>
      </c>
      <c r="C50" s="578" t="str">
        <f t="shared" si="4"/>
        <v/>
      </c>
      <c r="D50" s="61"/>
      <c r="E50" s="953"/>
      <c r="F50" s="537" t="str">
        <f t="shared" si="1"/>
        <v/>
      </c>
      <c r="G50" s="953"/>
      <c r="H50" s="953"/>
      <c r="I50" s="537" t="str">
        <f t="shared" si="2"/>
        <v/>
      </c>
      <c r="J50" s="953"/>
      <c r="K50" s="953"/>
      <c r="L50" s="606" t="str">
        <f t="shared" si="3"/>
        <v/>
      </c>
    </row>
    <row r="51" spans="1:12">
      <c r="A51" s="33" t="s">
        <v>192</v>
      </c>
      <c r="B51" s="202">
        <f t="shared" si="0"/>
        <v>411</v>
      </c>
      <c r="C51" s="578">
        <f t="shared" si="4"/>
        <v>1.7768362803164583</v>
      </c>
      <c r="D51" s="61"/>
      <c r="E51" s="952">
        <v>404</v>
      </c>
      <c r="F51" s="537">
        <f t="shared" si="1"/>
        <v>98.296836982968372</v>
      </c>
      <c r="G51" s="952"/>
      <c r="H51" s="952">
        <v>4</v>
      </c>
      <c r="I51" s="537">
        <f t="shared" si="2"/>
        <v>0.97323600973236013</v>
      </c>
      <c r="J51" s="952"/>
      <c r="K51" s="952">
        <v>3</v>
      </c>
      <c r="L51" s="606">
        <f t="shared" si="3"/>
        <v>0.72992700729927007</v>
      </c>
    </row>
    <row r="52" spans="1:12" ht="10" customHeight="1">
      <c r="A52" s="33"/>
      <c r="B52" s="202" t="str">
        <f t="shared" si="0"/>
        <v/>
      </c>
      <c r="C52" s="578" t="str">
        <f t="shared" si="4"/>
        <v/>
      </c>
      <c r="D52" s="61"/>
      <c r="E52" s="568"/>
      <c r="F52" s="537" t="str">
        <f t="shared" si="1"/>
        <v/>
      </c>
      <c r="G52" s="77"/>
      <c r="H52" s="568"/>
      <c r="I52" s="537" t="str">
        <f t="shared" si="2"/>
        <v/>
      </c>
      <c r="J52" s="77"/>
      <c r="K52" s="568"/>
      <c r="L52" s="606" t="str">
        <f t="shared" si="3"/>
        <v/>
      </c>
    </row>
    <row r="53" spans="1:12" s="749" customFormat="1">
      <c r="A53" s="33" t="s">
        <v>193</v>
      </c>
      <c r="B53" s="202">
        <f t="shared" si="0"/>
        <v>2075</v>
      </c>
      <c r="C53" s="578">
        <f t="shared" si="4"/>
        <v>8.9706454541524359</v>
      </c>
      <c r="D53" s="61"/>
      <c r="E53" s="568">
        <f>SUM(E54:E58)</f>
        <v>2049</v>
      </c>
      <c r="F53" s="537">
        <f t="shared" si="1"/>
        <v>98.746987951807228</v>
      </c>
      <c r="G53" s="77"/>
      <c r="H53" s="568">
        <f>SUM(H54:H58)</f>
        <v>12</v>
      </c>
      <c r="I53" s="537">
        <f t="shared" si="2"/>
        <v>0.57831325301204817</v>
      </c>
      <c r="J53" s="77"/>
      <c r="K53" s="568">
        <f>SUM(K54:K58)</f>
        <v>14</v>
      </c>
      <c r="L53" s="606">
        <f t="shared" si="3"/>
        <v>0.67469879518072284</v>
      </c>
    </row>
    <row r="54" spans="1:12" s="752" customFormat="1">
      <c r="A54" s="33" t="s">
        <v>194</v>
      </c>
      <c r="B54" s="202">
        <f t="shared" si="0"/>
        <v>55</v>
      </c>
      <c r="C54" s="578">
        <f t="shared" si="4"/>
        <v>0.23777614456789589</v>
      </c>
      <c r="D54" s="61"/>
      <c r="E54" s="952">
        <v>54</v>
      </c>
      <c r="F54" s="537">
        <f t="shared" si="1"/>
        <v>98.181818181818187</v>
      </c>
      <c r="G54" s="952"/>
      <c r="H54" s="952">
        <v>1</v>
      </c>
      <c r="I54" s="537">
        <f t="shared" si="2"/>
        <v>1.8181818181818181</v>
      </c>
      <c r="J54" s="952"/>
      <c r="K54" s="952">
        <v>0</v>
      </c>
      <c r="L54" s="606">
        <f t="shared" si="3"/>
        <v>0</v>
      </c>
    </row>
    <row r="55" spans="1:12" s="752" customFormat="1">
      <c r="A55" s="33" t="s">
        <v>195</v>
      </c>
      <c r="B55" s="202">
        <f t="shared" si="0"/>
        <v>1300</v>
      </c>
      <c r="C55" s="578">
        <f t="shared" si="4"/>
        <v>5.6201634170593575</v>
      </c>
      <c r="D55" s="61"/>
      <c r="E55" s="952">
        <v>1283</v>
      </c>
      <c r="F55" s="537">
        <f t="shared" si="1"/>
        <v>98.692307692307693</v>
      </c>
      <c r="G55" s="952"/>
      <c r="H55" s="952">
        <v>8</v>
      </c>
      <c r="I55" s="537">
        <f t="shared" si="2"/>
        <v>0.61538461538461542</v>
      </c>
      <c r="J55" s="952"/>
      <c r="K55" s="952">
        <v>9</v>
      </c>
      <c r="L55" s="606">
        <f t="shared" si="3"/>
        <v>0.69230769230769229</v>
      </c>
    </row>
    <row r="56" spans="1:12" s="752" customFormat="1">
      <c r="A56" s="33" t="s">
        <v>196</v>
      </c>
      <c r="B56" s="202">
        <f t="shared" si="0"/>
        <v>236</v>
      </c>
      <c r="C56" s="578">
        <f t="shared" si="4"/>
        <v>1.0202758203276989</v>
      </c>
      <c r="D56" s="61"/>
      <c r="E56" s="952">
        <v>234</v>
      </c>
      <c r="F56" s="537">
        <f t="shared" si="1"/>
        <v>99.152542372881356</v>
      </c>
      <c r="G56" s="952"/>
      <c r="H56" s="952">
        <v>0</v>
      </c>
      <c r="I56" s="537">
        <f t="shared" si="2"/>
        <v>0</v>
      </c>
      <c r="J56" s="952"/>
      <c r="K56" s="952">
        <v>2</v>
      </c>
      <c r="L56" s="606">
        <f t="shared" si="3"/>
        <v>0.84745762711864403</v>
      </c>
    </row>
    <row r="57" spans="1:12" s="752" customFormat="1">
      <c r="A57" s="33" t="s">
        <v>409</v>
      </c>
      <c r="B57" s="202">
        <f t="shared" si="0"/>
        <v>323</v>
      </c>
      <c r="C57" s="578">
        <f t="shared" si="4"/>
        <v>1.3963944490078251</v>
      </c>
      <c r="D57" s="61"/>
      <c r="E57" s="952">
        <v>321</v>
      </c>
      <c r="F57" s="537">
        <f t="shared" si="1"/>
        <v>99.380804953560371</v>
      </c>
      <c r="G57" s="952"/>
      <c r="H57" s="952">
        <v>2</v>
      </c>
      <c r="I57" s="537">
        <f t="shared" si="2"/>
        <v>0.61919504643962853</v>
      </c>
      <c r="J57" s="952"/>
      <c r="K57" s="952">
        <v>0</v>
      </c>
      <c r="L57" s="606">
        <f t="shared" si="3"/>
        <v>0</v>
      </c>
    </row>
    <row r="58" spans="1:12" s="752" customFormat="1">
      <c r="A58" s="33" t="s">
        <v>198</v>
      </c>
      <c r="B58" s="202">
        <f t="shared" si="0"/>
        <v>161</v>
      </c>
      <c r="C58" s="578">
        <f t="shared" si="4"/>
        <v>0.69603562318965884</v>
      </c>
      <c r="D58" s="61"/>
      <c r="E58" s="952">
        <v>157</v>
      </c>
      <c r="F58" s="537">
        <f t="shared" si="1"/>
        <v>97.515527950310556</v>
      </c>
      <c r="G58" s="952"/>
      <c r="H58" s="952">
        <v>1</v>
      </c>
      <c r="I58" s="537">
        <f t="shared" si="2"/>
        <v>0.6211180124223602</v>
      </c>
      <c r="J58" s="952"/>
      <c r="K58" s="952">
        <v>3</v>
      </c>
      <c r="L58" s="606">
        <f t="shared" si="3"/>
        <v>1.8633540372670807</v>
      </c>
    </row>
    <row r="59" spans="1:12" ht="10" customHeight="1">
      <c r="A59" s="33"/>
      <c r="B59" s="202" t="str">
        <f t="shared" si="0"/>
        <v/>
      </c>
      <c r="C59" s="578" t="str">
        <f t="shared" si="4"/>
        <v/>
      </c>
      <c r="D59" s="61"/>
      <c r="E59" s="568"/>
      <c r="F59" s="537" t="str">
        <f t="shared" si="1"/>
        <v/>
      </c>
      <c r="G59" s="77"/>
      <c r="H59" s="568"/>
      <c r="I59" s="537" t="str">
        <f t="shared" si="2"/>
        <v/>
      </c>
      <c r="J59" s="77"/>
      <c r="K59" s="568"/>
      <c r="L59" s="606" t="str">
        <f t="shared" si="3"/>
        <v/>
      </c>
    </row>
    <row r="60" spans="1:12" s="609" customFormat="1">
      <c r="A60" s="55" t="s">
        <v>410</v>
      </c>
      <c r="B60" s="602">
        <f t="shared" si="0"/>
        <v>1852</v>
      </c>
      <c r="C60" s="577">
        <f t="shared" si="4"/>
        <v>8.0065712679953318</v>
      </c>
      <c r="D60" s="607"/>
      <c r="E60" s="608">
        <f>E61+E63+E70+E72</f>
        <v>1838</v>
      </c>
      <c r="F60" s="574">
        <f t="shared" si="1"/>
        <v>99.244060475161987</v>
      </c>
      <c r="G60" s="605"/>
      <c r="H60" s="608">
        <f>H61+H63+H70+H72</f>
        <v>6</v>
      </c>
      <c r="I60" s="574">
        <f t="shared" si="2"/>
        <v>0.32397408207343414</v>
      </c>
      <c r="J60" s="605"/>
      <c r="K60" s="608">
        <f>K61+K63+K70+K72</f>
        <v>8</v>
      </c>
      <c r="L60" s="571">
        <f t="shared" si="3"/>
        <v>0.43196544276457888</v>
      </c>
    </row>
    <row r="61" spans="1:12" s="749" customFormat="1">
      <c r="A61" s="33" t="s">
        <v>411</v>
      </c>
      <c r="B61" s="202">
        <f t="shared" si="0"/>
        <v>263</v>
      </c>
      <c r="C61" s="578">
        <f t="shared" si="4"/>
        <v>1.1370022912973932</v>
      </c>
      <c r="D61" s="61"/>
      <c r="E61" s="952">
        <v>262</v>
      </c>
      <c r="F61" s="537">
        <f t="shared" si="1"/>
        <v>99.619771863117862</v>
      </c>
      <c r="G61" s="952"/>
      <c r="H61" s="952">
        <v>0</v>
      </c>
      <c r="I61" s="537">
        <f t="shared" si="2"/>
        <v>0</v>
      </c>
      <c r="J61" s="952"/>
      <c r="K61" s="952">
        <v>1</v>
      </c>
      <c r="L61" s="606">
        <f t="shared" si="3"/>
        <v>0.38022813688212925</v>
      </c>
    </row>
    <row r="62" spans="1:12" ht="10" customHeight="1">
      <c r="B62" s="202" t="str">
        <f t="shared" si="0"/>
        <v/>
      </c>
      <c r="C62" s="578" t="str">
        <f t="shared" si="4"/>
        <v/>
      </c>
      <c r="D62" s="61"/>
      <c r="E62" s="568"/>
      <c r="F62" s="537" t="str">
        <f t="shared" si="1"/>
        <v/>
      </c>
      <c r="G62" s="77"/>
      <c r="H62" s="568"/>
      <c r="I62" s="537" t="str">
        <f t="shared" si="2"/>
        <v/>
      </c>
      <c r="J62" s="77"/>
      <c r="K62" s="568"/>
      <c r="L62" s="606" t="str">
        <f t="shared" si="3"/>
        <v/>
      </c>
    </row>
    <row r="63" spans="1:12" s="749" customFormat="1">
      <c r="A63" s="33" t="s">
        <v>202</v>
      </c>
      <c r="B63" s="202">
        <f t="shared" si="0"/>
        <v>1113</v>
      </c>
      <c r="C63" s="578">
        <f t="shared" si="4"/>
        <v>4.8117245255285113</v>
      </c>
      <c r="D63" s="61"/>
      <c r="E63" s="568">
        <f>SUM(E64:E68)</f>
        <v>1104</v>
      </c>
      <c r="F63" s="537">
        <f t="shared" si="1"/>
        <v>99.191374663072779</v>
      </c>
      <c r="G63" s="77"/>
      <c r="H63" s="568">
        <f>SUM(H64:H68)</f>
        <v>2</v>
      </c>
      <c r="I63" s="537">
        <f t="shared" si="2"/>
        <v>0.17969451931716085</v>
      </c>
      <c r="J63" s="77"/>
      <c r="K63" s="568">
        <f>SUM(K64:K68)</f>
        <v>7</v>
      </c>
      <c r="L63" s="606">
        <f t="shared" si="3"/>
        <v>0.62893081761006298</v>
      </c>
    </row>
    <row r="64" spans="1:12" s="752" customFormat="1">
      <c r="A64" s="33" t="s">
        <v>1577</v>
      </c>
      <c r="B64" s="202">
        <f t="shared" si="0"/>
        <v>239</v>
      </c>
      <c r="C64" s="578">
        <f t="shared" si="4"/>
        <v>1.0332454282132204</v>
      </c>
      <c r="D64" s="61"/>
      <c r="E64" s="952">
        <v>235</v>
      </c>
      <c r="F64" s="537">
        <f t="shared" si="1"/>
        <v>98.326359832635973</v>
      </c>
      <c r="G64" s="952"/>
      <c r="H64" s="952">
        <v>2</v>
      </c>
      <c r="I64" s="537">
        <f t="shared" si="2"/>
        <v>0.83682008368200833</v>
      </c>
      <c r="J64" s="952"/>
      <c r="K64" s="952">
        <v>2</v>
      </c>
      <c r="L64" s="606">
        <f t="shared" si="3"/>
        <v>0.83682008368200833</v>
      </c>
    </row>
    <row r="65" spans="1:12" s="752" customFormat="1">
      <c r="A65" s="33" t="s">
        <v>203</v>
      </c>
      <c r="B65" s="202">
        <f t="shared" si="0"/>
        <v>277</v>
      </c>
      <c r="C65" s="578">
        <f t="shared" si="4"/>
        <v>1.1975271280964939</v>
      </c>
      <c r="D65" s="61"/>
      <c r="E65" s="952">
        <v>276</v>
      </c>
      <c r="F65" s="537">
        <f t="shared" si="1"/>
        <v>99.638989169675085</v>
      </c>
      <c r="G65" s="952"/>
      <c r="H65" s="952">
        <v>0</v>
      </c>
      <c r="I65" s="537">
        <f t="shared" si="2"/>
        <v>0</v>
      </c>
      <c r="J65" s="952"/>
      <c r="K65" s="952">
        <v>1</v>
      </c>
      <c r="L65" s="606">
        <f t="shared" si="3"/>
        <v>0.36101083032490977</v>
      </c>
    </row>
    <row r="66" spans="1:12" s="752" customFormat="1">
      <c r="A66" s="33" t="s">
        <v>206</v>
      </c>
      <c r="B66" s="202">
        <f t="shared" si="0"/>
        <v>119</v>
      </c>
      <c r="C66" s="578">
        <f t="shared" si="4"/>
        <v>0.51446111279235662</v>
      </c>
      <c r="D66" s="61"/>
      <c r="E66" s="952">
        <v>118</v>
      </c>
      <c r="F66" s="537">
        <f t="shared" si="1"/>
        <v>99.159663865546221</v>
      </c>
      <c r="G66" s="952"/>
      <c r="H66" s="952">
        <v>0</v>
      </c>
      <c r="I66" s="537">
        <f t="shared" si="2"/>
        <v>0</v>
      </c>
      <c r="J66" s="952"/>
      <c r="K66" s="952">
        <v>1</v>
      </c>
      <c r="L66" s="606">
        <f t="shared" si="3"/>
        <v>0.84033613445378152</v>
      </c>
    </row>
    <row r="67" spans="1:12" s="752" customFormat="1">
      <c r="A67" s="33" t="s">
        <v>205</v>
      </c>
      <c r="B67" s="202">
        <f t="shared" si="0"/>
        <v>88</v>
      </c>
      <c r="C67" s="578"/>
      <c r="D67" s="61"/>
      <c r="E67" s="952">
        <v>88</v>
      </c>
      <c r="F67" s="537">
        <f t="shared" si="1"/>
        <v>100</v>
      </c>
      <c r="G67" s="952"/>
      <c r="H67" s="952">
        <v>0</v>
      </c>
      <c r="I67" s="537">
        <f t="shared" si="2"/>
        <v>0</v>
      </c>
      <c r="J67" s="952"/>
      <c r="K67" s="952">
        <v>0</v>
      </c>
      <c r="L67" s="606">
        <f t="shared" si="3"/>
        <v>0</v>
      </c>
    </row>
    <row r="68" spans="1:12" s="752" customFormat="1">
      <c r="A68" s="33" t="s">
        <v>1530</v>
      </c>
      <c r="B68" s="202">
        <f t="shared" si="0"/>
        <v>390</v>
      </c>
      <c r="C68" s="578">
        <f t="shared" si="4"/>
        <v>1.6860490251178073</v>
      </c>
      <c r="D68" s="61"/>
      <c r="E68" s="952">
        <v>387</v>
      </c>
      <c r="F68" s="537">
        <f t="shared" si="1"/>
        <v>99.230769230769226</v>
      </c>
      <c r="G68" s="952"/>
      <c r="H68" s="952">
        <v>0</v>
      </c>
      <c r="I68" s="537">
        <f t="shared" si="2"/>
        <v>0</v>
      </c>
      <c r="J68" s="952"/>
      <c r="K68" s="952">
        <v>3</v>
      </c>
      <c r="L68" s="606">
        <f t="shared" si="3"/>
        <v>0.76923076923076927</v>
      </c>
    </row>
    <row r="69" spans="1:12" ht="10" customHeight="1">
      <c r="A69" s="33"/>
      <c r="B69" s="202" t="str">
        <f t="shared" si="0"/>
        <v/>
      </c>
      <c r="C69" s="578" t="str">
        <f t="shared" si="4"/>
        <v/>
      </c>
      <c r="D69" s="61"/>
      <c r="E69" s="953"/>
      <c r="F69" s="537" t="str">
        <f t="shared" si="1"/>
        <v/>
      </c>
      <c r="G69" s="953"/>
      <c r="H69" s="953"/>
      <c r="I69" s="537" t="str">
        <f t="shared" si="2"/>
        <v/>
      </c>
      <c r="J69" s="953"/>
      <c r="K69" s="953"/>
      <c r="L69" s="606" t="str">
        <f t="shared" si="3"/>
        <v/>
      </c>
    </row>
    <row r="70" spans="1:12" s="749" customFormat="1">
      <c r="A70" s="33" t="s">
        <v>208</v>
      </c>
      <c r="B70" s="202">
        <f t="shared" si="0"/>
        <v>201</v>
      </c>
      <c r="C70" s="578">
        <f t="shared" si="4"/>
        <v>0.86896372832994695</v>
      </c>
      <c r="D70" s="61"/>
      <c r="E70" s="952">
        <v>199</v>
      </c>
      <c r="F70" s="537">
        <f t="shared" si="1"/>
        <v>99.00497512437812</v>
      </c>
      <c r="G70" s="952"/>
      <c r="H70" s="952">
        <v>2</v>
      </c>
      <c r="I70" s="537">
        <f t="shared" si="2"/>
        <v>0.99502487562189057</v>
      </c>
      <c r="J70" s="952"/>
      <c r="K70" s="952">
        <v>0</v>
      </c>
      <c r="L70" s="606">
        <f t="shared" si="3"/>
        <v>0</v>
      </c>
    </row>
    <row r="71" spans="1:12" ht="9.75" customHeight="1">
      <c r="A71" s="33"/>
      <c r="B71" s="202" t="str">
        <f t="shared" si="0"/>
        <v/>
      </c>
      <c r="C71" s="578" t="str">
        <f t="shared" si="4"/>
        <v/>
      </c>
      <c r="D71" s="61"/>
      <c r="E71" s="953"/>
      <c r="F71" s="537" t="str">
        <f t="shared" si="1"/>
        <v/>
      </c>
      <c r="G71" s="953"/>
      <c r="H71" s="953"/>
      <c r="I71" s="537" t="str">
        <f t="shared" si="2"/>
        <v/>
      </c>
      <c r="J71" s="953"/>
      <c r="K71" s="953"/>
      <c r="L71" s="606" t="str">
        <f t="shared" si="3"/>
        <v/>
      </c>
    </row>
    <row r="72" spans="1:12" s="749" customFormat="1">
      <c r="A72" s="33" t="s">
        <v>209</v>
      </c>
      <c r="B72" s="202">
        <f t="shared" si="0"/>
        <v>275</v>
      </c>
      <c r="C72" s="578">
        <f t="shared" si="4"/>
        <v>1.1888807228394795</v>
      </c>
      <c r="D72" s="61"/>
      <c r="E72" s="952">
        <v>273</v>
      </c>
      <c r="F72" s="537">
        <f t="shared" si="1"/>
        <v>99.272727272727266</v>
      </c>
      <c r="G72" s="952"/>
      <c r="H72" s="952">
        <v>2</v>
      </c>
      <c r="I72" s="537">
        <f t="shared" si="2"/>
        <v>0.72727272727272729</v>
      </c>
      <c r="J72" s="952"/>
      <c r="K72" s="952">
        <v>0</v>
      </c>
      <c r="L72" s="606">
        <f t="shared" si="3"/>
        <v>0</v>
      </c>
    </row>
    <row r="73" spans="1:12" ht="10" customHeight="1">
      <c r="A73" s="33"/>
      <c r="B73" s="202" t="str">
        <f t="shared" si="0"/>
        <v/>
      </c>
      <c r="C73" s="578" t="str">
        <f t="shared" si="4"/>
        <v/>
      </c>
      <c r="D73" s="61"/>
      <c r="E73" s="568"/>
      <c r="F73" s="537" t="str">
        <f t="shared" si="1"/>
        <v/>
      </c>
      <c r="G73" s="77"/>
      <c r="H73" s="568"/>
      <c r="I73" s="537" t="str">
        <f t="shared" si="2"/>
        <v/>
      </c>
      <c r="J73" s="77"/>
      <c r="K73" s="568"/>
      <c r="L73" s="606" t="str">
        <f t="shared" si="3"/>
        <v/>
      </c>
    </row>
    <row r="74" spans="1:12" s="609" customFormat="1">
      <c r="A74" s="55" t="s">
        <v>413</v>
      </c>
      <c r="B74" s="602">
        <f t="shared" si="0"/>
        <v>739</v>
      </c>
      <c r="C74" s="577">
        <f t="shared" si="4"/>
        <v>3.1948467424668197</v>
      </c>
      <c r="D74" s="607"/>
      <c r="E74" s="608">
        <f>E75</f>
        <v>733</v>
      </c>
      <c r="F74" s="574">
        <f t="shared" si="1"/>
        <v>99.188092016238159</v>
      </c>
      <c r="G74" s="605"/>
      <c r="H74" s="608">
        <f>H75</f>
        <v>3</v>
      </c>
      <c r="I74" s="574">
        <f t="shared" si="2"/>
        <v>0.40595399188092013</v>
      </c>
      <c r="J74" s="605"/>
      <c r="K74" s="608">
        <f>K75</f>
        <v>3</v>
      </c>
      <c r="L74" s="571">
        <f t="shared" si="3"/>
        <v>0.40595399188092013</v>
      </c>
    </row>
    <row r="75" spans="1:12" s="749" customFormat="1">
      <c r="A75" s="33" t="s">
        <v>414</v>
      </c>
      <c r="B75" s="202">
        <f t="shared" si="0"/>
        <v>739</v>
      </c>
      <c r="C75" s="578">
        <f t="shared" si="4"/>
        <v>3.1948467424668197</v>
      </c>
      <c r="D75" s="61"/>
      <c r="E75" s="568">
        <f>SUM(E76:E79)</f>
        <v>733</v>
      </c>
      <c r="F75" s="537">
        <f t="shared" si="1"/>
        <v>99.188092016238159</v>
      </c>
      <c r="G75" s="77"/>
      <c r="H75" s="568">
        <f>SUM(H76:H79)</f>
        <v>3</v>
      </c>
      <c r="I75" s="537">
        <f t="shared" si="2"/>
        <v>0.40595399188092013</v>
      </c>
      <c r="J75" s="77"/>
      <c r="K75" s="568">
        <f>SUM(K76:K79)</f>
        <v>3</v>
      </c>
      <c r="L75" s="606">
        <f t="shared" si="3"/>
        <v>0.40595399188092013</v>
      </c>
    </row>
    <row r="76" spans="1:12" s="752" customFormat="1">
      <c r="A76" s="33" t="s">
        <v>212</v>
      </c>
      <c r="B76" s="202">
        <f>IF(A76&lt;&gt;0,E76+H76+K76,"")</f>
        <v>224</v>
      </c>
      <c r="C76" s="578">
        <f t="shared" si="4"/>
        <v>0.96839738878561243</v>
      </c>
      <c r="D76" s="61"/>
      <c r="E76" s="952">
        <v>220</v>
      </c>
      <c r="F76" s="537">
        <f t="shared" ref="F76:F101" si="5">IF(A76&lt;&gt;0,E76/B76*100,"")</f>
        <v>98.214285714285708</v>
      </c>
      <c r="G76" s="952"/>
      <c r="H76" s="952">
        <v>3</v>
      </c>
      <c r="I76" s="537">
        <f t="shared" ref="I76:I101" si="6">IF(A76&lt;&gt;0,H76/B76*100,"")</f>
        <v>1.3392857142857142</v>
      </c>
      <c r="J76" s="952"/>
      <c r="K76" s="952">
        <v>1</v>
      </c>
      <c r="L76" s="606">
        <f>IF(A76&lt;&gt;0,K76/B76*100,"")</f>
        <v>0.4464285714285714</v>
      </c>
    </row>
    <row r="77" spans="1:12" s="752" customFormat="1">
      <c r="A77" s="33" t="s">
        <v>213</v>
      </c>
      <c r="B77" s="202">
        <f>IF(A77&lt;&gt;0,E77+H77+K77,"")</f>
        <v>255</v>
      </c>
      <c r="C77" s="578">
        <f t="shared" si="4"/>
        <v>1.1024166702693354</v>
      </c>
      <c r="D77" s="61"/>
      <c r="E77" s="952">
        <v>253</v>
      </c>
      <c r="F77" s="537">
        <f t="shared" si="5"/>
        <v>99.215686274509807</v>
      </c>
      <c r="G77" s="952"/>
      <c r="H77" s="952">
        <v>0</v>
      </c>
      <c r="I77" s="537">
        <f t="shared" si="6"/>
        <v>0</v>
      </c>
      <c r="J77" s="952"/>
      <c r="K77" s="952">
        <v>2</v>
      </c>
      <c r="L77" s="606">
        <f>IF(A77&lt;&gt;0,K77/B77*100,"")</f>
        <v>0.78431372549019607</v>
      </c>
    </row>
    <row r="78" spans="1:12" s="752" customFormat="1">
      <c r="A78" s="33" t="s">
        <v>214</v>
      </c>
      <c r="B78" s="202">
        <f>IF(A78&lt;&gt;0,E78+H78+K78,"")</f>
        <v>190</v>
      </c>
      <c r="C78" s="578">
        <f t="shared" ref="C78:C101" si="7">IF($A78&lt;&gt;0,B78/$B$11*100,"")</f>
        <v>0.82140849941636762</v>
      </c>
      <c r="D78" s="61"/>
      <c r="E78" s="952">
        <v>190</v>
      </c>
      <c r="F78" s="537">
        <f t="shared" si="5"/>
        <v>100</v>
      </c>
      <c r="G78" s="952"/>
      <c r="H78" s="952">
        <v>0</v>
      </c>
      <c r="I78" s="537">
        <f t="shared" si="6"/>
        <v>0</v>
      </c>
      <c r="J78" s="952"/>
      <c r="K78" s="952">
        <v>0</v>
      </c>
      <c r="L78" s="606">
        <f>IF(A78&lt;&gt;0,K78/B78*100,"")</f>
        <v>0</v>
      </c>
    </row>
    <row r="79" spans="1:12" s="752" customFormat="1">
      <c r="A79" s="33" t="s">
        <v>215</v>
      </c>
      <c r="B79" s="202">
        <f>IF(A79&lt;&gt;0,E79+H79+K79,"")</f>
        <v>70</v>
      </c>
      <c r="C79" s="578">
        <f t="shared" si="7"/>
        <v>0.30262418399550384</v>
      </c>
      <c r="D79" s="61"/>
      <c r="E79" s="952">
        <v>70</v>
      </c>
      <c r="F79" s="537">
        <f t="shared" si="5"/>
        <v>100</v>
      </c>
      <c r="G79" s="952"/>
      <c r="H79" s="952">
        <v>0</v>
      </c>
      <c r="I79" s="537">
        <f t="shared" si="6"/>
        <v>0</v>
      </c>
      <c r="J79" s="952"/>
      <c r="K79" s="952">
        <v>0</v>
      </c>
      <c r="L79" s="606">
        <f>IF(A79&lt;&gt;0,K79/B79*100,"")</f>
        <v>0</v>
      </c>
    </row>
    <row r="80" spans="1:12" ht="10" customHeight="1">
      <c r="A80" s="33"/>
      <c r="B80" s="202" t="str">
        <f t="shared" ref="B80:B101" si="8">IF(A80&lt;&gt;0,E80+H80+K80,"")</f>
        <v/>
      </c>
      <c r="C80" s="578" t="str">
        <f t="shared" si="7"/>
        <v/>
      </c>
      <c r="D80" s="61"/>
      <c r="E80" s="568"/>
      <c r="F80" s="537" t="str">
        <f t="shared" si="5"/>
        <v/>
      </c>
      <c r="G80" s="77"/>
      <c r="H80" s="568"/>
      <c r="I80" s="537" t="str">
        <f t="shared" si="6"/>
        <v/>
      </c>
      <c r="J80" s="77"/>
      <c r="K80" s="568"/>
      <c r="L80" s="606" t="str">
        <f>IF(A80&lt;&gt;0,K80/B80*100,"")</f>
        <v/>
      </c>
    </row>
    <row r="81" spans="1:12" s="609" customFormat="1">
      <c r="A81" s="55" t="s">
        <v>483</v>
      </c>
      <c r="B81" s="602">
        <f t="shared" si="8"/>
        <v>2684</v>
      </c>
      <c r="C81" s="577">
        <f t="shared" si="7"/>
        <v>11.60347585491332</v>
      </c>
      <c r="D81" s="607"/>
      <c r="E81" s="608">
        <f>E82</f>
        <v>2650</v>
      </c>
      <c r="F81" s="574">
        <f t="shared" si="5"/>
        <v>98.733233979135619</v>
      </c>
      <c r="G81" s="605"/>
      <c r="H81" s="608">
        <f>H82</f>
        <v>13</v>
      </c>
      <c r="I81" s="574">
        <f t="shared" si="6"/>
        <v>0.48435171385991055</v>
      </c>
      <c r="J81" s="605"/>
      <c r="K81" s="608">
        <f>K82</f>
        <v>21</v>
      </c>
      <c r="L81" s="571">
        <f t="shared" ref="L81:L101" si="9">IF(A81&lt;&gt;0,K81/B81*100,"")</f>
        <v>0.78241430700447101</v>
      </c>
    </row>
    <row r="82" spans="1:12" s="749" customFormat="1">
      <c r="A82" s="33" t="s">
        <v>217</v>
      </c>
      <c r="B82" s="202">
        <f t="shared" si="8"/>
        <v>2684</v>
      </c>
      <c r="C82" s="578">
        <f t="shared" si="7"/>
        <v>11.60347585491332</v>
      </c>
      <c r="D82" s="61"/>
      <c r="E82" s="568">
        <f>SUM(E83:E91)</f>
        <v>2650</v>
      </c>
      <c r="F82" s="537">
        <f t="shared" si="5"/>
        <v>98.733233979135619</v>
      </c>
      <c r="G82" s="77"/>
      <c r="H82" s="568">
        <f>SUM(H83:H91)</f>
        <v>13</v>
      </c>
      <c r="I82" s="537">
        <f t="shared" si="6"/>
        <v>0.48435171385991055</v>
      </c>
      <c r="J82" s="77"/>
      <c r="K82" s="568">
        <f>SUM(K83:K91)</f>
        <v>21</v>
      </c>
      <c r="L82" s="606">
        <f t="shared" si="9"/>
        <v>0.78241430700447101</v>
      </c>
    </row>
    <row r="83" spans="1:12" s="752" customFormat="1">
      <c r="A83" s="33" t="s">
        <v>415</v>
      </c>
      <c r="B83" s="202">
        <f t="shared" si="8"/>
        <v>298</v>
      </c>
      <c r="C83" s="578">
        <f t="shared" si="7"/>
        <v>1.2883143832951451</v>
      </c>
      <c r="D83" s="61"/>
      <c r="E83" s="952">
        <v>296</v>
      </c>
      <c r="F83" s="537">
        <f t="shared" si="5"/>
        <v>99.328859060402692</v>
      </c>
      <c r="G83" s="952"/>
      <c r="H83" s="952">
        <v>1</v>
      </c>
      <c r="I83" s="537">
        <f t="shared" si="6"/>
        <v>0.33557046979865773</v>
      </c>
      <c r="J83" s="952"/>
      <c r="K83" s="952">
        <v>1</v>
      </c>
      <c r="L83" s="606">
        <f t="shared" si="9"/>
        <v>0.33557046979865773</v>
      </c>
    </row>
    <row r="84" spans="1:12" s="752" customFormat="1">
      <c r="A84" s="33" t="s">
        <v>218</v>
      </c>
      <c r="B84" s="202">
        <f t="shared" si="8"/>
        <v>401</v>
      </c>
      <c r="C84" s="578">
        <f t="shared" si="7"/>
        <v>1.7336042540313865</v>
      </c>
      <c r="D84" s="61"/>
      <c r="E84" s="952">
        <v>396</v>
      </c>
      <c r="F84" s="537">
        <f t="shared" si="5"/>
        <v>98.753117206982537</v>
      </c>
      <c r="G84" s="952"/>
      <c r="H84" s="952">
        <v>1</v>
      </c>
      <c r="I84" s="537">
        <f t="shared" si="6"/>
        <v>0.24937655860349126</v>
      </c>
      <c r="J84" s="952"/>
      <c r="K84" s="952">
        <v>4</v>
      </c>
      <c r="L84" s="606">
        <f t="shared" si="9"/>
        <v>0.99750623441396502</v>
      </c>
    </row>
    <row r="85" spans="1:12" s="752" customFormat="1">
      <c r="A85" s="33" t="s">
        <v>220</v>
      </c>
      <c r="B85" s="202">
        <f t="shared" si="8"/>
        <v>500</v>
      </c>
      <c r="C85" s="578">
        <f t="shared" si="7"/>
        <v>2.1616013142535988</v>
      </c>
      <c r="D85" s="61"/>
      <c r="E85" s="952">
        <v>492</v>
      </c>
      <c r="F85" s="537">
        <f t="shared" si="5"/>
        <v>98.4</v>
      </c>
      <c r="G85" s="952"/>
      <c r="H85" s="952">
        <v>4</v>
      </c>
      <c r="I85" s="537">
        <f t="shared" si="6"/>
        <v>0.8</v>
      </c>
      <c r="J85" s="952"/>
      <c r="K85" s="952">
        <v>4</v>
      </c>
      <c r="L85" s="606">
        <f t="shared" si="9"/>
        <v>0.8</v>
      </c>
    </row>
    <row r="86" spans="1:12" s="752" customFormat="1">
      <c r="A86" s="33" t="s">
        <v>222</v>
      </c>
      <c r="B86" s="202">
        <f t="shared" si="8"/>
        <v>149</v>
      </c>
      <c r="C86" s="578">
        <f t="shared" si="7"/>
        <v>0.64415719164757257</v>
      </c>
      <c r="D86" s="61"/>
      <c r="E86" s="952">
        <v>147</v>
      </c>
      <c r="F86" s="537">
        <f t="shared" si="5"/>
        <v>98.65771812080537</v>
      </c>
      <c r="G86" s="952"/>
      <c r="H86" s="952">
        <v>0</v>
      </c>
      <c r="I86" s="537">
        <f t="shared" si="6"/>
        <v>0</v>
      </c>
      <c r="J86" s="952"/>
      <c r="K86" s="952">
        <v>2</v>
      </c>
      <c r="L86" s="606">
        <f t="shared" si="9"/>
        <v>1.3422818791946309</v>
      </c>
    </row>
    <row r="87" spans="1:12" s="752" customFormat="1">
      <c r="A87" s="33" t="s">
        <v>221</v>
      </c>
      <c r="B87" s="202">
        <f t="shared" si="8"/>
        <v>197</v>
      </c>
      <c r="C87" s="578">
        <f t="shared" si="7"/>
        <v>0.85167091781591808</v>
      </c>
      <c r="D87" s="61"/>
      <c r="E87" s="952">
        <v>194</v>
      </c>
      <c r="F87" s="537">
        <f t="shared" si="5"/>
        <v>98.477157360406082</v>
      </c>
      <c r="G87" s="952"/>
      <c r="H87" s="952">
        <v>0</v>
      </c>
      <c r="I87" s="537">
        <f t="shared" si="6"/>
        <v>0</v>
      </c>
      <c r="J87" s="952"/>
      <c r="K87" s="952">
        <v>3</v>
      </c>
      <c r="L87" s="606">
        <f t="shared" si="9"/>
        <v>1.5228426395939088</v>
      </c>
    </row>
    <row r="88" spans="1:12" s="752" customFormat="1">
      <c r="A88" s="33" t="s">
        <v>219</v>
      </c>
      <c r="B88" s="202">
        <f t="shared" si="8"/>
        <v>282</v>
      </c>
      <c r="C88" s="578">
        <f t="shared" si="7"/>
        <v>1.2191431412390299</v>
      </c>
      <c r="D88" s="61"/>
      <c r="E88" s="952">
        <v>277</v>
      </c>
      <c r="F88" s="537">
        <f t="shared" si="5"/>
        <v>98.226950354609926</v>
      </c>
      <c r="G88" s="952"/>
      <c r="H88" s="952">
        <v>2</v>
      </c>
      <c r="I88" s="537">
        <f t="shared" si="6"/>
        <v>0.70921985815602839</v>
      </c>
      <c r="J88" s="952"/>
      <c r="K88" s="952">
        <v>3</v>
      </c>
      <c r="L88" s="606">
        <f t="shared" si="9"/>
        <v>1.0638297872340425</v>
      </c>
    </row>
    <row r="89" spans="1:12" s="752" customFormat="1">
      <c r="A89" s="33" t="s">
        <v>223</v>
      </c>
      <c r="B89" s="202">
        <f t="shared" si="8"/>
        <v>298</v>
      </c>
      <c r="C89" s="578">
        <f t="shared" si="7"/>
        <v>1.2883143832951451</v>
      </c>
      <c r="D89" s="61"/>
      <c r="E89" s="952">
        <v>292</v>
      </c>
      <c r="F89" s="537">
        <f t="shared" si="5"/>
        <v>97.986577181208062</v>
      </c>
      <c r="G89" s="952"/>
      <c r="H89" s="952">
        <v>4</v>
      </c>
      <c r="I89" s="537">
        <f t="shared" si="6"/>
        <v>1.3422818791946309</v>
      </c>
      <c r="J89" s="952"/>
      <c r="K89" s="952">
        <v>2</v>
      </c>
      <c r="L89" s="606">
        <f t="shared" si="9"/>
        <v>0.67114093959731547</v>
      </c>
    </row>
    <row r="90" spans="1:12" s="752" customFormat="1">
      <c r="A90" s="33" t="s">
        <v>533</v>
      </c>
      <c r="B90" s="202">
        <f t="shared" si="8"/>
        <v>295</v>
      </c>
      <c r="C90" s="578">
        <f t="shared" si="7"/>
        <v>1.2753447754096234</v>
      </c>
      <c r="D90" s="61"/>
      <c r="E90" s="952">
        <v>293</v>
      </c>
      <c r="F90" s="537">
        <f t="shared" si="5"/>
        <v>99.322033898305079</v>
      </c>
      <c r="G90" s="952"/>
      <c r="H90" s="952">
        <v>1</v>
      </c>
      <c r="I90" s="537">
        <f t="shared" si="6"/>
        <v>0.33898305084745761</v>
      </c>
      <c r="J90" s="952"/>
      <c r="K90" s="952">
        <v>1</v>
      </c>
      <c r="L90" s="606">
        <f t="shared" si="9"/>
        <v>0.33898305084745761</v>
      </c>
    </row>
    <row r="91" spans="1:12" s="752" customFormat="1">
      <c r="A91" s="33" t="s">
        <v>416</v>
      </c>
      <c r="B91" s="202">
        <f t="shared" si="8"/>
        <v>264</v>
      </c>
      <c r="C91" s="578">
        <f t="shared" si="7"/>
        <v>1.1413254939259003</v>
      </c>
      <c r="D91" s="61"/>
      <c r="E91" s="952">
        <v>263</v>
      </c>
      <c r="F91" s="537">
        <f t="shared" si="5"/>
        <v>99.621212121212125</v>
      </c>
      <c r="G91" s="952"/>
      <c r="H91" s="952">
        <v>0</v>
      </c>
      <c r="I91" s="537">
        <f t="shared" si="6"/>
        <v>0</v>
      </c>
      <c r="J91" s="952"/>
      <c r="K91" s="952">
        <v>1</v>
      </c>
      <c r="L91" s="606">
        <f t="shared" si="9"/>
        <v>0.37878787878787878</v>
      </c>
    </row>
    <row r="92" spans="1:12" s="752" customFormat="1" ht="9" customHeight="1">
      <c r="A92" s="33"/>
      <c r="B92" s="202" t="str">
        <f t="shared" si="8"/>
        <v/>
      </c>
      <c r="C92" s="578" t="str">
        <f t="shared" si="7"/>
        <v/>
      </c>
      <c r="D92" s="61"/>
      <c r="E92" s="952"/>
      <c r="F92" s="537" t="str">
        <f t="shared" si="5"/>
        <v/>
      </c>
      <c r="G92" s="952"/>
      <c r="H92" s="952"/>
      <c r="I92" s="537" t="str">
        <f t="shared" si="6"/>
        <v/>
      </c>
      <c r="J92" s="952"/>
      <c r="K92" s="952"/>
      <c r="L92" s="606" t="str">
        <f t="shared" si="9"/>
        <v/>
      </c>
    </row>
    <row r="93" spans="1:12" s="752" customFormat="1">
      <c r="A93" s="33" t="s">
        <v>535</v>
      </c>
      <c r="B93" s="202">
        <f t="shared" si="8"/>
        <v>418</v>
      </c>
      <c r="C93" s="578">
        <f t="shared" si="7"/>
        <v>1.8070986987160087</v>
      </c>
      <c r="D93" s="61"/>
      <c r="E93" s="952">
        <v>405</v>
      </c>
      <c r="F93" s="537">
        <f t="shared" si="5"/>
        <v>96.889952153110045</v>
      </c>
      <c r="G93" s="952"/>
      <c r="H93" s="952">
        <v>1</v>
      </c>
      <c r="I93" s="537">
        <f t="shared" si="6"/>
        <v>0.23923444976076555</v>
      </c>
      <c r="J93" s="952"/>
      <c r="K93" s="952">
        <v>12</v>
      </c>
      <c r="L93" s="606">
        <f t="shared" si="9"/>
        <v>2.8708133971291865</v>
      </c>
    </row>
    <row r="94" spans="1:12" s="752" customFormat="1">
      <c r="A94" s="33" t="s">
        <v>2224</v>
      </c>
      <c r="B94" s="202">
        <f t="shared" si="8"/>
        <v>431</v>
      </c>
      <c r="C94" s="578">
        <f t="shared" si="7"/>
        <v>1.8633003328866022</v>
      </c>
      <c r="D94" s="61"/>
      <c r="E94" s="952">
        <v>429</v>
      </c>
      <c r="F94" s="537">
        <f t="shared" si="5"/>
        <v>99.535962877030158</v>
      </c>
      <c r="G94" s="952"/>
      <c r="H94" s="952">
        <v>1</v>
      </c>
      <c r="I94" s="537">
        <f t="shared" si="6"/>
        <v>0.23201856148491878</v>
      </c>
      <c r="J94" s="952"/>
      <c r="K94" s="952">
        <v>1</v>
      </c>
      <c r="L94" s="606">
        <f t="shared" si="9"/>
        <v>0.23201856148491878</v>
      </c>
    </row>
    <row r="95" spans="1:12" ht="10" customHeight="1">
      <c r="A95" s="33"/>
      <c r="B95" s="610" t="str">
        <f t="shared" si="8"/>
        <v/>
      </c>
      <c r="C95" s="613" t="str">
        <f t="shared" si="7"/>
        <v/>
      </c>
      <c r="D95" s="61"/>
      <c r="E95" s="568"/>
      <c r="F95" s="537" t="str">
        <f t="shared" si="5"/>
        <v/>
      </c>
      <c r="G95" s="77"/>
      <c r="H95" s="568"/>
      <c r="I95" s="537" t="str">
        <f t="shared" si="6"/>
        <v/>
      </c>
      <c r="J95" s="77"/>
      <c r="K95" s="568"/>
      <c r="L95" s="606" t="str">
        <f t="shared" si="9"/>
        <v/>
      </c>
    </row>
    <row r="96" spans="1:12" s="55" customFormat="1">
      <c r="A96" s="55" t="s">
        <v>423</v>
      </c>
      <c r="B96" s="610">
        <f t="shared" si="8"/>
        <v>7922</v>
      </c>
      <c r="C96" s="577">
        <f t="shared" si="7"/>
        <v>34.248411223034026</v>
      </c>
      <c r="D96" s="607"/>
      <c r="E96" s="608">
        <f>SUM(E97:E101)</f>
        <v>7692</v>
      </c>
      <c r="F96" s="574">
        <f t="shared" si="5"/>
        <v>97.096692754354962</v>
      </c>
      <c r="G96" s="605"/>
      <c r="H96" s="608">
        <f>SUM(H97:H101)</f>
        <v>109</v>
      </c>
      <c r="I96" s="574">
        <f t="shared" si="6"/>
        <v>1.3759151729361272</v>
      </c>
      <c r="J96" s="605"/>
      <c r="K96" s="608">
        <f>SUM(K97:K101)</f>
        <v>121</v>
      </c>
      <c r="L96" s="571">
        <f t="shared" si="9"/>
        <v>1.5273920727089119</v>
      </c>
    </row>
    <row r="97" spans="1:13">
      <c r="A97" s="33" t="s">
        <v>424</v>
      </c>
      <c r="B97" s="202">
        <f t="shared" si="8"/>
        <v>2347</v>
      </c>
      <c r="C97" s="578">
        <f t="shared" si="7"/>
        <v>10.146556569106394</v>
      </c>
      <c r="D97" s="61"/>
      <c r="E97" s="952">
        <v>2286</v>
      </c>
      <c r="F97" s="537">
        <f t="shared" si="5"/>
        <v>97.400937366851309</v>
      </c>
      <c r="G97" s="952"/>
      <c r="H97" s="952">
        <v>30</v>
      </c>
      <c r="I97" s="537">
        <f t="shared" si="6"/>
        <v>1.2782275244993611</v>
      </c>
      <c r="J97" s="952"/>
      <c r="K97" s="952">
        <v>31</v>
      </c>
      <c r="L97" s="606">
        <f t="shared" si="9"/>
        <v>1.3208351086493395</v>
      </c>
    </row>
    <row r="98" spans="1:13">
      <c r="A98" s="33" t="s">
        <v>425</v>
      </c>
      <c r="B98" s="202">
        <f t="shared" si="8"/>
        <v>1657</v>
      </c>
      <c r="C98" s="578">
        <f t="shared" si="7"/>
        <v>7.1635467554364274</v>
      </c>
      <c r="D98" s="61"/>
      <c r="E98" s="952">
        <v>1602</v>
      </c>
      <c r="F98" s="537">
        <f t="shared" si="5"/>
        <v>96.680748340374166</v>
      </c>
      <c r="G98" s="952"/>
      <c r="H98" s="952">
        <v>28</v>
      </c>
      <c r="I98" s="537">
        <f t="shared" si="6"/>
        <v>1.6898008449004225</v>
      </c>
      <c r="J98" s="952"/>
      <c r="K98" s="952">
        <v>27</v>
      </c>
      <c r="L98" s="606">
        <f t="shared" si="9"/>
        <v>1.6294508147254072</v>
      </c>
    </row>
    <row r="99" spans="1:13">
      <c r="A99" s="33" t="s">
        <v>426</v>
      </c>
      <c r="B99" s="202">
        <f t="shared" si="8"/>
        <v>1682</v>
      </c>
      <c r="C99" s="578">
        <f t="shared" si="7"/>
        <v>7.2716268211491073</v>
      </c>
      <c r="D99" s="61"/>
      <c r="E99" s="952">
        <v>1633</v>
      </c>
      <c r="F99" s="537">
        <f t="shared" si="5"/>
        <v>97.086801426872768</v>
      </c>
      <c r="G99" s="952"/>
      <c r="H99" s="952">
        <v>19</v>
      </c>
      <c r="I99" s="537">
        <f t="shared" si="6"/>
        <v>1.1296076099881094</v>
      </c>
      <c r="J99" s="952"/>
      <c r="K99" s="952">
        <v>30</v>
      </c>
      <c r="L99" s="606">
        <f t="shared" si="9"/>
        <v>1.78359096313912</v>
      </c>
    </row>
    <row r="100" spans="1:13">
      <c r="A100" s="33" t="s">
        <v>427</v>
      </c>
      <c r="B100" s="202">
        <f t="shared" si="8"/>
        <v>1182</v>
      </c>
      <c r="C100" s="578">
        <f t="shared" si="7"/>
        <v>5.1100255068955081</v>
      </c>
      <c r="D100" s="61"/>
      <c r="E100" s="952">
        <v>1139</v>
      </c>
      <c r="F100" s="537">
        <f t="shared" si="5"/>
        <v>96.362098138747882</v>
      </c>
      <c r="G100" s="952"/>
      <c r="H100" s="952">
        <v>19</v>
      </c>
      <c r="I100" s="537">
        <f t="shared" si="6"/>
        <v>1.6074450084602367</v>
      </c>
      <c r="J100" s="952"/>
      <c r="K100" s="952">
        <v>24</v>
      </c>
      <c r="L100" s="606">
        <f t="shared" si="9"/>
        <v>2.030456852791878</v>
      </c>
    </row>
    <row r="101" spans="1:13">
      <c r="A101" s="33" t="s">
        <v>428</v>
      </c>
      <c r="B101" s="202">
        <f t="shared" si="8"/>
        <v>1054</v>
      </c>
      <c r="C101" s="578">
        <f t="shared" si="7"/>
        <v>4.556655570446587</v>
      </c>
      <c r="D101" s="916"/>
      <c r="E101" s="952">
        <v>1032</v>
      </c>
      <c r="F101" s="537">
        <f t="shared" si="5"/>
        <v>97.912713472485763</v>
      </c>
      <c r="G101" s="952"/>
      <c r="H101" s="952">
        <v>13</v>
      </c>
      <c r="I101" s="537">
        <f t="shared" si="6"/>
        <v>1.2333965844402277</v>
      </c>
      <c r="J101" s="952"/>
      <c r="K101" s="952">
        <v>9</v>
      </c>
      <c r="L101" s="606">
        <f t="shared" si="9"/>
        <v>0.85388994307400379</v>
      </c>
    </row>
    <row r="102" spans="1:13" ht="10" customHeight="1" thickBot="1">
      <c r="A102" s="102"/>
      <c r="B102" s="599"/>
      <c r="C102" s="615"/>
      <c r="D102" s="109"/>
      <c r="E102" s="600"/>
      <c r="F102" s="535"/>
      <c r="G102" s="109"/>
      <c r="H102" s="600"/>
      <c r="I102" s="535"/>
      <c r="J102" s="109"/>
      <c r="K102" s="600"/>
      <c r="L102" s="535"/>
    </row>
    <row r="103" spans="1:13" ht="10" customHeight="1">
      <c r="B103" s="202"/>
      <c r="C103" s="561"/>
      <c r="D103" s="117"/>
      <c r="E103" s="601"/>
      <c r="F103" s="192"/>
      <c r="G103" s="117"/>
      <c r="H103" s="601"/>
      <c r="I103" s="192"/>
      <c r="J103" s="117"/>
      <c r="K103" s="601"/>
      <c r="L103" s="192"/>
      <c r="M103" s="98"/>
    </row>
    <row r="104" spans="1:13" ht="14.25" customHeight="1">
      <c r="A104" s="14" t="s">
        <v>2145</v>
      </c>
      <c r="C104" s="559"/>
      <c r="D104" s="61"/>
      <c r="F104" s="61"/>
    </row>
    <row r="105" spans="1:13" ht="15" customHeight="1">
      <c r="A105" s="95" t="s">
        <v>1532</v>
      </c>
      <c r="C105" s="559"/>
      <c r="D105" s="61"/>
      <c r="F105" s="61"/>
    </row>
    <row r="106" spans="1:13" ht="8.25" customHeight="1">
      <c r="C106" s="559"/>
      <c r="D106" s="61"/>
      <c r="F106" s="61"/>
    </row>
    <row r="107" spans="1:13">
      <c r="A107" s="95" t="s">
        <v>1533</v>
      </c>
    </row>
    <row r="108" spans="1:13">
      <c r="A108" s="95" t="s">
        <v>1534</v>
      </c>
    </row>
  </sheetData>
  <mergeCells count="4">
    <mergeCell ref="B7:C7"/>
    <mergeCell ref="E7:F7"/>
    <mergeCell ref="H7:I7"/>
    <mergeCell ref="K7:L7"/>
  </mergeCells>
  <conditionalFormatting sqref="A1:XFD1048576">
    <cfRule type="cellIs" dxfId="4" priority="1" operator="equal">
      <formula>0</formula>
    </cfRule>
  </conditionalFormatting>
  <pageMargins left="0.7" right="0.7" top="0.75" bottom="0.75" header="0.3" footer="0.3"/>
  <pageSetup orientation="portrait" horizontalDpi="4294967293" vertic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57"/>
  <sheetViews>
    <sheetView workbookViewId="0">
      <selection activeCell="A2" sqref="A2"/>
    </sheetView>
  </sheetViews>
  <sheetFormatPr baseColWidth="10" defaultColWidth="9.1640625" defaultRowHeight="13"/>
  <cols>
    <col min="1" max="1" width="37.5" style="95" customWidth="1"/>
    <col min="2" max="2" width="8.33203125" style="163" customWidth="1"/>
    <col min="3" max="3" width="8.33203125" style="162" customWidth="1"/>
    <col min="4" max="4" width="2.6640625" style="107" customWidth="1"/>
    <col min="5" max="5" width="8.33203125" style="391" customWidth="1"/>
    <col min="6" max="6" width="8.33203125" style="162" customWidth="1"/>
    <col min="7" max="7" width="2.83203125" style="107" customWidth="1"/>
    <col min="8" max="9" width="9.1640625" style="107" customWidth="1"/>
    <col min="10" max="10" width="2.5" style="107" customWidth="1"/>
    <col min="11" max="11" width="4.33203125" style="95" customWidth="1"/>
    <col min="12" max="256" width="9.1640625" style="95"/>
    <col min="257" max="257" width="37.5" style="95" customWidth="1"/>
    <col min="258" max="259" width="8.33203125" style="95" customWidth="1"/>
    <col min="260" max="260" width="2.6640625" style="95" customWidth="1"/>
    <col min="261" max="262" width="8.33203125" style="95" customWidth="1"/>
    <col min="263" max="263" width="2.83203125" style="95" customWidth="1"/>
    <col min="264" max="265" width="9.1640625" style="95" customWidth="1"/>
    <col min="266" max="266" width="2.5" style="95" customWidth="1"/>
    <col min="267" max="267" width="4.33203125" style="95" customWidth="1"/>
    <col min="268" max="512" width="9.1640625" style="95"/>
    <col min="513" max="513" width="37.5" style="95" customWidth="1"/>
    <col min="514" max="515" width="8.33203125" style="95" customWidth="1"/>
    <col min="516" max="516" width="2.6640625" style="95" customWidth="1"/>
    <col min="517" max="518" width="8.33203125" style="95" customWidth="1"/>
    <col min="519" max="519" width="2.83203125" style="95" customWidth="1"/>
    <col min="520" max="521" width="9.1640625" style="95" customWidth="1"/>
    <col min="522" max="522" width="2.5" style="95" customWidth="1"/>
    <col min="523" max="523" width="4.33203125" style="95" customWidth="1"/>
    <col min="524" max="768" width="9.1640625" style="95"/>
    <col min="769" max="769" width="37.5" style="95" customWidth="1"/>
    <col min="770" max="771" width="8.33203125" style="95" customWidth="1"/>
    <col min="772" max="772" width="2.6640625" style="95" customWidth="1"/>
    <col min="773" max="774" width="8.33203125" style="95" customWidth="1"/>
    <col min="775" max="775" width="2.83203125" style="95" customWidth="1"/>
    <col min="776" max="777" width="9.1640625" style="95" customWidth="1"/>
    <col min="778" max="778" width="2.5" style="95" customWidth="1"/>
    <col min="779" max="779" width="4.33203125" style="95" customWidth="1"/>
    <col min="780" max="1024" width="9.1640625" style="95"/>
    <col min="1025" max="1025" width="37.5" style="95" customWidth="1"/>
    <col min="1026" max="1027" width="8.33203125" style="95" customWidth="1"/>
    <col min="1028" max="1028" width="2.6640625" style="95" customWidth="1"/>
    <col min="1029" max="1030" width="8.33203125" style="95" customWidth="1"/>
    <col min="1031" max="1031" width="2.83203125" style="95" customWidth="1"/>
    <col min="1032" max="1033" width="9.1640625" style="95" customWidth="1"/>
    <col min="1034" max="1034" width="2.5" style="95" customWidth="1"/>
    <col min="1035" max="1035" width="4.33203125" style="95" customWidth="1"/>
    <col min="1036" max="1280" width="9.1640625" style="95"/>
    <col min="1281" max="1281" width="37.5" style="95" customWidth="1"/>
    <col min="1282" max="1283" width="8.33203125" style="95" customWidth="1"/>
    <col min="1284" max="1284" width="2.6640625" style="95" customWidth="1"/>
    <col min="1285" max="1286" width="8.33203125" style="95" customWidth="1"/>
    <col min="1287" max="1287" width="2.83203125" style="95" customWidth="1"/>
    <col min="1288" max="1289" width="9.1640625" style="95" customWidth="1"/>
    <col min="1290" max="1290" width="2.5" style="95" customWidth="1"/>
    <col min="1291" max="1291" width="4.33203125" style="95" customWidth="1"/>
    <col min="1292" max="1536" width="9.1640625" style="95"/>
    <col min="1537" max="1537" width="37.5" style="95" customWidth="1"/>
    <col min="1538" max="1539" width="8.33203125" style="95" customWidth="1"/>
    <col min="1540" max="1540" width="2.6640625" style="95" customWidth="1"/>
    <col min="1541" max="1542" width="8.33203125" style="95" customWidth="1"/>
    <col min="1543" max="1543" width="2.83203125" style="95" customWidth="1"/>
    <col min="1544" max="1545" width="9.1640625" style="95" customWidth="1"/>
    <col min="1546" max="1546" width="2.5" style="95" customWidth="1"/>
    <col min="1547" max="1547" width="4.33203125" style="95" customWidth="1"/>
    <col min="1548" max="1792" width="9.1640625" style="95"/>
    <col min="1793" max="1793" width="37.5" style="95" customWidth="1"/>
    <col min="1794" max="1795" width="8.33203125" style="95" customWidth="1"/>
    <col min="1796" max="1796" width="2.6640625" style="95" customWidth="1"/>
    <col min="1797" max="1798" width="8.33203125" style="95" customWidth="1"/>
    <col min="1799" max="1799" width="2.83203125" style="95" customWidth="1"/>
    <col min="1800" max="1801" width="9.1640625" style="95" customWidth="1"/>
    <col min="1802" max="1802" width="2.5" style="95" customWidth="1"/>
    <col min="1803" max="1803" width="4.33203125" style="95" customWidth="1"/>
    <col min="1804" max="2048" width="9.1640625" style="95"/>
    <col min="2049" max="2049" width="37.5" style="95" customWidth="1"/>
    <col min="2050" max="2051" width="8.33203125" style="95" customWidth="1"/>
    <col min="2052" max="2052" width="2.6640625" style="95" customWidth="1"/>
    <col min="2053" max="2054" width="8.33203125" style="95" customWidth="1"/>
    <col min="2055" max="2055" width="2.83203125" style="95" customWidth="1"/>
    <col min="2056" max="2057" width="9.1640625" style="95" customWidth="1"/>
    <col min="2058" max="2058" width="2.5" style="95" customWidth="1"/>
    <col min="2059" max="2059" width="4.33203125" style="95" customWidth="1"/>
    <col min="2060" max="2304" width="9.1640625" style="95"/>
    <col min="2305" max="2305" width="37.5" style="95" customWidth="1"/>
    <col min="2306" max="2307" width="8.33203125" style="95" customWidth="1"/>
    <col min="2308" max="2308" width="2.6640625" style="95" customWidth="1"/>
    <col min="2309" max="2310" width="8.33203125" style="95" customWidth="1"/>
    <col min="2311" max="2311" width="2.83203125" style="95" customWidth="1"/>
    <col min="2312" max="2313" width="9.1640625" style="95" customWidth="1"/>
    <col min="2314" max="2314" width="2.5" style="95" customWidth="1"/>
    <col min="2315" max="2315" width="4.33203125" style="95" customWidth="1"/>
    <col min="2316" max="2560" width="9.1640625" style="95"/>
    <col min="2561" max="2561" width="37.5" style="95" customWidth="1"/>
    <col min="2562" max="2563" width="8.33203125" style="95" customWidth="1"/>
    <col min="2564" max="2564" width="2.6640625" style="95" customWidth="1"/>
    <col min="2565" max="2566" width="8.33203125" style="95" customWidth="1"/>
    <col min="2567" max="2567" width="2.83203125" style="95" customWidth="1"/>
    <col min="2568" max="2569" width="9.1640625" style="95" customWidth="1"/>
    <col min="2570" max="2570" width="2.5" style="95" customWidth="1"/>
    <col min="2571" max="2571" width="4.33203125" style="95" customWidth="1"/>
    <col min="2572" max="2816" width="9.1640625" style="95"/>
    <col min="2817" max="2817" width="37.5" style="95" customWidth="1"/>
    <col min="2818" max="2819" width="8.33203125" style="95" customWidth="1"/>
    <col min="2820" max="2820" width="2.6640625" style="95" customWidth="1"/>
    <col min="2821" max="2822" width="8.33203125" style="95" customWidth="1"/>
    <col min="2823" max="2823" width="2.83203125" style="95" customWidth="1"/>
    <col min="2824" max="2825" width="9.1640625" style="95" customWidth="1"/>
    <col min="2826" max="2826" width="2.5" style="95" customWidth="1"/>
    <col min="2827" max="2827" width="4.33203125" style="95" customWidth="1"/>
    <col min="2828" max="3072" width="9.1640625" style="95"/>
    <col min="3073" max="3073" width="37.5" style="95" customWidth="1"/>
    <col min="3074" max="3075" width="8.33203125" style="95" customWidth="1"/>
    <col min="3076" max="3076" width="2.6640625" style="95" customWidth="1"/>
    <col min="3077" max="3078" width="8.33203125" style="95" customWidth="1"/>
    <col min="3079" max="3079" width="2.83203125" style="95" customWidth="1"/>
    <col min="3080" max="3081" width="9.1640625" style="95" customWidth="1"/>
    <col min="3082" max="3082" width="2.5" style="95" customWidth="1"/>
    <col min="3083" max="3083" width="4.33203125" style="95" customWidth="1"/>
    <col min="3084" max="3328" width="9.1640625" style="95"/>
    <col min="3329" max="3329" width="37.5" style="95" customWidth="1"/>
    <col min="3330" max="3331" width="8.33203125" style="95" customWidth="1"/>
    <col min="3332" max="3332" width="2.6640625" style="95" customWidth="1"/>
    <col min="3333" max="3334" width="8.33203125" style="95" customWidth="1"/>
    <col min="3335" max="3335" width="2.83203125" style="95" customWidth="1"/>
    <col min="3336" max="3337" width="9.1640625" style="95" customWidth="1"/>
    <col min="3338" max="3338" width="2.5" style="95" customWidth="1"/>
    <col min="3339" max="3339" width="4.33203125" style="95" customWidth="1"/>
    <col min="3340" max="3584" width="9.1640625" style="95"/>
    <col min="3585" max="3585" width="37.5" style="95" customWidth="1"/>
    <col min="3586" max="3587" width="8.33203125" style="95" customWidth="1"/>
    <col min="3588" max="3588" width="2.6640625" style="95" customWidth="1"/>
    <col min="3589" max="3590" width="8.33203125" style="95" customWidth="1"/>
    <col min="3591" max="3591" width="2.83203125" style="95" customWidth="1"/>
    <col min="3592" max="3593" width="9.1640625" style="95" customWidth="1"/>
    <col min="3594" max="3594" width="2.5" style="95" customWidth="1"/>
    <col min="3595" max="3595" width="4.33203125" style="95" customWidth="1"/>
    <col min="3596" max="3840" width="9.1640625" style="95"/>
    <col min="3841" max="3841" width="37.5" style="95" customWidth="1"/>
    <col min="3842" max="3843" width="8.33203125" style="95" customWidth="1"/>
    <col min="3844" max="3844" width="2.6640625" style="95" customWidth="1"/>
    <col min="3845" max="3846" width="8.33203125" style="95" customWidth="1"/>
    <col min="3847" max="3847" width="2.83203125" style="95" customWidth="1"/>
    <col min="3848" max="3849" width="9.1640625" style="95" customWidth="1"/>
    <col min="3850" max="3850" width="2.5" style="95" customWidth="1"/>
    <col min="3851" max="3851" width="4.33203125" style="95" customWidth="1"/>
    <col min="3852" max="4096" width="9.1640625" style="95"/>
    <col min="4097" max="4097" width="37.5" style="95" customWidth="1"/>
    <col min="4098" max="4099" width="8.33203125" style="95" customWidth="1"/>
    <col min="4100" max="4100" width="2.6640625" style="95" customWidth="1"/>
    <col min="4101" max="4102" width="8.33203125" style="95" customWidth="1"/>
    <col min="4103" max="4103" width="2.83203125" style="95" customWidth="1"/>
    <col min="4104" max="4105" width="9.1640625" style="95" customWidth="1"/>
    <col min="4106" max="4106" width="2.5" style="95" customWidth="1"/>
    <col min="4107" max="4107" width="4.33203125" style="95" customWidth="1"/>
    <col min="4108" max="4352" width="9.1640625" style="95"/>
    <col min="4353" max="4353" width="37.5" style="95" customWidth="1"/>
    <col min="4354" max="4355" width="8.33203125" style="95" customWidth="1"/>
    <col min="4356" max="4356" width="2.6640625" style="95" customWidth="1"/>
    <col min="4357" max="4358" width="8.33203125" style="95" customWidth="1"/>
    <col min="4359" max="4359" width="2.83203125" style="95" customWidth="1"/>
    <col min="4360" max="4361" width="9.1640625" style="95" customWidth="1"/>
    <col min="4362" max="4362" width="2.5" style="95" customWidth="1"/>
    <col min="4363" max="4363" width="4.33203125" style="95" customWidth="1"/>
    <col min="4364" max="4608" width="9.1640625" style="95"/>
    <col min="4609" max="4609" width="37.5" style="95" customWidth="1"/>
    <col min="4610" max="4611" width="8.33203125" style="95" customWidth="1"/>
    <col min="4612" max="4612" width="2.6640625" style="95" customWidth="1"/>
    <col min="4613" max="4614" width="8.33203125" style="95" customWidth="1"/>
    <col min="4615" max="4615" width="2.83203125" style="95" customWidth="1"/>
    <col min="4616" max="4617" width="9.1640625" style="95" customWidth="1"/>
    <col min="4618" max="4618" width="2.5" style="95" customWidth="1"/>
    <col min="4619" max="4619" width="4.33203125" style="95" customWidth="1"/>
    <col min="4620" max="4864" width="9.1640625" style="95"/>
    <col min="4865" max="4865" width="37.5" style="95" customWidth="1"/>
    <col min="4866" max="4867" width="8.33203125" style="95" customWidth="1"/>
    <col min="4868" max="4868" width="2.6640625" style="95" customWidth="1"/>
    <col min="4869" max="4870" width="8.33203125" style="95" customWidth="1"/>
    <col min="4871" max="4871" width="2.83203125" style="95" customWidth="1"/>
    <col min="4872" max="4873" width="9.1640625" style="95" customWidth="1"/>
    <col min="4874" max="4874" width="2.5" style="95" customWidth="1"/>
    <col min="4875" max="4875" width="4.33203125" style="95" customWidth="1"/>
    <col min="4876" max="5120" width="9.1640625" style="95"/>
    <col min="5121" max="5121" width="37.5" style="95" customWidth="1"/>
    <col min="5122" max="5123" width="8.33203125" style="95" customWidth="1"/>
    <col min="5124" max="5124" width="2.6640625" style="95" customWidth="1"/>
    <col min="5125" max="5126" width="8.33203125" style="95" customWidth="1"/>
    <col min="5127" max="5127" width="2.83203125" style="95" customWidth="1"/>
    <col min="5128" max="5129" width="9.1640625" style="95" customWidth="1"/>
    <col min="5130" max="5130" width="2.5" style="95" customWidth="1"/>
    <col min="5131" max="5131" width="4.33203125" style="95" customWidth="1"/>
    <col min="5132" max="5376" width="9.1640625" style="95"/>
    <col min="5377" max="5377" width="37.5" style="95" customWidth="1"/>
    <col min="5378" max="5379" width="8.33203125" style="95" customWidth="1"/>
    <col min="5380" max="5380" width="2.6640625" style="95" customWidth="1"/>
    <col min="5381" max="5382" width="8.33203125" style="95" customWidth="1"/>
    <col min="5383" max="5383" width="2.83203125" style="95" customWidth="1"/>
    <col min="5384" max="5385" width="9.1640625" style="95" customWidth="1"/>
    <col min="5386" max="5386" width="2.5" style="95" customWidth="1"/>
    <col min="5387" max="5387" width="4.33203125" style="95" customWidth="1"/>
    <col min="5388" max="5632" width="9.1640625" style="95"/>
    <col min="5633" max="5633" width="37.5" style="95" customWidth="1"/>
    <col min="5634" max="5635" width="8.33203125" style="95" customWidth="1"/>
    <col min="5636" max="5636" width="2.6640625" style="95" customWidth="1"/>
    <col min="5637" max="5638" width="8.33203125" style="95" customWidth="1"/>
    <col min="5639" max="5639" width="2.83203125" style="95" customWidth="1"/>
    <col min="5640" max="5641" width="9.1640625" style="95" customWidth="1"/>
    <col min="5642" max="5642" width="2.5" style="95" customWidth="1"/>
    <col min="5643" max="5643" width="4.33203125" style="95" customWidth="1"/>
    <col min="5644" max="5888" width="9.1640625" style="95"/>
    <col min="5889" max="5889" width="37.5" style="95" customWidth="1"/>
    <col min="5890" max="5891" width="8.33203125" style="95" customWidth="1"/>
    <col min="5892" max="5892" width="2.6640625" style="95" customWidth="1"/>
    <col min="5893" max="5894" width="8.33203125" style="95" customWidth="1"/>
    <col min="5895" max="5895" width="2.83203125" style="95" customWidth="1"/>
    <col min="5896" max="5897" width="9.1640625" style="95" customWidth="1"/>
    <col min="5898" max="5898" width="2.5" style="95" customWidth="1"/>
    <col min="5899" max="5899" width="4.33203125" style="95" customWidth="1"/>
    <col min="5900" max="6144" width="9.1640625" style="95"/>
    <col min="6145" max="6145" width="37.5" style="95" customWidth="1"/>
    <col min="6146" max="6147" width="8.33203125" style="95" customWidth="1"/>
    <col min="6148" max="6148" width="2.6640625" style="95" customWidth="1"/>
    <col min="6149" max="6150" width="8.33203125" style="95" customWidth="1"/>
    <col min="6151" max="6151" width="2.83203125" style="95" customWidth="1"/>
    <col min="6152" max="6153" width="9.1640625" style="95" customWidth="1"/>
    <col min="6154" max="6154" width="2.5" style="95" customWidth="1"/>
    <col min="6155" max="6155" width="4.33203125" style="95" customWidth="1"/>
    <col min="6156" max="6400" width="9.1640625" style="95"/>
    <col min="6401" max="6401" width="37.5" style="95" customWidth="1"/>
    <col min="6402" max="6403" width="8.33203125" style="95" customWidth="1"/>
    <col min="6404" max="6404" width="2.6640625" style="95" customWidth="1"/>
    <col min="6405" max="6406" width="8.33203125" style="95" customWidth="1"/>
    <col min="6407" max="6407" width="2.83203125" style="95" customWidth="1"/>
    <col min="6408" max="6409" width="9.1640625" style="95" customWidth="1"/>
    <col min="6410" max="6410" width="2.5" style="95" customWidth="1"/>
    <col min="6411" max="6411" width="4.33203125" style="95" customWidth="1"/>
    <col min="6412" max="6656" width="9.1640625" style="95"/>
    <col min="6657" max="6657" width="37.5" style="95" customWidth="1"/>
    <col min="6658" max="6659" width="8.33203125" style="95" customWidth="1"/>
    <col min="6660" max="6660" width="2.6640625" style="95" customWidth="1"/>
    <col min="6661" max="6662" width="8.33203125" style="95" customWidth="1"/>
    <col min="6663" max="6663" width="2.83203125" style="95" customWidth="1"/>
    <col min="6664" max="6665" width="9.1640625" style="95" customWidth="1"/>
    <col min="6666" max="6666" width="2.5" style="95" customWidth="1"/>
    <col min="6667" max="6667" width="4.33203125" style="95" customWidth="1"/>
    <col min="6668" max="6912" width="9.1640625" style="95"/>
    <col min="6913" max="6913" width="37.5" style="95" customWidth="1"/>
    <col min="6914" max="6915" width="8.33203125" style="95" customWidth="1"/>
    <col min="6916" max="6916" width="2.6640625" style="95" customWidth="1"/>
    <col min="6917" max="6918" width="8.33203125" style="95" customWidth="1"/>
    <col min="6919" max="6919" width="2.83203125" style="95" customWidth="1"/>
    <col min="6920" max="6921" width="9.1640625" style="95" customWidth="1"/>
    <col min="6922" max="6922" width="2.5" style="95" customWidth="1"/>
    <col min="6923" max="6923" width="4.33203125" style="95" customWidth="1"/>
    <col min="6924" max="7168" width="9.1640625" style="95"/>
    <col min="7169" max="7169" width="37.5" style="95" customWidth="1"/>
    <col min="7170" max="7171" width="8.33203125" style="95" customWidth="1"/>
    <col min="7172" max="7172" width="2.6640625" style="95" customWidth="1"/>
    <col min="7173" max="7174" width="8.33203125" style="95" customWidth="1"/>
    <col min="7175" max="7175" width="2.83203125" style="95" customWidth="1"/>
    <col min="7176" max="7177" width="9.1640625" style="95" customWidth="1"/>
    <col min="7178" max="7178" width="2.5" style="95" customWidth="1"/>
    <col min="7179" max="7179" width="4.33203125" style="95" customWidth="1"/>
    <col min="7180" max="7424" width="9.1640625" style="95"/>
    <col min="7425" max="7425" width="37.5" style="95" customWidth="1"/>
    <col min="7426" max="7427" width="8.33203125" style="95" customWidth="1"/>
    <col min="7428" max="7428" width="2.6640625" style="95" customWidth="1"/>
    <col min="7429" max="7430" width="8.33203125" style="95" customWidth="1"/>
    <col min="7431" max="7431" width="2.83203125" style="95" customWidth="1"/>
    <col min="7432" max="7433" width="9.1640625" style="95" customWidth="1"/>
    <col min="7434" max="7434" width="2.5" style="95" customWidth="1"/>
    <col min="7435" max="7435" width="4.33203125" style="95" customWidth="1"/>
    <col min="7436" max="7680" width="9.1640625" style="95"/>
    <col min="7681" max="7681" width="37.5" style="95" customWidth="1"/>
    <col min="7682" max="7683" width="8.33203125" style="95" customWidth="1"/>
    <col min="7684" max="7684" width="2.6640625" style="95" customWidth="1"/>
    <col min="7685" max="7686" width="8.33203125" style="95" customWidth="1"/>
    <col min="7687" max="7687" width="2.83203125" style="95" customWidth="1"/>
    <col min="7688" max="7689" width="9.1640625" style="95" customWidth="1"/>
    <col min="7690" max="7690" width="2.5" style="95" customWidth="1"/>
    <col min="7691" max="7691" width="4.33203125" style="95" customWidth="1"/>
    <col min="7692" max="7936" width="9.1640625" style="95"/>
    <col min="7937" max="7937" width="37.5" style="95" customWidth="1"/>
    <col min="7938" max="7939" width="8.33203125" style="95" customWidth="1"/>
    <col min="7940" max="7940" width="2.6640625" style="95" customWidth="1"/>
    <col min="7941" max="7942" width="8.33203125" style="95" customWidth="1"/>
    <col min="7943" max="7943" width="2.83203125" style="95" customWidth="1"/>
    <col min="7944" max="7945" width="9.1640625" style="95" customWidth="1"/>
    <col min="7946" max="7946" width="2.5" style="95" customWidth="1"/>
    <col min="7947" max="7947" width="4.33203125" style="95" customWidth="1"/>
    <col min="7948" max="8192" width="9.1640625" style="95"/>
    <col min="8193" max="8193" width="37.5" style="95" customWidth="1"/>
    <col min="8194" max="8195" width="8.33203125" style="95" customWidth="1"/>
    <col min="8196" max="8196" width="2.6640625" style="95" customWidth="1"/>
    <col min="8197" max="8198" width="8.33203125" style="95" customWidth="1"/>
    <col min="8199" max="8199" width="2.83203125" style="95" customWidth="1"/>
    <col min="8200" max="8201" width="9.1640625" style="95" customWidth="1"/>
    <col min="8202" max="8202" width="2.5" style="95" customWidth="1"/>
    <col min="8203" max="8203" width="4.33203125" style="95" customWidth="1"/>
    <col min="8204" max="8448" width="9.1640625" style="95"/>
    <col min="8449" max="8449" width="37.5" style="95" customWidth="1"/>
    <col min="8450" max="8451" width="8.33203125" style="95" customWidth="1"/>
    <col min="8452" max="8452" width="2.6640625" style="95" customWidth="1"/>
    <col min="8453" max="8454" width="8.33203125" style="95" customWidth="1"/>
    <col min="8455" max="8455" width="2.83203125" style="95" customWidth="1"/>
    <col min="8456" max="8457" width="9.1640625" style="95" customWidth="1"/>
    <col min="8458" max="8458" width="2.5" style="95" customWidth="1"/>
    <col min="8459" max="8459" width="4.33203125" style="95" customWidth="1"/>
    <col min="8460" max="8704" width="9.1640625" style="95"/>
    <col min="8705" max="8705" width="37.5" style="95" customWidth="1"/>
    <col min="8706" max="8707" width="8.33203125" style="95" customWidth="1"/>
    <col min="8708" max="8708" width="2.6640625" style="95" customWidth="1"/>
    <col min="8709" max="8710" width="8.33203125" style="95" customWidth="1"/>
    <col min="8711" max="8711" width="2.83203125" style="95" customWidth="1"/>
    <col min="8712" max="8713" width="9.1640625" style="95" customWidth="1"/>
    <col min="8714" max="8714" width="2.5" style="95" customWidth="1"/>
    <col min="8715" max="8715" width="4.33203125" style="95" customWidth="1"/>
    <col min="8716" max="8960" width="9.1640625" style="95"/>
    <col min="8961" max="8961" width="37.5" style="95" customWidth="1"/>
    <col min="8962" max="8963" width="8.33203125" style="95" customWidth="1"/>
    <col min="8964" max="8964" width="2.6640625" style="95" customWidth="1"/>
    <col min="8965" max="8966" width="8.33203125" style="95" customWidth="1"/>
    <col min="8967" max="8967" width="2.83203125" style="95" customWidth="1"/>
    <col min="8968" max="8969" width="9.1640625" style="95" customWidth="1"/>
    <col min="8970" max="8970" width="2.5" style="95" customWidth="1"/>
    <col min="8971" max="8971" width="4.33203125" style="95" customWidth="1"/>
    <col min="8972" max="9216" width="9.1640625" style="95"/>
    <col min="9217" max="9217" width="37.5" style="95" customWidth="1"/>
    <col min="9218" max="9219" width="8.33203125" style="95" customWidth="1"/>
    <col min="9220" max="9220" width="2.6640625" style="95" customWidth="1"/>
    <col min="9221" max="9222" width="8.33203125" style="95" customWidth="1"/>
    <col min="9223" max="9223" width="2.83203125" style="95" customWidth="1"/>
    <col min="9224" max="9225" width="9.1640625" style="95" customWidth="1"/>
    <col min="9226" max="9226" width="2.5" style="95" customWidth="1"/>
    <col min="9227" max="9227" width="4.33203125" style="95" customWidth="1"/>
    <col min="9228" max="9472" width="9.1640625" style="95"/>
    <col min="9473" max="9473" width="37.5" style="95" customWidth="1"/>
    <col min="9474" max="9475" width="8.33203125" style="95" customWidth="1"/>
    <col min="9476" max="9476" width="2.6640625" style="95" customWidth="1"/>
    <col min="9477" max="9478" width="8.33203125" style="95" customWidth="1"/>
    <col min="9479" max="9479" width="2.83203125" style="95" customWidth="1"/>
    <col min="9480" max="9481" width="9.1640625" style="95" customWidth="1"/>
    <col min="9482" max="9482" width="2.5" style="95" customWidth="1"/>
    <col min="9483" max="9483" width="4.33203125" style="95" customWidth="1"/>
    <col min="9484" max="9728" width="9.1640625" style="95"/>
    <col min="9729" max="9729" width="37.5" style="95" customWidth="1"/>
    <col min="9730" max="9731" width="8.33203125" style="95" customWidth="1"/>
    <col min="9732" max="9732" width="2.6640625" style="95" customWidth="1"/>
    <col min="9733" max="9734" width="8.33203125" style="95" customWidth="1"/>
    <col min="9735" max="9735" width="2.83203125" style="95" customWidth="1"/>
    <col min="9736" max="9737" width="9.1640625" style="95" customWidth="1"/>
    <col min="9738" max="9738" width="2.5" style="95" customWidth="1"/>
    <col min="9739" max="9739" width="4.33203125" style="95" customWidth="1"/>
    <col min="9740" max="9984" width="9.1640625" style="95"/>
    <col min="9985" max="9985" width="37.5" style="95" customWidth="1"/>
    <col min="9986" max="9987" width="8.33203125" style="95" customWidth="1"/>
    <col min="9988" max="9988" width="2.6640625" style="95" customWidth="1"/>
    <col min="9989" max="9990" width="8.33203125" style="95" customWidth="1"/>
    <col min="9991" max="9991" width="2.83203125" style="95" customWidth="1"/>
    <col min="9992" max="9993" width="9.1640625" style="95" customWidth="1"/>
    <col min="9994" max="9994" width="2.5" style="95" customWidth="1"/>
    <col min="9995" max="9995" width="4.33203125" style="95" customWidth="1"/>
    <col min="9996" max="10240" width="9.1640625" style="95"/>
    <col min="10241" max="10241" width="37.5" style="95" customWidth="1"/>
    <col min="10242" max="10243" width="8.33203125" style="95" customWidth="1"/>
    <col min="10244" max="10244" width="2.6640625" style="95" customWidth="1"/>
    <col min="10245" max="10246" width="8.33203125" style="95" customWidth="1"/>
    <col min="10247" max="10247" width="2.83203125" style="95" customWidth="1"/>
    <col min="10248" max="10249" width="9.1640625" style="95" customWidth="1"/>
    <col min="10250" max="10250" width="2.5" style="95" customWidth="1"/>
    <col min="10251" max="10251" width="4.33203125" style="95" customWidth="1"/>
    <col min="10252" max="10496" width="9.1640625" style="95"/>
    <col min="10497" max="10497" width="37.5" style="95" customWidth="1"/>
    <col min="10498" max="10499" width="8.33203125" style="95" customWidth="1"/>
    <col min="10500" max="10500" width="2.6640625" style="95" customWidth="1"/>
    <col min="10501" max="10502" width="8.33203125" style="95" customWidth="1"/>
    <col min="10503" max="10503" width="2.83203125" style="95" customWidth="1"/>
    <col min="10504" max="10505" width="9.1640625" style="95" customWidth="1"/>
    <col min="10506" max="10506" width="2.5" style="95" customWidth="1"/>
    <col min="10507" max="10507" width="4.33203125" style="95" customWidth="1"/>
    <col min="10508" max="10752" width="9.1640625" style="95"/>
    <col min="10753" max="10753" width="37.5" style="95" customWidth="1"/>
    <col min="10754" max="10755" width="8.33203125" style="95" customWidth="1"/>
    <col min="10756" max="10756" width="2.6640625" style="95" customWidth="1"/>
    <col min="10757" max="10758" width="8.33203125" style="95" customWidth="1"/>
    <col min="10759" max="10759" width="2.83203125" style="95" customWidth="1"/>
    <col min="10760" max="10761" width="9.1640625" style="95" customWidth="1"/>
    <col min="10762" max="10762" width="2.5" style="95" customWidth="1"/>
    <col min="10763" max="10763" width="4.33203125" style="95" customWidth="1"/>
    <col min="10764" max="11008" width="9.1640625" style="95"/>
    <col min="11009" max="11009" width="37.5" style="95" customWidth="1"/>
    <col min="11010" max="11011" width="8.33203125" style="95" customWidth="1"/>
    <col min="11012" max="11012" width="2.6640625" style="95" customWidth="1"/>
    <col min="11013" max="11014" width="8.33203125" style="95" customWidth="1"/>
    <col min="11015" max="11015" width="2.83203125" style="95" customWidth="1"/>
    <col min="11016" max="11017" width="9.1640625" style="95" customWidth="1"/>
    <col min="11018" max="11018" width="2.5" style="95" customWidth="1"/>
    <col min="11019" max="11019" width="4.33203125" style="95" customWidth="1"/>
    <col min="11020" max="11264" width="9.1640625" style="95"/>
    <col min="11265" max="11265" width="37.5" style="95" customWidth="1"/>
    <col min="11266" max="11267" width="8.33203125" style="95" customWidth="1"/>
    <col min="11268" max="11268" width="2.6640625" style="95" customWidth="1"/>
    <col min="11269" max="11270" width="8.33203125" style="95" customWidth="1"/>
    <col min="11271" max="11271" width="2.83203125" style="95" customWidth="1"/>
    <col min="11272" max="11273" width="9.1640625" style="95" customWidth="1"/>
    <col min="11274" max="11274" width="2.5" style="95" customWidth="1"/>
    <col min="11275" max="11275" width="4.33203125" style="95" customWidth="1"/>
    <col min="11276" max="11520" width="9.1640625" style="95"/>
    <col min="11521" max="11521" width="37.5" style="95" customWidth="1"/>
    <col min="11522" max="11523" width="8.33203125" style="95" customWidth="1"/>
    <col min="11524" max="11524" width="2.6640625" style="95" customWidth="1"/>
    <col min="11525" max="11526" width="8.33203125" style="95" customWidth="1"/>
    <col min="11527" max="11527" width="2.83203125" style="95" customWidth="1"/>
    <col min="11528" max="11529" width="9.1640625" style="95" customWidth="1"/>
    <col min="11530" max="11530" width="2.5" style="95" customWidth="1"/>
    <col min="11531" max="11531" width="4.33203125" style="95" customWidth="1"/>
    <col min="11532" max="11776" width="9.1640625" style="95"/>
    <col min="11777" max="11777" width="37.5" style="95" customWidth="1"/>
    <col min="11778" max="11779" width="8.33203125" style="95" customWidth="1"/>
    <col min="11780" max="11780" width="2.6640625" style="95" customWidth="1"/>
    <col min="11781" max="11782" width="8.33203125" style="95" customWidth="1"/>
    <col min="11783" max="11783" width="2.83203125" style="95" customWidth="1"/>
    <col min="11784" max="11785" width="9.1640625" style="95" customWidth="1"/>
    <col min="11786" max="11786" width="2.5" style="95" customWidth="1"/>
    <col min="11787" max="11787" width="4.33203125" style="95" customWidth="1"/>
    <col min="11788" max="12032" width="9.1640625" style="95"/>
    <col min="12033" max="12033" width="37.5" style="95" customWidth="1"/>
    <col min="12034" max="12035" width="8.33203125" style="95" customWidth="1"/>
    <col min="12036" max="12036" width="2.6640625" style="95" customWidth="1"/>
    <col min="12037" max="12038" width="8.33203125" style="95" customWidth="1"/>
    <col min="12039" max="12039" width="2.83203125" style="95" customWidth="1"/>
    <col min="12040" max="12041" width="9.1640625" style="95" customWidth="1"/>
    <col min="12042" max="12042" width="2.5" style="95" customWidth="1"/>
    <col min="12043" max="12043" width="4.33203125" style="95" customWidth="1"/>
    <col min="12044" max="12288" width="9.1640625" style="95"/>
    <col min="12289" max="12289" width="37.5" style="95" customWidth="1"/>
    <col min="12290" max="12291" width="8.33203125" style="95" customWidth="1"/>
    <col min="12292" max="12292" width="2.6640625" style="95" customWidth="1"/>
    <col min="12293" max="12294" width="8.33203125" style="95" customWidth="1"/>
    <col min="12295" max="12295" width="2.83203125" style="95" customWidth="1"/>
    <col min="12296" max="12297" width="9.1640625" style="95" customWidth="1"/>
    <col min="12298" max="12298" width="2.5" style="95" customWidth="1"/>
    <col min="12299" max="12299" width="4.33203125" style="95" customWidth="1"/>
    <col min="12300" max="12544" width="9.1640625" style="95"/>
    <col min="12545" max="12545" width="37.5" style="95" customWidth="1"/>
    <col min="12546" max="12547" width="8.33203125" style="95" customWidth="1"/>
    <col min="12548" max="12548" width="2.6640625" style="95" customWidth="1"/>
    <col min="12549" max="12550" width="8.33203125" style="95" customWidth="1"/>
    <col min="12551" max="12551" width="2.83203125" style="95" customWidth="1"/>
    <col min="12552" max="12553" width="9.1640625" style="95" customWidth="1"/>
    <col min="12554" max="12554" width="2.5" style="95" customWidth="1"/>
    <col min="12555" max="12555" width="4.33203125" style="95" customWidth="1"/>
    <col min="12556" max="12800" width="9.1640625" style="95"/>
    <col min="12801" max="12801" width="37.5" style="95" customWidth="1"/>
    <col min="12802" max="12803" width="8.33203125" style="95" customWidth="1"/>
    <col min="12804" max="12804" width="2.6640625" style="95" customWidth="1"/>
    <col min="12805" max="12806" width="8.33203125" style="95" customWidth="1"/>
    <col min="12807" max="12807" width="2.83203125" style="95" customWidth="1"/>
    <col min="12808" max="12809" width="9.1640625" style="95" customWidth="1"/>
    <col min="12810" max="12810" width="2.5" style="95" customWidth="1"/>
    <col min="12811" max="12811" width="4.33203125" style="95" customWidth="1"/>
    <col min="12812" max="13056" width="9.1640625" style="95"/>
    <col min="13057" max="13057" width="37.5" style="95" customWidth="1"/>
    <col min="13058" max="13059" width="8.33203125" style="95" customWidth="1"/>
    <col min="13060" max="13060" width="2.6640625" style="95" customWidth="1"/>
    <col min="13061" max="13062" width="8.33203125" style="95" customWidth="1"/>
    <col min="13063" max="13063" width="2.83203125" style="95" customWidth="1"/>
    <col min="13064" max="13065" width="9.1640625" style="95" customWidth="1"/>
    <col min="13066" max="13066" width="2.5" style="95" customWidth="1"/>
    <col min="13067" max="13067" width="4.33203125" style="95" customWidth="1"/>
    <col min="13068" max="13312" width="9.1640625" style="95"/>
    <col min="13313" max="13313" width="37.5" style="95" customWidth="1"/>
    <col min="13314" max="13315" width="8.33203125" style="95" customWidth="1"/>
    <col min="13316" max="13316" width="2.6640625" style="95" customWidth="1"/>
    <col min="13317" max="13318" width="8.33203125" style="95" customWidth="1"/>
    <col min="13319" max="13319" width="2.83203125" style="95" customWidth="1"/>
    <col min="13320" max="13321" width="9.1640625" style="95" customWidth="1"/>
    <col min="13322" max="13322" width="2.5" style="95" customWidth="1"/>
    <col min="13323" max="13323" width="4.33203125" style="95" customWidth="1"/>
    <col min="13324" max="13568" width="9.1640625" style="95"/>
    <col min="13569" max="13569" width="37.5" style="95" customWidth="1"/>
    <col min="13570" max="13571" width="8.33203125" style="95" customWidth="1"/>
    <col min="13572" max="13572" width="2.6640625" style="95" customWidth="1"/>
    <col min="13573" max="13574" width="8.33203125" style="95" customWidth="1"/>
    <col min="13575" max="13575" width="2.83203125" style="95" customWidth="1"/>
    <col min="13576" max="13577" width="9.1640625" style="95" customWidth="1"/>
    <col min="13578" max="13578" width="2.5" style="95" customWidth="1"/>
    <col min="13579" max="13579" width="4.33203125" style="95" customWidth="1"/>
    <col min="13580" max="13824" width="9.1640625" style="95"/>
    <col min="13825" max="13825" width="37.5" style="95" customWidth="1"/>
    <col min="13826" max="13827" width="8.33203125" style="95" customWidth="1"/>
    <col min="13828" max="13828" width="2.6640625" style="95" customWidth="1"/>
    <col min="13829" max="13830" width="8.33203125" style="95" customWidth="1"/>
    <col min="13831" max="13831" width="2.83203125" style="95" customWidth="1"/>
    <col min="13832" max="13833" width="9.1640625" style="95" customWidth="1"/>
    <col min="13834" max="13834" width="2.5" style="95" customWidth="1"/>
    <col min="13835" max="13835" width="4.33203125" style="95" customWidth="1"/>
    <col min="13836" max="14080" width="9.1640625" style="95"/>
    <col min="14081" max="14081" width="37.5" style="95" customWidth="1"/>
    <col min="14082" max="14083" width="8.33203125" style="95" customWidth="1"/>
    <col min="14084" max="14084" width="2.6640625" style="95" customWidth="1"/>
    <col min="14085" max="14086" width="8.33203125" style="95" customWidth="1"/>
    <col min="14087" max="14087" width="2.83203125" style="95" customWidth="1"/>
    <col min="14088" max="14089" width="9.1640625" style="95" customWidth="1"/>
    <col min="14090" max="14090" width="2.5" style="95" customWidth="1"/>
    <col min="14091" max="14091" width="4.33203125" style="95" customWidth="1"/>
    <col min="14092" max="14336" width="9.1640625" style="95"/>
    <col min="14337" max="14337" width="37.5" style="95" customWidth="1"/>
    <col min="14338" max="14339" width="8.33203125" style="95" customWidth="1"/>
    <col min="14340" max="14340" width="2.6640625" style="95" customWidth="1"/>
    <col min="14341" max="14342" width="8.33203125" style="95" customWidth="1"/>
    <col min="14343" max="14343" width="2.83203125" style="95" customWidth="1"/>
    <col min="14344" max="14345" width="9.1640625" style="95" customWidth="1"/>
    <col min="14346" max="14346" width="2.5" style="95" customWidth="1"/>
    <col min="14347" max="14347" width="4.33203125" style="95" customWidth="1"/>
    <col min="14348" max="14592" width="9.1640625" style="95"/>
    <col min="14593" max="14593" width="37.5" style="95" customWidth="1"/>
    <col min="14594" max="14595" width="8.33203125" style="95" customWidth="1"/>
    <col min="14596" max="14596" width="2.6640625" style="95" customWidth="1"/>
    <col min="14597" max="14598" width="8.33203125" style="95" customWidth="1"/>
    <col min="14599" max="14599" width="2.83203125" style="95" customWidth="1"/>
    <col min="14600" max="14601" width="9.1640625" style="95" customWidth="1"/>
    <col min="14602" max="14602" width="2.5" style="95" customWidth="1"/>
    <col min="14603" max="14603" width="4.33203125" style="95" customWidth="1"/>
    <col min="14604" max="14848" width="9.1640625" style="95"/>
    <col min="14849" max="14849" width="37.5" style="95" customWidth="1"/>
    <col min="14850" max="14851" width="8.33203125" style="95" customWidth="1"/>
    <col min="14852" max="14852" width="2.6640625" style="95" customWidth="1"/>
    <col min="14853" max="14854" width="8.33203125" style="95" customWidth="1"/>
    <col min="14855" max="14855" width="2.83203125" style="95" customWidth="1"/>
    <col min="14856" max="14857" width="9.1640625" style="95" customWidth="1"/>
    <col min="14858" max="14858" width="2.5" style="95" customWidth="1"/>
    <col min="14859" max="14859" width="4.33203125" style="95" customWidth="1"/>
    <col min="14860" max="15104" width="9.1640625" style="95"/>
    <col min="15105" max="15105" width="37.5" style="95" customWidth="1"/>
    <col min="15106" max="15107" width="8.33203125" style="95" customWidth="1"/>
    <col min="15108" max="15108" width="2.6640625" style="95" customWidth="1"/>
    <col min="15109" max="15110" width="8.33203125" style="95" customWidth="1"/>
    <col min="15111" max="15111" width="2.83203125" style="95" customWidth="1"/>
    <col min="15112" max="15113" width="9.1640625" style="95" customWidth="1"/>
    <col min="15114" max="15114" width="2.5" style="95" customWidth="1"/>
    <col min="15115" max="15115" width="4.33203125" style="95" customWidth="1"/>
    <col min="15116" max="15360" width="9.1640625" style="95"/>
    <col min="15361" max="15361" width="37.5" style="95" customWidth="1"/>
    <col min="15362" max="15363" width="8.33203125" style="95" customWidth="1"/>
    <col min="15364" max="15364" width="2.6640625" style="95" customWidth="1"/>
    <col min="15365" max="15366" width="8.33203125" style="95" customWidth="1"/>
    <col min="15367" max="15367" width="2.83203125" style="95" customWidth="1"/>
    <col min="15368" max="15369" width="9.1640625" style="95" customWidth="1"/>
    <col min="15370" max="15370" width="2.5" style="95" customWidth="1"/>
    <col min="15371" max="15371" width="4.33203125" style="95" customWidth="1"/>
    <col min="15372" max="15616" width="9.1640625" style="95"/>
    <col min="15617" max="15617" width="37.5" style="95" customWidth="1"/>
    <col min="15618" max="15619" width="8.33203125" style="95" customWidth="1"/>
    <col min="15620" max="15620" width="2.6640625" style="95" customWidth="1"/>
    <col min="15621" max="15622" width="8.33203125" style="95" customWidth="1"/>
    <col min="15623" max="15623" width="2.83203125" style="95" customWidth="1"/>
    <col min="15624" max="15625" width="9.1640625" style="95" customWidth="1"/>
    <col min="15626" max="15626" width="2.5" style="95" customWidth="1"/>
    <col min="15627" max="15627" width="4.33203125" style="95" customWidth="1"/>
    <col min="15628" max="15872" width="9.1640625" style="95"/>
    <col min="15873" max="15873" width="37.5" style="95" customWidth="1"/>
    <col min="15874" max="15875" width="8.33203125" style="95" customWidth="1"/>
    <col min="15876" max="15876" width="2.6640625" style="95" customWidth="1"/>
    <col min="15877" max="15878" width="8.33203125" style="95" customWidth="1"/>
    <col min="15879" max="15879" width="2.83203125" style="95" customWidth="1"/>
    <col min="15880" max="15881" width="9.1640625" style="95" customWidth="1"/>
    <col min="15882" max="15882" width="2.5" style="95" customWidth="1"/>
    <col min="15883" max="15883" width="4.33203125" style="95" customWidth="1"/>
    <col min="15884" max="16128" width="9.1640625" style="95"/>
    <col min="16129" max="16129" width="37.5" style="95" customWidth="1"/>
    <col min="16130" max="16131" width="8.33203125" style="95" customWidth="1"/>
    <col min="16132" max="16132" width="2.6640625" style="95" customWidth="1"/>
    <col min="16133" max="16134" width="8.33203125" style="95" customWidth="1"/>
    <col min="16135" max="16135" width="2.83203125" style="95" customWidth="1"/>
    <col min="16136" max="16137" width="9.1640625" style="95" customWidth="1"/>
    <col min="16138" max="16138" width="2.5" style="95" customWidth="1"/>
    <col min="16139" max="16139" width="4.33203125" style="95" customWidth="1"/>
    <col min="16140" max="16384" width="9.1640625" style="95"/>
  </cols>
  <sheetData>
    <row r="1" spans="1:11">
      <c r="A1" s="33" t="s">
        <v>589</v>
      </c>
      <c r="B1" s="391"/>
      <c r="C1" s="401"/>
      <c r="D1" s="61"/>
      <c r="F1" s="401"/>
    </row>
    <row r="2" spans="1:11">
      <c r="A2" s="33" t="s">
        <v>590</v>
      </c>
      <c r="B2" s="391"/>
      <c r="C2" s="401"/>
      <c r="D2" s="61"/>
      <c r="F2" s="401"/>
    </row>
    <row r="3" spans="1:11" ht="9.75" customHeight="1">
      <c r="A3" s="33"/>
      <c r="B3" s="391"/>
      <c r="C3" s="401"/>
      <c r="D3" s="61"/>
      <c r="F3" s="401"/>
    </row>
    <row r="4" spans="1:11">
      <c r="A4" s="33" t="s">
        <v>2242</v>
      </c>
      <c r="B4" s="391"/>
      <c r="C4" s="401"/>
      <c r="D4" s="61"/>
      <c r="F4" s="401"/>
    </row>
    <row r="5" spans="1:11" ht="10.5" customHeight="1" thickBot="1">
      <c r="A5" s="33"/>
      <c r="B5" s="391"/>
      <c r="C5" s="401"/>
      <c r="D5" s="61"/>
      <c r="F5" s="401"/>
    </row>
    <row r="6" spans="1:11" ht="12.75" customHeight="1">
      <c r="A6" s="188"/>
      <c r="B6" s="395"/>
      <c r="C6" s="596"/>
      <c r="D6" s="594"/>
      <c r="E6" s="395"/>
      <c r="F6" s="596"/>
      <c r="G6" s="596"/>
      <c r="H6" s="581"/>
      <c r="I6" s="581"/>
      <c r="J6" s="581"/>
    </row>
    <row r="7" spans="1:11" ht="15" customHeight="1">
      <c r="A7" s="57" t="s">
        <v>995</v>
      </c>
      <c r="B7" s="915" t="s">
        <v>2151</v>
      </c>
      <c r="C7" s="192"/>
      <c r="D7" s="916"/>
      <c r="E7" s="1021" t="s">
        <v>1573</v>
      </c>
      <c r="F7" s="1021"/>
      <c r="H7" s="1037" t="s">
        <v>2152</v>
      </c>
      <c r="I7" s="1026"/>
    </row>
    <row r="8" spans="1:11" ht="15" customHeight="1">
      <c r="A8" s="33" t="s">
        <v>1576</v>
      </c>
      <c r="B8" s="196" t="s">
        <v>400</v>
      </c>
      <c r="C8" s="195" t="s">
        <v>401</v>
      </c>
      <c r="D8" s="916"/>
      <c r="E8" s="196" t="s">
        <v>400</v>
      </c>
      <c r="F8" s="195" t="s">
        <v>401</v>
      </c>
      <c r="H8" s="107" t="s">
        <v>1356</v>
      </c>
      <c r="I8" s="107" t="s">
        <v>153</v>
      </c>
    </row>
    <row r="9" spans="1:11" ht="14.25" customHeight="1" thickBot="1">
      <c r="A9" s="199"/>
      <c r="B9" s="400"/>
      <c r="C9" s="535"/>
      <c r="D9" s="534"/>
      <c r="E9" s="400"/>
      <c r="F9" s="535"/>
      <c r="H9" s="109"/>
      <c r="I9" s="109"/>
    </row>
    <row r="10" spans="1:11" ht="11.25" customHeight="1">
      <c r="A10" s="57"/>
      <c r="B10" s="915"/>
      <c r="C10" s="192"/>
      <c r="D10" s="916"/>
      <c r="E10" s="915"/>
      <c r="F10" s="192"/>
      <c r="G10" s="596"/>
      <c r="I10" s="192"/>
      <c r="J10" s="581"/>
    </row>
    <row r="11" spans="1:11" ht="13" customHeight="1">
      <c r="A11" s="55" t="s">
        <v>290</v>
      </c>
      <c r="B11" s="379">
        <f>IF(A11&lt;&gt;0,E11+H11,"")</f>
        <v>164</v>
      </c>
      <c r="C11" s="611">
        <f>SUM(C12:C50)</f>
        <v>99.999999999999972</v>
      </c>
      <c r="D11" s="301"/>
      <c r="E11" s="379">
        <f>SUM(E12:E51)</f>
        <v>164</v>
      </c>
      <c r="F11" s="537">
        <f>IF(A11&lt;&gt;0,E11/B11*100,"")</f>
        <v>100</v>
      </c>
      <c r="G11" s="219"/>
      <c r="H11" s="303">
        <v>0</v>
      </c>
      <c r="I11" s="192">
        <v>0</v>
      </c>
    </row>
    <row r="12" spans="1:11" ht="12" customHeight="1">
      <c r="A12" s="55"/>
      <c r="B12" s="379" t="str">
        <f>IF(A12&lt;&gt;0,E12+#REF!+H12,"")</f>
        <v/>
      </c>
      <c r="C12" s="537"/>
      <c r="D12" s="301"/>
      <c r="E12" s="560"/>
      <c r="F12" s="537"/>
      <c r="G12" s="219"/>
      <c r="H12" s="234"/>
      <c r="I12" s="192" t="str">
        <f t="shared" ref="I12:I50" si="0">IF(A12&lt;&gt;0,H12/B12*100,"")</f>
        <v/>
      </c>
    </row>
    <row r="13" spans="1:11" ht="15" customHeight="1">
      <c r="A13" s="405" t="s">
        <v>715</v>
      </c>
      <c r="B13" s="379">
        <f>IF(A13&lt;&gt;0,E13+H13,"")</f>
        <v>3</v>
      </c>
      <c r="C13" s="537">
        <f t="shared" ref="C13:C50" si="1">IF(A13&lt;&gt;0,B13/$B$11*100,"")</f>
        <v>1.8292682926829267</v>
      </c>
      <c r="D13" s="301"/>
      <c r="E13" s="954">
        <v>3</v>
      </c>
      <c r="F13" s="537">
        <f>IF(A13&lt;&gt;0,E13/$B$11*100,"")</f>
        <v>1.8292682926829267</v>
      </c>
      <c r="G13" s="33"/>
      <c r="H13" s="549">
        <v>0</v>
      </c>
      <c r="I13" s="537">
        <f t="shared" si="0"/>
        <v>0</v>
      </c>
      <c r="J13" s="33"/>
      <c r="K13" s="33"/>
    </row>
    <row r="14" spans="1:11" ht="15" customHeight="1">
      <c r="A14" s="925" t="s">
        <v>716</v>
      </c>
      <c r="B14" s="379">
        <f t="shared" ref="B14:B50" si="2">IF(A14&lt;&gt;0,E14+H14,"")</f>
        <v>1</v>
      </c>
      <c r="C14" s="537">
        <f t="shared" si="1"/>
        <v>0.6097560975609756</v>
      </c>
      <c r="D14" s="301"/>
      <c r="E14" s="954">
        <v>1</v>
      </c>
      <c r="F14" s="537">
        <f t="shared" ref="F14:F50" si="3">IF(A14&lt;&gt;0,E14/$B$11*100,"")</f>
        <v>0.6097560975609756</v>
      </c>
      <c r="G14" s="33"/>
      <c r="H14" s="549">
        <v>0</v>
      </c>
      <c r="I14" s="537">
        <f t="shared" si="0"/>
        <v>0</v>
      </c>
      <c r="J14" s="33"/>
      <c r="K14" s="33"/>
    </row>
    <row r="15" spans="1:11" ht="15" customHeight="1">
      <c r="A15" s="405" t="s">
        <v>1536</v>
      </c>
      <c r="B15" s="379">
        <f t="shared" si="2"/>
        <v>1</v>
      </c>
      <c r="C15" s="537">
        <f t="shared" si="1"/>
        <v>0.6097560975609756</v>
      </c>
      <c r="D15" s="301"/>
      <c r="E15" s="954">
        <v>1</v>
      </c>
      <c r="F15" s="537">
        <f t="shared" si="3"/>
        <v>0.6097560975609756</v>
      </c>
      <c r="G15" s="33"/>
      <c r="H15" s="549">
        <v>0</v>
      </c>
      <c r="I15" s="537">
        <f t="shared" si="0"/>
        <v>0</v>
      </c>
      <c r="J15" s="33"/>
      <c r="K15" s="33"/>
    </row>
    <row r="16" spans="1:11" ht="15" customHeight="1">
      <c r="A16" s="405" t="s">
        <v>718</v>
      </c>
      <c r="B16" s="379">
        <f t="shared" si="2"/>
        <v>13</v>
      </c>
      <c r="C16" s="537">
        <f t="shared" si="1"/>
        <v>7.9268292682926829</v>
      </c>
      <c r="D16" s="301"/>
      <c r="E16" s="954">
        <v>13</v>
      </c>
      <c r="F16" s="537">
        <f t="shared" si="3"/>
        <v>7.9268292682926829</v>
      </c>
      <c r="G16" s="33"/>
      <c r="H16" s="549">
        <v>0</v>
      </c>
      <c r="I16" s="537">
        <f t="shared" si="0"/>
        <v>0</v>
      </c>
      <c r="J16" s="33"/>
      <c r="K16" s="33"/>
    </row>
    <row r="17" spans="1:11" ht="15" customHeight="1">
      <c r="A17" s="405" t="s">
        <v>720</v>
      </c>
      <c r="B17" s="379">
        <f t="shared" si="2"/>
        <v>3</v>
      </c>
      <c r="C17" s="537">
        <f t="shared" si="1"/>
        <v>1.8292682926829267</v>
      </c>
      <c r="D17" s="301"/>
      <c r="E17" s="954">
        <v>3</v>
      </c>
      <c r="F17" s="537">
        <f t="shared" si="3"/>
        <v>1.8292682926829267</v>
      </c>
      <c r="G17" s="33"/>
      <c r="H17" s="549">
        <v>0</v>
      </c>
      <c r="I17" s="537">
        <f t="shared" si="0"/>
        <v>0</v>
      </c>
      <c r="J17" s="33"/>
      <c r="K17" s="33"/>
    </row>
    <row r="18" spans="1:11" ht="15" customHeight="1">
      <c r="A18" s="405" t="s">
        <v>722</v>
      </c>
      <c r="B18" s="379">
        <f t="shared" si="2"/>
        <v>12</v>
      </c>
      <c r="C18" s="537">
        <f t="shared" si="1"/>
        <v>7.3170731707317067</v>
      </c>
      <c r="D18" s="301"/>
      <c r="E18" s="954">
        <v>12</v>
      </c>
      <c r="F18" s="537">
        <f t="shared" si="3"/>
        <v>7.3170731707317067</v>
      </c>
      <c r="G18" s="33"/>
      <c r="H18" s="549">
        <v>0</v>
      </c>
      <c r="I18" s="537">
        <f t="shared" si="0"/>
        <v>0</v>
      </c>
      <c r="J18" s="33"/>
      <c r="K18" s="33"/>
    </row>
    <row r="19" spans="1:11" ht="15" customHeight="1">
      <c r="A19" s="405" t="s">
        <v>1537</v>
      </c>
      <c r="B19" s="379">
        <f t="shared" si="2"/>
        <v>6</v>
      </c>
      <c r="C19" s="537">
        <f t="shared" si="1"/>
        <v>3.6585365853658534</v>
      </c>
      <c r="D19" s="301"/>
      <c r="E19" s="954">
        <v>6</v>
      </c>
      <c r="F19" s="537">
        <f t="shared" si="3"/>
        <v>3.6585365853658534</v>
      </c>
      <c r="G19" s="33"/>
      <c r="H19" s="549">
        <v>0</v>
      </c>
      <c r="I19" s="537">
        <f t="shared" si="0"/>
        <v>0</v>
      </c>
      <c r="J19" s="33"/>
      <c r="K19" s="33"/>
    </row>
    <row r="20" spans="1:11" ht="15" customHeight="1">
      <c r="A20" s="405" t="s">
        <v>726</v>
      </c>
      <c r="B20" s="379">
        <f t="shared" si="2"/>
        <v>1</v>
      </c>
      <c r="C20" s="537">
        <f t="shared" si="1"/>
        <v>0.6097560975609756</v>
      </c>
      <c r="D20" s="301"/>
      <c r="E20" s="954">
        <v>1</v>
      </c>
      <c r="F20" s="537">
        <f t="shared" si="3"/>
        <v>0.6097560975609756</v>
      </c>
      <c r="G20" s="33"/>
      <c r="H20" s="549">
        <v>0</v>
      </c>
      <c r="I20" s="537">
        <f t="shared" si="0"/>
        <v>0</v>
      </c>
      <c r="J20" s="33"/>
      <c r="K20" s="33"/>
    </row>
    <row r="21" spans="1:11" ht="15" customHeight="1">
      <c r="A21" s="405" t="s">
        <v>727</v>
      </c>
      <c r="B21" s="379">
        <f t="shared" si="2"/>
        <v>2</v>
      </c>
      <c r="C21" s="537">
        <f t="shared" si="1"/>
        <v>1.2195121951219512</v>
      </c>
      <c r="D21" s="301"/>
      <c r="E21" s="954">
        <v>2</v>
      </c>
      <c r="F21" s="537">
        <f t="shared" si="3"/>
        <v>1.2195121951219512</v>
      </c>
      <c r="G21" s="33"/>
      <c r="H21" s="549"/>
      <c r="I21" s="537">
        <f t="shared" si="0"/>
        <v>0</v>
      </c>
      <c r="J21" s="33"/>
      <c r="K21" s="33"/>
    </row>
    <row r="22" spans="1:11" ht="15" customHeight="1">
      <c r="A22" s="932" t="s">
        <v>728</v>
      </c>
      <c r="B22" s="379">
        <f t="shared" si="2"/>
        <v>1</v>
      </c>
      <c r="C22" s="537">
        <f t="shared" si="1"/>
        <v>0.6097560975609756</v>
      </c>
      <c r="D22" s="301"/>
      <c r="E22" s="954">
        <v>1</v>
      </c>
      <c r="F22" s="537">
        <f t="shared" si="3"/>
        <v>0.6097560975609756</v>
      </c>
      <c r="G22" s="33"/>
      <c r="H22" s="549">
        <v>0</v>
      </c>
      <c r="I22" s="537">
        <f t="shared" si="0"/>
        <v>0</v>
      </c>
      <c r="J22" s="33"/>
      <c r="K22" s="33"/>
    </row>
    <row r="23" spans="1:11" ht="15" customHeight="1">
      <c r="A23" s="405" t="s">
        <v>1538</v>
      </c>
      <c r="B23" s="379">
        <f t="shared" si="2"/>
        <v>9</v>
      </c>
      <c r="C23" s="537">
        <f t="shared" si="1"/>
        <v>5.4878048780487809</v>
      </c>
      <c r="D23" s="301"/>
      <c r="E23" s="954">
        <v>9</v>
      </c>
      <c r="F23" s="537">
        <f t="shared" si="3"/>
        <v>5.4878048780487809</v>
      </c>
      <c r="G23" s="33"/>
      <c r="H23" s="549">
        <v>0</v>
      </c>
      <c r="I23" s="537">
        <f t="shared" si="0"/>
        <v>0</v>
      </c>
      <c r="J23" s="33"/>
      <c r="K23" s="33"/>
    </row>
    <row r="24" spans="1:11" ht="15" customHeight="1">
      <c r="A24" s="405" t="s">
        <v>730</v>
      </c>
      <c r="B24" s="379">
        <f t="shared" si="2"/>
        <v>3</v>
      </c>
      <c r="C24" s="537">
        <f t="shared" si="1"/>
        <v>1.8292682926829267</v>
      </c>
      <c r="D24" s="301"/>
      <c r="E24" s="954">
        <v>3</v>
      </c>
      <c r="F24" s="537">
        <f t="shared" si="3"/>
        <v>1.8292682926829267</v>
      </c>
      <c r="G24" s="33"/>
      <c r="H24" s="549">
        <v>0</v>
      </c>
      <c r="I24" s="537">
        <f t="shared" si="0"/>
        <v>0</v>
      </c>
      <c r="J24" s="33"/>
      <c r="K24" s="33"/>
    </row>
    <row r="25" spans="1:11" ht="15" customHeight="1">
      <c r="A25" s="405" t="s">
        <v>731</v>
      </c>
      <c r="B25" s="379">
        <f t="shared" si="2"/>
        <v>4</v>
      </c>
      <c r="C25" s="537">
        <f t="shared" si="1"/>
        <v>2.4390243902439024</v>
      </c>
      <c r="D25" s="301"/>
      <c r="E25" s="954">
        <v>4</v>
      </c>
      <c r="F25" s="537">
        <f t="shared" si="3"/>
        <v>2.4390243902439024</v>
      </c>
      <c r="G25" s="33"/>
      <c r="H25" s="549">
        <v>0</v>
      </c>
      <c r="I25" s="537">
        <f t="shared" si="0"/>
        <v>0</v>
      </c>
      <c r="J25" s="33"/>
      <c r="K25" s="33"/>
    </row>
    <row r="26" spans="1:11" ht="15" customHeight="1">
      <c r="A26" s="405" t="s">
        <v>732</v>
      </c>
      <c r="B26" s="379">
        <f t="shared" si="2"/>
        <v>3</v>
      </c>
      <c r="C26" s="537">
        <f t="shared" si="1"/>
        <v>1.8292682926829267</v>
      </c>
      <c r="D26" s="301"/>
      <c r="E26" s="954">
        <v>3</v>
      </c>
      <c r="F26" s="537">
        <f t="shared" si="3"/>
        <v>1.8292682926829267</v>
      </c>
      <c r="G26" s="33"/>
      <c r="H26" s="549">
        <v>0</v>
      </c>
      <c r="I26" s="537">
        <f t="shared" si="0"/>
        <v>0</v>
      </c>
      <c r="J26" s="33"/>
      <c r="K26" s="33"/>
    </row>
    <row r="27" spans="1:11" ht="15" customHeight="1">
      <c r="A27" s="925" t="s">
        <v>2140</v>
      </c>
      <c r="B27" s="379">
        <f t="shared" si="2"/>
        <v>1</v>
      </c>
      <c r="C27" s="537">
        <f t="shared" si="1"/>
        <v>0.6097560975609756</v>
      </c>
      <c r="D27" s="301"/>
      <c r="E27" s="954">
        <v>1</v>
      </c>
      <c r="F27" s="537">
        <f t="shared" si="3"/>
        <v>0.6097560975609756</v>
      </c>
      <c r="G27" s="33"/>
      <c r="H27" s="549">
        <v>0</v>
      </c>
      <c r="I27" s="537">
        <f t="shared" si="0"/>
        <v>0</v>
      </c>
      <c r="J27" s="33"/>
      <c r="K27" s="33"/>
    </row>
    <row r="28" spans="1:11" ht="15" customHeight="1">
      <c r="A28" s="925" t="s">
        <v>2141</v>
      </c>
      <c r="B28" s="379">
        <f t="shared" si="2"/>
        <v>2</v>
      </c>
      <c r="C28" s="537">
        <f t="shared" si="1"/>
        <v>1.2195121951219512</v>
      </c>
      <c r="D28" s="301"/>
      <c r="E28" s="954">
        <v>2</v>
      </c>
      <c r="F28" s="537">
        <f t="shared" si="3"/>
        <v>1.2195121951219512</v>
      </c>
      <c r="G28" s="33"/>
      <c r="H28" s="549">
        <v>0</v>
      </c>
      <c r="I28" s="537">
        <f t="shared" si="0"/>
        <v>0</v>
      </c>
      <c r="J28" s="33"/>
      <c r="K28" s="33"/>
    </row>
    <row r="29" spans="1:11" ht="15" customHeight="1">
      <c r="A29" s="405" t="s">
        <v>1539</v>
      </c>
      <c r="B29" s="379">
        <f t="shared" si="2"/>
        <v>4</v>
      </c>
      <c r="C29" s="537">
        <f t="shared" si="1"/>
        <v>2.4390243902439024</v>
      </c>
      <c r="D29" s="301"/>
      <c r="E29" s="954">
        <v>4</v>
      </c>
      <c r="F29" s="537">
        <f t="shared" si="3"/>
        <v>2.4390243902439024</v>
      </c>
      <c r="G29" s="33"/>
      <c r="H29" s="549">
        <v>0</v>
      </c>
      <c r="I29" s="537">
        <f t="shared" si="0"/>
        <v>0</v>
      </c>
      <c r="J29" s="33"/>
      <c r="K29" s="33"/>
    </row>
    <row r="30" spans="1:11" ht="15" customHeight="1">
      <c r="A30" s="405" t="s">
        <v>736</v>
      </c>
      <c r="B30" s="379">
        <f>IF(A30&lt;&gt;0,E30+H30,"")</f>
        <v>2</v>
      </c>
      <c r="C30" s="537">
        <f>IF(A30&lt;&gt;0,B30/$B$11*100,"")</f>
        <v>1.2195121951219512</v>
      </c>
      <c r="D30" s="301"/>
      <c r="E30" s="954">
        <v>2</v>
      </c>
      <c r="F30" s="537">
        <f t="shared" si="3"/>
        <v>1.2195121951219512</v>
      </c>
      <c r="G30" s="33"/>
      <c r="H30" s="549">
        <v>0</v>
      </c>
      <c r="I30" s="537"/>
      <c r="J30" s="33"/>
      <c r="K30" s="33"/>
    </row>
    <row r="31" spans="1:11" ht="15" customHeight="1">
      <c r="A31" s="405" t="s">
        <v>1540</v>
      </c>
      <c r="B31" s="379">
        <f>IF(A31&lt;&gt;0,E31+H31,"")</f>
        <v>7</v>
      </c>
      <c r="C31" s="537">
        <f>IF(A31&lt;&gt;0,B31/$B$11*100,"")</f>
        <v>4.2682926829268295</v>
      </c>
      <c r="D31" s="301"/>
      <c r="E31" s="954">
        <v>7</v>
      </c>
      <c r="F31" s="537">
        <f t="shared" si="3"/>
        <v>4.2682926829268295</v>
      </c>
      <c r="G31" s="33"/>
      <c r="H31" s="549">
        <v>0</v>
      </c>
      <c r="I31" s="537">
        <f t="shared" si="0"/>
        <v>0</v>
      </c>
      <c r="J31" s="33"/>
      <c r="K31" s="33"/>
    </row>
    <row r="32" spans="1:11" ht="15" customHeight="1">
      <c r="A32" s="405" t="s">
        <v>739</v>
      </c>
      <c r="B32" s="379">
        <f t="shared" si="2"/>
        <v>2</v>
      </c>
      <c r="C32" s="537">
        <f t="shared" si="1"/>
        <v>1.2195121951219512</v>
      </c>
      <c r="D32" s="301"/>
      <c r="E32" s="954">
        <v>2</v>
      </c>
      <c r="F32" s="537">
        <f t="shared" si="3"/>
        <v>1.2195121951219512</v>
      </c>
      <c r="G32" s="33"/>
      <c r="H32" s="549">
        <v>0</v>
      </c>
      <c r="I32" s="537">
        <f t="shared" si="0"/>
        <v>0</v>
      </c>
      <c r="J32" s="33"/>
      <c r="K32" s="33"/>
    </row>
    <row r="33" spans="1:11" ht="15" customHeight="1">
      <c r="A33" s="405" t="s">
        <v>740</v>
      </c>
      <c r="B33" s="379">
        <f t="shared" si="2"/>
        <v>6</v>
      </c>
      <c r="C33" s="537">
        <f t="shared" si="1"/>
        <v>3.6585365853658534</v>
      </c>
      <c r="D33" s="301"/>
      <c r="E33" s="954">
        <v>6</v>
      </c>
      <c r="F33" s="537">
        <f t="shared" si="3"/>
        <v>3.6585365853658534</v>
      </c>
      <c r="G33" s="33"/>
      <c r="H33" s="549">
        <v>0</v>
      </c>
      <c r="I33" s="537">
        <f t="shared" si="0"/>
        <v>0</v>
      </c>
      <c r="J33" s="33"/>
      <c r="K33" s="33"/>
    </row>
    <row r="34" spans="1:11" ht="15" customHeight="1">
      <c r="A34" s="932" t="s">
        <v>2142</v>
      </c>
      <c r="B34" s="379">
        <f t="shared" si="2"/>
        <v>7</v>
      </c>
      <c r="C34" s="537">
        <f t="shared" si="1"/>
        <v>4.2682926829268295</v>
      </c>
      <c r="D34" s="301"/>
      <c r="E34" s="954">
        <v>7</v>
      </c>
      <c r="F34" s="537">
        <f t="shared" si="3"/>
        <v>4.2682926829268295</v>
      </c>
      <c r="G34" s="33"/>
      <c r="H34" s="549">
        <v>0</v>
      </c>
      <c r="I34" s="537">
        <f t="shared" si="0"/>
        <v>0</v>
      </c>
      <c r="J34" s="33"/>
      <c r="K34" s="33"/>
    </row>
    <row r="35" spans="1:11" ht="15" customHeight="1">
      <c r="A35" s="925" t="s">
        <v>2143</v>
      </c>
      <c r="B35" s="379">
        <f t="shared" si="2"/>
        <v>2</v>
      </c>
      <c r="C35" s="537">
        <f t="shared" si="1"/>
        <v>1.2195121951219512</v>
      </c>
      <c r="D35" s="301"/>
      <c r="E35" s="954">
        <v>2</v>
      </c>
      <c r="F35" s="537">
        <f t="shared" si="3"/>
        <v>1.2195121951219512</v>
      </c>
      <c r="G35" s="33"/>
      <c r="H35" s="549">
        <v>0</v>
      </c>
      <c r="I35" s="537">
        <f t="shared" si="0"/>
        <v>0</v>
      </c>
      <c r="J35" s="33"/>
      <c r="K35" s="33"/>
    </row>
    <row r="36" spans="1:11" ht="15" customHeight="1">
      <c r="A36" s="405" t="s">
        <v>746</v>
      </c>
      <c r="B36" s="379">
        <f>IF(A36&lt;&gt;0,E36+H36,"")</f>
        <v>11</v>
      </c>
      <c r="C36" s="537">
        <f>IF(A36&lt;&gt;0,B36/$B$11*100,"")</f>
        <v>6.7073170731707323</v>
      </c>
      <c r="D36" s="301"/>
      <c r="E36" s="954">
        <v>11</v>
      </c>
      <c r="F36" s="537">
        <f t="shared" si="3"/>
        <v>6.7073170731707323</v>
      </c>
      <c r="G36" s="33"/>
      <c r="H36" s="549">
        <v>0</v>
      </c>
      <c r="I36" s="537"/>
      <c r="J36" s="33"/>
      <c r="K36" s="33"/>
    </row>
    <row r="37" spans="1:11" ht="15" customHeight="1">
      <c r="A37" s="405" t="s">
        <v>747</v>
      </c>
      <c r="B37" s="379">
        <f>IF(A37&lt;&gt;0,E37+H37,"")</f>
        <v>2</v>
      </c>
      <c r="C37" s="537">
        <f>IF(A37&lt;&gt;0,B37/$B$11*100,"")</f>
        <v>1.2195121951219512</v>
      </c>
      <c r="D37" s="301"/>
      <c r="E37" s="954">
        <v>2</v>
      </c>
      <c r="F37" s="537">
        <f t="shared" si="3"/>
        <v>1.2195121951219512</v>
      </c>
      <c r="G37" s="33"/>
      <c r="H37" s="549">
        <v>0</v>
      </c>
      <c r="I37" s="537">
        <f t="shared" si="0"/>
        <v>0</v>
      </c>
      <c r="J37" s="33"/>
      <c r="K37" s="33"/>
    </row>
    <row r="38" spans="1:11" ht="15" customHeight="1">
      <c r="A38" s="405" t="s">
        <v>748</v>
      </c>
      <c r="B38" s="379">
        <f>IF(A38&lt;&gt;0,E38+H38,"")</f>
        <v>4</v>
      </c>
      <c r="C38" s="537">
        <f>IF(A38&lt;&gt;0,B38/$B$11*100,"")</f>
        <v>2.4390243902439024</v>
      </c>
      <c r="D38" s="301"/>
      <c r="E38" s="954">
        <v>4</v>
      </c>
      <c r="F38" s="537">
        <f t="shared" si="3"/>
        <v>2.4390243902439024</v>
      </c>
      <c r="G38" s="33"/>
      <c r="H38" s="549">
        <v>0</v>
      </c>
      <c r="I38" s="537">
        <f t="shared" si="0"/>
        <v>0</v>
      </c>
      <c r="J38" s="33"/>
      <c r="K38" s="33"/>
    </row>
    <row r="39" spans="1:11" ht="15" customHeight="1">
      <c r="A39" s="405" t="s">
        <v>749</v>
      </c>
      <c r="B39" s="379">
        <f t="shared" si="2"/>
        <v>1</v>
      </c>
      <c r="C39" s="537">
        <f t="shared" si="1"/>
        <v>0.6097560975609756</v>
      </c>
      <c r="D39" s="301"/>
      <c r="E39" s="954">
        <v>1</v>
      </c>
      <c r="F39" s="537">
        <f t="shared" si="3"/>
        <v>0.6097560975609756</v>
      </c>
      <c r="G39" s="33"/>
      <c r="H39" s="549">
        <v>0</v>
      </c>
      <c r="I39" s="537">
        <f t="shared" si="0"/>
        <v>0</v>
      </c>
      <c r="J39" s="33"/>
      <c r="K39" s="33"/>
    </row>
    <row r="40" spans="1:11" ht="15" customHeight="1">
      <c r="A40" s="932" t="s">
        <v>751</v>
      </c>
      <c r="B40" s="379">
        <f t="shared" si="2"/>
        <v>3</v>
      </c>
      <c r="C40" s="537">
        <f t="shared" si="1"/>
        <v>1.8292682926829267</v>
      </c>
      <c r="D40" s="301"/>
      <c r="E40" s="954">
        <v>3</v>
      </c>
      <c r="F40" s="537">
        <f t="shared" si="3"/>
        <v>1.8292682926829267</v>
      </c>
      <c r="G40" s="33"/>
      <c r="H40" s="549">
        <v>0</v>
      </c>
      <c r="I40" s="537">
        <f t="shared" si="0"/>
        <v>0</v>
      </c>
      <c r="J40" s="33"/>
      <c r="K40" s="33"/>
    </row>
    <row r="41" spans="1:11" ht="15" customHeight="1">
      <c r="A41" s="405" t="s">
        <v>752</v>
      </c>
      <c r="B41" s="379">
        <f t="shared" si="2"/>
        <v>1</v>
      </c>
      <c r="C41" s="537">
        <f t="shared" si="1"/>
        <v>0.6097560975609756</v>
      </c>
      <c r="D41" s="301"/>
      <c r="E41" s="954">
        <v>1</v>
      </c>
      <c r="F41" s="537">
        <f t="shared" si="3"/>
        <v>0.6097560975609756</v>
      </c>
      <c r="G41" s="33"/>
      <c r="H41" s="549">
        <v>0</v>
      </c>
      <c r="I41" s="537">
        <f t="shared" si="0"/>
        <v>0</v>
      </c>
      <c r="J41" s="33"/>
      <c r="K41" s="33"/>
    </row>
    <row r="42" spans="1:11" ht="15" customHeight="1">
      <c r="A42" s="405" t="s">
        <v>755</v>
      </c>
      <c r="B42" s="379">
        <f t="shared" si="2"/>
        <v>8</v>
      </c>
      <c r="C42" s="537">
        <f t="shared" si="1"/>
        <v>4.8780487804878048</v>
      </c>
      <c r="D42" s="301"/>
      <c r="E42" s="954">
        <v>8</v>
      </c>
      <c r="F42" s="537">
        <f t="shared" si="3"/>
        <v>4.8780487804878048</v>
      </c>
      <c r="G42" s="33"/>
      <c r="H42" s="549">
        <v>0</v>
      </c>
      <c r="I42" s="537">
        <f t="shared" si="0"/>
        <v>0</v>
      </c>
      <c r="J42" s="33"/>
      <c r="K42" s="33"/>
    </row>
    <row r="43" spans="1:11" ht="15" customHeight="1">
      <c r="A43" s="405" t="s">
        <v>757</v>
      </c>
      <c r="B43" s="379">
        <f t="shared" si="2"/>
        <v>3</v>
      </c>
      <c r="C43" s="537">
        <f t="shared" si="1"/>
        <v>1.8292682926829267</v>
      </c>
      <c r="D43" s="301"/>
      <c r="E43" s="954">
        <v>3</v>
      </c>
      <c r="F43" s="537">
        <f t="shared" si="3"/>
        <v>1.8292682926829267</v>
      </c>
      <c r="G43" s="33"/>
      <c r="H43" s="549">
        <v>0</v>
      </c>
      <c r="I43" s="537">
        <f t="shared" si="0"/>
        <v>0</v>
      </c>
      <c r="J43" s="33"/>
      <c r="K43" s="33"/>
    </row>
    <row r="44" spans="1:11" ht="15" customHeight="1">
      <c r="A44" s="932" t="s">
        <v>2144</v>
      </c>
      <c r="B44" s="379">
        <f t="shared" si="2"/>
        <v>1</v>
      </c>
      <c r="C44" s="537">
        <f t="shared" si="1"/>
        <v>0.6097560975609756</v>
      </c>
      <c r="D44" s="301"/>
      <c r="E44" s="954">
        <v>1</v>
      </c>
      <c r="F44" s="537">
        <f t="shared" si="3"/>
        <v>0.6097560975609756</v>
      </c>
      <c r="G44" s="33"/>
      <c r="H44" s="549">
        <v>0</v>
      </c>
      <c r="I44" s="537">
        <f t="shared" si="0"/>
        <v>0</v>
      </c>
      <c r="J44" s="33"/>
      <c r="K44" s="33"/>
    </row>
    <row r="45" spans="1:11" ht="15" customHeight="1">
      <c r="A45" s="405" t="s">
        <v>761</v>
      </c>
      <c r="B45" s="379">
        <f t="shared" si="2"/>
        <v>10</v>
      </c>
      <c r="C45" s="537">
        <f t="shared" si="1"/>
        <v>6.0975609756097562</v>
      </c>
      <c r="D45" s="301"/>
      <c r="E45" s="954">
        <v>10</v>
      </c>
      <c r="F45" s="537">
        <f t="shared" si="3"/>
        <v>6.0975609756097562</v>
      </c>
      <c r="G45" s="33"/>
      <c r="H45" s="549">
        <v>0</v>
      </c>
      <c r="I45" s="537">
        <f t="shared" si="0"/>
        <v>0</v>
      </c>
      <c r="J45" s="33"/>
      <c r="K45" s="33"/>
    </row>
    <row r="46" spans="1:11" ht="15" customHeight="1">
      <c r="A46" s="405" t="s">
        <v>762</v>
      </c>
      <c r="B46" s="379">
        <f t="shared" si="2"/>
        <v>14</v>
      </c>
      <c r="C46" s="537">
        <f t="shared" si="1"/>
        <v>8.536585365853659</v>
      </c>
      <c r="D46" s="301"/>
      <c r="E46" s="954">
        <v>14</v>
      </c>
      <c r="F46" s="537">
        <f t="shared" si="3"/>
        <v>8.536585365853659</v>
      </c>
      <c r="G46" s="33"/>
      <c r="H46" s="549">
        <v>0</v>
      </c>
      <c r="I46" s="537">
        <f t="shared" si="0"/>
        <v>0</v>
      </c>
      <c r="J46" s="33"/>
      <c r="K46" s="33"/>
    </row>
    <row r="47" spans="1:11" ht="15" customHeight="1">
      <c r="A47" s="405" t="s">
        <v>763</v>
      </c>
      <c r="B47" s="379">
        <f t="shared" si="2"/>
        <v>3</v>
      </c>
      <c r="C47" s="537">
        <f t="shared" si="1"/>
        <v>1.8292682926829267</v>
      </c>
      <c r="D47" s="301"/>
      <c r="E47" s="954">
        <v>3</v>
      </c>
      <c r="F47" s="537">
        <f t="shared" si="3"/>
        <v>1.8292682926829267</v>
      </c>
      <c r="G47" s="33"/>
      <c r="H47" s="549">
        <v>0</v>
      </c>
      <c r="I47" s="537">
        <f t="shared" si="0"/>
        <v>0</v>
      </c>
      <c r="J47" s="33"/>
      <c r="K47" s="33"/>
    </row>
    <row r="48" spans="1:11" ht="15" customHeight="1">
      <c r="A48" s="925" t="s">
        <v>768</v>
      </c>
      <c r="B48" s="379">
        <f t="shared" si="2"/>
        <v>3</v>
      </c>
      <c r="C48" s="537">
        <f t="shared" si="1"/>
        <v>1.8292682926829267</v>
      </c>
      <c r="D48" s="301"/>
      <c r="E48" s="954">
        <v>3</v>
      </c>
      <c r="F48" s="537">
        <f t="shared" si="3"/>
        <v>1.8292682926829267</v>
      </c>
      <c r="G48" s="33"/>
      <c r="H48" s="549">
        <v>0</v>
      </c>
      <c r="I48" s="537">
        <f t="shared" si="0"/>
        <v>0</v>
      </c>
      <c r="J48" s="33"/>
      <c r="K48" s="33"/>
    </row>
    <row r="49" spans="1:11" ht="15" customHeight="1">
      <c r="A49" s="405" t="s">
        <v>769</v>
      </c>
      <c r="B49" s="379">
        <f>IF(A49&lt;&gt;0,E49+H49,"")</f>
        <v>2</v>
      </c>
      <c r="C49" s="537">
        <f>IF(A49&lt;&gt;0,B49/$B$11*100,"")</f>
        <v>1.2195121951219512</v>
      </c>
      <c r="D49" s="301"/>
      <c r="E49" s="954">
        <v>2</v>
      </c>
      <c r="F49" s="537">
        <f t="shared" si="3"/>
        <v>1.2195121951219512</v>
      </c>
      <c r="G49" s="33"/>
      <c r="H49" s="549">
        <v>0</v>
      </c>
      <c r="I49" s="537"/>
      <c r="J49" s="33"/>
      <c r="K49" s="33"/>
    </row>
    <row r="50" spans="1:11" ht="15" customHeight="1">
      <c r="A50" s="405" t="s">
        <v>771</v>
      </c>
      <c r="B50" s="379">
        <f t="shared" si="2"/>
        <v>3</v>
      </c>
      <c r="C50" s="537">
        <f t="shared" si="1"/>
        <v>1.8292682926829267</v>
      </c>
      <c r="D50" s="301"/>
      <c r="E50" s="954">
        <v>3</v>
      </c>
      <c r="F50" s="537">
        <f t="shared" si="3"/>
        <v>1.8292682926829267</v>
      </c>
      <c r="G50" s="33"/>
      <c r="H50" s="549">
        <v>0</v>
      </c>
      <c r="I50" s="537">
        <f t="shared" si="0"/>
        <v>0</v>
      </c>
      <c r="J50" s="33"/>
      <c r="K50" s="33"/>
    </row>
    <row r="51" spans="1:11" ht="5.25" customHeight="1" thickBot="1">
      <c r="A51" s="33"/>
      <c r="B51" s="379"/>
      <c r="C51" s="537"/>
      <c r="D51" s="61"/>
      <c r="E51" s="549"/>
      <c r="F51" s="537"/>
      <c r="H51" s="109"/>
      <c r="I51" s="109"/>
      <c r="J51" s="109"/>
    </row>
    <row r="52" spans="1:11" ht="10.5" customHeight="1">
      <c r="A52" s="188"/>
      <c r="B52" s="395"/>
      <c r="C52" s="596"/>
      <c r="D52" s="594"/>
      <c r="E52" s="395"/>
      <c r="F52" s="596"/>
      <c r="G52" s="596"/>
    </row>
    <row r="53" spans="1:11" ht="15.75" customHeight="1">
      <c r="A53" s="75" t="s">
        <v>2145</v>
      </c>
      <c r="D53" s="163"/>
      <c r="E53" s="163"/>
    </row>
    <row r="54" spans="1:11" ht="16.5" customHeight="1">
      <c r="A54" s="57" t="s">
        <v>2153</v>
      </c>
      <c r="B54" s="915"/>
      <c r="C54" s="192"/>
      <c r="D54" s="916"/>
      <c r="E54" s="915"/>
      <c r="F54" s="192"/>
    </row>
    <row r="55" spans="1:11" ht="7.5" customHeight="1">
      <c r="A55" s="33"/>
      <c r="B55" s="391"/>
      <c r="C55" s="401"/>
      <c r="D55" s="61"/>
      <c r="F55" s="401"/>
    </row>
    <row r="56" spans="1:11">
      <c r="A56" s="33" t="s">
        <v>1533</v>
      </c>
      <c r="B56" s="391"/>
      <c r="C56" s="401"/>
      <c r="D56" s="61"/>
      <c r="F56" s="401"/>
    </row>
    <row r="57" spans="1:11">
      <c r="A57" s="95" t="s">
        <v>1534</v>
      </c>
    </row>
  </sheetData>
  <mergeCells count="2">
    <mergeCell ref="E7:F7"/>
    <mergeCell ref="H7:I7"/>
  </mergeCells>
  <conditionalFormatting sqref="A1:XFD1048576">
    <cfRule type="cellIs" dxfId="3"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5" tint="-0.249977111117893"/>
  </sheetPr>
  <dimension ref="A1:K39"/>
  <sheetViews>
    <sheetView workbookViewId="0">
      <selection activeCell="A2" sqref="A2"/>
    </sheetView>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602"/>
      <c r="B4" s="604"/>
      <c r="C4" s="604"/>
      <c r="D4" s="604"/>
      <c r="H4" s="31"/>
      <c r="K4" s="32"/>
    </row>
    <row r="5" spans="1:11">
      <c r="A5" s="379"/>
      <c r="B5" s="379"/>
      <c r="C5" s="303"/>
    </row>
    <row r="6" spans="1:11">
      <c r="A6" s="638"/>
      <c r="B6" s="638"/>
      <c r="C6" s="638"/>
      <c r="D6" s="638"/>
    </row>
    <row r="7" spans="1:11">
      <c r="A7" s="638"/>
      <c r="B7" s="546"/>
      <c r="C7" s="638"/>
    </row>
    <row r="8" spans="1:11">
      <c r="A8" s="638"/>
      <c r="B8" s="546"/>
      <c r="C8" s="546"/>
      <c r="D8" s="546"/>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J108"/>
  <sheetViews>
    <sheetView workbookViewId="0">
      <selection activeCell="A2" sqref="A2"/>
    </sheetView>
  </sheetViews>
  <sheetFormatPr baseColWidth="10" defaultRowHeight="13"/>
  <cols>
    <col min="1" max="1" width="39.5" style="95" bestFit="1" customWidth="1"/>
    <col min="2" max="2" width="10.6640625" style="221" customWidth="1"/>
    <col min="3" max="3" width="10.6640625" style="868" customWidth="1"/>
    <col min="4" max="4" width="3.6640625" style="111" customWidth="1"/>
    <col min="5" max="5" width="10.6640625" style="288" customWidth="1"/>
    <col min="6" max="6" width="10.6640625" style="77" customWidth="1"/>
    <col min="7" max="7" width="3.6640625" style="33" customWidth="1"/>
    <col min="8" max="8" width="10.6640625" style="288" customWidth="1"/>
    <col min="9" max="9" width="10.6640625" style="218" customWidth="1"/>
    <col min="10" max="10" width="3.83203125" style="95" customWidth="1"/>
    <col min="11" max="256" width="10.83203125" style="95"/>
    <col min="257" max="257" width="39.5" style="95" bestFit="1" customWidth="1"/>
    <col min="258" max="259" width="10.6640625" style="95" customWidth="1"/>
    <col min="260" max="260" width="3.6640625" style="95" customWidth="1"/>
    <col min="261" max="262" width="10.6640625" style="95" customWidth="1"/>
    <col min="263" max="263" width="3.6640625" style="95" customWidth="1"/>
    <col min="264" max="265" width="10.6640625" style="95" customWidth="1"/>
    <col min="266" max="266" width="3.83203125" style="95" customWidth="1"/>
    <col min="267" max="512" width="10.83203125" style="95"/>
    <col min="513" max="513" width="39.5" style="95" bestFit="1" customWidth="1"/>
    <col min="514" max="515" width="10.6640625" style="95" customWidth="1"/>
    <col min="516" max="516" width="3.6640625" style="95" customWidth="1"/>
    <col min="517" max="518" width="10.6640625" style="95" customWidth="1"/>
    <col min="519" max="519" width="3.6640625" style="95" customWidth="1"/>
    <col min="520" max="521" width="10.6640625" style="95" customWidth="1"/>
    <col min="522" max="522" width="3.83203125" style="95" customWidth="1"/>
    <col min="523" max="768" width="10.83203125" style="95"/>
    <col min="769" max="769" width="39.5" style="95" bestFit="1" customWidth="1"/>
    <col min="770" max="771" width="10.6640625" style="95" customWidth="1"/>
    <col min="772" max="772" width="3.6640625" style="95" customWidth="1"/>
    <col min="773" max="774" width="10.6640625" style="95" customWidth="1"/>
    <col min="775" max="775" width="3.6640625" style="95" customWidth="1"/>
    <col min="776" max="777" width="10.6640625" style="95" customWidth="1"/>
    <col min="778" max="778" width="3.83203125" style="95" customWidth="1"/>
    <col min="779" max="1024" width="10.83203125" style="95"/>
    <col min="1025" max="1025" width="39.5" style="95" bestFit="1" customWidth="1"/>
    <col min="1026" max="1027" width="10.6640625" style="95" customWidth="1"/>
    <col min="1028" max="1028" width="3.6640625" style="95" customWidth="1"/>
    <col min="1029" max="1030" width="10.6640625" style="95" customWidth="1"/>
    <col min="1031" max="1031" width="3.6640625" style="95" customWidth="1"/>
    <col min="1032" max="1033" width="10.6640625" style="95" customWidth="1"/>
    <col min="1034" max="1034" width="3.83203125" style="95" customWidth="1"/>
    <col min="1035" max="1280" width="10.83203125" style="95"/>
    <col min="1281" max="1281" width="39.5" style="95" bestFit="1" customWidth="1"/>
    <col min="1282" max="1283" width="10.6640625" style="95" customWidth="1"/>
    <col min="1284" max="1284" width="3.6640625" style="95" customWidth="1"/>
    <col min="1285" max="1286" width="10.6640625" style="95" customWidth="1"/>
    <col min="1287" max="1287" width="3.6640625" style="95" customWidth="1"/>
    <col min="1288" max="1289" width="10.6640625" style="95" customWidth="1"/>
    <col min="1290" max="1290" width="3.83203125" style="95" customWidth="1"/>
    <col min="1291" max="1536" width="10.83203125" style="95"/>
    <col min="1537" max="1537" width="39.5" style="95" bestFit="1" customWidth="1"/>
    <col min="1538" max="1539" width="10.6640625" style="95" customWidth="1"/>
    <col min="1540" max="1540" width="3.6640625" style="95" customWidth="1"/>
    <col min="1541" max="1542" width="10.6640625" style="95" customWidth="1"/>
    <col min="1543" max="1543" width="3.6640625" style="95" customWidth="1"/>
    <col min="1544" max="1545" width="10.6640625" style="95" customWidth="1"/>
    <col min="1546" max="1546" width="3.83203125" style="95" customWidth="1"/>
    <col min="1547" max="1792" width="10.83203125" style="95"/>
    <col min="1793" max="1793" width="39.5" style="95" bestFit="1" customWidth="1"/>
    <col min="1794" max="1795" width="10.6640625" style="95" customWidth="1"/>
    <col min="1796" max="1796" width="3.6640625" style="95" customWidth="1"/>
    <col min="1797" max="1798" width="10.6640625" style="95" customWidth="1"/>
    <col min="1799" max="1799" width="3.6640625" style="95" customWidth="1"/>
    <col min="1800" max="1801" width="10.6640625" style="95" customWidth="1"/>
    <col min="1802" max="1802" width="3.83203125" style="95" customWidth="1"/>
    <col min="1803" max="2048" width="10.83203125" style="95"/>
    <col min="2049" max="2049" width="39.5" style="95" bestFit="1" customWidth="1"/>
    <col min="2050" max="2051" width="10.6640625" style="95" customWidth="1"/>
    <col min="2052" max="2052" width="3.6640625" style="95" customWidth="1"/>
    <col min="2053" max="2054" width="10.6640625" style="95" customWidth="1"/>
    <col min="2055" max="2055" width="3.6640625" style="95" customWidth="1"/>
    <col min="2056" max="2057" width="10.6640625" style="95" customWidth="1"/>
    <col min="2058" max="2058" width="3.83203125" style="95" customWidth="1"/>
    <col min="2059" max="2304" width="10.83203125" style="95"/>
    <col min="2305" max="2305" width="39.5" style="95" bestFit="1" customWidth="1"/>
    <col min="2306" max="2307" width="10.6640625" style="95" customWidth="1"/>
    <col min="2308" max="2308" width="3.6640625" style="95" customWidth="1"/>
    <col min="2309" max="2310" width="10.6640625" style="95" customWidth="1"/>
    <col min="2311" max="2311" width="3.6640625" style="95" customWidth="1"/>
    <col min="2312" max="2313" width="10.6640625" style="95" customWidth="1"/>
    <col min="2314" max="2314" width="3.83203125" style="95" customWidth="1"/>
    <col min="2315" max="2560" width="10.83203125" style="95"/>
    <col min="2561" max="2561" width="39.5" style="95" bestFit="1" customWidth="1"/>
    <col min="2562" max="2563" width="10.6640625" style="95" customWidth="1"/>
    <col min="2564" max="2564" width="3.6640625" style="95" customWidth="1"/>
    <col min="2565" max="2566" width="10.6640625" style="95" customWidth="1"/>
    <col min="2567" max="2567" width="3.6640625" style="95" customWidth="1"/>
    <col min="2568" max="2569" width="10.6640625" style="95" customWidth="1"/>
    <col min="2570" max="2570" width="3.83203125" style="95" customWidth="1"/>
    <col min="2571" max="2816" width="10.83203125" style="95"/>
    <col min="2817" max="2817" width="39.5" style="95" bestFit="1" customWidth="1"/>
    <col min="2818" max="2819" width="10.6640625" style="95" customWidth="1"/>
    <col min="2820" max="2820" width="3.6640625" style="95" customWidth="1"/>
    <col min="2821" max="2822" width="10.6640625" style="95" customWidth="1"/>
    <col min="2823" max="2823" width="3.6640625" style="95" customWidth="1"/>
    <col min="2824" max="2825" width="10.6640625" style="95" customWidth="1"/>
    <col min="2826" max="2826" width="3.83203125" style="95" customWidth="1"/>
    <col min="2827" max="3072" width="10.83203125" style="95"/>
    <col min="3073" max="3073" width="39.5" style="95" bestFit="1" customWidth="1"/>
    <col min="3074" max="3075" width="10.6640625" style="95" customWidth="1"/>
    <col min="3076" max="3076" width="3.6640625" style="95" customWidth="1"/>
    <col min="3077" max="3078" width="10.6640625" style="95" customWidth="1"/>
    <col min="3079" max="3079" width="3.6640625" style="95" customWidth="1"/>
    <col min="3080" max="3081" width="10.6640625" style="95" customWidth="1"/>
    <col min="3082" max="3082" width="3.83203125" style="95" customWidth="1"/>
    <col min="3083" max="3328" width="10.83203125" style="95"/>
    <col min="3329" max="3329" width="39.5" style="95" bestFit="1" customWidth="1"/>
    <col min="3330" max="3331" width="10.6640625" style="95" customWidth="1"/>
    <col min="3332" max="3332" width="3.6640625" style="95" customWidth="1"/>
    <col min="3333" max="3334" width="10.6640625" style="95" customWidth="1"/>
    <col min="3335" max="3335" width="3.6640625" style="95" customWidth="1"/>
    <col min="3336" max="3337" width="10.6640625" style="95" customWidth="1"/>
    <col min="3338" max="3338" width="3.83203125" style="95" customWidth="1"/>
    <col min="3339" max="3584" width="10.83203125" style="95"/>
    <col min="3585" max="3585" width="39.5" style="95" bestFit="1" customWidth="1"/>
    <col min="3586" max="3587" width="10.6640625" style="95" customWidth="1"/>
    <col min="3588" max="3588" width="3.6640625" style="95" customWidth="1"/>
    <col min="3589" max="3590" width="10.6640625" style="95" customWidth="1"/>
    <col min="3591" max="3591" width="3.6640625" style="95" customWidth="1"/>
    <col min="3592" max="3593" width="10.6640625" style="95" customWidth="1"/>
    <col min="3594" max="3594" width="3.83203125" style="95" customWidth="1"/>
    <col min="3595" max="3840" width="10.83203125" style="95"/>
    <col min="3841" max="3841" width="39.5" style="95" bestFit="1" customWidth="1"/>
    <col min="3842" max="3843" width="10.6640625" style="95" customWidth="1"/>
    <col min="3844" max="3844" width="3.6640625" style="95" customWidth="1"/>
    <col min="3845" max="3846" width="10.6640625" style="95" customWidth="1"/>
    <col min="3847" max="3847" width="3.6640625" style="95" customWidth="1"/>
    <col min="3848" max="3849" width="10.6640625" style="95" customWidth="1"/>
    <col min="3850" max="3850" width="3.83203125" style="95" customWidth="1"/>
    <col min="3851" max="4096" width="10.83203125" style="95"/>
    <col min="4097" max="4097" width="39.5" style="95" bestFit="1" customWidth="1"/>
    <col min="4098" max="4099" width="10.6640625" style="95" customWidth="1"/>
    <col min="4100" max="4100" width="3.6640625" style="95" customWidth="1"/>
    <col min="4101" max="4102" width="10.6640625" style="95" customWidth="1"/>
    <col min="4103" max="4103" width="3.6640625" style="95" customWidth="1"/>
    <col min="4104" max="4105" width="10.6640625" style="95" customWidth="1"/>
    <col min="4106" max="4106" width="3.83203125" style="95" customWidth="1"/>
    <col min="4107" max="4352" width="10.83203125" style="95"/>
    <col min="4353" max="4353" width="39.5" style="95" bestFit="1" customWidth="1"/>
    <col min="4354" max="4355" width="10.6640625" style="95" customWidth="1"/>
    <col min="4356" max="4356" width="3.6640625" style="95" customWidth="1"/>
    <col min="4357" max="4358" width="10.6640625" style="95" customWidth="1"/>
    <col min="4359" max="4359" width="3.6640625" style="95" customWidth="1"/>
    <col min="4360" max="4361" width="10.6640625" style="95" customWidth="1"/>
    <col min="4362" max="4362" width="3.83203125" style="95" customWidth="1"/>
    <col min="4363" max="4608" width="10.83203125" style="95"/>
    <col min="4609" max="4609" width="39.5" style="95" bestFit="1" customWidth="1"/>
    <col min="4610" max="4611" width="10.6640625" style="95" customWidth="1"/>
    <col min="4612" max="4612" width="3.6640625" style="95" customWidth="1"/>
    <col min="4613" max="4614" width="10.6640625" style="95" customWidth="1"/>
    <col min="4615" max="4615" width="3.6640625" style="95" customWidth="1"/>
    <col min="4616" max="4617" width="10.6640625" style="95" customWidth="1"/>
    <col min="4618" max="4618" width="3.83203125" style="95" customWidth="1"/>
    <col min="4619" max="4864" width="10.83203125" style="95"/>
    <col min="4865" max="4865" width="39.5" style="95" bestFit="1" customWidth="1"/>
    <col min="4866" max="4867" width="10.6640625" style="95" customWidth="1"/>
    <col min="4868" max="4868" width="3.6640625" style="95" customWidth="1"/>
    <col min="4869" max="4870" width="10.6640625" style="95" customWidth="1"/>
    <col min="4871" max="4871" width="3.6640625" style="95" customWidth="1"/>
    <col min="4872" max="4873" width="10.6640625" style="95" customWidth="1"/>
    <col min="4874" max="4874" width="3.83203125" style="95" customWidth="1"/>
    <col min="4875" max="5120" width="10.83203125" style="95"/>
    <col min="5121" max="5121" width="39.5" style="95" bestFit="1" customWidth="1"/>
    <col min="5122" max="5123" width="10.6640625" style="95" customWidth="1"/>
    <col min="5124" max="5124" width="3.6640625" style="95" customWidth="1"/>
    <col min="5125" max="5126" width="10.6640625" style="95" customWidth="1"/>
    <col min="5127" max="5127" width="3.6640625" style="95" customWidth="1"/>
    <col min="5128" max="5129" width="10.6640625" style="95" customWidth="1"/>
    <col min="5130" max="5130" width="3.83203125" style="95" customWidth="1"/>
    <col min="5131" max="5376" width="10.83203125" style="95"/>
    <col min="5377" max="5377" width="39.5" style="95" bestFit="1" customWidth="1"/>
    <col min="5378" max="5379" width="10.6640625" style="95" customWidth="1"/>
    <col min="5380" max="5380" width="3.6640625" style="95" customWidth="1"/>
    <col min="5381" max="5382" width="10.6640625" style="95" customWidth="1"/>
    <col min="5383" max="5383" width="3.6640625" style="95" customWidth="1"/>
    <col min="5384" max="5385" width="10.6640625" style="95" customWidth="1"/>
    <col min="5386" max="5386" width="3.83203125" style="95" customWidth="1"/>
    <col min="5387" max="5632" width="10.83203125" style="95"/>
    <col min="5633" max="5633" width="39.5" style="95" bestFit="1" customWidth="1"/>
    <col min="5634" max="5635" width="10.6640625" style="95" customWidth="1"/>
    <col min="5636" max="5636" width="3.6640625" style="95" customWidth="1"/>
    <col min="5637" max="5638" width="10.6640625" style="95" customWidth="1"/>
    <col min="5639" max="5639" width="3.6640625" style="95" customWidth="1"/>
    <col min="5640" max="5641" width="10.6640625" style="95" customWidth="1"/>
    <col min="5642" max="5642" width="3.83203125" style="95" customWidth="1"/>
    <col min="5643" max="5888" width="10.83203125" style="95"/>
    <col min="5889" max="5889" width="39.5" style="95" bestFit="1" customWidth="1"/>
    <col min="5890" max="5891" width="10.6640625" style="95" customWidth="1"/>
    <col min="5892" max="5892" width="3.6640625" style="95" customWidth="1"/>
    <col min="5893" max="5894" width="10.6640625" style="95" customWidth="1"/>
    <col min="5895" max="5895" width="3.6640625" style="95" customWidth="1"/>
    <col min="5896" max="5897" width="10.6640625" style="95" customWidth="1"/>
    <col min="5898" max="5898" width="3.83203125" style="95" customWidth="1"/>
    <col min="5899" max="6144" width="10.83203125" style="95"/>
    <col min="6145" max="6145" width="39.5" style="95" bestFit="1" customWidth="1"/>
    <col min="6146" max="6147" width="10.6640625" style="95" customWidth="1"/>
    <col min="6148" max="6148" width="3.6640625" style="95" customWidth="1"/>
    <col min="6149" max="6150" width="10.6640625" style="95" customWidth="1"/>
    <col min="6151" max="6151" width="3.6640625" style="95" customWidth="1"/>
    <col min="6152" max="6153" width="10.6640625" style="95" customWidth="1"/>
    <col min="6154" max="6154" width="3.83203125" style="95" customWidth="1"/>
    <col min="6155" max="6400" width="10.83203125" style="95"/>
    <col min="6401" max="6401" width="39.5" style="95" bestFit="1" customWidth="1"/>
    <col min="6402" max="6403" width="10.6640625" style="95" customWidth="1"/>
    <col min="6404" max="6404" width="3.6640625" style="95" customWidth="1"/>
    <col min="6405" max="6406" width="10.6640625" style="95" customWidth="1"/>
    <col min="6407" max="6407" width="3.6640625" style="95" customWidth="1"/>
    <col min="6408" max="6409" width="10.6640625" style="95" customWidth="1"/>
    <col min="6410" max="6410" width="3.83203125" style="95" customWidth="1"/>
    <col min="6411" max="6656" width="10.83203125" style="95"/>
    <col min="6657" max="6657" width="39.5" style="95" bestFit="1" customWidth="1"/>
    <col min="6658" max="6659" width="10.6640625" style="95" customWidth="1"/>
    <col min="6660" max="6660" width="3.6640625" style="95" customWidth="1"/>
    <col min="6661" max="6662" width="10.6640625" style="95" customWidth="1"/>
    <col min="6663" max="6663" width="3.6640625" style="95" customWidth="1"/>
    <col min="6664" max="6665" width="10.6640625" style="95" customWidth="1"/>
    <col min="6666" max="6666" width="3.83203125" style="95" customWidth="1"/>
    <col min="6667" max="6912" width="10.83203125" style="95"/>
    <col min="6913" max="6913" width="39.5" style="95" bestFit="1" customWidth="1"/>
    <col min="6914" max="6915" width="10.6640625" style="95" customWidth="1"/>
    <col min="6916" max="6916" width="3.6640625" style="95" customWidth="1"/>
    <col min="6917" max="6918" width="10.6640625" style="95" customWidth="1"/>
    <col min="6919" max="6919" width="3.6640625" style="95" customWidth="1"/>
    <col min="6920" max="6921" width="10.6640625" style="95" customWidth="1"/>
    <col min="6922" max="6922" width="3.83203125" style="95" customWidth="1"/>
    <col min="6923" max="7168" width="10.83203125" style="95"/>
    <col min="7169" max="7169" width="39.5" style="95" bestFit="1" customWidth="1"/>
    <col min="7170" max="7171" width="10.6640625" style="95" customWidth="1"/>
    <col min="7172" max="7172" width="3.6640625" style="95" customWidth="1"/>
    <col min="7173" max="7174" width="10.6640625" style="95" customWidth="1"/>
    <col min="7175" max="7175" width="3.6640625" style="95" customWidth="1"/>
    <col min="7176" max="7177" width="10.6640625" style="95" customWidth="1"/>
    <col min="7178" max="7178" width="3.83203125" style="95" customWidth="1"/>
    <col min="7179" max="7424" width="10.83203125" style="95"/>
    <col min="7425" max="7425" width="39.5" style="95" bestFit="1" customWidth="1"/>
    <col min="7426" max="7427" width="10.6640625" style="95" customWidth="1"/>
    <col min="7428" max="7428" width="3.6640625" style="95" customWidth="1"/>
    <col min="7429" max="7430" width="10.6640625" style="95" customWidth="1"/>
    <col min="7431" max="7431" width="3.6640625" style="95" customWidth="1"/>
    <col min="7432" max="7433" width="10.6640625" style="95" customWidth="1"/>
    <col min="7434" max="7434" width="3.83203125" style="95" customWidth="1"/>
    <col min="7435" max="7680" width="10.83203125" style="95"/>
    <col min="7681" max="7681" width="39.5" style="95" bestFit="1" customWidth="1"/>
    <col min="7682" max="7683" width="10.6640625" style="95" customWidth="1"/>
    <col min="7684" max="7684" width="3.6640625" style="95" customWidth="1"/>
    <col min="7685" max="7686" width="10.6640625" style="95" customWidth="1"/>
    <col min="7687" max="7687" width="3.6640625" style="95" customWidth="1"/>
    <col min="7688" max="7689" width="10.6640625" style="95" customWidth="1"/>
    <col min="7690" max="7690" width="3.83203125" style="95" customWidth="1"/>
    <col min="7691" max="7936" width="10.83203125" style="95"/>
    <col min="7937" max="7937" width="39.5" style="95" bestFit="1" customWidth="1"/>
    <col min="7938" max="7939" width="10.6640625" style="95" customWidth="1"/>
    <col min="7940" max="7940" width="3.6640625" style="95" customWidth="1"/>
    <col min="7941" max="7942" width="10.6640625" style="95" customWidth="1"/>
    <col min="7943" max="7943" width="3.6640625" style="95" customWidth="1"/>
    <col min="7944" max="7945" width="10.6640625" style="95" customWidth="1"/>
    <col min="7946" max="7946" width="3.83203125" style="95" customWidth="1"/>
    <col min="7947" max="8192" width="10.83203125" style="95"/>
    <col min="8193" max="8193" width="39.5" style="95" bestFit="1" customWidth="1"/>
    <col min="8194" max="8195" width="10.6640625" style="95" customWidth="1"/>
    <col min="8196" max="8196" width="3.6640625" style="95" customWidth="1"/>
    <col min="8197" max="8198" width="10.6640625" style="95" customWidth="1"/>
    <col min="8199" max="8199" width="3.6640625" style="95" customWidth="1"/>
    <col min="8200" max="8201" width="10.6640625" style="95" customWidth="1"/>
    <col min="8202" max="8202" width="3.83203125" style="95" customWidth="1"/>
    <col min="8203" max="8448" width="10.83203125" style="95"/>
    <col min="8449" max="8449" width="39.5" style="95" bestFit="1" customWidth="1"/>
    <col min="8450" max="8451" width="10.6640625" style="95" customWidth="1"/>
    <col min="8452" max="8452" width="3.6640625" style="95" customWidth="1"/>
    <col min="8453" max="8454" width="10.6640625" style="95" customWidth="1"/>
    <col min="8455" max="8455" width="3.6640625" style="95" customWidth="1"/>
    <col min="8456" max="8457" width="10.6640625" style="95" customWidth="1"/>
    <col min="8458" max="8458" width="3.83203125" style="95" customWidth="1"/>
    <col min="8459" max="8704" width="10.83203125" style="95"/>
    <col min="8705" max="8705" width="39.5" style="95" bestFit="1" customWidth="1"/>
    <col min="8706" max="8707" width="10.6640625" style="95" customWidth="1"/>
    <col min="8708" max="8708" width="3.6640625" style="95" customWidth="1"/>
    <col min="8709" max="8710" width="10.6640625" style="95" customWidth="1"/>
    <col min="8711" max="8711" width="3.6640625" style="95" customWidth="1"/>
    <col min="8712" max="8713" width="10.6640625" style="95" customWidth="1"/>
    <col min="8714" max="8714" width="3.83203125" style="95" customWidth="1"/>
    <col min="8715" max="8960" width="10.83203125" style="95"/>
    <col min="8961" max="8961" width="39.5" style="95" bestFit="1" customWidth="1"/>
    <col min="8962" max="8963" width="10.6640625" style="95" customWidth="1"/>
    <col min="8964" max="8964" width="3.6640625" style="95" customWidth="1"/>
    <col min="8965" max="8966" width="10.6640625" style="95" customWidth="1"/>
    <col min="8967" max="8967" width="3.6640625" style="95" customWidth="1"/>
    <col min="8968" max="8969" width="10.6640625" style="95" customWidth="1"/>
    <col min="8970" max="8970" width="3.83203125" style="95" customWidth="1"/>
    <col min="8971" max="9216" width="10.83203125" style="95"/>
    <col min="9217" max="9217" width="39.5" style="95" bestFit="1" customWidth="1"/>
    <col min="9218" max="9219" width="10.6640625" style="95" customWidth="1"/>
    <col min="9220" max="9220" width="3.6640625" style="95" customWidth="1"/>
    <col min="9221" max="9222" width="10.6640625" style="95" customWidth="1"/>
    <col min="9223" max="9223" width="3.6640625" style="95" customWidth="1"/>
    <col min="9224" max="9225" width="10.6640625" style="95" customWidth="1"/>
    <col min="9226" max="9226" width="3.83203125" style="95" customWidth="1"/>
    <col min="9227" max="9472" width="10.83203125" style="95"/>
    <col min="9473" max="9473" width="39.5" style="95" bestFit="1" customWidth="1"/>
    <col min="9474" max="9475" width="10.6640625" style="95" customWidth="1"/>
    <col min="9476" max="9476" width="3.6640625" style="95" customWidth="1"/>
    <col min="9477" max="9478" width="10.6640625" style="95" customWidth="1"/>
    <col min="9479" max="9479" width="3.6640625" style="95" customWidth="1"/>
    <col min="9480" max="9481" width="10.6640625" style="95" customWidth="1"/>
    <col min="9482" max="9482" width="3.83203125" style="95" customWidth="1"/>
    <col min="9483" max="9728" width="10.83203125" style="95"/>
    <col min="9729" max="9729" width="39.5" style="95" bestFit="1" customWidth="1"/>
    <col min="9730" max="9731" width="10.6640625" style="95" customWidth="1"/>
    <col min="9732" max="9732" width="3.6640625" style="95" customWidth="1"/>
    <col min="9733" max="9734" width="10.6640625" style="95" customWidth="1"/>
    <col min="9735" max="9735" width="3.6640625" style="95" customWidth="1"/>
    <col min="9736" max="9737" width="10.6640625" style="95" customWidth="1"/>
    <col min="9738" max="9738" width="3.83203125" style="95" customWidth="1"/>
    <col min="9739" max="9984" width="10.83203125" style="95"/>
    <col min="9985" max="9985" width="39.5" style="95" bestFit="1" customWidth="1"/>
    <col min="9986" max="9987" width="10.6640625" style="95" customWidth="1"/>
    <col min="9988" max="9988" width="3.6640625" style="95" customWidth="1"/>
    <col min="9989" max="9990" width="10.6640625" style="95" customWidth="1"/>
    <col min="9991" max="9991" width="3.6640625" style="95" customWidth="1"/>
    <col min="9992" max="9993" width="10.6640625" style="95" customWidth="1"/>
    <col min="9994" max="9994" width="3.83203125" style="95" customWidth="1"/>
    <col min="9995" max="10240" width="10.83203125" style="95"/>
    <col min="10241" max="10241" width="39.5" style="95" bestFit="1" customWidth="1"/>
    <col min="10242" max="10243" width="10.6640625" style="95" customWidth="1"/>
    <col min="10244" max="10244" width="3.6640625" style="95" customWidth="1"/>
    <col min="10245" max="10246" width="10.6640625" style="95" customWidth="1"/>
    <col min="10247" max="10247" width="3.6640625" style="95" customWidth="1"/>
    <col min="10248" max="10249" width="10.6640625" style="95" customWidth="1"/>
    <col min="10250" max="10250" width="3.83203125" style="95" customWidth="1"/>
    <col min="10251" max="10496" width="10.83203125" style="95"/>
    <col min="10497" max="10497" width="39.5" style="95" bestFit="1" customWidth="1"/>
    <col min="10498" max="10499" width="10.6640625" style="95" customWidth="1"/>
    <col min="10500" max="10500" width="3.6640625" style="95" customWidth="1"/>
    <col min="10501" max="10502" width="10.6640625" style="95" customWidth="1"/>
    <col min="10503" max="10503" width="3.6640625" style="95" customWidth="1"/>
    <col min="10504" max="10505" width="10.6640625" style="95" customWidth="1"/>
    <col min="10506" max="10506" width="3.83203125" style="95" customWidth="1"/>
    <col min="10507" max="10752" width="10.83203125" style="95"/>
    <col min="10753" max="10753" width="39.5" style="95" bestFit="1" customWidth="1"/>
    <col min="10754" max="10755" width="10.6640625" style="95" customWidth="1"/>
    <col min="10756" max="10756" width="3.6640625" style="95" customWidth="1"/>
    <col min="10757" max="10758" width="10.6640625" style="95" customWidth="1"/>
    <col min="10759" max="10759" width="3.6640625" style="95" customWidth="1"/>
    <col min="10760" max="10761" width="10.6640625" style="95" customWidth="1"/>
    <col min="10762" max="10762" width="3.83203125" style="95" customWidth="1"/>
    <col min="10763" max="11008" width="10.83203125" style="95"/>
    <col min="11009" max="11009" width="39.5" style="95" bestFit="1" customWidth="1"/>
    <col min="11010" max="11011" width="10.6640625" style="95" customWidth="1"/>
    <col min="11012" max="11012" width="3.6640625" style="95" customWidth="1"/>
    <col min="11013" max="11014" width="10.6640625" style="95" customWidth="1"/>
    <col min="11015" max="11015" width="3.6640625" style="95" customWidth="1"/>
    <col min="11016" max="11017" width="10.6640625" style="95" customWidth="1"/>
    <col min="11018" max="11018" width="3.83203125" style="95" customWidth="1"/>
    <col min="11019" max="11264" width="10.83203125" style="95"/>
    <col min="11265" max="11265" width="39.5" style="95" bestFit="1" customWidth="1"/>
    <col min="11266" max="11267" width="10.6640625" style="95" customWidth="1"/>
    <col min="11268" max="11268" width="3.6640625" style="95" customWidth="1"/>
    <col min="11269" max="11270" width="10.6640625" style="95" customWidth="1"/>
    <col min="11271" max="11271" width="3.6640625" style="95" customWidth="1"/>
    <col min="11272" max="11273" width="10.6640625" style="95" customWidth="1"/>
    <col min="11274" max="11274" width="3.83203125" style="95" customWidth="1"/>
    <col min="11275" max="11520" width="10.83203125" style="95"/>
    <col min="11521" max="11521" width="39.5" style="95" bestFit="1" customWidth="1"/>
    <col min="11522" max="11523" width="10.6640625" style="95" customWidth="1"/>
    <col min="11524" max="11524" width="3.6640625" style="95" customWidth="1"/>
    <col min="11525" max="11526" width="10.6640625" style="95" customWidth="1"/>
    <col min="11527" max="11527" width="3.6640625" style="95" customWidth="1"/>
    <col min="11528" max="11529" width="10.6640625" style="95" customWidth="1"/>
    <col min="11530" max="11530" width="3.83203125" style="95" customWidth="1"/>
    <col min="11531" max="11776" width="10.83203125" style="95"/>
    <col min="11777" max="11777" width="39.5" style="95" bestFit="1" customWidth="1"/>
    <col min="11778" max="11779" width="10.6640625" style="95" customWidth="1"/>
    <col min="11780" max="11780" width="3.6640625" style="95" customWidth="1"/>
    <col min="11781" max="11782" width="10.6640625" style="95" customWidth="1"/>
    <col min="11783" max="11783" width="3.6640625" style="95" customWidth="1"/>
    <col min="11784" max="11785" width="10.6640625" style="95" customWidth="1"/>
    <col min="11786" max="11786" width="3.83203125" style="95" customWidth="1"/>
    <col min="11787" max="12032" width="10.83203125" style="95"/>
    <col min="12033" max="12033" width="39.5" style="95" bestFit="1" customWidth="1"/>
    <col min="12034" max="12035" width="10.6640625" style="95" customWidth="1"/>
    <col min="12036" max="12036" width="3.6640625" style="95" customWidth="1"/>
    <col min="12037" max="12038" width="10.6640625" style="95" customWidth="1"/>
    <col min="12039" max="12039" width="3.6640625" style="95" customWidth="1"/>
    <col min="12040" max="12041" width="10.6640625" style="95" customWidth="1"/>
    <col min="12042" max="12042" width="3.83203125" style="95" customWidth="1"/>
    <col min="12043" max="12288" width="10.83203125" style="95"/>
    <col min="12289" max="12289" width="39.5" style="95" bestFit="1" customWidth="1"/>
    <col min="12290" max="12291" width="10.6640625" style="95" customWidth="1"/>
    <col min="12292" max="12292" width="3.6640625" style="95" customWidth="1"/>
    <col min="12293" max="12294" width="10.6640625" style="95" customWidth="1"/>
    <col min="12295" max="12295" width="3.6640625" style="95" customWidth="1"/>
    <col min="12296" max="12297" width="10.6640625" style="95" customWidth="1"/>
    <col min="12298" max="12298" width="3.83203125" style="95" customWidth="1"/>
    <col min="12299" max="12544" width="10.83203125" style="95"/>
    <col min="12545" max="12545" width="39.5" style="95" bestFit="1" customWidth="1"/>
    <col min="12546" max="12547" width="10.6640625" style="95" customWidth="1"/>
    <col min="12548" max="12548" width="3.6640625" style="95" customWidth="1"/>
    <col min="12549" max="12550" width="10.6640625" style="95" customWidth="1"/>
    <col min="12551" max="12551" width="3.6640625" style="95" customWidth="1"/>
    <col min="12552" max="12553" width="10.6640625" style="95" customWidth="1"/>
    <col min="12554" max="12554" width="3.83203125" style="95" customWidth="1"/>
    <col min="12555" max="12800" width="10.83203125" style="95"/>
    <col min="12801" max="12801" width="39.5" style="95" bestFit="1" customWidth="1"/>
    <col min="12802" max="12803" width="10.6640625" style="95" customWidth="1"/>
    <col min="12804" max="12804" width="3.6640625" style="95" customWidth="1"/>
    <col min="12805" max="12806" width="10.6640625" style="95" customWidth="1"/>
    <col min="12807" max="12807" width="3.6640625" style="95" customWidth="1"/>
    <col min="12808" max="12809" width="10.6640625" style="95" customWidth="1"/>
    <col min="12810" max="12810" width="3.83203125" style="95" customWidth="1"/>
    <col min="12811" max="13056" width="10.83203125" style="95"/>
    <col min="13057" max="13057" width="39.5" style="95" bestFit="1" customWidth="1"/>
    <col min="13058" max="13059" width="10.6640625" style="95" customWidth="1"/>
    <col min="13060" max="13060" width="3.6640625" style="95" customWidth="1"/>
    <col min="13061" max="13062" width="10.6640625" style="95" customWidth="1"/>
    <col min="13063" max="13063" width="3.6640625" style="95" customWidth="1"/>
    <col min="13064" max="13065" width="10.6640625" style="95" customWidth="1"/>
    <col min="13066" max="13066" width="3.83203125" style="95" customWidth="1"/>
    <col min="13067" max="13312" width="10.83203125" style="95"/>
    <col min="13313" max="13313" width="39.5" style="95" bestFit="1" customWidth="1"/>
    <col min="13314" max="13315" width="10.6640625" style="95" customWidth="1"/>
    <col min="13316" max="13316" width="3.6640625" style="95" customWidth="1"/>
    <col min="13317" max="13318" width="10.6640625" style="95" customWidth="1"/>
    <col min="13319" max="13319" width="3.6640625" style="95" customWidth="1"/>
    <col min="13320" max="13321" width="10.6640625" style="95" customWidth="1"/>
    <col min="13322" max="13322" width="3.83203125" style="95" customWidth="1"/>
    <col min="13323" max="13568" width="10.83203125" style="95"/>
    <col min="13569" max="13569" width="39.5" style="95" bestFit="1" customWidth="1"/>
    <col min="13570" max="13571" width="10.6640625" style="95" customWidth="1"/>
    <col min="13572" max="13572" width="3.6640625" style="95" customWidth="1"/>
    <col min="13573" max="13574" width="10.6640625" style="95" customWidth="1"/>
    <col min="13575" max="13575" width="3.6640625" style="95" customWidth="1"/>
    <col min="13576" max="13577" width="10.6640625" style="95" customWidth="1"/>
    <col min="13578" max="13578" width="3.83203125" style="95" customWidth="1"/>
    <col min="13579" max="13824" width="10.83203125" style="95"/>
    <col min="13825" max="13825" width="39.5" style="95" bestFit="1" customWidth="1"/>
    <col min="13826" max="13827" width="10.6640625" style="95" customWidth="1"/>
    <col min="13828" max="13828" width="3.6640625" style="95" customWidth="1"/>
    <col min="13829" max="13830" width="10.6640625" style="95" customWidth="1"/>
    <col min="13831" max="13831" width="3.6640625" style="95" customWidth="1"/>
    <col min="13832" max="13833" width="10.6640625" style="95" customWidth="1"/>
    <col min="13834" max="13834" width="3.83203125" style="95" customWidth="1"/>
    <col min="13835" max="14080" width="10.83203125" style="95"/>
    <col min="14081" max="14081" width="39.5" style="95" bestFit="1" customWidth="1"/>
    <col min="14082" max="14083" width="10.6640625" style="95" customWidth="1"/>
    <col min="14084" max="14084" width="3.6640625" style="95" customWidth="1"/>
    <col min="14085" max="14086" width="10.6640625" style="95" customWidth="1"/>
    <col min="14087" max="14087" width="3.6640625" style="95" customWidth="1"/>
    <col min="14088" max="14089" width="10.6640625" style="95" customWidth="1"/>
    <col min="14090" max="14090" width="3.83203125" style="95" customWidth="1"/>
    <col min="14091" max="14336" width="10.83203125" style="95"/>
    <col min="14337" max="14337" width="39.5" style="95" bestFit="1" customWidth="1"/>
    <col min="14338" max="14339" width="10.6640625" style="95" customWidth="1"/>
    <col min="14340" max="14340" width="3.6640625" style="95" customWidth="1"/>
    <col min="14341" max="14342" width="10.6640625" style="95" customWidth="1"/>
    <col min="14343" max="14343" width="3.6640625" style="95" customWidth="1"/>
    <col min="14344" max="14345" width="10.6640625" style="95" customWidth="1"/>
    <col min="14346" max="14346" width="3.83203125" style="95" customWidth="1"/>
    <col min="14347" max="14592" width="10.83203125" style="95"/>
    <col min="14593" max="14593" width="39.5" style="95" bestFit="1" customWidth="1"/>
    <col min="14594" max="14595" width="10.6640625" style="95" customWidth="1"/>
    <col min="14596" max="14596" width="3.6640625" style="95" customWidth="1"/>
    <col min="14597" max="14598" width="10.6640625" style="95" customWidth="1"/>
    <col min="14599" max="14599" width="3.6640625" style="95" customWidth="1"/>
    <col min="14600" max="14601" width="10.6640625" style="95" customWidth="1"/>
    <col min="14602" max="14602" width="3.83203125" style="95" customWidth="1"/>
    <col min="14603" max="14848" width="10.83203125" style="95"/>
    <col min="14849" max="14849" width="39.5" style="95" bestFit="1" customWidth="1"/>
    <col min="14850" max="14851" width="10.6640625" style="95" customWidth="1"/>
    <col min="14852" max="14852" width="3.6640625" style="95" customWidth="1"/>
    <col min="14853" max="14854" width="10.6640625" style="95" customWidth="1"/>
    <col min="14855" max="14855" width="3.6640625" style="95" customWidth="1"/>
    <col min="14856" max="14857" width="10.6640625" style="95" customWidth="1"/>
    <col min="14858" max="14858" width="3.83203125" style="95" customWidth="1"/>
    <col min="14859" max="15104" width="10.83203125" style="95"/>
    <col min="15105" max="15105" width="39.5" style="95" bestFit="1" customWidth="1"/>
    <col min="15106" max="15107" width="10.6640625" style="95" customWidth="1"/>
    <col min="15108" max="15108" width="3.6640625" style="95" customWidth="1"/>
    <col min="15109" max="15110" width="10.6640625" style="95" customWidth="1"/>
    <col min="15111" max="15111" width="3.6640625" style="95" customWidth="1"/>
    <col min="15112" max="15113" width="10.6640625" style="95" customWidth="1"/>
    <col min="15114" max="15114" width="3.83203125" style="95" customWidth="1"/>
    <col min="15115" max="15360" width="10.83203125" style="95"/>
    <col min="15361" max="15361" width="39.5" style="95" bestFit="1" customWidth="1"/>
    <col min="15362" max="15363" width="10.6640625" style="95" customWidth="1"/>
    <col min="15364" max="15364" width="3.6640625" style="95" customWidth="1"/>
    <col min="15365" max="15366" width="10.6640625" style="95" customWidth="1"/>
    <col min="15367" max="15367" width="3.6640625" style="95" customWidth="1"/>
    <col min="15368" max="15369" width="10.6640625" style="95" customWidth="1"/>
    <col min="15370" max="15370" width="3.83203125" style="95" customWidth="1"/>
    <col min="15371" max="15616" width="10.83203125" style="95"/>
    <col min="15617" max="15617" width="39.5" style="95" bestFit="1" customWidth="1"/>
    <col min="15618" max="15619" width="10.6640625" style="95" customWidth="1"/>
    <col min="15620" max="15620" width="3.6640625" style="95" customWidth="1"/>
    <col min="15621" max="15622" width="10.6640625" style="95" customWidth="1"/>
    <col min="15623" max="15623" width="3.6640625" style="95" customWidth="1"/>
    <col min="15624" max="15625" width="10.6640625" style="95" customWidth="1"/>
    <col min="15626" max="15626" width="3.83203125" style="95" customWidth="1"/>
    <col min="15627" max="15872" width="10.83203125" style="95"/>
    <col min="15873" max="15873" width="39.5" style="95" bestFit="1" customWidth="1"/>
    <col min="15874" max="15875" width="10.6640625" style="95" customWidth="1"/>
    <col min="15876" max="15876" width="3.6640625" style="95" customWidth="1"/>
    <col min="15877" max="15878" width="10.6640625" style="95" customWidth="1"/>
    <col min="15879" max="15879" width="3.6640625" style="95" customWidth="1"/>
    <col min="15880" max="15881" width="10.6640625" style="95" customWidth="1"/>
    <col min="15882" max="15882" width="3.83203125" style="95" customWidth="1"/>
    <col min="15883" max="16128" width="10.83203125" style="95"/>
    <col min="16129" max="16129" width="39.5" style="95" bestFit="1" customWidth="1"/>
    <col min="16130" max="16131" width="10.6640625" style="95" customWidth="1"/>
    <col min="16132" max="16132" width="3.6640625" style="95" customWidth="1"/>
    <col min="16133" max="16134" width="10.6640625" style="95" customWidth="1"/>
    <col min="16135" max="16135" width="3.6640625" style="95" customWidth="1"/>
    <col min="16136" max="16137" width="10.6640625" style="95" customWidth="1"/>
    <col min="16138" max="16138" width="3.83203125" style="95" customWidth="1"/>
    <col min="16139" max="16384" width="10.83203125" style="95"/>
  </cols>
  <sheetData>
    <row r="1" spans="1:10" ht="11.25" customHeight="1">
      <c r="A1" s="95" t="s">
        <v>589</v>
      </c>
    </row>
    <row r="2" spans="1:10">
      <c r="A2" s="95" t="s">
        <v>590</v>
      </c>
    </row>
    <row r="3" spans="1:10" ht="8.25" customHeight="1"/>
    <row r="4" spans="1:10">
      <c r="A4" s="57" t="s">
        <v>2154</v>
      </c>
      <c r="B4" s="734"/>
    </row>
    <row r="5" spans="1:10" ht="10" customHeight="1" thickBot="1">
      <c r="C5" s="558"/>
      <c r="F5" s="289"/>
      <c r="J5" s="105"/>
    </row>
    <row r="6" spans="1:10" s="55" customFormat="1" ht="10" customHeight="1">
      <c r="A6" s="97"/>
      <c r="B6" s="755"/>
      <c r="C6" s="960"/>
      <c r="D6" s="114"/>
      <c r="E6" s="375"/>
      <c r="F6" s="593"/>
      <c r="G6" s="188"/>
      <c r="H6" s="375"/>
      <c r="I6" s="551"/>
      <c r="J6" s="99"/>
    </row>
    <row r="7" spans="1:10" s="55" customFormat="1">
      <c r="A7" s="116" t="s">
        <v>1578</v>
      </c>
      <c r="B7" s="1033" t="s">
        <v>1565</v>
      </c>
      <c r="C7" s="1033"/>
      <c r="D7" s="121"/>
      <c r="E7" s="1021" t="s">
        <v>1579</v>
      </c>
      <c r="F7" s="1021"/>
      <c r="G7" s="57"/>
      <c r="H7" s="1026" t="s">
        <v>1580</v>
      </c>
      <c r="I7" s="1026"/>
      <c r="J7" s="135"/>
    </row>
    <row r="8" spans="1:10">
      <c r="A8" s="95" t="s">
        <v>1581</v>
      </c>
      <c r="B8" s="961" t="s">
        <v>1582</v>
      </c>
      <c r="C8" s="962" t="s">
        <v>1569</v>
      </c>
      <c r="D8" s="121"/>
      <c r="E8" s="612" t="s">
        <v>1582</v>
      </c>
      <c r="F8" s="532" t="s">
        <v>1569</v>
      </c>
      <c r="G8" s="57"/>
      <c r="H8" s="612" t="s">
        <v>1582</v>
      </c>
      <c r="I8" s="963" t="s">
        <v>1569</v>
      </c>
      <c r="J8" s="150"/>
    </row>
    <row r="9" spans="1:10" ht="10" customHeight="1" thickBot="1">
      <c r="A9" s="102"/>
      <c r="B9" s="964"/>
      <c r="C9" s="965"/>
      <c r="D9" s="124"/>
      <c r="E9" s="293"/>
      <c r="F9" s="291"/>
      <c r="G9" s="199"/>
      <c r="H9" s="293"/>
      <c r="I9" s="295"/>
      <c r="J9" s="96"/>
    </row>
    <row r="10" spans="1:10" ht="9" customHeight="1">
      <c r="A10" s="116"/>
      <c r="B10" s="734"/>
      <c r="C10" s="588"/>
      <c r="D10" s="121"/>
      <c r="E10" s="379"/>
      <c r="F10" s="537"/>
      <c r="G10" s="57"/>
      <c r="H10" s="379"/>
      <c r="I10" s="554"/>
      <c r="J10" s="135"/>
    </row>
    <row r="11" spans="1:10" s="55" customFormat="1">
      <c r="A11" s="55" t="s">
        <v>402</v>
      </c>
      <c r="B11" s="306">
        <f>IF(A11&lt;&gt;0,E11+H11,"")</f>
        <v>23131</v>
      </c>
      <c r="C11" s="577">
        <f>SUM(C13+C96)</f>
        <v>100</v>
      </c>
      <c r="D11" s="416"/>
      <c r="E11" s="307">
        <f>SUM(E13+E96)</f>
        <v>21318</v>
      </c>
      <c r="F11" s="573">
        <f>IF(A11&lt;&gt;0,E11/B11*100,"")</f>
        <v>92.162033634516447</v>
      </c>
      <c r="G11" s="607"/>
      <c r="H11" s="307">
        <f>SUM(H13+H96)</f>
        <v>1813</v>
      </c>
      <c r="I11" s="573">
        <f>IF(A11&lt;&gt;0,H11/B11*100,"")</f>
        <v>7.8379663654835507</v>
      </c>
      <c r="J11" s="308"/>
    </row>
    <row r="12" spans="1:10" ht="7" customHeight="1">
      <c r="B12" s="58" t="str">
        <f t="shared" ref="B12:B75" si="0">IF(A12&lt;&gt;0,E12+H12,"")</f>
        <v/>
      </c>
      <c r="C12" s="578"/>
      <c r="F12" s="289" t="str">
        <f t="shared" ref="F12:F75" si="1">IF(A12&lt;&gt;0,E12/B12*100,"")</f>
        <v/>
      </c>
      <c r="I12" s="105" t="str">
        <f t="shared" ref="I12:I75" si="2">IF(A12&lt;&gt;0,H12/B12*100,"")</f>
        <v/>
      </c>
      <c r="J12" s="308"/>
    </row>
    <row r="13" spans="1:10" s="55" customFormat="1" ht="15">
      <c r="A13" s="55" t="s">
        <v>1583</v>
      </c>
      <c r="B13" s="306">
        <f t="shared" si="0"/>
        <v>15209</v>
      </c>
      <c r="C13" s="577">
        <f t="shared" ref="C13:C76" si="3">(B13/$B$11)*100</f>
        <v>65.751588776965974</v>
      </c>
      <c r="D13" s="416"/>
      <c r="E13" s="380">
        <f>E15+E26+E34+E60+E67+E79+E93+E94</f>
        <v>13626</v>
      </c>
      <c r="F13" s="573">
        <f t="shared" si="1"/>
        <v>89.591689131435331</v>
      </c>
      <c r="G13" s="607"/>
      <c r="H13" s="380">
        <f>H15+H26+H34+H60+H67+H79+H93+H94</f>
        <v>1583</v>
      </c>
      <c r="I13" s="573">
        <f t="shared" si="2"/>
        <v>10.408310868564666</v>
      </c>
      <c r="J13" s="308"/>
    </row>
    <row r="14" spans="1:10" ht="7" customHeight="1">
      <c r="A14" s="55"/>
      <c r="B14" s="290" t="str">
        <f t="shared" si="0"/>
        <v/>
      </c>
      <c r="C14" s="578"/>
      <c r="D14" s="868"/>
      <c r="F14" s="289" t="str">
        <f t="shared" si="1"/>
        <v/>
      </c>
      <c r="G14" s="77"/>
      <c r="I14" s="218" t="str">
        <f t="shared" si="2"/>
        <v/>
      </c>
      <c r="J14" s="308"/>
    </row>
    <row r="15" spans="1:10" s="55" customFormat="1">
      <c r="A15" s="55" t="s">
        <v>404</v>
      </c>
      <c r="B15" s="613">
        <f t="shared" si="0"/>
        <v>1417</v>
      </c>
      <c r="C15" s="577">
        <f t="shared" si="3"/>
        <v>6.1259781245946998</v>
      </c>
      <c r="D15" s="955"/>
      <c r="E15" s="380">
        <f>E16+E21</f>
        <v>1259</v>
      </c>
      <c r="F15" s="573">
        <f t="shared" si="1"/>
        <v>88.849682427664078</v>
      </c>
      <c r="G15" s="605"/>
      <c r="H15" s="380">
        <f>H16+H21</f>
        <v>158</v>
      </c>
      <c r="I15" s="573">
        <f t="shared" si="2"/>
        <v>11.150317572335922</v>
      </c>
      <c r="J15" s="308"/>
    </row>
    <row r="16" spans="1:10" s="749" customFormat="1">
      <c r="A16" s="95" t="s">
        <v>162</v>
      </c>
      <c r="B16" s="290">
        <f t="shared" si="0"/>
        <v>429</v>
      </c>
      <c r="C16" s="578">
        <f t="shared" si="3"/>
        <v>1.8546539276295879</v>
      </c>
      <c r="D16" s="966"/>
      <c r="E16" s="288">
        <f>SUM(E17:E19)</f>
        <v>372</v>
      </c>
      <c r="F16" s="289">
        <f t="shared" si="1"/>
        <v>86.713286713286706</v>
      </c>
      <c r="G16" s="614"/>
      <c r="H16" s="288">
        <f>SUM(H17:H19)</f>
        <v>57</v>
      </c>
      <c r="I16" s="218">
        <f t="shared" si="2"/>
        <v>13.286713286713287</v>
      </c>
      <c r="J16" s="308"/>
    </row>
    <row r="17" spans="1:10" s="752" customFormat="1">
      <c r="A17" s="95" t="s">
        <v>163</v>
      </c>
      <c r="B17" s="290">
        <f t="shared" si="0"/>
        <v>71</v>
      </c>
      <c r="C17" s="578">
        <f t="shared" si="3"/>
        <v>0.30694738662401105</v>
      </c>
      <c r="D17" s="967"/>
      <c r="E17" s="956">
        <v>62</v>
      </c>
      <c r="F17" s="289">
        <f t="shared" si="1"/>
        <v>87.323943661971825</v>
      </c>
      <c r="G17" s="957"/>
      <c r="H17" s="958">
        <v>9</v>
      </c>
      <c r="I17" s="218">
        <f t="shared" si="2"/>
        <v>12.676056338028168</v>
      </c>
      <c r="J17" s="308"/>
    </row>
    <row r="18" spans="1:10" s="752" customFormat="1">
      <c r="A18" s="95" t="s">
        <v>164</v>
      </c>
      <c r="B18" s="290">
        <f t="shared" si="0"/>
        <v>100</v>
      </c>
      <c r="C18" s="578">
        <f t="shared" si="3"/>
        <v>0.43232026285071984</v>
      </c>
      <c r="D18" s="967"/>
      <c r="E18" s="956">
        <v>85</v>
      </c>
      <c r="F18" s="289">
        <f t="shared" si="1"/>
        <v>85</v>
      </c>
      <c r="G18" s="957"/>
      <c r="H18" s="958">
        <v>15</v>
      </c>
      <c r="I18" s="218">
        <f t="shared" si="2"/>
        <v>15</v>
      </c>
      <c r="J18" s="308"/>
    </row>
    <row r="19" spans="1:10" s="752" customFormat="1">
      <c r="A19" s="95" t="s">
        <v>165</v>
      </c>
      <c r="B19" s="290">
        <f t="shared" si="0"/>
        <v>258</v>
      </c>
      <c r="C19" s="578">
        <f t="shared" si="3"/>
        <v>1.1153862781548571</v>
      </c>
      <c r="D19" s="967"/>
      <c r="E19" s="956">
        <v>225</v>
      </c>
      <c r="F19" s="289">
        <f t="shared" si="1"/>
        <v>87.20930232558139</v>
      </c>
      <c r="G19" s="957"/>
      <c r="H19" s="958">
        <v>33</v>
      </c>
      <c r="I19" s="218">
        <f t="shared" si="2"/>
        <v>12.790697674418606</v>
      </c>
      <c r="J19" s="308"/>
    </row>
    <row r="20" spans="1:10" ht="7" customHeight="1">
      <c r="B20" s="290" t="str">
        <f t="shared" si="0"/>
        <v/>
      </c>
      <c r="C20" s="578"/>
      <c r="D20" s="868"/>
      <c r="F20" s="289" t="str">
        <f t="shared" si="1"/>
        <v/>
      </c>
      <c r="G20" s="77"/>
      <c r="I20" s="218" t="str">
        <f t="shared" si="2"/>
        <v/>
      </c>
      <c r="J20" s="308"/>
    </row>
    <row r="21" spans="1:10" s="385" customFormat="1">
      <c r="A21" s="95" t="s">
        <v>166</v>
      </c>
      <c r="B21" s="290">
        <f t="shared" si="0"/>
        <v>988</v>
      </c>
      <c r="C21" s="578">
        <f t="shared" si="3"/>
        <v>4.2713241969651117</v>
      </c>
      <c r="D21" s="959"/>
      <c r="E21" s="288">
        <f>SUM(E22:E24)</f>
        <v>887</v>
      </c>
      <c r="F21" s="289">
        <f t="shared" si="1"/>
        <v>89.777327935222672</v>
      </c>
      <c r="G21" s="614"/>
      <c r="H21" s="288">
        <f>SUM(H22:H24)</f>
        <v>101</v>
      </c>
      <c r="I21" s="218">
        <f t="shared" si="2"/>
        <v>10.222672064777328</v>
      </c>
      <c r="J21" s="308"/>
    </row>
    <row r="22" spans="1:10" s="752" customFormat="1">
      <c r="A22" s="95" t="s">
        <v>167</v>
      </c>
      <c r="B22" s="290">
        <f t="shared" si="0"/>
        <v>336</v>
      </c>
      <c r="C22" s="578">
        <f t="shared" si="3"/>
        <v>1.4525960831784186</v>
      </c>
      <c r="D22" s="967"/>
      <c r="E22" s="956">
        <v>297</v>
      </c>
      <c r="F22" s="289">
        <f t="shared" si="1"/>
        <v>88.392857142857139</v>
      </c>
      <c r="G22" s="957"/>
      <c r="H22" s="958">
        <v>39</v>
      </c>
      <c r="I22" s="218">
        <f t="shared" si="2"/>
        <v>11.607142857142858</v>
      </c>
      <c r="J22" s="308"/>
    </row>
    <row r="23" spans="1:10" s="752" customFormat="1">
      <c r="A23" s="95" t="s">
        <v>168</v>
      </c>
      <c r="B23" s="290">
        <f t="shared" si="0"/>
        <v>123</v>
      </c>
      <c r="C23" s="578">
        <f t="shared" si="3"/>
        <v>0.53175392330638538</v>
      </c>
      <c r="D23" s="967"/>
      <c r="E23" s="956">
        <v>109</v>
      </c>
      <c r="F23" s="289">
        <f t="shared" si="1"/>
        <v>88.617886178861795</v>
      </c>
      <c r="G23" s="957"/>
      <c r="H23" s="958">
        <v>14</v>
      </c>
      <c r="I23" s="218">
        <f t="shared" si="2"/>
        <v>11.38211382113821</v>
      </c>
      <c r="J23" s="308"/>
    </row>
    <row r="24" spans="1:10" s="752" customFormat="1">
      <c r="A24" s="95" t="s">
        <v>169</v>
      </c>
      <c r="B24" s="290">
        <f t="shared" si="0"/>
        <v>529</v>
      </c>
      <c r="C24" s="578">
        <f t="shared" si="3"/>
        <v>2.2869741904803078</v>
      </c>
      <c r="D24" s="967"/>
      <c r="E24" s="956">
        <v>481</v>
      </c>
      <c r="F24" s="289">
        <f t="shared" si="1"/>
        <v>90.926275992438562</v>
      </c>
      <c r="G24" s="957"/>
      <c r="H24" s="958">
        <v>48</v>
      </c>
      <c r="I24" s="218">
        <f t="shared" si="2"/>
        <v>9.073724007561438</v>
      </c>
      <c r="J24" s="308"/>
    </row>
    <row r="25" spans="1:10" ht="7" customHeight="1">
      <c r="B25" s="290" t="str">
        <f t="shared" si="0"/>
        <v/>
      </c>
      <c r="C25" s="578"/>
      <c r="D25" s="868"/>
      <c r="F25" s="289" t="str">
        <f t="shared" si="1"/>
        <v/>
      </c>
      <c r="G25" s="77"/>
      <c r="I25" s="218" t="str">
        <f t="shared" si="2"/>
        <v/>
      </c>
      <c r="J25" s="308"/>
    </row>
    <row r="26" spans="1:10" s="55" customFormat="1">
      <c r="A26" s="55" t="s">
        <v>464</v>
      </c>
      <c r="B26" s="613">
        <f t="shared" si="0"/>
        <v>986</v>
      </c>
      <c r="C26" s="577">
        <f t="shared" si="3"/>
        <v>4.2626777917080974</v>
      </c>
      <c r="D26" s="955"/>
      <c r="E26" s="380">
        <f>E27</f>
        <v>869</v>
      </c>
      <c r="F26" s="573">
        <f t="shared" si="1"/>
        <v>88.133874239350916</v>
      </c>
      <c r="G26" s="605"/>
      <c r="H26" s="380">
        <f>H27</f>
        <v>117</v>
      </c>
      <c r="I26" s="573">
        <f t="shared" si="2"/>
        <v>11.866125760649087</v>
      </c>
      <c r="J26" s="308"/>
    </row>
    <row r="27" spans="1:10" s="749" customFormat="1">
      <c r="A27" s="95" t="s">
        <v>171</v>
      </c>
      <c r="B27" s="290">
        <f t="shared" si="0"/>
        <v>986</v>
      </c>
      <c r="C27" s="578">
        <f t="shared" si="3"/>
        <v>4.2626777917080974</v>
      </c>
      <c r="D27" s="966"/>
      <c r="E27" s="288">
        <f>SUM(E28:E32)</f>
        <v>869</v>
      </c>
      <c r="F27" s="289">
        <f t="shared" si="1"/>
        <v>88.133874239350916</v>
      </c>
      <c r="G27" s="614"/>
      <c r="H27" s="288">
        <f>SUM(H28:H32)</f>
        <v>117</v>
      </c>
      <c r="I27" s="218">
        <f t="shared" si="2"/>
        <v>11.866125760649087</v>
      </c>
      <c r="J27" s="308"/>
    </row>
    <row r="28" spans="1:10" s="752" customFormat="1">
      <c r="A28" s="95" t="s">
        <v>172</v>
      </c>
      <c r="B28" s="290">
        <f t="shared" si="0"/>
        <v>152</v>
      </c>
      <c r="C28" s="578">
        <f t="shared" si="3"/>
        <v>0.65712679953309416</v>
      </c>
      <c r="D28" s="967"/>
      <c r="E28" s="956">
        <v>139</v>
      </c>
      <c r="F28" s="289">
        <f t="shared" si="1"/>
        <v>91.44736842105263</v>
      </c>
      <c r="G28" s="957"/>
      <c r="H28" s="958">
        <v>13</v>
      </c>
      <c r="I28" s="218">
        <f t="shared" si="2"/>
        <v>8.5526315789473681</v>
      </c>
      <c r="J28" s="308"/>
    </row>
    <row r="29" spans="1:10" s="752" customFormat="1">
      <c r="A29" s="95" t="s">
        <v>173</v>
      </c>
      <c r="B29" s="290">
        <f t="shared" si="0"/>
        <v>237</v>
      </c>
      <c r="C29" s="578">
        <f t="shared" si="3"/>
        <v>1.0245990229562061</v>
      </c>
      <c r="D29" s="967"/>
      <c r="E29" s="956">
        <v>208</v>
      </c>
      <c r="F29" s="289">
        <f t="shared" si="1"/>
        <v>87.763713080168785</v>
      </c>
      <c r="G29" s="957"/>
      <c r="H29" s="958">
        <v>29</v>
      </c>
      <c r="I29" s="218">
        <f t="shared" si="2"/>
        <v>12.236286919831224</v>
      </c>
      <c r="J29" s="308"/>
    </row>
    <row r="30" spans="1:10" s="752" customFormat="1">
      <c r="A30" s="95" t="s">
        <v>174</v>
      </c>
      <c r="B30" s="290">
        <f t="shared" si="0"/>
        <v>175</v>
      </c>
      <c r="C30" s="578">
        <f t="shared" si="3"/>
        <v>0.75656045998875976</v>
      </c>
      <c r="D30" s="967"/>
      <c r="E30" s="956">
        <v>153</v>
      </c>
      <c r="F30" s="289">
        <f t="shared" si="1"/>
        <v>87.428571428571431</v>
      </c>
      <c r="G30" s="957"/>
      <c r="H30" s="958">
        <v>22</v>
      </c>
      <c r="I30" s="218">
        <f t="shared" si="2"/>
        <v>12.571428571428573</v>
      </c>
      <c r="J30" s="308"/>
    </row>
    <row r="31" spans="1:10" s="752" customFormat="1">
      <c r="A31" s="95" t="s">
        <v>175</v>
      </c>
      <c r="B31" s="290">
        <f t="shared" si="0"/>
        <v>254</v>
      </c>
      <c r="C31" s="578">
        <f t="shared" si="3"/>
        <v>1.0980934676408283</v>
      </c>
      <c r="D31" s="967"/>
      <c r="E31" s="956">
        <v>215</v>
      </c>
      <c r="F31" s="289">
        <f t="shared" si="1"/>
        <v>84.645669291338592</v>
      </c>
      <c r="G31" s="957"/>
      <c r="H31" s="958">
        <v>39</v>
      </c>
      <c r="I31" s="218">
        <f t="shared" si="2"/>
        <v>15.354330708661418</v>
      </c>
      <c r="J31" s="308"/>
    </row>
    <row r="32" spans="1:10" s="752" customFormat="1">
      <c r="A32" s="95" t="s">
        <v>176</v>
      </c>
      <c r="B32" s="290">
        <f t="shared" si="0"/>
        <v>168</v>
      </c>
      <c r="C32" s="578">
        <f t="shared" si="3"/>
        <v>0.7262980415892093</v>
      </c>
      <c r="D32" s="967"/>
      <c r="E32" s="956">
        <v>154</v>
      </c>
      <c r="F32" s="289">
        <f t="shared" si="1"/>
        <v>91.666666666666657</v>
      </c>
      <c r="G32" s="957"/>
      <c r="H32" s="958">
        <v>14</v>
      </c>
      <c r="I32" s="218">
        <f t="shared" si="2"/>
        <v>8.3333333333333321</v>
      </c>
      <c r="J32" s="308"/>
    </row>
    <row r="33" spans="1:10" ht="7" customHeight="1">
      <c r="B33" s="290" t="str">
        <f t="shared" si="0"/>
        <v/>
      </c>
      <c r="C33" s="578"/>
      <c r="D33" s="868"/>
      <c r="F33" s="289" t="str">
        <f t="shared" si="1"/>
        <v/>
      </c>
      <c r="G33" s="77"/>
      <c r="I33" s="218" t="str">
        <f t="shared" si="2"/>
        <v/>
      </c>
      <c r="J33" s="308"/>
    </row>
    <row r="34" spans="1:10" s="55" customFormat="1">
      <c r="A34" s="55" t="s">
        <v>406</v>
      </c>
      <c r="B34" s="613">
        <f t="shared" si="0"/>
        <v>6682</v>
      </c>
      <c r="C34" s="577">
        <f t="shared" si="3"/>
        <v>28.887639963685096</v>
      </c>
      <c r="D34" s="955"/>
      <c r="E34" s="380">
        <f>E35+E41+E51+E53</f>
        <v>5938</v>
      </c>
      <c r="F34" s="573">
        <f t="shared" si="1"/>
        <v>88.865609099072131</v>
      </c>
      <c r="G34" s="605"/>
      <c r="H34" s="380">
        <f>H35+H41+H51+H53</f>
        <v>744</v>
      </c>
      <c r="I34" s="573">
        <f t="shared" si="2"/>
        <v>11.134390900927867</v>
      </c>
      <c r="J34" s="308"/>
    </row>
    <row r="35" spans="1:10" s="749" customFormat="1">
      <c r="A35" s="95" t="s">
        <v>178</v>
      </c>
      <c r="B35" s="290">
        <f t="shared" si="0"/>
        <v>2259</v>
      </c>
      <c r="C35" s="578">
        <f t="shared" si="3"/>
        <v>9.7661147377977606</v>
      </c>
      <c r="D35" s="966"/>
      <c r="E35" s="288">
        <f>SUM(E36:E39)</f>
        <v>2004</v>
      </c>
      <c r="F35" s="289">
        <f t="shared" si="1"/>
        <v>88.711819389110218</v>
      </c>
      <c r="G35" s="614"/>
      <c r="H35" s="288">
        <f>SUM(H36:H39)</f>
        <v>255</v>
      </c>
      <c r="I35" s="218">
        <f t="shared" si="2"/>
        <v>11.288180610889773</v>
      </c>
      <c r="J35" s="308"/>
    </row>
    <row r="36" spans="1:10" s="752" customFormat="1">
      <c r="A36" s="95" t="s">
        <v>179</v>
      </c>
      <c r="B36" s="290">
        <f t="shared" si="0"/>
        <v>1222</v>
      </c>
      <c r="C36" s="578">
        <f t="shared" si="3"/>
        <v>5.2829536120357963</v>
      </c>
      <c r="D36" s="967"/>
      <c r="E36" s="956">
        <v>1082</v>
      </c>
      <c r="F36" s="289">
        <f t="shared" si="1"/>
        <v>88.54337152209493</v>
      </c>
      <c r="G36" s="957"/>
      <c r="H36" s="958">
        <v>140</v>
      </c>
      <c r="I36" s="218">
        <f t="shared" si="2"/>
        <v>11.456628477905074</v>
      </c>
      <c r="J36" s="308"/>
    </row>
    <row r="37" spans="1:10" s="752" customFormat="1">
      <c r="A37" s="95" t="s">
        <v>180</v>
      </c>
      <c r="B37" s="290">
        <f t="shared" si="0"/>
        <v>600</v>
      </c>
      <c r="C37" s="578">
        <f t="shared" si="3"/>
        <v>2.5939215771043189</v>
      </c>
      <c r="D37" s="967"/>
      <c r="E37" s="956">
        <v>538</v>
      </c>
      <c r="F37" s="289">
        <f t="shared" si="1"/>
        <v>89.666666666666657</v>
      </c>
      <c r="G37" s="957"/>
      <c r="H37" s="958">
        <v>62</v>
      </c>
      <c r="I37" s="218">
        <f t="shared" si="2"/>
        <v>10.333333333333334</v>
      </c>
      <c r="J37" s="308"/>
    </row>
    <row r="38" spans="1:10" s="752" customFormat="1">
      <c r="A38" s="95" t="s">
        <v>181</v>
      </c>
      <c r="B38" s="290">
        <f t="shared" si="0"/>
        <v>188</v>
      </c>
      <c r="C38" s="578">
        <f t="shared" si="3"/>
        <v>0.8127620941593533</v>
      </c>
      <c r="D38" s="967"/>
      <c r="E38" s="956">
        <v>172</v>
      </c>
      <c r="F38" s="289">
        <f t="shared" si="1"/>
        <v>91.489361702127653</v>
      </c>
      <c r="G38" s="957"/>
      <c r="H38" s="958">
        <v>16</v>
      </c>
      <c r="I38" s="218">
        <f t="shared" si="2"/>
        <v>8.5106382978723403</v>
      </c>
      <c r="J38" s="308"/>
    </row>
    <row r="39" spans="1:10" s="752" customFormat="1">
      <c r="A39" s="95" t="s">
        <v>182</v>
      </c>
      <c r="B39" s="290">
        <f t="shared" si="0"/>
        <v>249</v>
      </c>
      <c r="C39" s="578">
        <f t="shared" si="3"/>
        <v>1.0764774544982922</v>
      </c>
      <c r="D39" s="967"/>
      <c r="E39" s="956">
        <v>212</v>
      </c>
      <c r="F39" s="289">
        <f t="shared" si="1"/>
        <v>85.140562248995991</v>
      </c>
      <c r="G39" s="957"/>
      <c r="H39" s="958">
        <v>37</v>
      </c>
      <c r="I39" s="218">
        <f t="shared" si="2"/>
        <v>14.859437751004014</v>
      </c>
      <c r="J39" s="308"/>
    </row>
    <row r="40" spans="1:10" ht="7" customHeight="1">
      <c r="B40" s="290" t="str">
        <f t="shared" si="0"/>
        <v/>
      </c>
      <c r="C40" s="578"/>
      <c r="D40" s="868"/>
      <c r="F40" s="289" t="str">
        <f t="shared" si="1"/>
        <v/>
      </c>
      <c r="G40" s="77"/>
      <c r="I40" s="218" t="str">
        <f t="shared" si="2"/>
        <v/>
      </c>
      <c r="J40" s="308"/>
    </row>
    <row r="41" spans="1:10" s="749" customFormat="1">
      <c r="A41" s="95" t="s">
        <v>183</v>
      </c>
      <c r="B41" s="290">
        <f t="shared" si="0"/>
        <v>1937</v>
      </c>
      <c r="C41" s="578">
        <f t="shared" si="3"/>
        <v>8.3740434914184423</v>
      </c>
      <c r="D41" s="966"/>
      <c r="E41" s="288">
        <f>SUM(E42:E49)</f>
        <v>1733</v>
      </c>
      <c r="F41" s="289">
        <f t="shared" si="1"/>
        <v>89.468249870934429</v>
      </c>
      <c r="G41" s="614"/>
      <c r="H41" s="288">
        <f>SUM(H42:H49)</f>
        <v>204</v>
      </c>
      <c r="I41" s="218">
        <f t="shared" si="2"/>
        <v>10.531750129065564</v>
      </c>
      <c r="J41" s="308"/>
    </row>
    <row r="42" spans="1:10" s="752" customFormat="1">
      <c r="A42" s="95" t="s">
        <v>191</v>
      </c>
      <c r="B42" s="290">
        <f t="shared" si="0"/>
        <v>224</v>
      </c>
      <c r="C42" s="578">
        <f t="shared" si="3"/>
        <v>0.96839738878561243</v>
      </c>
      <c r="D42" s="967"/>
      <c r="E42" s="956">
        <v>198</v>
      </c>
      <c r="F42" s="289">
        <f t="shared" si="1"/>
        <v>88.392857142857139</v>
      </c>
      <c r="G42" s="957"/>
      <c r="H42" s="958">
        <v>26</v>
      </c>
      <c r="I42" s="218">
        <f t="shared" si="2"/>
        <v>11.607142857142858</v>
      </c>
      <c r="J42" s="308"/>
    </row>
    <row r="43" spans="1:10" s="752" customFormat="1">
      <c r="A43" s="95" t="s">
        <v>184</v>
      </c>
      <c r="B43" s="290">
        <f t="shared" si="0"/>
        <v>222</v>
      </c>
      <c r="C43" s="578">
        <f t="shared" si="3"/>
        <v>0.959750983528598</v>
      </c>
      <c r="D43" s="967"/>
      <c r="E43" s="956">
        <v>197</v>
      </c>
      <c r="F43" s="289">
        <f t="shared" si="1"/>
        <v>88.738738738738746</v>
      </c>
      <c r="G43" s="957"/>
      <c r="H43" s="958">
        <v>25</v>
      </c>
      <c r="I43" s="218">
        <f t="shared" si="2"/>
        <v>11.261261261261261</v>
      </c>
      <c r="J43" s="308"/>
    </row>
    <row r="44" spans="1:10" s="752" customFormat="1">
      <c r="A44" s="95" t="s">
        <v>185</v>
      </c>
      <c r="B44" s="290">
        <f t="shared" si="0"/>
        <v>124</v>
      </c>
      <c r="C44" s="578">
        <f t="shared" si="3"/>
        <v>0.53607712593489254</v>
      </c>
      <c r="D44" s="967"/>
      <c r="E44" s="956">
        <v>116</v>
      </c>
      <c r="F44" s="289">
        <f t="shared" si="1"/>
        <v>93.548387096774192</v>
      </c>
      <c r="G44" s="957"/>
      <c r="H44" s="958">
        <v>8</v>
      </c>
      <c r="I44" s="218">
        <f t="shared" si="2"/>
        <v>6.4516129032258061</v>
      </c>
      <c r="J44" s="308"/>
    </row>
    <row r="45" spans="1:10" s="752" customFormat="1">
      <c r="A45" s="95" t="s">
        <v>186</v>
      </c>
      <c r="B45" s="290">
        <f t="shared" si="0"/>
        <v>282</v>
      </c>
      <c r="C45" s="578">
        <f t="shared" si="3"/>
        <v>1.2191431412390299</v>
      </c>
      <c r="D45" s="967"/>
      <c r="E45" s="956">
        <v>250</v>
      </c>
      <c r="F45" s="289">
        <f t="shared" si="1"/>
        <v>88.652482269503537</v>
      </c>
      <c r="G45" s="957"/>
      <c r="H45" s="958">
        <v>32</v>
      </c>
      <c r="I45" s="218">
        <f t="shared" si="2"/>
        <v>11.347517730496454</v>
      </c>
      <c r="J45" s="308"/>
    </row>
    <row r="46" spans="1:10" s="752" customFormat="1">
      <c r="A46" s="95" t="s">
        <v>190</v>
      </c>
      <c r="B46" s="290">
        <f t="shared" si="0"/>
        <v>214</v>
      </c>
      <c r="C46" s="578">
        <f t="shared" si="3"/>
        <v>0.92516536250054038</v>
      </c>
      <c r="D46" s="967"/>
      <c r="E46" s="956">
        <v>186</v>
      </c>
      <c r="F46" s="289">
        <f t="shared" si="1"/>
        <v>86.915887850467286</v>
      </c>
      <c r="G46" s="957"/>
      <c r="H46" s="958">
        <v>28</v>
      </c>
      <c r="I46" s="218">
        <f t="shared" si="2"/>
        <v>13.084112149532709</v>
      </c>
      <c r="J46" s="308"/>
    </row>
    <row r="47" spans="1:10" s="752" customFormat="1">
      <c r="A47" s="95" t="s">
        <v>408</v>
      </c>
      <c r="B47" s="290">
        <f t="shared" si="0"/>
        <v>405</v>
      </c>
      <c r="C47" s="578">
        <f t="shared" si="3"/>
        <v>1.7508970645454154</v>
      </c>
      <c r="D47" s="967"/>
      <c r="E47" s="956">
        <v>361</v>
      </c>
      <c r="F47" s="289">
        <f t="shared" si="1"/>
        <v>89.135802469135811</v>
      </c>
      <c r="G47" s="957"/>
      <c r="H47" s="958">
        <v>44</v>
      </c>
      <c r="I47" s="218">
        <f t="shared" si="2"/>
        <v>10.864197530864198</v>
      </c>
      <c r="J47" s="308"/>
    </row>
    <row r="48" spans="1:10" s="752" customFormat="1">
      <c r="A48" s="95" t="s">
        <v>189</v>
      </c>
      <c r="B48" s="290">
        <f t="shared" si="0"/>
        <v>158</v>
      </c>
      <c r="C48" s="578">
        <f t="shared" si="3"/>
        <v>0.68306601530413724</v>
      </c>
      <c r="D48" s="967"/>
      <c r="E48" s="956">
        <v>146</v>
      </c>
      <c r="F48" s="289">
        <f t="shared" si="1"/>
        <v>92.405063291139243</v>
      </c>
      <c r="G48" s="957"/>
      <c r="H48" s="958">
        <v>12</v>
      </c>
      <c r="I48" s="218">
        <f t="shared" si="2"/>
        <v>7.59493670886076</v>
      </c>
      <c r="J48" s="308"/>
    </row>
    <row r="49" spans="1:10" s="752" customFormat="1">
      <c r="A49" s="95" t="s">
        <v>188</v>
      </c>
      <c r="B49" s="290">
        <f t="shared" si="0"/>
        <v>308</v>
      </c>
      <c r="C49" s="578">
        <f t="shared" si="3"/>
        <v>1.3315464095802172</v>
      </c>
      <c r="D49" s="967"/>
      <c r="E49" s="956">
        <v>279</v>
      </c>
      <c r="F49" s="289">
        <f t="shared" si="1"/>
        <v>90.584415584415595</v>
      </c>
      <c r="G49" s="957"/>
      <c r="H49" s="958">
        <v>29</v>
      </c>
      <c r="I49" s="218">
        <f t="shared" si="2"/>
        <v>9.4155844155844157</v>
      </c>
      <c r="J49" s="308"/>
    </row>
    <row r="50" spans="1:10" ht="7.5" customHeight="1">
      <c r="B50" s="290" t="str">
        <f t="shared" si="0"/>
        <v/>
      </c>
      <c r="C50" s="578"/>
      <c r="D50" s="868"/>
      <c r="E50" s="249"/>
      <c r="F50" s="289" t="str">
        <f t="shared" si="1"/>
        <v/>
      </c>
      <c r="G50" s="249"/>
      <c r="H50" s="249"/>
      <c r="I50" s="218" t="str">
        <f t="shared" si="2"/>
        <v/>
      </c>
      <c r="J50" s="308"/>
    </row>
    <row r="51" spans="1:10" s="749" customFormat="1">
      <c r="A51" s="95" t="s">
        <v>192</v>
      </c>
      <c r="B51" s="290">
        <f t="shared" si="0"/>
        <v>411</v>
      </c>
      <c r="C51" s="578">
        <f t="shared" si="3"/>
        <v>1.7768362803164583</v>
      </c>
      <c r="D51" s="966"/>
      <c r="E51" s="956">
        <v>366</v>
      </c>
      <c r="F51" s="289">
        <f t="shared" si="1"/>
        <v>89.051094890510953</v>
      </c>
      <c r="G51" s="957"/>
      <c r="H51" s="958">
        <v>45</v>
      </c>
      <c r="I51" s="218">
        <f t="shared" si="2"/>
        <v>10.948905109489052</v>
      </c>
      <c r="J51" s="308"/>
    </row>
    <row r="52" spans="1:10" ht="8.25" customHeight="1">
      <c r="B52" s="290" t="str">
        <f t="shared" si="0"/>
        <v/>
      </c>
      <c r="C52" s="578"/>
      <c r="D52" s="868"/>
      <c r="F52" s="289" t="str">
        <f t="shared" si="1"/>
        <v/>
      </c>
      <c r="G52" s="77"/>
      <c r="I52" s="218" t="str">
        <f t="shared" si="2"/>
        <v/>
      </c>
      <c r="J52" s="308"/>
    </row>
    <row r="53" spans="1:10" s="749" customFormat="1">
      <c r="A53" s="95" t="s">
        <v>193</v>
      </c>
      <c r="B53" s="290">
        <f t="shared" si="0"/>
        <v>2075</v>
      </c>
      <c r="C53" s="578">
        <f t="shared" si="3"/>
        <v>8.9706454541524359</v>
      </c>
      <c r="D53" s="966"/>
      <c r="E53" s="288">
        <f>SUM(E54:E58)</f>
        <v>1835</v>
      </c>
      <c r="F53" s="289">
        <f t="shared" si="1"/>
        <v>88.433734939759034</v>
      </c>
      <c r="G53" s="614"/>
      <c r="H53" s="288">
        <f>SUM(H54:H58)</f>
        <v>240</v>
      </c>
      <c r="I53" s="218">
        <f t="shared" si="2"/>
        <v>11.566265060240964</v>
      </c>
      <c r="J53" s="308"/>
    </row>
    <row r="54" spans="1:10" s="752" customFormat="1">
      <c r="A54" s="95" t="s">
        <v>194</v>
      </c>
      <c r="B54" s="290">
        <f t="shared" si="0"/>
        <v>55</v>
      </c>
      <c r="C54" s="578">
        <f t="shared" si="3"/>
        <v>0.23777614456789589</v>
      </c>
      <c r="D54" s="967"/>
      <c r="E54" s="956">
        <v>50</v>
      </c>
      <c r="F54" s="289">
        <f t="shared" si="1"/>
        <v>90.909090909090907</v>
      </c>
      <c r="G54" s="957"/>
      <c r="H54" s="958">
        <v>5</v>
      </c>
      <c r="I54" s="218">
        <f t="shared" si="2"/>
        <v>9.0909090909090917</v>
      </c>
      <c r="J54" s="308"/>
    </row>
    <row r="55" spans="1:10" s="752" customFormat="1">
      <c r="A55" s="95" t="s">
        <v>195</v>
      </c>
      <c r="B55" s="290">
        <f t="shared" si="0"/>
        <v>1300</v>
      </c>
      <c r="C55" s="578">
        <f t="shared" si="3"/>
        <v>5.6201634170593575</v>
      </c>
      <c r="D55" s="967"/>
      <c r="E55" s="956">
        <v>1149</v>
      </c>
      <c r="F55" s="289">
        <f t="shared" si="1"/>
        <v>88.384615384615387</v>
      </c>
      <c r="G55" s="957"/>
      <c r="H55" s="958">
        <v>151</v>
      </c>
      <c r="I55" s="218">
        <f t="shared" si="2"/>
        <v>11.615384615384615</v>
      </c>
      <c r="J55" s="308"/>
    </row>
    <row r="56" spans="1:10" s="752" customFormat="1">
      <c r="A56" s="95" t="s">
        <v>196</v>
      </c>
      <c r="B56" s="290">
        <f t="shared" si="0"/>
        <v>236</v>
      </c>
      <c r="C56" s="578">
        <f t="shared" si="3"/>
        <v>1.0202758203276989</v>
      </c>
      <c r="D56" s="967"/>
      <c r="E56" s="956">
        <v>210</v>
      </c>
      <c r="F56" s="289">
        <f t="shared" si="1"/>
        <v>88.983050847457619</v>
      </c>
      <c r="G56" s="957"/>
      <c r="H56" s="958">
        <v>26</v>
      </c>
      <c r="I56" s="218">
        <f t="shared" si="2"/>
        <v>11.016949152542372</v>
      </c>
      <c r="J56" s="308"/>
    </row>
    <row r="57" spans="1:10" s="752" customFormat="1">
      <c r="A57" s="95" t="s">
        <v>409</v>
      </c>
      <c r="B57" s="290">
        <f t="shared" si="0"/>
        <v>323</v>
      </c>
      <c r="C57" s="578">
        <f t="shared" si="3"/>
        <v>1.3963944490078251</v>
      </c>
      <c r="D57" s="967"/>
      <c r="E57" s="956">
        <v>290</v>
      </c>
      <c r="F57" s="289">
        <f t="shared" si="1"/>
        <v>89.783281733746136</v>
      </c>
      <c r="G57" s="957"/>
      <c r="H57" s="958">
        <v>33</v>
      </c>
      <c r="I57" s="218">
        <f t="shared" si="2"/>
        <v>10.216718266253871</v>
      </c>
      <c r="J57" s="308"/>
    </row>
    <row r="58" spans="1:10" s="752" customFormat="1">
      <c r="A58" s="95" t="s">
        <v>198</v>
      </c>
      <c r="B58" s="290">
        <f t="shared" si="0"/>
        <v>161</v>
      </c>
      <c r="C58" s="578">
        <f t="shared" si="3"/>
        <v>0.69603562318965884</v>
      </c>
      <c r="D58" s="967"/>
      <c r="E58" s="956">
        <v>136</v>
      </c>
      <c r="F58" s="289">
        <f t="shared" si="1"/>
        <v>84.472049689440993</v>
      </c>
      <c r="G58" s="957"/>
      <c r="H58" s="958">
        <v>25</v>
      </c>
      <c r="I58" s="218">
        <f t="shared" si="2"/>
        <v>15.527950310559005</v>
      </c>
      <c r="J58" s="308"/>
    </row>
    <row r="59" spans="1:10" ht="7" customHeight="1">
      <c r="B59" s="290" t="str">
        <f t="shared" si="0"/>
        <v/>
      </c>
      <c r="C59" s="578"/>
      <c r="D59" s="868"/>
      <c r="F59" s="289" t="str">
        <f t="shared" si="1"/>
        <v/>
      </c>
      <c r="G59" s="77"/>
      <c r="I59" s="218" t="str">
        <f t="shared" si="2"/>
        <v/>
      </c>
      <c r="J59" s="308"/>
    </row>
    <row r="60" spans="1:10" s="55" customFormat="1">
      <c r="A60" s="55" t="s">
        <v>413</v>
      </c>
      <c r="B60" s="613">
        <f t="shared" si="0"/>
        <v>739</v>
      </c>
      <c r="C60" s="577">
        <f t="shared" si="3"/>
        <v>3.1948467424668197</v>
      </c>
      <c r="D60" s="955"/>
      <c r="E60" s="380">
        <f>E61</f>
        <v>635</v>
      </c>
      <c r="F60" s="573">
        <f t="shared" si="1"/>
        <v>85.926928281461429</v>
      </c>
      <c r="G60" s="605"/>
      <c r="H60" s="380">
        <f>H61</f>
        <v>104</v>
      </c>
      <c r="I60" s="573">
        <f t="shared" si="2"/>
        <v>14.073071718538566</v>
      </c>
      <c r="J60" s="308"/>
    </row>
    <row r="61" spans="1:10" s="749" customFormat="1">
      <c r="A61" s="95" t="s">
        <v>414</v>
      </c>
      <c r="B61" s="290">
        <f t="shared" si="0"/>
        <v>739</v>
      </c>
      <c r="C61" s="578">
        <f t="shared" si="3"/>
        <v>3.1948467424668197</v>
      </c>
      <c r="D61" s="966"/>
      <c r="E61" s="288">
        <f>SUM(E62:E65)</f>
        <v>635</v>
      </c>
      <c r="F61" s="289">
        <f t="shared" si="1"/>
        <v>85.926928281461429</v>
      </c>
      <c r="G61" s="614"/>
      <c r="H61" s="288">
        <f>SUM(H62:H65)</f>
        <v>104</v>
      </c>
      <c r="I61" s="218">
        <f t="shared" si="2"/>
        <v>14.073071718538566</v>
      </c>
      <c r="J61" s="308"/>
    </row>
    <row r="62" spans="1:10" s="752" customFormat="1">
      <c r="A62" s="95" t="s">
        <v>212</v>
      </c>
      <c r="B62" s="290">
        <f t="shared" si="0"/>
        <v>224</v>
      </c>
      <c r="C62" s="578">
        <f t="shared" si="3"/>
        <v>0.96839738878561243</v>
      </c>
      <c r="D62" s="967"/>
      <c r="E62" s="956">
        <v>188</v>
      </c>
      <c r="F62" s="289">
        <f t="shared" si="1"/>
        <v>83.928571428571431</v>
      </c>
      <c r="G62" s="957"/>
      <c r="H62" s="958">
        <v>36</v>
      </c>
      <c r="I62" s="218">
        <f t="shared" si="2"/>
        <v>16.071428571428573</v>
      </c>
      <c r="J62" s="308"/>
    </row>
    <row r="63" spans="1:10" s="752" customFormat="1">
      <c r="A63" s="95" t="s">
        <v>213</v>
      </c>
      <c r="B63" s="290">
        <f t="shared" si="0"/>
        <v>255</v>
      </c>
      <c r="C63" s="578">
        <f t="shared" si="3"/>
        <v>1.1024166702693354</v>
      </c>
      <c r="D63" s="967"/>
      <c r="E63" s="956">
        <v>220</v>
      </c>
      <c r="F63" s="289">
        <f t="shared" si="1"/>
        <v>86.274509803921575</v>
      </c>
      <c r="G63" s="957"/>
      <c r="H63" s="958">
        <v>35</v>
      </c>
      <c r="I63" s="218">
        <f t="shared" si="2"/>
        <v>13.725490196078432</v>
      </c>
      <c r="J63" s="308"/>
    </row>
    <row r="64" spans="1:10" s="752" customFormat="1">
      <c r="A64" s="95" t="s">
        <v>214</v>
      </c>
      <c r="B64" s="290">
        <f t="shared" si="0"/>
        <v>190</v>
      </c>
      <c r="C64" s="578">
        <f t="shared" si="3"/>
        <v>0.82140849941636762</v>
      </c>
      <c r="D64" s="967"/>
      <c r="E64" s="956">
        <v>166</v>
      </c>
      <c r="F64" s="289">
        <f t="shared" si="1"/>
        <v>87.368421052631589</v>
      </c>
      <c r="G64" s="957"/>
      <c r="H64" s="958">
        <v>24</v>
      </c>
      <c r="I64" s="218">
        <f t="shared" si="2"/>
        <v>12.631578947368421</v>
      </c>
      <c r="J64" s="308"/>
    </row>
    <row r="65" spans="1:10" s="752" customFormat="1">
      <c r="A65" s="95" t="s">
        <v>215</v>
      </c>
      <c r="B65" s="290">
        <f t="shared" si="0"/>
        <v>70</v>
      </c>
      <c r="C65" s="578">
        <f t="shared" si="3"/>
        <v>0.30262418399550384</v>
      </c>
      <c r="D65" s="967"/>
      <c r="E65" s="956">
        <v>61</v>
      </c>
      <c r="F65" s="289">
        <f t="shared" si="1"/>
        <v>87.142857142857139</v>
      </c>
      <c r="G65" s="957"/>
      <c r="H65" s="958">
        <v>9</v>
      </c>
      <c r="I65" s="218">
        <f t="shared" si="2"/>
        <v>12.857142857142856</v>
      </c>
      <c r="J65" s="308"/>
    </row>
    <row r="66" spans="1:10" ht="7" customHeight="1">
      <c r="B66" s="290" t="str">
        <f t="shared" si="0"/>
        <v/>
      </c>
      <c r="C66" s="578"/>
      <c r="D66" s="868"/>
      <c r="F66" s="289" t="str">
        <f t="shared" si="1"/>
        <v/>
      </c>
      <c r="G66" s="77"/>
      <c r="I66" s="218" t="str">
        <f t="shared" si="2"/>
        <v/>
      </c>
      <c r="J66" s="308"/>
    </row>
    <row r="67" spans="1:10" s="55" customFormat="1">
      <c r="A67" s="55" t="s">
        <v>483</v>
      </c>
      <c r="B67" s="613">
        <f t="shared" si="0"/>
        <v>2684</v>
      </c>
      <c r="C67" s="577">
        <f t="shared" si="3"/>
        <v>11.60347585491332</v>
      </c>
      <c r="D67" s="955"/>
      <c r="E67" s="380">
        <f>E68</f>
        <v>2414</v>
      </c>
      <c r="F67" s="573">
        <f t="shared" si="1"/>
        <v>89.94038748137109</v>
      </c>
      <c r="G67" s="605"/>
      <c r="H67" s="380">
        <f>H68</f>
        <v>270</v>
      </c>
      <c r="I67" s="573">
        <f t="shared" si="2"/>
        <v>10.059612518628912</v>
      </c>
      <c r="J67" s="308"/>
    </row>
    <row r="68" spans="1:10" s="749" customFormat="1">
      <c r="A68" s="95" t="s">
        <v>217</v>
      </c>
      <c r="B68" s="290">
        <f t="shared" si="0"/>
        <v>2684</v>
      </c>
      <c r="C68" s="578">
        <f t="shared" si="3"/>
        <v>11.60347585491332</v>
      </c>
      <c r="D68" s="966"/>
      <c r="E68" s="288">
        <f>SUM(E69:E77)</f>
        <v>2414</v>
      </c>
      <c r="F68" s="289">
        <f t="shared" si="1"/>
        <v>89.94038748137109</v>
      </c>
      <c r="G68" s="614"/>
      <c r="H68" s="288">
        <f>SUM(H69:H77)</f>
        <v>270</v>
      </c>
      <c r="I68" s="218">
        <f t="shared" si="2"/>
        <v>10.059612518628912</v>
      </c>
      <c r="J68" s="308"/>
    </row>
    <row r="69" spans="1:10" s="752" customFormat="1">
      <c r="A69" s="33" t="s">
        <v>1921</v>
      </c>
      <c r="B69" s="290">
        <f t="shared" si="0"/>
        <v>298</v>
      </c>
      <c r="C69" s="578">
        <f t="shared" si="3"/>
        <v>1.2883143832951451</v>
      </c>
      <c r="D69" s="967"/>
      <c r="E69" s="956">
        <v>258</v>
      </c>
      <c r="F69" s="289">
        <f t="shared" si="1"/>
        <v>86.577181208053688</v>
      </c>
      <c r="G69" s="957"/>
      <c r="H69" s="958">
        <v>40</v>
      </c>
      <c r="I69" s="218">
        <f t="shared" si="2"/>
        <v>13.422818791946309</v>
      </c>
      <c r="J69" s="308"/>
    </row>
    <row r="70" spans="1:10" s="752" customFormat="1">
      <c r="A70" s="95" t="s">
        <v>218</v>
      </c>
      <c r="B70" s="290">
        <f t="shared" si="0"/>
        <v>401</v>
      </c>
      <c r="C70" s="578">
        <f t="shared" si="3"/>
        <v>1.7336042540313865</v>
      </c>
      <c r="D70" s="967"/>
      <c r="E70" s="956">
        <v>355</v>
      </c>
      <c r="F70" s="289">
        <f t="shared" si="1"/>
        <v>88.528678304239406</v>
      </c>
      <c r="G70" s="957"/>
      <c r="H70" s="958">
        <v>46</v>
      </c>
      <c r="I70" s="218">
        <f t="shared" si="2"/>
        <v>11.471321695760599</v>
      </c>
      <c r="J70" s="308"/>
    </row>
    <row r="71" spans="1:10" s="752" customFormat="1">
      <c r="A71" s="95" t="s">
        <v>220</v>
      </c>
      <c r="B71" s="290">
        <f t="shared" si="0"/>
        <v>500</v>
      </c>
      <c r="C71" s="578">
        <f t="shared" si="3"/>
        <v>2.1616013142535988</v>
      </c>
      <c r="D71" s="967"/>
      <c r="E71" s="956">
        <v>449</v>
      </c>
      <c r="F71" s="289">
        <f t="shared" si="1"/>
        <v>89.8</v>
      </c>
      <c r="G71" s="957"/>
      <c r="H71" s="958">
        <v>51</v>
      </c>
      <c r="I71" s="218">
        <f t="shared" si="2"/>
        <v>10.199999999999999</v>
      </c>
      <c r="J71" s="308"/>
    </row>
    <row r="72" spans="1:10" s="752" customFormat="1">
      <c r="A72" s="95" t="s">
        <v>222</v>
      </c>
      <c r="B72" s="290">
        <f t="shared" si="0"/>
        <v>149</v>
      </c>
      <c r="C72" s="578">
        <f t="shared" si="3"/>
        <v>0.64415719164757257</v>
      </c>
      <c r="D72" s="967"/>
      <c r="E72" s="956">
        <v>137</v>
      </c>
      <c r="F72" s="289">
        <f t="shared" si="1"/>
        <v>91.946308724832221</v>
      </c>
      <c r="G72" s="957"/>
      <c r="H72" s="958">
        <v>12</v>
      </c>
      <c r="I72" s="218">
        <f t="shared" si="2"/>
        <v>8.0536912751677843</v>
      </c>
      <c r="J72" s="308"/>
    </row>
    <row r="73" spans="1:10" s="752" customFormat="1">
      <c r="A73" s="95" t="s">
        <v>221</v>
      </c>
      <c r="B73" s="290">
        <f t="shared" si="0"/>
        <v>197</v>
      </c>
      <c r="C73" s="578">
        <f t="shared" si="3"/>
        <v>0.85167091781591808</v>
      </c>
      <c r="D73" s="967"/>
      <c r="E73" s="956">
        <v>177</v>
      </c>
      <c r="F73" s="289">
        <f t="shared" si="1"/>
        <v>89.847715736040612</v>
      </c>
      <c r="G73" s="957"/>
      <c r="H73" s="958">
        <v>20</v>
      </c>
      <c r="I73" s="218">
        <f t="shared" si="2"/>
        <v>10.152284263959391</v>
      </c>
      <c r="J73" s="308"/>
    </row>
    <row r="74" spans="1:10" s="752" customFormat="1">
      <c r="A74" s="95" t="s">
        <v>219</v>
      </c>
      <c r="B74" s="290">
        <f t="shared" si="0"/>
        <v>282</v>
      </c>
      <c r="C74" s="578">
        <f t="shared" si="3"/>
        <v>1.2191431412390299</v>
      </c>
      <c r="D74" s="967"/>
      <c r="E74" s="956">
        <v>262</v>
      </c>
      <c r="F74" s="289">
        <f t="shared" si="1"/>
        <v>92.907801418439718</v>
      </c>
      <c r="G74" s="957"/>
      <c r="H74" s="958">
        <v>20</v>
      </c>
      <c r="I74" s="218">
        <f t="shared" si="2"/>
        <v>7.0921985815602842</v>
      </c>
      <c r="J74" s="308"/>
    </row>
    <row r="75" spans="1:10" s="752" customFormat="1">
      <c r="A75" s="95" t="s">
        <v>223</v>
      </c>
      <c r="B75" s="290">
        <f t="shared" si="0"/>
        <v>298</v>
      </c>
      <c r="C75" s="578">
        <f t="shared" si="3"/>
        <v>1.2883143832951451</v>
      </c>
      <c r="D75" s="967"/>
      <c r="E75" s="956">
        <v>273</v>
      </c>
      <c r="F75" s="289">
        <f t="shared" si="1"/>
        <v>91.610738255033553</v>
      </c>
      <c r="G75" s="957"/>
      <c r="H75" s="958">
        <v>25</v>
      </c>
      <c r="I75" s="218">
        <f t="shared" si="2"/>
        <v>8.3892617449664435</v>
      </c>
      <c r="J75" s="308"/>
    </row>
    <row r="76" spans="1:10" s="752" customFormat="1">
      <c r="A76" s="95" t="s">
        <v>226</v>
      </c>
      <c r="B76" s="290">
        <f t="shared" ref="B76:B101" si="4">IF(A76&lt;&gt;0,E76+H76,"")</f>
        <v>264</v>
      </c>
      <c r="C76" s="578">
        <f t="shared" si="3"/>
        <v>1.1413254939259003</v>
      </c>
      <c r="D76" s="967"/>
      <c r="E76" s="956">
        <v>229</v>
      </c>
      <c r="F76" s="289">
        <f t="shared" ref="F76:F101" si="5">IF(A76&lt;&gt;0,E76/B76*100,"")</f>
        <v>86.742424242424249</v>
      </c>
      <c r="G76" s="957"/>
      <c r="H76" s="958">
        <v>35</v>
      </c>
      <c r="I76" s="218">
        <f t="shared" ref="I76:I101" si="6">IF(A76&lt;&gt;0,H76/B76*100,"")</f>
        <v>13.257575757575758</v>
      </c>
      <c r="J76" s="308"/>
    </row>
    <row r="77" spans="1:10" s="752" customFormat="1">
      <c r="A77" s="95" t="s">
        <v>416</v>
      </c>
      <c r="B77" s="290">
        <f t="shared" si="4"/>
        <v>295</v>
      </c>
      <c r="C77" s="578">
        <f t="shared" ref="C77:C101" si="7">(B77/$B$11)*100</f>
        <v>1.2753447754096234</v>
      </c>
      <c r="D77" s="967"/>
      <c r="E77" s="956">
        <v>274</v>
      </c>
      <c r="F77" s="289">
        <f t="shared" si="5"/>
        <v>92.881355932203391</v>
      </c>
      <c r="G77" s="957"/>
      <c r="H77" s="958">
        <v>21</v>
      </c>
      <c r="I77" s="218">
        <f t="shared" si="6"/>
        <v>7.1186440677966107</v>
      </c>
      <c r="J77" s="308"/>
    </row>
    <row r="78" spans="1:10" ht="8.25" customHeight="1">
      <c r="B78" s="290" t="str">
        <f t="shared" si="4"/>
        <v/>
      </c>
      <c r="C78" s="578"/>
      <c r="D78" s="868"/>
      <c r="F78" s="289" t="str">
        <f t="shared" si="5"/>
        <v/>
      </c>
      <c r="G78" s="77"/>
      <c r="I78" s="218" t="str">
        <f t="shared" si="6"/>
        <v/>
      </c>
      <c r="J78" s="308"/>
    </row>
    <row r="79" spans="1:10" s="55" customFormat="1">
      <c r="A79" s="55" t="s">
        <v>410</v>
      </c>
      <c r="B79" s="613">
        <f t="shared" si="4"/>
        <v>1852</v>
      </c>
      <c r="C79" s="577">
        <f t="shared" si="7"/>
        <v>8.0065712679953318</v>
      </c>
      <c r="D79" s="955"/>
      <c r="E79" s="380">
        <f>E80+E82+E89+E91</f>
        <v>1677</v>
      </c>
      <c r="F79" s="573">
        <f t="shared" si="5"/>
        <v>90.550755939524834</v>
      </c>
      <c r="G79" s="605"/>
      <c r="H79" s="380">
        <f>H80+H82+H89+H91</f>
        <v>175</v>
      </c>
      <c r="I79" s="573">
        <f t="shared" si="6"/>
        <v>9.4492440604751629</v>
      </c>
      <c r="J79" s="308"/>
    </row>
    <row r="80" spans="1:10" s="749" customFormat="1">
      <c r="A80" s="95" t="s">
        <v>411</v>
      </c>
      <c r="B80" s="290">
        <f t="shared" si="4"/>
        <v>263</v>
      </c>
      <c r="C80" s="578">
        <f t="shared" si="7"/>
        <v>1.1370022912973932</v>
      </c>
      <c r="D80" s="966"/>
      <c r="E80" s="956">
        <v>243</v>
      </c>
      <c r="F80" s="289">
        <f t="shared" si="5"/>
        <v>92.395437262357419</v>
      </c>
      <c r="G80" s="957"/>
      <c r="H80" s="958">
        <v>20</v>
      </c>
      <c r="I80" s="218">
        <f t="shared" si="6"/>
        <v>7.6045627376425857</v>
      </c>
      <c r="J80" s="308"/>
    </row>
    <row r="81" spans="1:10" ht="9" customHeight="1">
      <c r="B81" s="290" t="str">
        <f t="shared" si="4"/>
        <v/>
      </c>
      <c r="C81" s="578"/>
      <c r="D81" s="868"/>
      <c r="F81" s="289" t="str">
        <f t="shared" si="5"/>
        <v/>
      </c>
      <c r="G81" s="77"/>
      <c r="I81" s="218" t="str">
        <f t="shared" si="6"/>
        <v/>
      </c>
      <c r="J81" s="308"/>
    </row>
    <row r="82" spans="1:10" s="749" customFormat="1">
      <c r="A82" s="95" t="s">
        <v>202</v>
      </c>
      <c r="B82" s="290">
        <f t="shared" si="4"/>
        <v>1113</v>
      </c>
      <c r="C82" s="578">
        <f t="shared" si="7"/>
        <v>4.8117245255285113</v>
      </c>
      <c r="D82" s="966"/>
      <c r="E82" s="288">
        <f>SUM(E83:E87)</f>
        <v>1004</v>
      </c>
      <c r="F82" s="289">
        <f t="shared" si="5"/>
        <v>90.206648697214732</v>
      </c>
      <c r="G82" s="614"/>
      <c r="H82" s="288">
        <f>SUM(H83:H87)</f>
        <v>109</v>
      </c>
      <c r="I82" s="218">
        <f t="shared" si="6"/>
        <v>9.7933513027852648</v>
      </c>
      <c r="J82" s="308"/>
    </row>
    <row r="83" spans="1:10" s="752" customFormat="1">
      <c r="A83" s="95" t="s">
        <v>203</v>
      </c>
      <c r="B83" s="290">
        <f>IF(A83&lt;&gt;0,E83+H83,"")</f>
        <v>239</v>
      </c>
      <c r="C83" s="578">
        <f t="shared" si="7"/>
        <v>1.0332454282132204</v>
      </c>
      <c r="D83" s="967"/>
      <c r="E83" s="956">
        <v>223</v>
      </c>
      <c r="F83" s="289">
        <f t="shared" si="5"/>
        <v>93.305439330543933</v>
      </c>
      <c r="G83" s="957"/>
      <c r="H83" s="958">
        <v>16</v>
      </c>
      <c r="I83" s="218">
        <f>IF(A83&lt;&gt;0,H83/B83*100,"")</f>
        <v>6.6945606694560666</v>
      </c>
      <c r="J83" s="308"/>
    </row>
    <row r="84" spans="1:10" s="752" customFormat="1">
      <c r="A84" s="95" t="s">
        <v>204</v>
      </c>
      <c r="B84" s="290">
        <f>IF(A84&lt;&gt;0,E84+H84,"")</f>
        <v>277</v>
      </c>
      <c r="C84" s="578">
        <f t="shared" si="7"/>
        <v>1.1975271280964939</v>
      </c>
      <c r="D84" s="967"/>
      <c r="E84" s="956">
        <v>245</v>
      </c>
      <c r="F84" s="289">
        <f t="shared" si="5"/>
        <v>88.447653429602894</v>
      </c>
      <c r="G84" s="957"/>
      <c r="H84" s="958">
        <v>32</v>
      </c>
      <c r="I84" s="218">
        <f>IF(A84&lt;&gt;0,H84/B84*100,"")</f>
        <v>11.552346570397113</v>
      </c>
      <c r="J84" s="308"/>
    </row>
    <row r="85" spans="1:10" s="752" customFormat="1">
      <c r="A85" s="95" t="s">
        <v>206</v>
      </c>
      <c r="B85" s="290">
        <f t="shared" si="4"/>
        <v>119</v>
      </c>
      <c r="C85" s="578">
        <f t="shared" si="7"/>
        <v>0.51446111279235662</v>
      </c>
      <c r="D85" s="967"/>
      <c r="E85" s="956">
        <v>111</v>
      </c>
      <c r="F85" s="289">
        <f t="shared" si="5"/>
        <v>93.277310924369743</v>
      </c>
      <c r="G85" s="957"/>
      <c r="H85" s="958">
        <v>8</v>
      </c>
      <c r="I85" s="218">
        <f t="shared" si="6"/>
        <v>6.7226890756302522</v>
      </c>
      <c r="J85" s="308"/>
    </row>
    <row r="86" spans="1:10" s="752" customFormat="1">
      <c r="A86" s="95" t="s">
        <v>205</v>
      </c>
      <c r="B86" s="290">
        <f t="shared" si="4"/>
        <v>88</v>
      </c>
      <c r="C86" s="578">
        <f t="shared" si="7"/>
        <v>0.3804418313086334</v>
      </c>
      <c r="D86" s="967"/>
      <c r="E86" s="956">
        <v>79</v>
      </c>
      <c r="F86" s="289">
        <f t="shared" si="5"/>
        <v>89.772727272727266</v>
      </c>
      <c r="G86" s="957"/>
      <c r="H86" s="958">
        <v>9</v>
      </c>
      <c r="I86" s="218">
        <f t="shared" si="6"/>
        <v>10.227272727272728</v>
      </c>
      <c r="J86" s="308"/>
    </row>
    <row r="87" spans="1:10" s="752" customFormat="1">
      <c r="A87" s="95" t="s">
        <v>1530</v>
      </c>
      <c r="B87" s="290">
        <f t="shared" si="4"/>
        <v>390</v>
      </c>
      <c r="C87" s="578">
        <f t="shared" si="7"/>
        <v>1.6860490251178073</v>
      </c>
      <c r="D87" s="967"/>
      <c r="E87" s="956">
        <v>346</v>
      </c>
      <c r="F87" s="289">
        <f t="shared" si="5"/>
        <v>88.717948717948715</v>
      </c>
      <c r="G87" s="957"/>
      <c r="H87" s="958">
        <v>44</v>
      </c>
      <c r="I87" s="218">
        <f t="shared" si="6"/>
        <v>11.282051282051283</v>
      </c>
      <c r="J87" s="308"/>
    </row>
    <row r="88" spans="1:10" ht="7.5" customHeight="1">
      <c r="B88" s="290" t="str">
        <f t="shared" si="4"/>
        <v/>
      </c>
      <c r="C88" s="578"/>
      <c r="D88" s="868"/>
      <c r="E88" s="525"/>
      <c r="F88" s="289" t="str">
        <f t="shared" si="5"/>
        <v/>
      </c>
      <c r="G88" s="525"/>
      <c r="H88" s="525"/>
      <c r="I88" s="218" t="str">
        <f t="shared" si="6"/>
        <v/>
      </c>
      <c r="J88" s="308"/>
    </row>
    <row r="89" spans="1:10" s="749" customFormat="1">
      <c r="A89" s="95" t="s">
        <v>208</v>
      </c>
      <c r="B89" s="290">
        <f t="shared" si="4"/>
        <v>201</v>
      </c>
      <c r="C89" s="578">
        <f t="shared" si="7"/>
        <v>0.86896372832994695</v>
      </c>
      <c r="D89" s="966"/>
      <c r="E89" s="956">
        <v>183</v>
      </c>
      <c r="F89" s="289">
        <f t="shared" si="5"/>
        <v>91.044776119402982</v>
      </c>
      <c r="G89" s="957"/>
      <c r="H89" s="958">
        <v>18</v>
      </c>
      <c r="I89" s="218">
        <f t="shared" si="6"/>
        <v>8.9552238805970141</v>
      </c>
      <c r="J89" s="308"/>
    </row>
    <row r="90" spans="1:10" ht="6.75" customHeight="1">
      <c r="B90" s="290" t="str">
        <f t="shared" si="4"/>
        <v/>
      </c>
      <c r="C90" s="578"/>
      <c r="D90" s="868"/>
      <c r="E90" s="525"/>
      <c r="F90" s="289" t="str">
        <f t="shared" si="5"/>
        <v/>
      </c>
      <c r="G90" s="525"/>
      <c r="H90" s="525"/>
      <c r="I90" s="218" t="str">
        <f t="shared" si="6"/>
        <v/>
      </c>
      <c r="J90" s="308"/>
    </row>
    <row r="91" spans="1:10" s="749" customFormat="1">
      <c r="A91" s="95" t="s">
        <v>209</v>
      </c>
      <c r="B91" s="290">
        <f t="shared" si="4"/>
        <v>275</v>
      </c>
      <c r="C91" s="578">
        <f t="shared" si="7"/>
        <v>1.1888807228394795</v>
      </c>
      <c r="D91" s="966"/>
      <c r="E91" s="956">
        <v>247</v>
      </c>
      <c r="F91" s="289">
        <f t="shared" si="5"/>
        <v>89.818181818181813</v>
      </c>
      <c r="G91" s="957"/>
      <c r="H91" s="958">
        <v>28</v>
      </c>
      <c r="I91" s="218">
        <f t="shared" si="6"/>
        <v>10.181818181818182</v>
      </c>
      <c r="J91" s="308"/>
    </row>
    <row r="92" spans="1:10" s="749" customFormat="1" ht="9" customHeight="1">
      <c r="A92" s="95"/>
      <c r="B92" s="290" t="str">
        <f t="shared" si="4"/>
        <v/>
      </c>
      <c r="C92" s="578"/>
      <c r="D92" s="966"/>
      <c r="E92" s="525"/>
      <c r="F92" s="289" t="str">
        <f t="shared" si="5"/>
        <v/>
      </c>
      <c r="G92" s="525"/>
      <c r="H92" s="525"/>
      <c r="I92" s="218"/>
      <c r="J92" s="308"/>
    </row>
    <row r="93" spans="1:10" s="749" customFormat="1">
      <c r="A93" s="95" t="s">
        <v>535</v>
      </c>
      <c r="B93" s="290">
        <f t="shared" si="4"/>
        <v>418</v>
      </c>
      <c r="C93" s="578">
        <f t="shared" si="7"/>
        <v>1.8070986987160087</v>
      </c>
      <c r="D93" s="966"/>
      <c r="E93" s="956">
        <v>405</v>
      </c>
      <c r="F93" s="289">
        <f t="shared" si="5"/>
        <v>96.889952153110045</v>
      </c>
      <c r="G93" s="957"/>
      <c r="H93" s="958">
        <v>13</v>
      </c>
      <c r="I93" s="218">
        <f t="shared" si="6"/>
        <v>3.1100478468899522</v>
      </c>
      <c r="J93" s="308"/>
    </row>
    <row r="94" spans="1:10" s="749" customFormat="1">
      <c r="A94" s="95" t="s">
        <v>2224</v>
      </c>
      <c r="B94" s="290">
        <f t="shared" si="4"/>
        <v>431</v>
      </c>
      <c r="C94" s="578">
        <f t="shared" si="7"/>
        <v>1.8633003328866022</v>
      </c>
      <c r="D94" s="966"/>
      <c r="E94" s="956">
        <v>429</v>
      </c>
      <c r="F94" s="289">
        <f t="shared" si="5"/>
        <v>99.535962877030158</v>
      </c>
      <c r="G94" s="957"/>
      <c r="H94" s="958">
        <v>2</v>
      </c>
      <c r="I94" s="218">
        <f t="shared" si="6"/>
        <v>0.46403712296983757</v>
      </c>
      <c r="J94" s="308"/>
    </row>
    <row r="95" spans="1:10" ht="7.5" customHeight="1">
      <c r="B95" s="290" t="str">
        <f t="shared" si="4"/>
        <v/>
      </c>
      <c r="C95" s="578"/>
      <c r="D95" s="868"/>
      <c r="F95" s="289" t="str">
        <f t="shared" si="5"/>
        <v/>
      </c>
      <c r="G95" s="77"/>
      <c r="I95" s="218" t="str">
        <f t="shared" si="6"/>
        <v/>
      </c>
      <c r="J95" s="308"/>
    </row>
    <row r="96" spans="1:10" s="55" customFormat="1">
      <c r="A96" s="55" t="s">
        <v>1531</v>
      </c>
      <c r="B96" s="613">
        <f t="shared" si="4"/>
        <v>7922</v>
      </c>
      <c r="C96" s="577">
        <f t="shared" si="7"/>
        <v>34.248411223034026</v>
      </c>
      <c r="D96" s="955"/>
      <c r="E96" s="380">
        <f>SUM(E97:E101)</f>
        <v>7692</v>
      </c>
      <c r="F96" s="573">
        <f t="shared" si="5"/>
        <v>97.096692754354962</v>
      </c>
      <c r="G96" s="605"/>
      <c r="H96" s="380">
        <f>SUM(H97:H101)</f>
        <v>230</v>
      </c>
      <c r="I96" s="573">
        <f t="shared" si="6"/>
        <v>2.9033072456450393</v>
      </c>
      <c r="J96" s="308"/>
    </row>
    <row r="97" spans="1:10" s="752" customFormat="1">
      <c r="A97" s="95" t="s">
        <v>424</v>
      </c>
      <c r="B97" s="290">
        <f t="shared" si="4"/>
        <v>2347</v>
      </c>
      <c r="C97" s="578">
        <f t="shared" si="7"/>
        <v>10.146556569106394</v>
      </c>
      <c r="D97" s="967"/>
      <c r="E97" s="956">
        <v>2286</v>
      </c>
      <c r="F97" s="289">
        <f t="shared" si="5"/>
        <v>97.400937366851309</v>
      </c>
      <c r="G97" s="957"/>
      <c r="H97" s="958">
        <v>61</v>
      </c>
      <c r="I97" s="218">
        <f t="shared" si="6"/>
        <v>2.5990626331487006</v>
      </c>
      <c r="J97" s="308"/>
    </row>
    <row r="98" spans="1:10" s="752" customFormat="1">
      <c r="A98" s="95" t="s">
        <v>425</v>
      </c>
      <c r="B98" s="290">
        <f t="shared" si="4"/>
        <v>1657</v>
      </c>
      <c r="C98" s="578">
        <f t="shared" si="7"/>
        <v>7.1635467554364274</v>
      </c>
      <c r="D98" s="967"/>
      <c r="E98" s="956">
        <v>1602</v>
      </c>
      <c r="F98" s="289">
        <f t="shared" si="5"/>
        <v>96.680748340374166</v>
      </c>
      <c r="G98" s="957"/>
      <c r="H98" s="958">
        <v>55</v>
      </c>
      <c r="I98" s="218">
        <f t="shared" si="6"/>
        <v>3.3192516596258299</v>
      </c>
      <c r="J98" s="308"/>
    </row>
    <row r="99" spans="1:10" s="752" customFormat="1">
      <c r="A99" s="95" t="s">
        <v>426</v>
      </c>
      <c r="B99" s="290">
        <f t="shared" si="4"/>
        <v>1682</v>
      </c>
      <c r="C99" s="578">
        <f t="shared" si="7"/>
        <v>7.2716268211491073</v>
      </c>
      <c r="D99" s="967"/>
      <c r="E99" s="956">
        <v>1633</v>
      </c>
      <c r="F99" s="289">
        <f t="shared" si="5"/>
        <v>97.086801426872768</v>
      </c>
      <c r="G99" s="957"/>
      <c r="H99" s="958">
        <v>49</v>
      </c>
      <c r="I99" s="218">
        <f t="shared" si="6"/>
        <v>2.9131985731272296</v>
      </c>
      <c r="J99" s="308"/>
    </row>
    <row r="100" spans="1:10" s="752" customFormat="1">
      <c r="A100" s="33" t="s">
        <v>427</v>
      </c>
      <c r="B100" s="290">
        <f t="shared" si="4"/>
        <v>1182</v>
      </c>
      <c r="C100" s="578">
        <f t="shared" si="7"/>
        <v>5.1100255068955081</v>
      </c>
      <c r="D100" s="967"/>
      <c r="E100" s="956">
        <v>1139</v>
      </c>
      <c r="F100" s="289">
        <f t="shared" si="5"/>
        <v>96.362098138747882</v>
      </c>
      <c r="G100" s="957"/>
      <c r="H100" s="958">
        <v>43</v>
      </c>
      <c r="I100" s="218">
        <f t="shared" si="6"/>
        <v>3.6379018612521152</v>
      </c>
      <c r="J100" s="308"/>
    </row>
    <row r="101" spans="1:10" s="752" customFormat="1">
      <c r="A101" s="95" t="s">
        <v>587</v>
      </c>
      <c r="B101" s="290">
        <f t="shared" si="4"/>
        <v>1054</v>
      </c>
      <c r="C101" s="561">
        <f t="shared" si="7"/>
        <v>4.556655570446587</v>
      </c>
      <c r="D101" s="968"/>
      <c r="E101" s="956">
        <v>1032</v>
      </c>
      <c r="F101" s="289">
        <f t="shared" si="5"/>
        <v>97.912713472485763</v>
      </c>
      <c r="G101" s="957"/>
      <c r="H101" s="958">
        <v>22</v>
      </c>
      <c r="I101" s="554">
        <f t="shared" si="6"/>
        <v>2.0872865275142316</v>
      </c>
      <c r="J101" s="74"/>
    </row>
    <row r="102" spans="1:10" s="752" customFormat="1" ht="6.75" customHeight="1" thickBot="1">
      <c r="A102" s="102"/>
      <c r="B102" s="964"/>
      <c r="C102" s="615"/>
      <c r="D102" s="969"/>
      <c r="E102" s="293"/>
      <c r="F102" s="291"/>
      <c r="G102" s="616"/>
      <c r="H102" s="293"/>
      <c r="I102" s="291"/>
      <c r="J102" s="617"/>
    </row>
    <row r="103" spans="1:10" s="752" customFormat="1" ht="7.5" customHeight="1">
      <c r="A103" s="95"/>
      <c r="B103" s="734"/>
      <c r="C103" s="561"/>
      <c r="D103" s="970"/>
      <c r="E103" s="379"/>
      <c r="F103" s="537"/>
      <c r="G103" s="618"/>
      <c r="H103" s="379"/>
      <c r="I103" s="537"/>
      <c r="J103" s="308"/>
    </row>
    <row r="104" spans="1:10">
      <c r="A104" s="14" t="s">
        <v>2145</v>
      </c>
    </row>
    <row r="105" spans="1:10">
      <c r="A105" s="95" t="s">
        <v>1584</v>
      </c>
    </row>
    <row r="106" spans="1:10" ht="6.75" customHeight="1"/>
    <row r="107" spans="1:10">
      <c r="A107" s="95" t="s">
        <v>1533</v>
      </c>
    </row>
    <row r="108" spans="1:10">
      <c r="A108" s="95" t="s">
        <v>1534</v>
      </c>
    </row>
  </sheetData>
  <mergeCells count="3">
    <mergeCell ref="B7:C7"/>
    <mergeCell ref="E7:F7"/>
    <mergeCell ref="H7:I7"/>
  </mergeCells>
  <conditionalFormatting sqref="A1:XFD1048576">
    <cfRule type="cellIs" dxfId="2" priority="1" operator="equal">
      <formula>0</formula>
    </cfRule>
  </conditionalFormatting>
  <pageMargins left="0.7" right="0.7" top="0.75" bottom="0.75" header="0.3" footer="0.3"/>
  <pageSetup orientation="portrait" horizontalDpi="4294967293" vertic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J58"/>
  <sheetViews>
    <sheetView workbookViewId="0">
      <selection activeCell="A2" sqref="A2"/>
    </sheetView>
  </sheetViews>
  <sheetFormatPr baseColWidth="10" defaultRowHeight="13"/>
  <cols>
    <col min="1" max="1" width="42.1640625" style="95" customWidth="1"/>
    <col min="2" max="2" width="8.5" style="165" customWidth="1"/>
    <col min="3" max="3" width="8.6640625" style="107" customWidth="1"/>
    <col min="4" max="4" width="3.6640625" style="107" customWidth="1"/>
    <col min="5" max="5" width="8.6640625" style="163" customWidth="1"/>
    <col min="6" max="6" width="8.5" style="107" customWidth="1"/>
    <col min="7" max="7" width="3.6640625" style="107" customWidth="1"/>
    <col min="8" max="8" width="9.5" style="107" customWidth="1"/>
    <col min="9" max="9" width="10" style="162" customWidth="1"/>
    <col min="10" max="10" width="3.1640625" style="95" customWidth="1"/>
    <col min="11" max="256" width="10.83203125" style="95"/>
    <col min="257" max="257" width="42.1640625" style="95" customWidth="1"/>
    <col min="258" max="258" width="8.5" style="95" customWidth="1"/>
    <col min="259" max="259" width="8.6640625" style="95" customWidth="1"/>
    <col min="260" max="260" width="3.6640625" style="95" customWidth="1"/>
    <col min="261" max="261" width="8.6640625" style="95" customWidth="1"/>
    <col min="262" max="262" width="8.5" style="95" customWidth="1"/>
    <col min="263" max="263" width="3.6640625" style="95" customWidth="1"/>
    <col min="264" max="264" width="9.5" style="95" customWidth="1"/>
    <col min="265" max="265" width="10" style="95" customWidth="1"/>
    <col min="266" max="266" width="3.1640625" style="95" customWidth="1"/>
    <col min="267" max="512" width="10.83203125" style="95"/>
    <col min="513" max="513" width="42.1640625" style="95" customWidth="1"/>
    <col min="514" max="514" width="8.5" style="95" customWidth="1"/>
    <col min="515" max="515" width="8.6640625" style="95" customWidth="1"/>
    <col min="516" max="516" width="3.6640625" style="95" customWidth="1"/>
    <col min="517" max="517" width="8.6640625" style="95" customWidth="1"/>
    <col min="518" max="518" width="8.5" style="95" customWidth="1"/>
    <col min="519" max="519" width="3.6640625" style="95" customWidth="1"/>
    <col min="520" max="520" width="9.5" style="95" customWidth="1"/>
    <col min="521" max="521" width="10" style="95" customWidth="1"/>
    <col min="522" max="522" width="3.1640625" style="95" customWidth="1"/>
    <col min="523" max="768" width="10.83203125" style="95"/>
    <col min="769" max="769" width="42.1640625" style="95" customWidth="1"/>
    <col min="770" max="770" width="8.5" style="95" customWidth="1"/>
    <col min="771" max="771" width="8.6640625" style="95" customWidth="1"/>
    <col min="772" max="772" width="3.6640625" style="95" customWidth="1"/>
    <col min="773" max="773" width="8.6640625" style="95" customWidth="1"/>
    <col min="774" max="774" width="8.5" style="95" customWidth="1"/>
    <col min="775" max="775" width="3.6640625" style="95" customWidth="1"/>
    <col min="776" max="776" width="9.5" style="95" customWidth="1"/>
    <col min="777" max="777" width="10" style="95" customWidth="1"/>
    <col min="778" max="778" width="3.1640625" style="95" customWidth="1"/>
    <col min="779" max="1024" width="10.83203125" style="95"/>
    <col min="1025" max="1025" width="42.1640625" style="95" customWidth="1"/>
    <col min="1026" max="1026" width="8.5" style="95" customWidth="1"/>
    <col min="1027" max="1027" width="8.6640625" style="95" customWidth="1"/>
    <col min="1028" max="1028" width="3.6640625" style="95" customWidth="1"/>
    <col min="1029" max="1029" width="8.6640625" style="95" customWidth="1"/>
    <col min="1030" max="1030" width="8.5" style="95" customWidth="1"/>
    <col min="1031" max="1031" width="3.6640625" style="95" customWidth="1"/>
    <col min="1032" max="1032" width="9.5" style="95" customWidth="1"/>
    <col min="1033" max="1033" width="10" style="95" customWidth="1"/>
    <col min="1034" max="1034" width="3.1640625" style="95" customWidth="1"/>
    <col min="1035" max="1280" width="10.83203125" style="95"/>
    <col min="1281" max="1281" width="42.1640625" style="95" customWidth="1"/>
    <col min="1282" max="1282" width="8.5" style="95" customWidth="1"/>
    <col min="1283" max="1283" width="8.6640625" style="95" customWidth="1"/>
    <col min="1284" max="1284" width="3.6640625" style="95" customWidth="1"/>
    <col min="1285" max="1285" width="8.6640625" style="95" customWidth="1"/>
    <col min="1286" max="1286" width="8.5" style="95" customWidth="1"/>
    <col min="1287" max="1287" width="3.6640625" style="95" customWidth="1"/>
    <col min="1288" max="1288" width="9.5" style="95" customWidth="1"/>
    <col min="1289" max="1289" width="10" style="95" customWidth="1"/>
    <col min="1290" max="1290" width="3.1640625" style="95" customWidth="1"/>
    <col min="1291" max="1536" width="10.83203125" style="95"/>
    <col min="1537" max="1537" width="42.1640625" style="95" customWidth="1"/>
    <col min="1538" max="1538" width="8.5" style="95" customWidth="1"/>
    <col min="1539" max="1539" width="8.6640625" style="95" customWidth="1"/>
    <col min="1540" max="1540" width="3.6640625" style="95" customWidth="1"/>
    <col min="1541" max="1541" width="8.6640625" style="95" customWidth="1"/>
    <col min="1542" max="1542" width="8.5" style="95" customWidth="1"/>
    <col min="1543" max="1543" width="3.6640625" style="95" customWidth="1"/>
    <col min="1544" max="1544" width="9.5" style="95" customWidth="1"/>
    <col min="1545" max="1545" width="10" style="95" customWidth="1"/>
    <col min="1546" max="1546" width="3.1640625" style="95" customWidth="1"/>
    <col min="1547" max="1792" width="10.83203125" style="95"/>
    <col min="1793" max="1793" width="42.1640625" style="95" customWidth="1"/>
    <col min="1794" max="1794" width="8.5" style="95" customWidth="1"/>
    <col min="1795" max="1795" width="8.6640625" style="95" customWidth="1"/>
    <col min="1796" max="1796" width="3.6640625" style="95" customWidth="1"/>
    <col min="1797" max="1797" width="8.6640625" style="95" customWidth="1"/>
    <col min="1798" max="1798" width="8.5" style="95" customWidth="1"/>
    <col min="1799" max="1799" width="3.6640625" style="95" customWidth="1"/>
    <col min="1800" max="1800" width="9.5" style="95" customWidth="1"/>
    <col min="1801" max="1801" width="10" style="95" customWidth="1"/>
    <col min="1802" max="1802" width="3.1640625" style="95" customWidth="1"/>
    <col min="1803" max="2048" width="10.83203125" style="95"/>
    <col min="2049" max="2049" width="42.1640625" style="95" customWidth="1"/>
    <col min="2050" max="2050" width="8.5" style="95" customWidth="1"/>
    <col min="2051" max="2051" width="8.6640625" style="95" customWidth="1"/>
    <col min="2052" max="2052" width="3.6640625" style="95" customWidth="1"/>
    <col min="2053" max="2053" width="8.6640625" style="95" customWidth="1"/>
    <col min="2054" max="2054" width="8.5" style="95" customWidth="1"/>
    <col min="2055" max="2055" width="3.6640625" style="95" customWidth="1"/>
    <col min="2056" max="2056" width="9.5" style="95" customWidth="1"/>
    <col min="2057" max="2057" width="10" style="95" customWidth="1"/>
    <col min="2058" max="2058" width="3.1640625" style="95" customWidth="1"/>
    <col min="2059" max="2304" width="10.83203125" style="95"/>
    <col min="2305" max="2305" width="42.1640625" style="95" customWidth="1"/>
    <col min="2306" max="2306" width="8.5" style="95" customWidth="1"/>
    <col min="2307" max="2307" width="8.6640625" style="95" customWidth="1"/>
    <col min="2308" max="2308" width="3.6640625" style="95" customWidth="1"/>
    <col min="2309" max="2309" width="8.6640625" style="95" customWidth="1"/>
    <col min="2310" max="2310" width="8.5" style="95" customWidth="1"/>
    <col min="2311" max="2311" width="3.6640625" style="95" customWidth="1"/>
    <col min="2312" max="2312" width="9.5" style="95" customWidth="1"/>
    <col min="2313" max="2313" width="10" style="95" customWidth="1"/>
    <col min="2314" max="2314" width="3.1640625" style="95" customWidth="1"/>
    <col min="2315" max="2560" width="10.83203125" style="95"/>
    <col min="2561" max="2561" width="42.1640625" style="95" customWidth="1"/>
    <col min="2562" max="2562" width="8.5" style="95" customWidth="1"/>
    <col min="2563" max="2563" width="8.6640625" style="95" customWidth="1"/>
    <col min="2564" max="2564" width="3.6640625" style="95" customWidth="1"/>
    <col min="2565" max="2565" width="8.6640625" style="95" customWidth="1"/>
    <col min="2566" max="2566" width="8.5" style="95" customWidth="1"/>
    <col min="2567" max="2567" width="3.6640625" style="95" customWidth="1"/>
    <col min="2568" max="2568" width="9.5" style="95" customWidth="1"/>
    <col min="2569" max="2569" width="10" style="95" customWidth="1"/>
    <col min="2570" max="2570" width="3.1640625" style="95" customWidth="1"/>
    <col min="2571" max="2816" width="10.83203125" style="95"/>
    <col min="2817" max="2817" width="42.1640625" style="95" customWidth="1"/>
    <col min="2818" max="2818" width="8.5" style="95" customWidth="1"/>
    <col min="2819" max="2819" width="8.6640625" style="95" customWidth="1"/>
    <col min="2820" max="2820" width="3.6640625" style="95" customWidth="1"/>
    <col min="2821" max="2821" width="8.6640625" style="95" customWidth="1"/>
    <col min="2822" max="2822" width="8.5" style="95" customWidth="1"/>
    <col min="2823" max="2823" width="3.6640625" style="95" customWidth="1"/>
    <col min="2824" max="2824" width="9.5" style="95" customWidth="1"/>
    <col min="2825" max="2825" width="10" style="95" customWidth="1"/>
    <col min="2826" max="2826" width="3.1640625" style="95" customWidth="1"/>
    <col min="2827" max="3072" width="10.83203125" style="95"/>
    <col min="3073" max="3073" width="42.1640625" style="95" customWidth="1"/>
    <col min="3074" max="3074" width="8.5" style="95" customWidth="1"/>
    <col min="3075" max="3075" width="8.6640625" style="95" customWidth="1"/>
    <col min="3076" max="3076" width="3.6640625" style="95" customWidth="1"/>
    <col min="3077" max="3077" width="8.6640625" style="95" customWidth="1"/>
    <col min="3078" max="3078" width="8.5" style="95" customWidth="1"/>
    <col min="3079" max="3079" width="3.6640625" style="95" customWidth="1"/>
    <col min="3080" max="3080" width="9.5" style="95" customWidth="1"/>
    <col min="3081" max="3081" width="10" style="95" customWidth="1"/>
    <col min="3082" max="3082" width="3.1640625" style="95" customWidth="1"/>
    <col min="3083" max="3328" width="10.83203125" style="95"/>
    <col min="3329" max="3329" width="42.1640625" style="95" customWidth="1"/>
    <col min="3330" max="3330" width="8.5" style="95" customWidth="1"/>
    <col min="3331" max="3331" width="8.6640625" style="95" customWidth="1"/>
    <col min="3332" max="3332" width="3.6640625" style="95" customWidth="1"/>
    <col min="3333" max="3333" width="8.6640625" style="95" customWidth="1"/>
    <col min="3334" max="3334" width="8.5" style="95" customWidth="1"/>
    <col min="3335" max="3335" width="3.6640625" style="95" customWidth="1"/>
    <col min="3336" max="3336" width="9.5" style="95" customWidth="1"/>
    <col min="3337" max="3337" width="10" style="95" customWidth="1"/>
    <col min="3338" max="3338" width="3.1640625" style="95" customWidth="1"/>
    <col min="3339" max="3584" width="10.83203125" style="95"/>
    <col min="3585" max="3585" width="42.1640625" style="95" customWidth="1"/>
    <col min="3586" max="3586" width="8.5" style="95" customWidth="1"/>
    <col min="3587" max="3587" width="8.6640625" style="95" customWidth="1"/>
    <col min="3588" max="3588" width="3.6640625" style="95" customWidth="1"/>
    <col min="3589" max="3589" width="8.6640625" style="95" customWidth="1"/>
    <col min="3590" max="3590" width="8.5" style="95" customWidth="1"/>
    <col min="3591" max="3591" width="3.6640625" style="95" customWidth="1"/>
    <col min="3592" max="3592" width="9.5" style="95" customWidth="1"/>
    <col min="3593" max="3593" width="10" style="95" customWidth="1"/>
    <col min="3594" max="3594" width="3.1640625" style="95" customWidth="1"/>
    <col min="3595" max="3840" width="10.83203125" style="95"/>
    <col min="3841" max="3841" width="42.1640625" style="95" customWidth="1"/>
    <col min="3842" max="3842" width="8.5" style="95" customWidth="1"/>
    <col min="3843" max="3843" width="8.6640625" style="95" customWidth="1"/>
    <col min="3844" max="3844" width="3.6640625" style="95" customWidth="1"/>
    <col min="3845" max="3845" width="8.6640625" style="95" customWidth="1"/>
    <col min="3846" max="3846" width="8.5" style="95" customWidth="1"/>
    <col min="3847" max="3847" width="3.6640625" style="95" customWidth="1"/>
    <col min="3848" max="3848" width="9.5" style="95" customWidth="1"/>
    <col min="3849" max="3849" width="10" style="95" customWidth="1"/>
    <col min="3850" max="3850" width="3.1640625" style="95" customWidth="1"/>
    <col min="3851" max="4096" width="10.83203125" style="95"/>
    <col min="4097" max="4097" width="42.1640625" style="95" customWidth="1"/>
    <col min="4098" max="4098" width="8.5" style="95" customWidth="1"/>
    <col min="4099" max="4099" width="8.6640625" style="95" customWidth="1"/>
    <col min="4100" max="4100" width="3.6640625" style="95" customWidth="1"/>
    <col min="4101" max="4101" width="8.6640625" style="95" customWidth="1"/>
    <col min="4102" max="4102" width="8.5" style="95" customWidth="1"/>
    <col min="4103" max="4103" width="3.6640625" style="95" customWidth="1"/>
    <col min="4104" max="4104" width="9.5" style="95" customWidth="1"/>
    <col min="4105" max="4105" width="10" style="95" customWidth="1"/>
    <col min="4106" max="4106" width="3.1640625" style="95" customWidth="1"/>
    <col min="4107" max="4352" width="10.83203125" style="95"/>
    <col min="4353" max="4353" width="42.1640625" style="95" customWidth="1"/>
    <col min="4354" max="4354" width="8.5" style="95" customWidth="1"/>
    <col min="4355" max="4355" width="8.6640625" style="95" customWidth="1"/>
    <col min="4356" max="4356" width="3.6640625" style="95" customWidth="1"/>
    <col min="4357" max="4357" width="8.6640625" style="95" customWidth="1"/>
    <col min="4358" max="4358" width="8.5" style="95" customWidth="1"/>
    <col min="4359" max="4359" width="3.6640625" style="95" customWidth="1"/>
    <col min="4360" max="4360" width="9.5" style="95" customWidth="1"/>
    <col min="4361" max="4361" width="10" style="95" customWidth="1"/>
    <col min="4362" max="4362" width="3.1640625" style="95" customWidth="1"/>
    <col min="4363" max="4608" width="10.83203125" style="95"/>
    <col min="4609" max="4609" width="42.1640625" style="95" customWidth="1"/>
    <col min="4610" max="4610" width="8.5" style="95" customWidth="1"/>
    <col min="4611" max="4611" width="8.6640625" style="95" customWidth="1"/>
    <col min="4612" max="4612" width="3.6640625" style="95" customWidth="1"/>
    <col min="4613" max="4613" width="8.6640625" style="95" customWidth="1"/>
    <col min="4614" max="4614" width="8.5" style="95" customWidth="1"/>
    <col min="4615" max="4615" width="3.6640625" style="95" customWidth="1"/>
    <col min="4616" max="4616" width="9.5" style="95" customWidth="1"/>
    <col min="4617" max="4617" width="10" style="95" customWidth="1"/>
    <col min="4618" max="4618" width="3.1640625" style="95" customWidth="1"/>
    <col min="4619" max="4864" width="10.83203125" style="95"/>
    <col min="4865" max="4865" width="42.1640625" style="95" customWidth="1"/>
    <col min="4866" max="4866" width="8.5" style="95" customWidth="1"/>
    <col min="4867" max="4867" width="8.6640625" style="95" customWidth="1"/>
    <col min="4868" max="4868" width="3.6640625" style="95" customWidth="1"/>
    <col min="4869" max="4869" width="8.6640625" style="95" customWidth="1"/>
    <col min="4870" max="4870" width="8.5" style="95" customWidth="1"/>
    <col min="4871" max="4871" width="3.6640625" style="95" customWidth="1"/>
    <col min="4872" max="4872" width="9.5" style="95" customWidth="1"/>
    <col min="4873" max="4873" width="10" style="95" customWidth="1"/>
    <col min="4874" max="4874" width="3.1640625" style="95" customWidth="1"/>
    <col min="4875" max="5120" width="10.83203125" style="95"/>
    <col min="5121" max="5121" width="42.1640625" style="95" customWidth="1"/>
    <col min="5122" max="5122" width="8.5" style="95" customWidth="1"/>
    <col min="5123" max="5123" width="8.6640625" style="95" customWidth="1"/>
    <col min="5124" max="5124" width="3.6640625" style="95" customWidth="1"/>
    <col min="5125" max="5125" width="8.6640625" style="95" customWidth="1"/>
    <col min="5126" max="5126" width="8.5" style="95" customWidth="1"/>
    <col min="5127" max="5127" width="3.6640625" style="95" customWidth="1"/>
    <col min="5128" max="5128" width="9.5" style="95" customWidth="1"/>
    <col min="5129" max="5129" width="10" style="95" customWidth="1"/>
    <col min="5130" max="5130" width="3.1640625" style="95" customWidth="1"/>
    <col min="5131" max="5376" width="10.83203125" style="95"/>
    <col min="5377" max="5377" width="42.1640625" style="95" customWidth="1"/>
    <col min="5378" max="5378" width="8.5" style="95" customWidth="1"/>
    <col min="5379" max="5379" width="8.6640625" style="95" customWidth="1"/>
    <col min="5380" max="5380" width="3.6640625" style="95" customWidth="1"/>
    <col min="5381" max="5381" width="8.6640625" style="95" customWidth="1"/>
    <col min="5382" max="5382" width="8.5" style="95" customWidth="1"/>
    <col min="5383" max="5383" width="3.6640625" style="95" customWidth="1"/>
    <col min="5384" max="5384" width="9.5" style="95" customWidth="1"/>
    <col min="5385" max="5385" width="10" style="95" customWidth="1"/>
    <col min="5386" max="5386" width="3.1640625" style="95" customWidth="1"/>
    <col min="5387" max="5632" width="10.83203125" style="95"/>
    <col min="5633" max="5633" width="42.1640625" style="95" customWidth="1"/>
    <col min="5634" max="5634" width="8.5" style="95" customWidth="1"/>
    <col min="5635" max="5635" width="8.6640625" style="95" customWidth="1"/>
    <col min="5636" max="5636" width="3.6640625" style="95" customWidth="1"/>
    <col min="5637" max="5637" width="8.6640625" style="95" customWidth="1"/>
    <col min="5638" max="5638" width="8.5" style="95" customWidth="1"/>
    <col min="5639" max="5639" width="3.6640625" style="95" customWidth="1"/>
    <col min="5640" max="5640" width="9.5" style="95" customWidth="1"/>
    <col min="5641" max="5641" width="10" style="95" customWidth="1"/>
    <col min="5642" max="5642" width="3.1640625" style="95" customWidth="1"/>
    <col min="5643" max="5888" width="10.83203125" style="95"/>
    <col min="5889" max="5889" width="42.1640625" style="95" customWidth="1"/>
    <col min="5890" max="5890" width="8.5" style="95" customWidth="1"/>
    <col min="5891" max="5891" width="8.6640625" style="95" customWidth="1"/>
    <col min="5892" max="5892" width="3.6640625" style="95" customWidth="1"/>
    <col min="5893" max="5893" width="8.6640625" style="95" customWidth="1"/>
    <col min="5894" max="5894" width="8.5" style="95" customWidth="1"/>
    <col min="5895" max="5895" width="3.6640625" style="95" customWidth="1"/>
    <col min="5896" max="5896" width="9.5" style="95" customWidth="1"/>
    <col min="5897" max="5897" width="10" style="95" customWidth="1"/>
    <col min="5898" max="5898" width="3.1640625" style="95" customWidth="1"/>
    <col min="5899" max="6144" width="10.83203125" style="95"/>
    <col min="6145" max="6145" width="42.1640625" style="95" customWidth="1"/>
    <col min="6146" max="6146" width="8.5" style="95" customWidth="1"/>
    <col min="6147" max="6147" width="8.6640625" style="95" customWidth="1"/>
    <col min="6148" max="6148" width="3.6640625" style="95" customWidth="1"/>
    <col min="6149" max="6149" width="8.6640625" style="95" customWidth="1"/>
    <col min="6150" max="6150" width="8.5" style="95" customWidth="1"/>
    <col min="6151" max="6151" width="3.6640625" style="95" customWidth="1"/>
    <col min="6152" max="6152" width="9.5" style="95" customWidth="1"/>
    <col min="6153" max="6153" width="10" style="95" customWidth="1"/>
    <col min="6154" max="6154" width="3.1640625" style="95" customWidth="1"/>
    <col min="6155" max="6400" width="10.83203125" style="95"/>
    <col min="6401" max="6401" width="42.1640625" style="95" customWidth="1"/>
    <col min="6402" max="6402" width="8.5" style="95" customWidth="1"/>
    <col min="6403" max="6403" width="8.6640625" style="95" customWidth="1"/>
    <col min="6404" max="6404" width="3.6640625" style="95" customWidth="1"/>
    <col min="6405" max="6405" width="8.6640625" style="95" customWidth="1"/>
    <col min="6406" max="6406" width="8.5" style="95" customWidth="1"/>
    <col min="6407" max="6407" width="3.6640625" style="95" customWidth="1"/>
    <col min="6408" max="6408" width="9.5" style="95" customWidth="1"/>
    <col min="6409" max="6409" width="10" style="95" customWidth="1"/>
    <col min="6410" max="6410" width="3.1640625" style="95" customWidth="1"/>
    <col min="6411" max="6656" width="10.83203125" style="95"/>
    <col min="6657" max="6657" width="42.1640625" style="95" customWidth="1"/>
    <col min="6658" max="6658" width="8.5" style="95" customWidth="1"/>
    <col min="6659" max="6659" width="8.6640625" style="95" customWidth="1"/>
    <col min="6660" max="6660" width="3.6640625" style="95" customWidth="1"/>
    <col min="6661" max="6661" width="8.6640625" style="95" customWidth="1"/>
    <col min="6662" max="6662" width="8.5" style="95" customWidth="1"/>
    <col min="6663" max="6663" width="3.6640625" style="95" customWidth="1"/>
    <col min="6664" max="6664" width="9.5" style="95" customWidth="1"/>
    <col min="6665" max="6665" width="10" style="95" customWidth="1"/>
    <col min="6666" max="6666" width="3.1640625" style="95" customWidth="1"/>
    <col min="6667" max="6912" width="10.83203125" style="95"/>
    <col min="6913" max="6913" width="42.1640625" style="95" customWidth="1"/>
    <col min="6914" max="6914" width="8.5" style="95" customWidth="1"/>
    <col min="6915" max="6915" width="8.6640625" style="95" customWidth="1"/>
    <col min="6916" max="6916" width="3.6640625" style="95" customWidth="1"/>
    <col min="6917" max="6917" width="8.6640625" style="95" customWidth="1"/>
    <col min="6918" max="6918" width="8.5" style="95" customWidth="1"/>
    <col min="6919" max="6919" width="3.6640625" style="95" customWidth="1"/>
    <col min="6920" max="6920" width="9.5" style="95" customWidth="1"/>
    <col min="6921" max="6921" width="10" style="95" customWidth="1"/>
    <col min="6922" max="6922" width="3.1640625" style="95" customWidth="1"/>
    <col min="6923" max="7168" width="10.83203125" style="95"/>
    <col min="7169" max="7169" width="42.1640625" style="95" customWidth="1"/>
    <col min="7170" max="7170" width="8.5" style="95" customWidth="1"/>
    <col min="7171" max="7171" width="8.6640625" style="95" customWidth="1"/>
    <col min="7172" max="7172" width="3.6640625" style="95" customWidth="1"/>
    <col min="7173" max="7173" width="8.6640625" style="95" customWidth="1"/>
    <col min="7174" max="7174" width="8.5" style="95" customWidth="1"/>
    <col min="7175" max="7175" width="3.6640625" style="95" customWidth="1"/>
    <col min="7176" max="7176" width="9.5" style="95" customWidth="1"/>
    <col min="7177" max="7177" width="10" style="95" customWidth="1"/>
    <col min="7178" max="7178" width="3.1640625" style="95" customWidth="1"/>
    <col min="7179" max="7424" width="10.83203125" style="95"/>
    <col min="7425" max="7425" width="42.1640625" style="95" customWidth="1"/>
    <col min="7426" max="7426" width="8.5" style="95" customWidth="1"/>
    <col min="7427" max="7427" width="8.6640625" style="95" customWidth="1"/>
    <col min="7428" max="7428" width="3.6640625" style="95" customWidth="1"/>
    <col min="7429" max="7429" width="8.6640625" style="95" customWidth="1"/>
    <col min="7430" max="7430" width="8.5" style="95" customWidth="1"/>
    <col min="7431" max="7431" width="3.6640625" style="95" customWidth="1"/>
    <col min="7432" max="7432" width="9.5" style="95" customWidth="1"/>
    <col min="7433" max="7433" width="10" style="95" customWidth="1"/>
    <col min="7434" max="7434" width="3.1640625" style="95" customWidth="1"/>
    <col min="7435" max="7680" width="10.83203125" style="95"/>
    <col min="7681" max="7681" width="42.1640625" style="95" customWidth="1"/>
    <col min="7682" max="7682" width="8.5" style="95" customWidth="1"/>
    <col min="7683" max="7683" width="8.6640625" style="95" customWidth="1"/>
    <col min="7684" max="7684" width="3.6640625" style="95" customWidth="1"/>
    <col min="7685" max="7685" width="8.6640625" style="95" customWidth="1"/>
    <col min="7686" max="7686" width="8.5" style="95" customWidth="1"/>
    <col min="7687" max="7687" width="3.6640625" style="95" customWidth="1"/>
    <col min="7688" max="7688" width="9.5" style="95" customWidth="1"/>
    <col min="7689" max="7689" width="10" style="95" customWidth="1"/>
    <col min="7690" max="7690" width="3.1640625" style="95" customWidth="1"/>
    <col min="7691" max="7936" width="10.83203125" style="95"/>
    <col min="7937" max="7937" width="42.1640625" style="95" customWidth="1"/>
    <col min="7938" max="7938" width="8.5" style="95" customWidth="1"/>
    <col min="7939" max="7939" width="8.6640625" style="95" customWidth="1"/>
    <col min="7940" max="7940" width="3.6640625" style="95" customWidth="1"/>
    <col min="7941" max="7941" width="8.6640625" style="95" customWidth="1"/>
    <col min="7942" max="7942" width="8.5" style="95" customWidth="1"/>
    <col min="7943" max="7943" width="3.6640625" style="95" customWidth="1"/>
    <col min="7944" max="7944" width="9.5" style="95" customWidth="1"/>
    <col min="7945" max="7945" width="10" style="95" customWidth="1"/>
    <col min="7946" max="7946" width="3.1640625" style="95" customWidth="1"/>
    <col min="7947" max="8192" width="10.83203125" style="95"/>
    <col min="8193" max="8193" width="42.1640625" style="95" customWidth="1"/>
    <col min="8194" max="8194" width="8.5" style="95" customWidth="1"/>
    <col min="8195" max="8195" width="8.6640625" style="95" customWidth="1"/>
    <col min="8196" max="8196" width="3.6640625" style="95" customWidth="1"/>
    <col min="8197" max="8197" width="8.6640625" style="95" customWidth="1"/>
    <col min="8198" max="8198" width="8.5" style="95" customWidth="1"/>
    <col min="8199" max="8199" width="3.6640625" style="95" customWidth="1"/>
    <col min="8200" max="8200" width="9.5" style="95" customWidth="1"/>
    <col min="8201" max="8201" width="10" style="95" customWidth="1"/>
    <col min="8202" max="8202" width="3.1640625" style="95" customWidth="1"/>
    <col min="8203" max="8448" width="10.83203125" style="95"/>
    <col min="8449" max="8449" width="42.1640625" style="95" customWidth="1"/>
    <col min="8450" max="8450" width="8.5" style="95" customWidth="1"/>
    <col min="8451" max="8451" width="8.6640625" style="95" customWidth="1"/>
    <col min="8452" max="8452" width="3.6640625" style="95" customWidth="1"/>
    <col min="8453" max="8453" width="8.6640625" style="95" customWidth="1"/>
    <col min="8454" max="8454" width="8.5" style="95" customWidth="1"/>
    <col min="8455" max="8455" width="3.6640625" style="95" customWidth="1"/>
    <col min="8456" max="8456" width="9.5" style="95" customWidth="1"/>
    <col min="8457" max="8457" width="10" style="95" customWidth="1"/>
    <col min="8458" max="8458" width="3.1640625" style="95" customWidth="1"/>
    <col min="8459" max="8704" width="10.83203125" style="95"/>
    <col min="8705" max="8705" width="42.1640625" style="95" customWidth="1"/>
    <col min="8706" max="8706" width="8.5" style="95" customWidth="1"/>
    <col min="8707" max="8707" width="8.6640625" style="95" customWidth="1"/>
    <col min="8708" max="8708" width="3.6640625" style="95" customWidth="1"/>
    <col min="8709" max="8709" width="8.6640625" style="95" customWidth="1"/>
    <col min="8710" max="8710" width="8.5" style="95" customWidth="1"/>
    <col min="8711" max="8711" width="3.6640625" style="95" customWidth="1"/>
    <col min="8712" max="8712" width="9.5" style="95" customWidth="1"/>
    <col min="8713" max="8713" width="10" style="95" customWidth="1"/>
    <col min="8714" max="8714" width="3.1640625" style="95" customWidth="1"/>
    <col min="8715" max="8960" width="10.83203125" style="95"/>
    <col min="8961" max="8961" width="42.1640625" style="95" customWidth="1"/>
    <col min="8962" max="8962" width="8.5" style="95" customWidth="1"/>
    <col min="8963" max="8963" width="8.6640625" style="95" customWidth="1"/>
    <col min="8964" max="8964" width="3.6640625" style="95" customWidth="1"/>
    <col min="8965" max="8965" width="8.6640625" style="95" customWidth="1"/>
    <col min="8966" max="8966" width="8.5" style="95" customWidth="1"/>
    <col min="8967" max="8967" width="3.6640625" style="95" customWidth="1"/>
    <col min="8968" max="8968" width="9.5" style="95" customWidth="1"/>
    <col min="8969" max="8969" width="10" style="95" customWidth="1"/>
    <col min="8970" max="8970" width="3.1640625" style="95" customWidth="1"/>
    <col min="8971" max="9216" width="10.83203125" style="95"/>
    <col min="9217" max="9217" width="42.1640625" style="95" customWidth="1"/>
    <col min="9218" max="9218" width="8.5" style="95" customWidth="1"/>
    <col min="9219" max="9219" width="8.6640625" style="95" customWidth="1"/>
    <col min="9220" max="9220" width="3.6640625" style="95" customWidth="1"/>
    <col min="9221" max="9221" width="8.6640625" style="95" customWidth="1"/>
    <col min="9222" max="9222" width="8.5" style="95" customWidth="1"/>
    <col min="9223" max="9223" width="3.6640625" style="95" customWidth="1"/>
    <col min="9224" max="9224" width="9.5" style="95" customWidth="1"/>
    <col min="9225" max="9225" width="10" style="95" customWidth="1"/>
    <col min="9226" max="9226" width="3.1640625" style="95" customWidth="1"/>
    <col min="9227" max="9472" width="10.83203125" style="95"/>
    <col min="9473" max="9473" width="42.1640625" style="95" customWidth="1"/>
    <col min="9474" max="9474" width="8.5" style="95" customWidth="1"/>
    <col min="9475" max="9475" width="8.6640625" style="95" customWidth="1"/>
    <col min="9476" max="9476" width="3.6640625" style="95" customWidth="1"/>
    <col min="9477" max="9477" width="8.6640625" style="95" customWidth="1"/>
    <col min="9478" max="9478" width="8.5" style="95" customWidth="1"/>
    <col min="9479" max="9479" width="3.6640625" style="95" customWidth="1"/>
    <col min="9480" max="9480" width="9.5" style="95" customWidth="1"/>
    <col min="9481" max="9481" width="10" style="95" customWidth="1"/>
    <col min="9482" max="9482" width="3.1640625" style="95" customWidth="1"/>
    <col min="9483" max="9728" width="10.83203125" style="95"/>
    <col min="9729" max="9729" width="42.1640625" style="95" customWidth="1"/>
    <col min="9730" max="9730" width="8.5" style="95" customWidth="1"/>
    <col min="9731" max="9731" width="8.6640625" style="95" customWidth="1"/>
    <col min="9732" max="9732" width="3.6640625" style="95" customWidth="1"/>
    <col min="9733" max="9733" width="8.6640625" style="95" customWidth="1"/>
    <col min="9734" max="9734" width="8.5" style="95" customWidth="1"/>
    <col min="9735" max="9735" width="3.6640625" style="95" customWidth="1"/>
    <col min="9736" max="9736" width="9.5" style="95" customWidth="1"/>
    <col min="9737" max="9737" width="10" style="95" customWidth="1"/>
    <col min="9738" max="9738" width="3.1640625" style="95" customWidth="1"/>
    <col min="9739" max="9984" width="10.83203125" style="95"/>
    <col min="9985" max="9985" width="42.1640625" style="95" customWidth="1"/>
    <col min="9986" max="9986" width="8.5" style="95" customWidth="1"/>
    <col min="9987" max="9987" width="8.6640625" style="95" customWidth="1"/>
    <col min="9988" max="9988" width="3.6640625" style="95" customWidth="1"/>
    <col min="9989" max="9989" width="8.6640625" style="95" customWidth="1"/>
    <col min="9990" max="9990" width="8.5" style="95" customWidth="1"/>
    <col min="9991" max="9991" width="3.6640625" style="95" customWidth="1"/>
    <col min="9992" max="9992" width="9.5" style="95" customWidth="1"/>
    <col min="9993" max="9993" width="10" style="95" customWidth="1"/>
    <col min="9994" max="9994" width="3.1640625" style="95" customWidth="1"/>
    <col min="9995" max="10240" width="10.83203125" style="95"/>
    <col min="10241" max="10241" width="42.1640625" style="95" customWidth="1"/>
    <col min="10242" max="10242" width="8.5" style="95" customWidth="1"/>
    <col min="10243" max="10243" width="8.6640625" style="95" customWidth="1"/>
    <col min="10244" max="10244" width="3.6640625" style="95" customWidth="1"/>
    <col min="10245" max="10245" width="8.6640625" style="95" customWidth="1"/>
    <col min="10246" max="10246" width="8.5" style="95" customWidth="1"/>
    <col min="10247" max="10247" width="3.6640625" style="95" customWidth="1"/>
    <col min="10248" max="10248" width="9.5" style="95" customWidth="1"/>
    <col min="10249" max="10249" width="10" style="95" customWidth="1"/>
    <col min="10250" max="10250" width="3.1640625" style="95" customWidth="1"/>
    <col min="10251" max="10496" width="10.83203125" style="95"/>
    <col min="10497" max="10497" width="42.1640625" style="95" customWidth="1"/>
    <col min="10498" max="10498" width="8.5" style="95" customWidth="1"/>
    <col min="10499" max="10499" width="8.6640625" style="95" customWidth="1"/>
    <col min="10500" max="10500" width="3.6640625" style="95" customWidth="1"/>
    <col min="10501" max="10501" width="8.6640625" style="95" customWidth="1"/>
    <col min="10502" max="10502" width="8.5" style="95" customWidth="1"/>
    <col min="10503" max="10503" width="3.6640625" style="95" customWidth="1"/>
    <col min="10504" max="10504" width="9.5" style="95" customWidth="1"/>
    <col min="10505" max="10505" width="10" style="95" customWidth="1"/>
    <col min="10506" max="10506" width="3.1640625" style="95" customWidth="1"/>
    <col min="10507" max="10752" width="10.83203125" style="95"/>
    <col min="10753" max="10753" width="42.1640625" style="95" customWidth="1"/>
    <col min="10754" max="10754" width="8.5" style="95" customWidth="1"/>
    <col min="10755" max="10755" width="8.6640625" style="95" customWidth="1"/>
    <col min="10756" max="10756" width="3.6640625" style="95" customWidth="1"/>
    <col min="10757" max="10757" width="8.6640625" style="95" customWidth="1"/>
    <col min="10758" max="10758" width="8.5" style="95" customWidth="1"/>
    <col min="10759" max="10759" width="3.6640625" style="95" customWidth="1"/>
    <col min="10760" max="10760" width="9.5" style="95" customWidth="1"/>
    <col min="10761" max="10761" width="10" style="95" customWidth="1"/>
    <col min="10762" max="10762" width="3.1640625" style="95" customWidth="1"/>
    <col min="10763" max="11008" width="10.83203125" style="95"/>
    <col min="11009" max="11009" width="42.1640625" style="95" customWidth="1"/>
    <col min="11010" max="11010" width="8.5" style="95" customWidth="1"/>
    <col min="11011" max="11011" width="8.6640625" style="95" customWidth="1"/>
    <col min="11012" max="11012" width="3.6640625" style="95" customWidth="1"/>
    <col min="11013" max="11013" width="8.6640625" style="95" customWidth="1"/>
    <col min="11014" max="11014" width="8.5" style="95" customWidth="1"/>
    <col min="11015" max="11015" width="3.6640625" style="95" customWidth="1"/>
    <col min="11016" max="11016" width="9.5" style="95" customWidth="1"/>
    <col min="11017" max="11017" width="10" style="95" customWidth="1"/>
    <col min="11018" max="11018" width="3.1640625" style="95" customWidth="1"/>
    <col min="11019" max="11264" width="10.83203125" style="95"/>
    <col min="11265" max="11265" width="42.1640625" style="95" customWidth="1"/>
    <col min="11266" max="11266" width="8.5" style="95" customWidth="1"/>
    <col min="11267" max="11267" width="8.6640625" style="95" customWidth="1"/>
    <col min="11268" max="11268" width="3.6640625" style="95" customWidth="1"/>
    <col min="11269" max="11269" width="8.6640625" style="95" customWidth="1"/>
    <col min="11270" max="11270" width="8.5" style="95" customWidth="1"/>
    <col min="11271" max="11271" width="3.6640625" style="95" customWidth="1"/>
    <col min="11272" max="11272" width="9.5" style="95" customWidth="1"/>
    <col min="11273" max="11273" width="10" style="95" customWidth="1"/>
    <col min="11274" max="11274" width="3.1640625" style="95" customWidth="1"/>
    <col min="11275" max="11520" width="10.83203125" style="95"/>
    <col min="11521" max="11521" width="42.1640625" style="95" customWidth="1"/>
    <col min="11522" max="11522" width="8.5" style="95" customWidth="1"/>
    <col min="11523" max="11523" width="8.6640625" style="95" customWidth="1"/>
    <col min="11524" max="11524" width="3.6640625" style="95" customWidth="1"/>
    <col min="11525" max="11525" width="8.6640625" style="95" customWidth="1"/>
    <col min="11526" max="11526" width="8.5" style="95" customWidth="1"/>
    <col min="11527" max="11527" width="3.6640625" style="95" customWidth="1"/>
    <col min="11528" max="11528" width="9.5" style="95" customWidth="1"/>
    <col min="11529" max="11529" width="10" style="95" customWidth="1"/>
    <col min="11530" max="11530" width="3.1640625" style="95" customWidth="1"/>
    <col min="11531" max="11776" width="10.83203125" style="95"/>
    <col min="11777" max="11777" width="42.1640625" style="95" customWidth="1"/>
    <col min="11778" max="11778" width="8.5" style="95" customWidth="1"/>
    <col min="11779" max="11779" width="8.6640625" style="95" customWidth="1"/>
    <col min="11780" max="11780" width="3.6640625" style="95" customWidth="1"/>
    <col min="11781" max="11781" width="8.6640625" style="95" customWidth="1"/>
    <col min="11782" max="11782" width="8.5" style="95" customWidth="1"/>
    <col min="11783" max="11783" width="3.6640625" style="95" customWidth="1"/>
    <col min="11784" max="11784" width="9.5" style="95" customWidth="1"/>
    <col min="11785" max="11785" width="10" style="95" customWidth="1"/>
    <col min="11786" max="11786" width="3.1640625" style="95" customWidth="1"/>
    <col min="11787" max="12032" width="10.83203125" style="95"/>
    <col min="12033" max="12033" width="42.1640625" style="95" customWidth="1"/>
    <col min="12034" max="12034" width="8.5" style="95" customWidth="1"/>
    <col min="12035" max="12035" width="8.6640625" style="95" customWidth="1"/>
    <col min="12036" max="12036" width="3.6640625" style="95" customWidth="1"/>
    <col min="12037" max="12037" width="8.6640625" style="95" customWidth="1"/>
    <col min="12038" max="12038" width="8.5" style="95" customWidth="1"/>
    <col min="12039" max="12039" width="3.6640625" style="95" customWidth="1"/>
    <col min="12040" max="12040" width="9.5" style="95" customWidth="1"/>
    <col min="12041" max="12041" width="10" style="95" customWidth="1"/>
    <col min="12042" max="12042" width="3.1640625" style="95" customWidth="1"/>
    <col min="12043" max="12288" width="10.83203125" style="95"/>
    <col min="12289" max="12289" width="42.1640625" style="95" customWidth="1"/>
    <col min="12290" max="12290" width="8.5" style="95" customWidth="1"/>
    <col min="12291" max="12291" width="8.6640625" style="95" customWidth="1"/>
    <col min="12292" max="12292" width="3.6640625" style="95" customWidth="1"/>
    <col min="12293" max="12293" width="8.6640625" style="95" customWidth="1"/>
    <col min="12294" max="12294" width="8.5" style="95" customWidth="1"/>
    <col min="12295" max="12295" width="3.6640625" style="95" customWidth="1"/>
    <col min="12296" max="12296" width="9.5" style="95" customWidth="1"/>
    <col min="12297" max="12297" width="10" style="95" customWidth="1"/>
    <col min="12298" max="12298" width="3.1640625" style="95" customWidth="1"/>
    <col min="12299" max="12544" width="10.83203125" style="95"/>
    <col min="12545" max="12545" width="42.1640625" style="95" customWidth="1"/>
    <col min="12546" max="12546" width="8.5" style="95" customWidth="1"/>
    <col min="12547" max="12547" width="8.6640625" style="95" customWidth="1"/>
    <col min="12548" max="12548" width="3.6640625" style="95" customWidth="1"/>
    <col min="12549" max="12549" width="8.6640625" style="95" customWidth="1"/>
    <col min="12550" max="12550" width="8.5" style="95" customWidth="1"/>
    <col min="12551" max="12551" width="3.6640625" style="95" customWidth="1"/>
    <col min="12552" max="12552" width="9.5" style="95" customWidth="1"/>
    <col min="12553" max="12553" width="10" style="95" customWidth="1"/>
    <col min="12554" max="12554" width="3.1640625" style="95" customWidth="1"/>
    <col min="12555" max="12800" width="10.83203125" style="95"/>
    <col min="12801" max="12801" width="42.1640625" style="95" customWidth="1"/>
    <col min="12802" max="12802" width="8.5" style="95" customWidth="1"/>
    <col min="12803" max="12803" width="8.6640625" style="95" customWidth="1"/>
    <col min="12804" max="12804" width="3.6640625" style="95" customWidth="1"/>
    <col min="12805" max="12805" width="8.6640625" style="95" customWidth="1"/>
    <col min="12806" max="12806" width="8.5" style="95" customWidth="1"/>
    <col min="12807" max="12807" width="3.6640625" style="95" customWidth="1"/>
    <col min="12808" max="12808" width="9.5" style="95" customWidth="1"/>
    <col min="12809" max="12809" width="10" style="95" customWidth="1"/>
    <col min="12810" max="12810" width="3.1640625" style="95" customWidth="1"/>
    <col min="12811" max="13056" width="10.83203125" style="95"/>
    <col min="13057" max="13057" width="42.1640625" style="95" customWidth="1"/>
    <col min="13058" max="13058" width="8.5" style="95" customWidth="1"/>
    <col min="13059" max="13059" width="8.6640625" style="95" customWidth="1"/>
    <col min="13060" max="13060" width="3.6640625" style="95" customWidth="1"/>
    <col min="13061" max="13061" width="8.6640625" style="95" customWidth="1"/>
    <col min="13062" max="13062" width="8.5" style="95" customWidth="1"/>
    <col min="13063" max="13063" width="3.6640625" style="95" customWidth="1"/>
    <col min="13064" max="13064" width="9.5" style="95" customWidth="1"/>
    <col min="13065" max="13065" width="10" style="95" customWidth="1"/>
    <col min="13066" max="13066" width="3.1640625" style="95" customWidth="1"/>
    <col min="13067" max="13312" width="10.83203125" style="95"/>
    <col min="13313" max="13313" width="42.1640625" style="95" customWidth="1"/>
    <col min="13314" max="13314" width="8.5" style="95" customWidth="1"/>
    <col min="13315" max="13315" width="8.6640625" style="95" customWidth="1"/>
    <col min="13316" max="13316" width="3.6640625" style="95" customWidth="1"/>
    <col min="13317" max="13317" width="8.6640625" style="95" customWidth="1"/>
    <col min="13318" max="13318" width="8.5" style="95" customWidth="1"/>
    <col min="13319" max="13319" width="3.6640625" style="95" customWidth="1"/>
    <col min="13320" max="13320" width="9.5" style="95" customWidth="1"/>
    <col min="13321" max="13321" width="10" style="95" customWidth="1"/>
    <col min="13322" max="13322" width="3.1640625" style="95" customWidth="1"/>
    <col min="13323" max="13568" width="10.83203125" style="95"/>
    <col min="13569" max="13569" width="42.1640625" style="95" customWidth="1"/>
    <col min="13570" max="13570" width="8.5" style="95" customWidth="1"/>
    <col min="13571" max="13571" width="8.6640625" style="95" customWidth="1"/>
    <col min="13572" max="13572" width="3.6640625" style="95" customWidth="1"/>
    <col min="13573" max="13573" width="8.6640625" style="95" customWidth="1"/>
    <col min="13574" max="13574" width="8.5" style="95" customWidth="1"/>
    <col min="13575" max="13575" width="3.6640625" style="95" customWidth="1"/>
    <col min="13576" max="13576" width="9.5" style="95" customWidth="1"/>
    <col min="13577" max="13577" width="10" style="95" customWidth="1"/>
    <col min="13578" max="13578" width="3.1640625" style="95" customWidth="1"/>
    <col min="13579" max="13824" width="10.83203125" style="95"/>
    <col min="13825" max="13825" width="42.1640625" style="95" customWidth="1"/>
    <col min="13826" max="13826" width="8.5" style="95" customWidth="1"/>
    <col min="13827" max="13827" width="8.6640625" style="95" customWidth="1"/>
    <col min="13828" max="13828" width="3.6640625" style="95" customWidth="1"/>
    <col min="13829" max="13829" width="8.6640625" style="95" customWidth="1"/>
    <col min="13830" max="13830" width="8.5" style="95" customWidth="1"/>
    <col min="13831" max="13831" width="3.6640625" style="95" customWidth="1"/>
    <col min="13832" max="13832" width="9.5" style="95" customWidth="1"/>
    <col min="13833" max="13833" width="10" style="95" customWidth="1"/>
    <col min="13834" max="13834" width="3.1640625" style="95" customWidth="1"/>
    <col min="13835" max="14080" width="10.83203125" style="95"/>
    <col min="14081" max="14081" width="42.1640625" style="95" customWidth="1"/>
    <col min="14082" max="14082" width="8.5" style="95" customWidth="1"/>
    <col min="14083" max="14083" width="8.6640625" style="95" customWidth="1"/>
    <col min="14084" max="14084" width="3.6640625" style="95" customWidth="1"/>
    <col min="14085" max="14085" width="8.6640625" style="95" customWidth="1"/>
    <col min="14086" max="14086" width="8.5" style="95" customWidth="1"/>
    <col min="14087" max="14087" width="3.6640625" style="95" customWidth="1"/>
    <col min="14088" max="14088" width="9.5" style="95" customWidth="1"/>
    <col min="14089" max="14089" width="10" style="95" customWidth="1"/>
    <col min="14090" max="14090" width="3.1640625" style="95" customWidth="1"/>
    <col min="14091" max="14336" width="10.83203125" style="95"/>
    <col min="14337" max="14337" width="42.1640625" style="95" customWidth="1"/>
    <col min="14338" max="14338" width="8.5" style="95" customWidth="1"/>
    <col min="14339" max="14339" width="8.6640625" style="95" customWidth="1"/>
    <col min="14340" max="14340" width="3.6640625" style="95" customWidth="1"/>
    <col min="14341" max="14341" width="8.6640625" style="95" customWidth="1"/>
    <col min="14342" max="14342" width="8.5" style="95" customWidth="1"/>
    <col min="14343" max="14343" width="3.6640625" style="95" customWidth="1"/>
    <col min="14344" max="14344" width="9.5" style="95" customWidth="1"/>
    <col min="14345" max="14345" width="10" style="95" customWidth="1"/>
    <col min="14346" max="14346" width="3.1640625" style="95" customWidth="1"/>
    <col min="14347" max="14592" width="10.83203125" style="95"/>
    <col min="14593" max="14593" width="42.1640625" style="95" customWidth="1"/>
    <col min="14594" max="14594" width="8.5" style="95" customWidth="1"/>
    <col min="14595" max="14595" width="8.6640625" style="95" customWidth="1"/>
    <col min="14596" max="14596" width="3.6640625" style="95" customWidth="1"/>
    <col min="14597" max="14597" width="8.6640625" style="95" customWidth="1"/>
    <col min="14598" max="14598" width="8.5" style="95" customWidth="1"/>
    <col min="14599" max="14599" width="3.6640625" style="95" customWidth="1"/>
    <col min="14600" max="14600" width="9.5" style="95" customWidth="1"/>
    <col min="14601" max="14601" width="10" style="95" customWidth="1"/>
    <col min="14602" max="14602" width="3.1640625" style="95" customWidth="1"/>
    <col min="14603" max="14848" width="10.83203125" style="95"/>
    <col min="14849" max="14849" width="42.1640625" style="95" customWidth="1"/>
    <col min="14850" max="14850" width="8.5" style="95" customWidth="1"/>
    <col min="14851" max="14851" width="8.6640625" style="95" customWidth="1"/>
    <col min="14852" max="14852" width="3.6640625" style="95" customWidth="1"/>
    <col min="14853" max="14853" width="8.6640625" style="95" customWidth="1"/>
    <col min="14854" max="14854" width="8.5" style="95" customWidth="1"/>
    <col min="14855" max="14855" width="3.6640625" style="95" customWidth="1"/>
    <col min="14856" max="14856" width="9.5" style="95" customWidth="1"/>
    <col min="14857" max="14857" width="10" style="95" customWidth="1"/>
    <col min="14858" max="14858" width="3.1640625" style="95" customWidth="1"/>
    <col min="14859" max="15104" width="10.83203125" style="95"/>
    <col min="15105" max="15105" width="42.1640625" style="95" customWidth="1"/>
    <col min="15106" max="15106" width="8.5" style="95" customWidth="1"/>
    <col min="15107" max="15107" width="8.6640625" style="95" customWidth="1"/>
    <col min="15108" max="15108" width="3.6640625" style="95" customWidth="1"/>
    <col min="15109" max="15109" width="8.6640625" style="95" customWidth="1"/>
    <col min="15110" max="15110" width="8.5" style="95" customWidth="1"/>
    <col min="15111" max="15111" width="3.6640625" style="95" customWidth="1"/>
    <col min="15112" max="15112" width="9.5" style="95" customWidth="1"/>
    <col min="15113" max="15113" width="10" style="95" customWidth="1"/>
    <col min="15114" max="15114" width="3.1640625" style="95" customWidth="1"/>
    <col min="15115" max="15360" width="10.83203125" style="95"/>
    <col min="15361" max="15361" width="42.1640625" style="95" customWidth="1"/>
    <col min="15362" max="15362" width="8.5" style="95" customWidth="1"/>
    <col min="15363" max="15363" width="8.6640625" style="95" customWidth="1"/>
    <col min="15364" max="15364" width="3.6640625" style="95" customWidth="1"/>
    <col min="15365" max="15365" width="8.6640625" style="95" customWidth="1"/>
    <col min="15366" max="15366" width="8.5" style="95" customWidth="1"/>
    <col min="15367" max="15367" width="3.6640625" style="95" customWidth="1"/>
    <col min="15368" max="15368" width="9.5" style="95" customWidth="1"/>
    <col min="15369" max="15369" width="10" style="95" customWidth="1"/>
    <col min="15370" max="15370" width="3.1640625" style="95" customWidth="1"/>
    <col min="15371" max="15616" width="10.83203125" style="95"/>
    <col min="15617" max="15617" width="42.1640625" style="95" customWidth="1"/>
    <col min="15618" max="15618" width="8.5" style="95" customWidth="1"/>
    <col min="15619" max="15619" width="8.6640625" style="95" customWidth="1"/>
    <col min="15620" max="15620" width="3.6640625" style="95" customWidth="1"/>
    <col min="15621" max="15621" width="8.6640625" style="95" customWidth="1"/>
    <col min="15622" max="15622" width="8.5" style="95" customWidth="1"/>
    <col min="15623" max="15623" width="3.6640625" style="95" customWidth="1"/>
    <col min="15624" max="15624" width="9.5" style="95" customWidth="1"/>
    <col min="15625" max="15625" width="10" style="95" customWidth="1"/>
    <col min="15626" max="15626" width="3.1640625" style="95" customWidth="1"/>
    <col min="15627" max="15872" width="10.83203125" style="95"/>
    <col min="15873" max="15873" width="42.1640625" style="95" customWidth="1"/>
    <col min="15874" max="15874" width="8.5" style="95" customWidth="1"/>
    <col min="15875" max="15875" width="8.6640625" style="95" customWidth="1"/>
    <col min="15876" max="15876" width="3.6640625" style="95" customWidth="1"/>
    <col min="15877" max="15877" width="8.6640625" style="95" customWidth="1"/>
    <col min="15878" max="15878" width="8.5" style="95" customWidth="1"/>
    <col min="15879" max="15879" width="3.6640625" style="95" customWidth="1"/>
    <col min="15880" max="15880" width="9.5" style="95" customWidth="1"/>
    <col min="15881" max="15881" width="10" style="95" customWidth="1"/>
    <col min="15882" max="15882" width="3.1640625" style="95" customWidth="1"/>
    <col min="15883" max="16128" width="10.83203125" style="95"/>
    <col min="16129" max="16129" width="42.1640625" style="95" customWidth="1"/>
    <col min="16130" max="16130" width="8.5" style="95" customWidth="1"/>
    <col min="16131" max="16131" width="8.6640625" style="95" customWidth="1"/>
    <col min="16132" max="16132" width="3.6640625" style="95" customWidth="1"/>
    <col min="16133" max="16133" width="8.6640625" style="95" customWidth="1"/>
    <col min="16134" max="16134" width="8.5" style="95" customWidth="1"/>
    <col min="16135" max="16135" width="3.6640625" style="95" customWidth="1"/>
    <col min="16136" max="16136" width="9.5" style="95" customWidth="1"/>
    <col min="16137" max="16137" width="10" style="95" customWidth="1"/>
    <col min="16138" max="16138" width="3.1640625" style="95" customWidth="1"/>
    <col min="16139" max="16384" width="10.83203125" style="95"/>
  </cols>
  <sheetData>
    <row r="1" spans="1:10">
      <c r="A1" s="95" t="s">
        <v>453</v>
      </c>
    </row>
    <row r="2" spans="1:10" ht="13.25" customHeight="1">
      <c r="A2" s="33" t="s">
        <v>454</v>
      </c>
    </row>
    <row r="3" spans="1:10" ht="7.5" customHeight="1"/>
    <row r="4" spans="1:10" ht="13.25" customHeight="1">
      <c r="A4" s="116" t="s">
        <v>2243</v>
      </c>
      <c r="B4" s="587"/>
    </row>
    <row r="5" spans="1:10" ht="13.25" customHeight="1">
      <c r="A5" s="75" t="s">
        <v>2155</v>
      </c>
      <c r="B5" s="587"/>
    </row>
    <row r="6" spans="1:10" ht="9.75" customHeight="1" thickBot="1">
      <c r="C6" s="162"/>
      <c r="F6" s="162"/>
      <c r="J6" s="105"/>
    </row>
    <row r="7" spans="1:10" ht="13.25" customHeight="1">
      <c r="A7" s="97"/>
      <c r="B7" s="579"/>
      <c r="C7" s="580"/>
      <c r="D7" s="581"/>
      <c r="E7" s="582"/>
      <c r="F7" s="580"/>
      <c r="G7" s="581"/>
      <c r="H7" s="581"/>
      <c r="I7" s="580"/>
      <c r="J7" s="99"/>
    </row>
    <row r="8" spans="1:10" ht="13.25" customHeight="1">
      <c r="A8" s="116" t="s">
        <v>1585</v>
      </c>
      <c r="B8" s="1026" t="s">
        <v>1586</v>
      </c>
      <c r="C8" s="1026"/>
      <c r="D8" s="117"/>
      <c r="E8" s="1019" t="s">
        <v>1579</v>
      </c>
      <c r="F8" s="1019"/>
      <c r="G8" s="117"/>
      <c r="H8" s="1026" t="s">
        <v>1587</v>
      </c>
      <c r="I8" s="1026"/>
      <c r="J8" s="135"/>
    </row>
    <row r="9" spans="1:10" ht="13.25" customHeight="1">
      <c r="A9" s="106" t="s">
        <v>1588</v>
      </c>
      <c r="B9" s="583" t="s">
        <v>152</v>
      </c>
      <c r="C9" s="101" t="s">
        <v>1589</v>
      </c>
      <c r="D9" s="117"/>
      <c r="E9" s="620" t="s">
        <v>152</v>
      </c>
      <c r="F9" s="101" t="s">
        <v>153</v>
      </c>
      <c r="G9" s="117"/>
      <c r="H9" s="620" t="s">
        <v>152</v>
      </c>
      <c r="I9" s="101" t="s">
        <v>153</v>
      </c>
      <c r="J9" s="150"/>
    </row>
    <row r="10" spans="1:10" ht="13.25" customHeight="1" thickBot="1">
      <c r="A10" s="102"/>
      <c r="B10" s="584"/>
      <c r="C10" s="585"/>
      <c r="D10" s="109"/>
      <c r="E10" s="586"/>
      <c r="F10" s="585"/>
      <c r="G10" s="109"/>
      <c r="H10" s="109"/>
      <c r="I10" s="585"/>
      <c r="J10" s="96"/>
    </row>
    <row r="11" spans="1:10" ht="9.75" customHeight="1">
      <c r="A11" s="116"/>
      <c r="B11" s="587"/>
      <c r="C11" s="150"/>
      <c r="D11" s="117"/>
      <c r="E11" s="938"/>
      <c r="F11" s="150"/>
      <c r="G11" s="117"/>
      <c r="H11" s="117"/>
      <c r="I11" s="150"/>
      <c r="J11" s="135"/>
    </row>
    <row r="12" spans="1:10" ht="13" customHeight="1">
      <c r="A12" s="55" t="s">
        <v>1590</v>
      </c>
      <c r="B12" s="613">
        <f>IF($A12&lt;&gt;0,E12+H12,"")</f>
        <v>164</v>
      </c>
      <c r="C12" s="571">
        <f>SUM(C14:C45)</f>
        <v>78.658536585365837</v>
      </c>
      <c r="D12" s="380"/>
      <c r="E12" s="619">
        <f>SUM(E14:E51)</f>
        <v>140</v>
      </c>
      <c r="F12" s="573">
        <f>IF($A12&lt;&gt;0,E12/B12*100,"")</f>
        <v>85.365853658536579</v>
      </c>
      <c r="G12" s="380"/>
      <c r="H12" s="619">
        <f>SUM(H14:H51)</f>
        <v>24</v>
      </c>
      <c r="I12" s="573">
        <f>IF($A12&lt;&gt;0,H12/B12*100,"")</f>
        <v>14.634146341463413</v>
      </c>
      <c r="J12" s="219"/>
    </row>
    <row r="13" spans="1:10" ht="9" customHeight="1">
      <c r="A13" s="55"/>
      <c r="B13" s="221"/>
      <c r="C13" s="218"/>
      <c r="D13" s="219"/>
      <c r="E13" s="217"/>
      <c r="F13" s="573" t="str">
        <f t="shared" ref="F13:F51" si="0">IF($A13&lt;&gt;0,E13/B13*100,"")</f>
        <v/>
      </c>
      <c r="G13" s="219"/>
      <c r="H13" s="217"/>
      <c r="I13" s="218"/>
      <c r="J13" s="219"/>
    </row>
    <row r="14" spans="1:10" ht="14.25" customHeight="1">
      <c r="A14" s="405" t="s">
        <v>715</v>
      </c>
      <c r="B14" s="221">
        <f>IF(A14&lt;&gt;0,E14+H14,"")</f>
        <v>3</v>
      </c>
      <c r="C14" s="218">
        <f>IF(A14&lt;&gt;0,B14/$B$12*100,"")</f>
        <v>1.8292682926829267</v>
      </c>
      <c r="D14" s="219"/>
      <c r="E14" s="973">
        <v>3</v>
      </c>
      <c r="F14" s="289">
        <f t="shared" si="0"/>
        <v>100</v>
      </c>
      <c r="G14" s="77"/>
      <c r="H14" s="973">
        <v>0</v>
      </c>
      <c r="I14" s="218">
        <f t="shared" ref="I14:I51" si="1">IF(A14&lt;&gt;0,H14/B14*100,"")</f>
        <v>0</v>
      </c>
      <c r="J14" s="219"/>
    </row>
    <row r="15" spans="1:10" ht="14.25" customHeight="1">
      <c r="A15" s="925" t="s">
        <v>716</v>
      </c>
      <c r="B15" s="221">
        <f t="shared" ref="B15:B49" si="2">IF(A15&lt;&gt;0,E15+H15,"")</f>
        <v>1</v>
      </c>
      <c r="C15" s="218">
        <f>IF(A15&lt;&gt;0,B15/$B$12*100,"")</f>
        <v>0.6097560975609756</v>
      </c>
      <c r="D15" s="219"/>
      <c r="E15" s="973">
        <v>1</v>
      </c>
      <c r="F15" s="289">
        <f t="shared" si="0"/>
        <v>100</v>
      </c>
      <c r="G15" s="77"/>
      <c r="H15" s="973">
        <v>0</v>
      </c>
      <c r="I15" s="218">
        <f t="shared" si="1"/>
        <v>0</v>
      </c>
      <c r="J15" s="219"/>
    </row>
    <row r="16" spans="1:10" ht="14.25" customHeight="1">
      <c r="A16" s="405" t="s">
        <v>1536</v>
      </c>
      <c r="B16" s="221">
        <f t="shared" si="2"/>
        <v>1</v>
      </c>
      <c r="C16" s="218">
        <f>IF(A16&lt;&gt;0,B16/$B$12*100,"")</f>
        <v>0.6097560975609756</v>
      </c>
      <c r="D16" s="219"/>
      <c r="E16" s="973">
        <v>1</v>
      </c>
      <c r="F16" s="289">
        <f t="shared" si="0"/>
        <v>100</v>
      </c>
      <c r="G16" s="77"/>
      <c r="H16" s="973">
        <v>0</v>
      </c>
      <c r="I16" s="218">
        <f t="shared" si="1"/>
        <v>0</v>
      </c>
      <c r="J16" s="219"/>
    </row>
    <row r="17" spans="1:10" ht="14.25" customHeight="1">
      <c r="A17" s="405" t="s">
        <v>718</v>
      </c>
      <c r="B17" s="221">
        <f t="shared" si="2"/>
        <v>13</v>
      </c>
      <c r="C17" s="218">
        <f>IF(A17&lt;&gt;0,B17/$B$12*100,"")</f>
        <v>7.9268292682926829</v>
      </c>
      <c r="D17" s="219"/>
      <c r="E17" s="973">
        <v>10</v>
      </c>
      <c r="F17" s="289">
        <f t="shared" si="0"/>
        <v>76.923076923076934</v>
      </c>
      <c r="G17" s="77"/>
      <c r="H17" s="973">
        <v>3</v>
      </c>
      <c r="I17" s="218">
        <f t="shared" si="1"/>
        <v>23.076923076923077</v>
      </c>
      <c r="J17" s="219"/>
    </row>
    <row r="18" spans="1:10" ht="14.25" customHeight="1">
      <c r="A18" s="405" t="s">
        <v>720</v>
      </c>
      <c r="B18" s="221">
        <f t="shared" si="2"/>
        <v>3</v>
      </c>
      <c r="C18" s="218">
        <f>IF(A18&lt;&gt;0,B18/$B$12*100,"")</f>
        <v>1.8292682926829267</v>
      </c>
      <c r="D18" s="219"/>
      <c r="E18" s="973">
        <v>3</v>
      </c>
      <c r="F18" s="289">
        <f t="shared" si="0"/>
        <v>100</v>
      </c>
      <c r="G18" s="77"/>
      <c r="H18" s="973">
        <v>0</v>
      </c>
      <c r="I18" s="218">
        <f t="shared" si="1"/>
        <v>0</v>
      </c>
      <c r="J18" s="219"/>
    </row>
    <row r="19" spans="1:10" ht="14.25" customHeight="1">
      <c r="A19" s="405" t="s">
        <v>722</v>
      </c>
      <c r="B19" s="221">
        <f t="shared" si="2"/>
        <v>12</v>
      </c>
      <c r="C19" s="218">
        <f t="shared" ref="C19:C49" si="3">IF(A19&lt;&gt;0,B19/$B$12*100,"")</f>
        <v>7.3170731707317067</v>
      </c>
      <c r="D19" s="219"/>
      <c r="E19" s="973">
        <v>10</v>
      </c>
      <c r="F19" s="289">
        <f t="shared" si="0"/>
        <v>83.333333333333343</v>
      </c>
      <c r="G19" s="77"/>
      <c r="H19" s="973">
        <v>2</v>
      </c>
      <c r="I19" s="218">
        <f t="shared" si="1"/>
        <v>16.666666666666664</v>
      </c>
      <c r="J19" s="219"/>
    </row>
    <row r="20" spans="1:10" ht="14.25" customHeight="1">
      <c r="A20" s="405" t="s">
        <v>1537</v>
      </c>
      <c r="B20" s="221">
        <f t="shared" si="2"/>
        <v>6</v>
      </c>
      <c r="C20" s="218">
        <f t="shared" si="3"/>
        <v>3.6585365853658534</v>
      </c>
      <c r="D20" s="219"/>
      <c r="E20" s="973">
        <v>4</v>
      </c>
      <c r="F20" s="289">
        <f t="shared" si="0"/>
        <v>66.666666666666657</v>
      </c>
      <c r="G20" s="77"/>
      <c r="H20" s="973">
        <v>2</v>
      </c>
      <c r="I20" s="218">
        <f t="shared" si="1"/>
        <v>33.333333333333329</v>
      </c>
      <c r="J20" s="219"/>
    </row>
    <row r="21" spans="1:10" ht="14.25" customHeight="1">
      <c r="A21" s="405" t="s">
        <v>726</v>
      </c>
      <c r="B21" s="221">
        <f t="shared" si="2"/>
        <v>1</v>
      </c>
      <c r="C21" s="218">
        <f t="shared" si="3"/>
        <v>0.6097560975609756</v>
      </c>
      <c r="D21" s="219"/>
      <c r="E21" s="973">
        <v>0</v>
      </c>
      <c r="F21" s="289">
        <f t="shared" si="0"/>
        <v>0</v>
      </c>
      <c r="G21" s="77"/>
      <c r="H21" s="973">
        <v>1</v>
      </c>
      <c r="I21" s="218">
        <f t="shared" si="1"/>
        <v>100</v>
      </c>
      <c r="J21" s="219"/>
    </row>
    <row r="22" spans="1:10" ht="14.25" customHeight="1">
      <c r="A22" s="405" t="s">
        <v>727</v>
      </c>
      <c r="B22" s="221">
        <f t="shared" si="2"/>
        <v>2</v>
      </c>
      <c r="C22" s="218">
        <f t="shared" si="3"/>
        <v>1.2195121951219512</v>
      </c>
      <c r="D22" s="219"/>
      <c r="E22" s="973">
        <v>1</v>
      </c>
      <c r="F22" s="289">
        <f t="shared" si="0"/>
        <v>50</v>
      </c>
      <c r="G22" s="77"/>
      <c r="H22" s="973">
        <v>1</v>
      </c>
      <c r="I22" s="218">
        <f t="shared" si="1"/>
        <v>50</v>
      </c>
      <c r="J22" s="219"/>
    </row>
    <row r="23" spans="1:10" ht="14.25" customHeight="1">
      <c r="A23" s="932" t="s">
        <v>728</v>
      </c>
      <c r="B23" s="221">
        <f t="shared" si="2"/>
        <v>1</v>
      </c>
      <c r="C23" s="218">
        <f t="shared" si="3"/>
        <v>0.6097560975609756</v>
      </c>
      <c r="D23" s="219"/>
      <c r="E23" s="973">
        <v>1</v>
      </c>
      <c r="F23" s="289">
        <f t="shared" si="0"/>
        <v>100</v>
      </c>
      <c r="G23" s="77"/>
      <c r="H23" s="973">
        <v>0</v>
      </c>
      <c r="I23" s="218">
        <f t="shared" si="1"/>
        <v>0</v>
      </c>
      <c r="J23" s="219"/>
    </row>
    <row r="24" spans="1:10" ht="14.25" customHeight="1">
      <c r="A24" s="405" t="s">
        <v>1538</v>
      </c>
      <c r="B24" s="221">
        <f t="shared" si="2"/>
        <v>9</v>
      </c>
      <c r="C24" s="218">
        <f t="shared" si="3"/>
        <v>5.4878048780487809</v>
      </c>
      <c r="D24" s="219"/>
      <c r="E24" s="973">
        <v>8</v>
      </c>
      <c r="F24" s="289">
        <f t="shared" si="0"/>
        <v>88.888888888888886</v>
      </c>
      <c r="G24" s="77"/>
      <c r="H24" s="973">
        <v>1</v>
      </c>
      <c r="I24" s="218">
        <f t="shared" si="1"/>
        <v>11.111111111111111</v>
      </c>
      <c r="J24" s="219"/>
    </row>
    <row r="25" spans="1:10" ht="14.25" customHeight="1">
      <c r="A25" s="405" t="s">
        <v>730</v>
      </c>
      <c r="B25" s="221">
        <f t="shared" si="2"/>
        <v>3</v>
      </c>
      <c r="C25" s="218">
        <f t="shared" si="3"/>
        <v>1.8292682926829267</v>
      </c>
      <c r="D25" s="219"/>
      <c r="E25" s="973">
        <v>3</v>
      </c>
      <c r="F25" s="289">
        <f t="shared" si="0"/>
        <v>100</v>
      </c>
      <c r="G25" s="77"/>
      <c r="H25" s="973">
        <v>0</v>
      </c>
      <c r="I25" s="218">
        <f t="shared" si="1"/>
        <v>0</v>
      </c>
      <c r="J25" s="219"/>
    </row>
    <row r="26" spans="1:10" ht="14.25" customHeight="1">
      <c r="A26" s="405" t="s">
        <v>731</v>
      </c>
      <c r="B26" s="221">
        <f t="shared" si="2"/>
        <v>4</v>
      </c>
      <c r="C26" s="218">
        <f t="shared" si="3"/>
        <v>2.4390243902439024</v>
      </c>
      <c r="D26" s="219"/>
      <c r="E26" s="973">
        <v>4</v>
      </c>
      <c r="F26" s="289">
        <f t="shared" si="0"/>
        <v>100</v>
      </c>
      <c r="G26" s="77"/>
      <c r="H26" s="973">
        <v>0</v>
      </c>
      <c r="I26" s="218">
        <f t="shared" si="1"/>
        <v>0</v>
      </c>
      <c r="J26" s="219"/>
    </row>
    <row r="27" spans="1:10" ht="14.25" customHeight="1">
      <c r="A27" s="405" t="s">
        <v>732</v>
      </c>
      <c r="B27" s="221">
        <f t="shared" si="2"/>
        <v>3</v>
      </c>
      <c r="C27" s="218">
        <f t="shared" si="3"/>
        <v>1.8292682926829267</v>
      </c>
      <c r="D27" s="206"/>
      <c r="E27" s="973">
        <v>3</v>
      </c>
      <c r="F27" s="289">
        <f t="shared" si="0"/>
        <v>100</v>
      </c>
      <c r="G27" s="77"/>
      <c r="H27" s="973">
        <v>0</v>
      </c>
      <c r="I27" s="218">
        <f t="shared" si="1"/>
        <v>0</v>
      </c>
      <c r="J27" s="206"/>
    </row>
    <row r="28" spans="1:10" ht="14.25" customHeight="1">
      <c r="A28" s="925" t="s">
        <v>2140</v>
      </c>
      <c r="B28" s="221">
        <f t="shared" si="2"/>
        <v>1</v>
      </c>
      <c r="C28" s="218">
        <f t="shared" si="3"/>
        <v>0.6097560975609756</v>
      </c>
      <c r="D28" s="206"/>
      <c r="E28" s="973">
        <v>1</v>
      </c>
      <c r="F28" s="289">
        <f t="shared" si="0"/>
        <v>100</v>
      </c>
      <c r="G28" s="77"/>
      <c r="H28" s="973">
        <v>0</v>
      </c>
      <c r="I28" s="218">
        <f t="shared" si="1"/>
        <v>0</v>
      </c>
      <c r="J28" s="206"/>
    </row>
    <row r="29" spans="1:10" ht="14.25" customHeight="1">
      <c r="A29" s="925" t="s">
        <v>2141</v>
      </c>
      <c r="B29" s="221">
        <f t="shared" si="2"/>
        <v>2</v>
      </c>
      <c r="C29" s="218">
        <f t="shared" si="3"/>
        <v>1.2195121951219512</v>
      </c>
      <c r="D29" s="219"/>
      <c r="E29" s="973">
        <v>1</v>
      </c>
      <c r="F29" s="289">
        <f t="shared" si="0"/>
        <v>50</v>
      </c>
      <c r="G29" s="77"/>
      <c r="H29" s="973">
        <v>1</v>
      </c>
      <c r="I29" s="218">
        <f t="shared" si="1"/>
        <v>50</v>
      </c>
      <c r="J29" s="219"/>
    </row>
    <row r="30" spans="1:10" ht="14.25" customHeight="1">
      <c r="A30" s="405" t="s">
        <v>1539</v>
      </c>
      <c r="B30" s="221">
        <f t="shared" si="2"/>
        <v>4</v>
      </c>
      <c r="C30" s="218">
        <f t="shared" si="3"/>
        <v>2.4390243902439024</v>
      </c>
      <c r="D30" s="217"/>
      <c r="E30" s="973">
        <v>3</v>
      </c>
      <c r="F30" s="289">
        <f t="shared" si="0"/>
        <v>75</v>
      </c>
      <c r="G30" s="77"/>
      <c r="H30" s="973">
        <v>1</v>
      </c>
      <c r="I30" s="218">
        <f t="shared" si="1"/>
        <v>25</v>
      </c>
      <c r="J30" s="219"/>
    </row>
    <row r="31" spans="1:10" ht="14.25" customHeight="1">
      <c r="A31" s="405" t="s">
        <v>736</v>
      </c>
      <c r="B31" s="221">
        <f>IF(A31&lt;&gt;0,E31+H31,"")</f>
        <v>2</v>
      </c>
      <c r="C31" s="218">
        <f>IF(A31&lt;&gt;0,B31/$B$12*100,"")</f>
        <v>1.2195121951219512</v>
      </c>
      <c r="D31" s="217"/>
      <c r="E31" s="973">
        <v>2</v>
      </c>
      <c r="F31" s="289">
        <f t="shared" si="0"/>
        <v>100</v>
      </c>
      <c r="G31" s="77"/>
      <c r="H31" s="973">
        <v>0</v>
      </c>
      <c r="I31" s="218">
        <f t="shared" si="1"/>
        <v>0</v>
      </c>
      <c r="J31" s="219"/>
    </row>
    <row r="32" spans="1:10" ht="14.25" customHeight="1">
      <c r="A32" s="405" t="s">
        <v>1540</v>
      </c>
      <c r="B32" s="221">
        <f t="shared" si="2"/>
        <v>7</v>
      </c>
      <c r="C32" s="218">
        <f t="shared" si="3"/>
        <v>4.2682926829268295</v>
      </c>
      <c r="D32" s="217"/>
      <c r="E32" s="973">
        <v>7</v>
      </c>
      <c r="F32" s="289">
        <f t="shared" si="0"/>
        <v>100</v>
      </c>
      <c r="G32" s="77"/>
      <c r="H32" s="973">
        <v>0</v>
      </c>
      <c r="I32" s="218">
        <f t="shared" si="1"/>
        <v>0</v>
      </c>
      <c r="J32" s="219"/>
    </row>
    <row r="33" spans="1:10" ht="14.25" customHeight="1">
      <c r="A33" s="405" t="s">
        <v>739</v>
      </c>
      <c r="B33" s="221">
        <f t="shared" si="2"/>
        <v>2</v>
      </c>
      <c r="C33" s="218">
        <f t="shared" si="3"/>
        <v>1.2195121951219512</v>
      </c>
      <c r="D33" s="217"/>
      <c r="E33" s="973">
        <v>2</v>
      </c>
      <c r="F33" s="289">
        <f t="shared" si="0"/>
        <v>100</v>
      </c>
      <c r="G33" s="77"/>
      <c r="H33" s="973">
        <v>0</v>
      </c>
      <c r="I33" s="218">
        <f t="shared" si="1"/>
        <v>0</v>
      </c>
      <c r="J33" s="219"/>
    </row>
    <row r="34" spans="1:10" ht="14.25" customHeight="1">
      <c r="A34" s="405" t="s">
        <v>740</v>
      </c>
      <c r="B34" s="221">
        <f t="shared" si="2"/>
        <v>6</v>
      </c>
      <c r="C34" s="218">
        <f t="shared" si="3"/>
        <v>3.6585365853658534</v>
      </c>
      <c r="D34" s="217"/>
      <c r="E34" s="973">
        <v>3</v>
      </c>
      <c r="F34" s="289">
        <f t="shared" si="0"/>
        <v>50</v>
      </c>
      <c r="G34" s="77"/>
      <c r="H34" s="973">
        <v>3</v>
      </c>
      <c r="I34" s="218">
        <f t="shared" si="1"/>
        <v>50</v>
      </c>
      <c r="J34" s="219"/>
    </row>
    <row r="35" spans="1:10" ht="14.25" customHeight="1">
      <c r="A35" s="932" t="s">
        <v>2142</v>
      </c>
      <c r="B35" s="221">
        <f t="shared" si="2"/>
        <v>7</v>
      </c>
      <c r="C35" s="218">
        <f t="shared" si="3"/>
        <v>4.2682926829268295</v>
      </c>
      <c r="D35" s="217"/>
      <c r="E35" s="973">
        <v>7</v>
      </c>
      <c r="F35" s="289">
        <f t="shared" si="0"/>
        <v>100</v>
      </c>
      <c r="G35" s="77"/>
      <c r="H35" s="973">
        <v>0</v>
      </c>
      <c r="I35" s="218">
        <f t="shared" si="1"/>
        <v>0</v>
      </c>
      <c r="J35" s="219"/>
    </row>
    <row r="36" spans="1:10" ht="14.25" customHeight="1">
      <c r="A36" s="925" t="s">
        <v>2143</v>
      </c>
      <c r="B36" s="221">
        <f t="shared" si="2"/>
        <v>2</v>
      </c>
      <c r="C36" s="218">
        <f t="shared" si="3"/>
        <v>1.2195121951219512</v>
      </c>
      <c r="D36" s="217"/>
      <c r="E36" s="973">
        <v>2</v>
      </c>
      <c r="F36" s="289">
        <f t="shared" si="0"/>
        <v>100</v>
      </c>
      <c r="G36" s="77"/>
      <c r="H36" s="973">
        <v>0</v>
      </c>
      <c r="I36" s="218">
        <f t="shared" si="1"/>
        <v>0</v>
      </c>
      <c r="J36" s="219"/>
    </row>
    <row r="37" spans="1:10" ht="14.25" customHeight="1">
      <c r="A37" s="405" t="s">
        <v>746</v>
      </c>
      <c r="B37" s="221">
        <f>IF(A37&lt;&gt;0,E37+H37,"")</f>
        <v>11</v>
      </c>
      <c r="C37" s="218">
        <f>IF(A37&lt;&gt;0,B37/$B$12*100,"")</f>
        <v>6.7073170731707323</v>
      </c>
      <c r="D37" s="217"/>
      <c r="E37" s="973">
        <v>9</v>
      </c>
      <c r="F37" s="289">
        <f t="shared" si="0"/>
        <v>81.818181818181827</v>
      </c>
      <c r="G37" s="77"/>
      <c r="H37" s="973">
        <v>2</v>
      </c>
      <c r="I37" s="218">
        <f t="shared" si="1"/>
        <v>18.181818181818183</v>
      </c>
      <c r="J37" s="219"/>
    </row>
    <row r="38" spans="1:10" ht="14.25" customHeight="1">
      <c r="A38" s="405" t="s">
        <v>747</v>
      </c>
      <c r="B38" s="221">
        <f t="shared" si="2"/>
        <v>2</v>
      </c>
      <c r="C38" s="218">
        <f t="shared" si="3"/>
        <v>1.2195121951219512</v>
      </c>
      <c r="D38" s="217"/>
      <c r="E38" s="973">
        <v>1</v>
      </c>
      <c r="F38" s="289">
        <f t="shared" si="0"/>
        <v>50</v>
      </c>
      <c r="G38" s="77"/>
      <c r="H38" s="973">
        <v>1</v>
      </c>
      <c r="I38" s="218">
        <f t="shared" si="1"/>
        <v>50</v>
      </c>
      <c r="J38" s="219"/>
    </row>
    <row r="39" spans="1:10" ht="14.25" customHeight="1">
      <c r="A39" s="405" t="s">
        <v>748</v>
      </c>
      <c r="B39" s="221">
        <f t="shared" si="2"/>
        <v>4</v>
      </c>
      <c r="C39" s="218">
        <f t="shared" si="3"/>
        <v>2.4390243902439024</v>
      </c>
      <c r="D39" s="217"/>
      <c r="E39" s="973">
        <v>4</v>
      </c>
      <c r="F39" s="289">
        <f t="shared" si="0"/>
        <v>100</v>
      </c>
      <c r="G39" s="77"/>
      <c r="H39" s="973">
        <v>0</v>
      </c>
      <c r="I39" s="218">
        <f t="shared" si="1"/>
        <v>0</v>
      </c>
      <c r="J39" s="219"/>
    </row>
    <row r="40" spans="1:10" ht="14.25" customHeight="1">
      <c r="A40" s="405" t="s">
        <v>749</v>
      </c>
      <c r="B40" s="221">
        <f t="shared" si="2"/>
        <v>1</v>
      </c>
      <c r="C40" s="218">
        <f t="shared" si="3"/>
        <v>0.6097560975609756</v>
      </c>
      <c r="D40" s="217"/>
      <c r="E40" s="973">
        <v>1</v>
      </c>
      <c r="F40" s="289">
        <f t="shared" si="0"/>
        <v>100</v>
      </c>
      <c r="G40" s="77"/>
      <c r="H40" s="973">
        <v>0</v>
      </c>
      <c r="I40" s="218">
        <f t="shared" si="1"/>
        <v>0</v>
      </c>
      <c r="J40" s="219"/>
    </row>
    <row r="41" spans="1:10" ht="14.25" customHeight="1">
      <c r="A41" s="932" t="s">
        <v>751</v>
      </c>
      <c r="B41" s="221">
        <f t="shared" si="2"/>
        <v>3</v>
      </c>
      <c r="C41" s="218">
        <f t="shared" si="3"/>
        <v>1.8292682926829267</v>
      </c>
      <c r="D41" s="217"/>
      <c r="E41" s="973">
        <v>3</v>
      </c>
      <c r="F41" s="289">
        <f t="shared" si="0"/>
        <v>100</v>
      </c>
      <c r="G41" s="77"/>
      <c r="H41" s="973">
        <v>0</v>
      </c>
      <c r="I41" s="218">
        <f t="shared" si="1"/>
        <v>0</v>
      </c>
      <c r="J41" s="219"/>
    </row>
    <row r="42" spans="1:10" ht="14.25" customHeight="1">
      <c r="A42" s="405" t="s">
        <v>752</v>
      </c>
      <c r="B42" s="221">
        <f t="shared" si="2"/>
        <v>1</v>
      </c>
      <c r="C42" s="218">
        <f t="shared" si="3"/>
        <v>0.6097560975609756</v>
      </c>
      <c r="D42" s="217"/>
      <c r="E42" s="973">
        <v>1</v>
      </c>
      <c r="F42" s="289">
        <f t="shared" si="0"/>
        <v>100</v>
      </c>
      <c r="G42" s="77"/>
      <c r="H42" s="973">
        <v>0</v>
      </c>
      <c r="I42" s="218">
        <f t="shared" si="1"/>
        <v>0</v>
      </c>
      <c r="J42" s="219"/>
    </row>
    <row r="43" spans="1:10" ht="14.25" customHeight="1">
      <c r="A43" s="405" t="s">
        <v>755</v>
      </c>
      <c r="B43" s="221">
        <f t="shared" si="2"/>
        <v>8</v>
      </c>
      <c r="C43" s="218">
        <f t="shared" si="3"/>
        <v>4.8780487804878048</v>
      </c>
      <c r="D43" s="217"/>
      <c r="E43" s="973">
        <v>8</v>
      </c>
      <c r="F43" s="289">
        <f t="shared" si="0"/>
        <v>100</v>
      </c>
      <c r="G43" s="77"/>
      <c r="H43" s="973">
        <v>0</v>
      </c>
      <c r="I43" s="218">
        <f t="shared" si="1"/>
        <v>0</v>
      </c>
      <c r="J43" s="219"/>
    </row>
    <row r="44" spans="1:10" ht="14.25" customHeight="1">
      <c r="A44" s="405" t="s">
        <v>757</v>
      </c>
      <c r="B44" s="221">
        <f t="shared" si="2"/>
        <v>3</v>
      </c>
      <c r="C44" s="218">
        <f t="shared" si="3"/>
        <v>1.8292682926829267</v>
      </c>
      <c r="D44" s="217"/>
      <c r="E44" s="973">
        <v>2</v>
      </c>
      <c r="F44" s="289">
        <f t="shared" si="0"/>
        <v>66.666666666666657</v>
      </c>
      <c r="G44" s="77"/>
      <c r="H44" s="973">
        <v>1</v>
      </c>
      <c r="I44" s="218">
        <f t="shared" si="1"/>
        <v>33.333333333333329</v>
      </c>
      <c r="J44" s="219"/>
    </row>
    <row r="45" spans="1:10" ht="14.25" customHeight="1">
      <c r="A45" s="932" t="s">
        <v>2144</v>
      </c>
      <c r="B45" s="221">
        <f t="shared" si="2"/>
        <v>1</v>
      </c>
      <c r="C45" s="218">
        <f t="shared" si="3"/>
        <v>0.6097560975609756</v>
      </c>
      <c r="D45" s="217"/>
      <c r="E45" s="973">
        <v>1</v>
      </c>
      <c r="F45" s="289">
        <f t="shared" si="0"/>
        <v>100</v>
      </c>
      <c r="G45" s="77"/>
      <c r="H45" s="973">
        <v>0</v>
      </c>
      <c r="I45" s="218">
        <f t="shared" si="1"/>
        <v>0</v>
      </c>
      <c r="J45" s="219"/>
    </row>
    <row r="46" spans="1:10" ht="14.25" customHeight="1">
      <c r="A46" s="405" t="s">
        <v>761</v>
      </c>
      <c r="B46" s="221">
        <f t="shared" si="2"/>
        <v>10</v>
      </c>
      <c r="C46" s="218">
        <f t="shared" si="3"/>
        <v>6.0975609756097562</v>
      </c>
      <c r="D46" s="217"/>
      <c r="E46" s="973">
        <v>9</v>
      </c>
      <c r="F46" s="289">
        <f t="shared" si="0"/>
        <v>90</v>
      </c>
      <c r="G46" s="77"/>
      <c r="H46" s="973">
        <v>1</v>
      </c>
      <c r="I46" s="218">
        <f t="shared" si="1"/>
        <v>10</v>
      </c>
      <c r="J46" s="219"/>
    </row>
    <row r="47" spans="1:10" ht="14.25" customHeight="1">
      <c r="A47" s="405" t="s">
        <v>762</v>
      </c>
      <c r="B47" s="221">
        <f t="shared" si="2"/>
        <v>14</v>
      </c>
      <c r="C47" s="218">
        <f t="shared" si="3"/>
        <v>8.536585365853659</v>
      </c>
      <c r="D47" s="217"/>
      <c r="E47" s="973">
        <v>12</v>
      </c>
      <c r="F47" s="289">
        <f t="shared" si="0"/>
        <v>85.714285714285708</v>
      </c>
      <c r="G47" s="77"/>
      <c r="H47" s="973">
        <v>2</v>
      </c>
      <c r="I47" s="218">
        <f t="shared" si="1"/>
        <v>14.285714285714285</v>
      </c>
      <c r="J47" s="219"/>
    </row>
    <row r="48" spans="1:10" ht="14.25" customHeight="1">
      <c r="A48" s="405" t="s">
        <v>763</v>
      </c>
      <c r="B48" s="221">
        <f t="shared" si="2"/>
        <v>3</v>
      </c>
      <c r="C48" s="218">
        <f t="shared" si="3"/>
        <v>1.8292682926829267</v>
      </c>
      <c r="D48" s="217"/>
      <c r="E48" s="973">
        <v>2</v>
      </c>
      <c r="F48" s="289">
        <f t="shared" si="0"/>
        <v>66.666666666666657</v>
      </c>
      <c r="G48" s="77"/>
      <c r="H48" s="973">
        <v>1</v>
      </c>
      <c r="I48" s="218">
        <f t="shared" si="1"/>
        <v>33.333333333333329</v>
      </c>
      <c r="J48" s="219"/>
    </row>
    <row r="49" spans="1:10" ht="14.25" customHeight="1">
      <c r="A49" s="925" t="s">
        <v>768</v>
      </c>
      <c r="B49" s="221">
        <f t="shared" si="2"/>
        <v>3</v>
      </c>
      <c r="C49" s="218">
        <f t="shared" si="3"/>
        <v>1.8292682926829267</v>
      </c>
      <c r="D49" s="217"/>
      <c r="E49" s="973">
        <v>3</v>
      </c>
      <c r="F49" s="289">
        <f t="shared" si="0"/>
        <v>100</v>
      </c>
      <c r="G49" s="77"/>
      <c r="H49" s="973">
        <v>0</v>
      </c>
      <c r="I49" s="218">
        <f t="shared" si="1"/>
        <v>0</v>
      </c>
      <c r="J49" s="219"/>
    </row>
    <row r="50" spans="1:10" ht="14.25" customHeight="1">
      <c r="A50" s="405" t="s">
        <v>769</v>
      </c>
      <c r="B50" s="221">
        <f>IF(A50&lt;&gt;0,E50+H50,"")</f>
        <v>2</v>
      </c>
      <c r="C50" s="218">
        <f>IF(A50&lt;&gt;0,B50/$B$12*100,"")</f>
        <v>1.2195121951219512</v>
      </c>
      <c r="D50" s="217"/>
      <c r="E50" s="973">
        <v>2</v>
      </c>
      <c r="F50" s="289">
        <f t="shared" si="0"/>
        <v>100</v>
      </c>
      <c r="G50" s="77"/>
      <c r="H50" s="973">
        <v>0</v>
      </c>
      <c r="I50" s="218">
        <f t="shared" si="1"/>
        <v>0</v>
      </c>
      <c r="J50" s="219"/>
    </row>
    <row r="51" spans="1:10" ht="14.25" customHeight="1">
      <c r="A51" s="405" t="s">
        <v>771</v>
      </c>
      <c r="B51" s="221">
        <f>IF(A51&lt;&gt;0,E51+H51,"")</f>
        <v>3</v>
      </c>
      <c r="C51" s="218">
        <f>IF(A51&lt;&gt;0,B51/$B$12*100,"")</f>
        <v>1.8292682926829267</v>
      </c>
      <c r="D51" s="217"/>
      <c r="E51" s="973">
        <v>2</v>
      </c>
      <c r="F51" s="289">
        <f t="shared" si="0"/>
        <v>66.666666666666657</v>
      </c>
      <c r="G51" s="77"/>
      <c r="H51" s="973">
        <v>1</v>
      </c>
      <c r="I51" s="218">
        <f t="shared" si="1"/>
        <v>33.333333333333329</v>
      </c>
      <c r="J51" s="219"/>
    </row>
    <row r="52" spans="1:10" ht="6" customHeight="1" thickBot="1">
      <c r="A52" s="102"/>
      <c r="B52" s="584"/>
      <c r="C52" s="109"/>
      <c r="D52" s="109"/>
      <c r="E52" s="109"/>
      <c r="F52" s="534"/>
      <c r="G52" s="109"/>
      <c r="H52" s="109"/>
      <c r="I52" s="109"/>
      <c r="J52" s="621"/>
    </row>
    <row r="53" spans="1:10" ht="6.75" customHeight="1">
      <c r="A53" s="116"/>
      <c r="B53" s="587"/>
      <c r="C53" s="117"/>
      <c r="D53" s="117"/>
      <c r="E53" s="117"/>
      <c r="F53" s="117"/>
      <c r="G53" s="117"/>
      <c r="H53" s="107">
        <v>0</v>
      </c>
      <c r="I53" s="117"/>
      <c r="J53" s="116"/>
    </row>
    <row r="54" spans="1:10" ht="13.5" customHeight="1">
      <c r="A54" s="75" t="s">
        <v>2145</v>
      </c>
      <c r="B54" s="587"/>
      <c r="C54" s="117"/>
      <c r="D54" s="117"/>
      <c r="E54" s="117"/>
      <c r="F54" s="117"/>
      <c r="G54" s="117"/>
      <c r="I54" s="117"/>
      <c r="J54" s="116"/>
    </row>
    <row r="55" spans="1:10" ht="12" customHeight="1">
      <c r="A55" s="95" t="s">
        <v>1532</v>
      </c>
      <c r="B55" s="166"/>
      <c r="C55" s="162"/>
      <c r="F55" s="162"/>
    </row>
    <row r="56" spans="1:10" ht="13.25" customHeight="1">
      <c r="B56" s="166"/>
      <c r="C56" s="162"/>
      <c r="F56" s="162"/>
    </row>
    <row r="57" spans="1:10" ht="11.25" customHeight="1">
      <c r="A57" s="95" t="s">
        <v>1533</v>
      </c>
      <c r="B57" s="166"/>
      <c r="C57" s="162"/>
      <c r="F57" s="162"/>
    </row>
    <row r="58" spans="1:10" ht="13.25" customHeight="1">
      <c r="A58" s="95" t="s">
        <v>1534</v>
      </c>
      <c r="B58" s="166"/>
      <c r="C58" s="162"/>
      <c r="F58" s="162"/>
    </row>
  </sheetData>
  <mergeCells count="3">
    <mergeCell ref="B8:C8"/>
    <mergeCell ref="E8:F8"/>
    <mergeCell ref="H8:I8"/>
  </mergeCells>
  <conditionalFormatting sqref="A1:XFD1048576">
    <cfRule type="cellIs" dxfId="1" priority="1" operator="equal">
      <formula>0</formula>
    </cfRule>
  </conditionalFormatting>
  <pageMargins left="0.70866141732283472" right="0.70866141732283472" top="0.74803149606299213" bottom="0.74803149606299213" header="0.31496062992125984" footer="0.31496062992125984"/>
  <pageSetup scale="80" orientation="portrait" horizontalDpi="4294967293" vertic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5" tint="-0.249977111117893"/>
  </sheetPr>
  <dimension ref="A4:F9"/>
  <sheetViews>
    <sheetView workbookViewId="0">
      <selection activeCell="A2" sqref="A2"/>
    </sheetView>
  </sheetViews>
  <sheetFormatPr baseColWidth="10" defaultRowHeight="15"/>
  <sheetData>
    <row r="4" spans="1:6">
      <c r="C4" s="70"/>
      <c r="D4" s="70"/>
    </row>
    <row r="5" spans="1:6">
      <c r="C5" s="70"/>
      <c r="D5" s="70"/>
    </row>
    <row r="6" spans="1:6">
      <c r="C6" s="70"/>
      <c r="D6" s="70"/>
      <c r="E6" s="28"/>
      <c r="F6" s="28"/>
    </row>
    <row r="7" spans="1:6">
      <c r="A7" s="306"/>
      <c r="B7" s="307"/>
      <c r="C7" s="307"/>
      <c r="D7" s="70"/>
    </row>
    <row r="8" spans="1:6">
      <c r="A8" s="613"/>
      <c r="B8" s="619"/>
      <c r="C8" s="619"/>
      <c r="D8" s="70"/>
    </row>
    <row r="9" spans="1:6">
      <c r="A9" s="28"/>
      <c r="B9" s="70"/>
      <c r="C9" s="70"/>
      <c r="D9" s="28"/>
      <c r="E9" s="28"/>
      <c r="F9" s="28"/>
    </row>
  </sheetData>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T109"/>
  <sheetViews>
    <sheetView topLeftCell="A61" workbookViewId="0">
      <selection activeCell="A2" sqref="A2"/>
    </sheetView>
  </sheetViews>
  <sheetFormatPr baseColWidth="10" defaultColWidth="9.1640625" defaultRowHeight="13"/>
  <cols>
    <col min="1" max="1" width="34.5" style="95" customWidth="1"/>
    <col min="2" max="2" width="8.33203125" style="58" customWidth="1"/>
    <col min="3" max="3" width="8.33203125" style="451" customWidth="1"/>
    <col min="4" max="4" width="2.6640625" style="55" customWidth="1"/>
    <col min="5" max="5" width="5.6640625" style="72" customWidth="1"/>
    <col min="6" max="6" width="7.5" style="308" customWidth="1"/>
    <col min="7" max="7" width="2.6640625" style="308" customWidth="1"/>
    <col min="8" max="8" width="5.6640625" style="72" customWidth="1"/>
    <col min="9" max="9" width="6.5" style="55" customWidth="1"/>
    <col min="10" max="10" width="2.6640625" style="55" customWidth="1"/>
    <col min="11" max="11" width="5.6640625" style="72" customWidth="1"/>
    <col min="12" max="12" width="6.5" style="55" customWidth="1"/>
    <col min="13" max="13" width="2.6640625" style="55" customWidth="1"/>
    <col min="14" max="14" width="5.6640625" style="72" customWidth="1"/>
    <col min="15" max="15" width="6.5" style="55" customWidth="1"/>
    <col min="16" max="16" width="2.6640625" style="55" customWidth="1"/>
    <col min="17" max="17" width="6.5" style="72" customWidth="1"/>
    <col min="18" max="18" width="6.5" style="55" customWidth="1"/>
    <col min="19" max="19" width="2.6640625" style="55" customWidth="1"/>
    <col min="20" max="20" width="3.5" style="95" customWidth="1"/>
    <col min="21" max="256" width="9.1640625" style="95"/>
    <col min="257" max="257" width="34.5" style="95" customWidth="1"/>
    <col min="258" max="259" width="8.33203125" style="95" customWidth="1"/>
    <col min="260" max="260" width="2.6640625" style="95" customWidth="1"/>
    <col min="261" max="261" width="5.6640625" style="95" customWidth="1"/>
    <col min="262" max="262" width="7.5" style="95" customWidth="1"/>
    <col min="263" max="263" width="2.6640625" style="95" customWidth="1"/>
    <col min="264" max="264" width="5.6640625" style="95" customWidth="1"/>
    <col min="265" max="265" width="6.5" style="95" customWidth="1"/>
    <col min="266" max="266" width="2.6640625" style="95" customWidth="1"/>
    <col min="267" max="267" width="5.6640625" style="95" customWidth="1"/>
    <col min="268" max="268" width="6.5" style="95" customWidth="1"/>
    <col min="269" max="269" width="2.6640625" style="95" customWidth="1"/>
    <col min="270" max="270" width="5.6640625" style="95" customWidth="1"/>
    <col min="271" max="271" width="6.5" style="95" customWidth="1"/>
    <col min="272" max="272" width="2.6640625" style="95" customWidth="1"/>
    <col min="273" max="274" width="6.5" style="95" customWidth="1"/>
    <col min="275" max="275" width="2.6640625" style="95" customWidth="1"/>
    <col min="276" max="276" width="3.5" style="95" customWidth="1"/>
    <col min="277" max="512" width="9.1640625" style="95"/>
    <col min="513" max="513" width="34.5" style="95" customWidth="1"/>
    <col min="514" max="515" width="8.33203125" style="95" customWidth="1"/>
    <col min="516" max="516" width="2.6640625" style="95" customWidth="1"/>
    <col min="517" max="517" width="5.6640625" style="95" customWidth="1"/>
    <col min="518" max="518" width="7.5" style="95" customWidth="1"/>
    <col min="519" max="519" width="2.6640625" style="95" customWidth="1"/>
    <col min="520" max="520" width="5.6640625" style="95" customWidth="1"/>
    <col min="521" max="521" width="6.5" style="95" customWidth="1"/>
    <col min="522" max="522" width="2.6640625" style="95" customWidth="1"/>
    <col min="523" max="523" width="5.6640625" style="95" customWidth="1"/>
    <col min="524" max="524" width="6.5" style="95" customWidth="1"/>
    <col min="525" max="525" width="2.6640625" style="95" customWidth="1"/>
    <col min="526" max="526" width="5.6640625" style="95" customWidth="1"/>
    <col min="527" max="527" width="6.5" style="95" customWidth="1"/>
    <col min="528" max="528" width="2.6640625" style="95" customWidth="1"/>
    <col min="529" max="530" width="6.5" style="95" customWidth="1"/>
    <col min="531" max="531" width="2.6640625" style="95" customWidth="1"/>
    <col min="532" max="532" width="3.5" style="95" customWidth="1"/>
    <col min="533" max="768" width="9.1640625" style="95"/>
    <col min="769" max="769" width="34.5" style="95" customWidth="1"/>
    <col min="770" max="771" width="8.33203125" style="95" customWidth="1"/>
    <col min="772" max="772" width="2.6640625" style="95" customWidth="1"/>
    <col min="773" max="773" width="5.6640625" style="95" customWidth="1"/>
    <col min="774" max="774" width="7.5" style="95" customWidth="1"/>
    <col min="775" max="775" width="2.6640625" style="95" customWidth="1"/>
    <col min="776" max="776" width="5.6640625" style="95" customWidth="1"/>
    <col min="777" max="777" width="6.5" style="95" customWidth="1"/>
    <col min="778" max="778" width="2.6640625" style="95" customWidth="1"/>
    <col min="779" max="779" width="5.6640625" style="95" customWidth="1"/>
    <col min="780" max="780" width="6.5" style="95" customWidth="1"/>
    <col min="781" max="781" width="2.6640625" style="95" customWidth="1"/>
    <col min="782" max="782" width="5.6640625" style="95" customWidth="1"/>
    <col min="783" max="783" width="6.5" style="95" customWidth="1"/>
    <col min="784" max="784" width="2.6640625" style="95" customWidth="1"/>
    <col min="785" max="786" width="6.5" style="95" customWidth="1"/>
    <col min="787" max="787" width="2.6640625" style="95" customWidth="1"/>
    <col min="788" max="788" width="3.5" style="95" customWidth="1"/>
    <col min="789" max="1024" width="9.1640625" style="95"/>
    <col min="1025" max="1025" width="34.5" style="95" customWidth="1"/>
    <col min="1026" max="1027" width="8.33203125" style="95" customWidth="1"/>
    <col min="1028" max="1028" width="2.6640625" style="95" customWidth="1"/>
    <col min="1029" max="1029" width="5.6640625" style="95" customWidth="1"/>
    <col min="1030" max="1030" width="7.5" style="95" customWidth="1"/>
    <col min="1031" max="1031" width="2.6640625" style="95" customWidth="1"/>
    <col min="1032" max="1032" width="5.6640625" style="95" customWidth="1"/>
    <col min="1033" max="1033" width="6.5" style="95" customWidth="1"/>
    <col min="1034" max="1034" width="2.6640625" style="95" customWidth="1"/>
    <col min="1035" max="1035" width="5.6640625" style="95" customWidth="1"/>
    <col min="1036" max="1036" width="6.5" style="95" customWidth="1"/>
    <col min="1037" max="1037" width="2.6640625" style="95" customWidth="1"/>
    <col min="1038" max="1038" width="5.6640625" style="95" customWidth="1"/>
    <col min="1039" max="1039" width="6.5" style="95" customWidth="1"/>
    <col min="1040" max="1040" width="2.6640625" style="95" customWidth="1"/>
    <col min="1041" max="1042" width="6.5" style="95" customWidth="1"/>
    <col min="1043" max="1043" width="2.6640625" style="95" customWidth="1"/>
    <col min="1044" max="1044" width="3.5" style="95" customWidth="1"/>
    <col min="1045" max="1280" width="9.1640625" style="95"/>
    <col min="1281" max="1281" width="34.5" style="95" customWidth="1"/>
    <col min="1282" max="1283" width="8.33203125" style="95" customWidth="1"/>
    <col min="1284" max="1284" width="2.6640625" style="95" customWidth="1"/>
    <col min="1285" max="1285" width="5.6640625" style="95" customWidth="1"/>
    <col min="1286" max="1286" width="7.5" style="95" customWidth="1"/>
    <col min="1287" max="1287" width="2.6640625" style="95" customWidth="1"/>
    <col min="1288" max="1288" width="5.6640625" style="95" customWidth="1"/>
    <col min="1289" max="1289" width="6.5" style="95" customWidth="1"/>
    <col min="1290" max="1290" width="2.6640625" style="95" customWidth="1"/>
    <col min="1291" max="1291" width="5.6640625" style="95" customWidth="1"/>
    <col min="1292" max="1292" width="6.5" style="95" customWidth="1"/>
    <col min="1293" max="1293" width="2.6640625" style="95" customWidth="1"/>
    <col min="1294" max="1294" width="5.6640625" style="95" customWidth="1"/>
    <col min="1295" max="1295" width="6.5" style="95" customWidth="1"/>
    <col min="1296" max="1296" width="2.6640625" style="95" customWidth="1"/>
    <col min="1297" max="1298" width="6.5" style="95" customWidth="1"/>
    <col min="1299" max="1299" width="2.6640625" style="95" customWidth="1"/>
    <col min="1300" max="1300" width="3.5" style="95" customWidth="1"/>
    <col min="1301" max="1536" width="9.1640625" style="95"/>
    <col min="1537" max="1537" width="34.5" style="95" customWidth="1"/>
    <col min="1538" max="1539" width="8.33203125" style="95" customWidth="1"/>
    <col min="1540" max="1540" width="2.6640625" style="95" customWidth="1"/>
    <col min="1541" max="1541" width="5.6640625" style="95" customWidth="1"/>
    <col min="1542" max="1542" width="7.5" style="95" customWidth="1"/>
    <col min="1543" max="1543" width="2.6640625" style="95" customWidth="1"/>
    <col min="1544" max="1544" width="5.6640625" style="95" customWidth="1"/>
    <col min="1545" max="1545" width="6.5" style="95" customWidth="1"/>
    <col min="1546" max="1546" width="2.6640625" style="95" customWidth="1"/>
    <col min="1547" max="1547" width="5.6640625" style="95" customWidth="1"/>
    <col min="1548" max="1548" width="6.5" style="95" customWidth="1"/>
    <col min="1549" max="1549" width="2.6640625" style="95" customWidth="1"/>
    <col min="1550" max="1550" width="5.6640625" style="95" customWidth="1"/>
    <col min="1551" max="1551" width="6.5" style="95" customWidth="1"/>
    <col min="1552" max="1552" width="2.6640625" style="95" customWidth="1"/>
    <col min="1553" max="1554" width="6.5" style="95" customWidth="1"/>
    <col min="1555" max="1555" width="2.6640625" style="95" customWidth="1"/>
    <col min="1556" max="1556" width="3.5" style="95" customWidth="1"/>
    <col min="1557" max="1792" width="9.1640625" style="95"/>
    <col min="1793" max="1793" width="34.5" style="95" customWidth="1"/>
    <col min="1794" max="1795" width="8.33203125" style="95" customWidth="1"/>
    <col min="1796" max="1796" width="2.6640625" style="95" customWidth="1"/>
    <col min="1797" max="1797" width="5.6640625" style="95" customWidth="1"/>
    <col min="1798" max="1798" width="7.5" style="95" customWidth="1"/>
    <col min="1799" max="1799" width="2.6640625" style="95" customWidth="1"/>
    <col min="1800" max="1800" width="5.6640625" style="95" customWidth="1"/>
    <col min="1801" max="1801" width="6.5" style="95" customWidth="1"/>
    <col min="1802" max="1802" width="2.6640625" style="95" customWidth="1"/>
    <col min="1803" max="1803" width="5.6640625" style="95" customWidth="1"/>
    <col min="1804" max="1804" width="6.5" style="95" customWidth="1"/>
    <col min="1805" max="1805" width="2.6640625" style="95" customWidth="1"/>
    <col min="1806" max="1806" width="5.6640625" style="95" customWidth="1"/>
    <col min="1807" max="1807" width="6.5" style="95" customWidth="1"/>
    <col min="1808" max="1808" width="2.6640625" style="95" customWidth="1"/>
    <col min="1809" max="1810" width="6.5" style="95" customWidth="1"/>
    <col min="1811" max="1811" width="2.6640625" style="95" customWidth="1"/>
    <col min="1812" max="1812" width="3.5" style="95" customWidth="1"/>
    <col min="1813" max="2048" width="9.1640625" style="95"/>
    <col min="2049" max="2049" width="34.5" style="95" customWidth="1"/>
    <col min="2050" max="2051" width="8.33203125" style="95" customWidth="1"/>
    <col min="2052" max="2052" width="2.6640625" style="95" customWidth="1"/>
    <col min="2053" max="2053" width="5.6640625" style="95" customWidth="1"/>
    <col min="2054" max="2054" width="7.5" style="95" customWidth="1"/>
    <col min="2055" max="2055" width="2.6640625" style="95" customWidth="1"/>
    <col min="2056" max="2056" width="5.6640625" style="95" customWidth="1"/>
    <col min="2057" max="2057" width="6.5" style="95" customWidth="1"/>
    <col min="2058" max="2058" width="2.6640625" style="95" customWidth="1"/>
    <col min="2059" max="2059" width="5.6640625" style="95" customWidth="1"/>
    <col min="2060" max="2060" width="6.5" style="95" customWidth="1"/>
    <col min="2061" max="2061" width="2.6640625" style="95" customWidth="1"/>
    <col min="2062" max="2062" width="5.6640625" style="95" customWidth="1"/>
    <col min="2063" max="2063" width="6.5" style="95" customWidth="1"/>
    <col min="2064" max="2064" width="2.6640625" style="95" customWidth="1"/>
    <col min="2065" max="2066" width="6.5" style="95" customWidth="1"/>
    <col min="2067" max="2067" width="2.6640625" style="95" customWidth="1"/>
    <col min="2068" max="2068" width="3.5" style="95" customWidth="1"/>
    <col min="2069" max="2304" width="9.1640625" style="95"/>
    <col min="2305" max="2305" width="34.5" style="95" customWidth="1"/>
    <col min="2306" max="2307" width="8.33203125" style="95" customWidth="1"/>
    <col min="2308" max="2308" width="2.6640625" style="95" customWidth="1"/>
    <col min="2309" max="2309" width="5.6640625" style="95" customWidth="1"/>
    <col min="2310" max="2310" width="7.5" style="95" customWidth="1"/>
    <col min="2311" max="2311" width="2.6640625" style="95" customWidth="1"/>
    <col min="2312" max="2312" width="5.6640625" style="95" customWidth="1"/>
    <col min="2313" max="2313" width="6.5" style="95" customWidth="1"/>
    <col min="2314" max="2314" width="2.6640625" style="95" customWidth="1"/>
    <col min="2315" max="2315" width="5.6640625" style="95" customWidth="1"/>
    <col min="2316" max="2316" width="6.5" style="95" customWidth="1"/>
    <col min="2317" max="2317" width="2.6640625" style="95" customWidth="1"/>
    <col min="2318" max="2318" width="5.6640625" style="95" customWidth="1"/>
    <col min="2319" max="2319" width="6.5" style="95" customWidth="1"/>
    <col min="2320" max="2320" width="2.6640625" style="95" customWidth="1"/>
    <col min="2321" max="2322" width="6.5" style="95" customWidth="1"/>
    <col min="2323" max="2323" width="2.6640625" style="95" customWidth="1"/>
    <col min="2324" max="2324" width="3.5" style="95" customWidth="1"/>
    <col min="2325" max="2560" width="9.1640625" style="95"/>
    <col min="2561" max="2561" width="34.5" style="95" customWidth="1"/>
    <col min="2562" max="2563" width="8.33203125" style="95" customWidth="1"/>
    <col min="2564" max="2564" width="2.6640625" style="95" customWidth="1"/>
    <col min="2565" max="2565" width="5.6640625" style="95" customWidth="1"/>
    <col min="2566" max="2566" width="7.5" style="95" customWidth="1"/>
    <col min="2567" max="2567" width="2.6640625" style="95" customWidth="1"/>
    <col min="2568" max="2568" width="5.6640625" style="95" customWidth="1"/>
    <col min="2569" max="2569" width="6.5" style="95" customWidth="1"/>
    <col min="2570" max="2570" width="2.6640625" style="95" customWidth="1"/>
    <col min="2571" max="2571" width="5.6640625" style="95" customWidth="1"/>
    <col min="2572" max="2572" width="6.5" style="95" customWidth="1"/>
    <col min="2573" max="2573" width="2.6640625" style="95" customWidth="1"/>
    <col min="2574" max="2574" width="5.6640625" style="95" customWidth="1"/>
    <col min="2575" max="2575" width="6.5" style="95" customWidth="1"/>
    <col min="2576" max="2576" width="2.6640625" style="95" customWidth="1"/>
    <col min="2577" max="2578" width="6.5" style="95" customWidth="1"/>
    <col min="2579" max="2579" width="2.6640625" style="95" customWidth="1"/>
    <col min="2580" max="2580" width="3.5" style="95" customWidth="1"/>
    <col min="2581" max="2816" width="9.1640625" style="95"/>
    <col min="2817" max="2817" width="34.5" style="95" customWidth="1"/>
    <col min="2818" max="2819" width="8.33203125" style="95" customWidth="1"/>
    <col min="2820" max="2820" width="2.6640625" style="95" customWidth="1"/>
    <col min="2821" max="2821" width="5.6640625" style="95" customWidth="1"/>
    <col min="2822" max="2822" width="7.5" style="95" customWidth="1"/>
    <col min="2823" max="2823" width="2.6640625" style="95" customWidth="1"/>
    <col min="2824" max="2824" width="5.6640625" style="95" customWidth="1"/>
    <col min="2825" max="2825" width="6.5" style="95" customWidth="1"/>
    <col min="2826" max="2826" width="2.6640625" style="95" customWidth="1"/>
    <col min="2827" max="2827" width="5.6640625" style="95" customWidth="1"/>
    <col min="2828" max="2828" width="6.5" style="95" customWidth="1"/>
    <col min="2829" max="2829" width="2.6640625" style="95" customWidth="1"/>
    <col min="2830" max="2830" width="5.6640625" style="95" customWidth="1"/>
    <col min="2831" max="2831" width="6.5" style="95" customWidth="1"/>
    <col min="2832" max="2832" width="2.6640625" style="95" customWidth="1"/>
    <col min="2833" max="2834" width="6.5" style="95" customWidth="1"/>
    <col min="2835" max="2835" width="2.6640625" style="95" customWidth="1"/>
    <col min="2836" max="2836" width="3.5" style="95" customWidth="1"/>
    <col min="2837" max="3072" width="9.1640625" style="95"/>
    <col min="3073" max="3073" width="34.5" style="95" customWidth="1"/>
    <col min="3074" max="3075" width="8.33203125" style="95" customWidth="1"/>
    <col min="3076" max="3076" width="2.6640625" style="95" customWidth="1"/>
    <col min="3077" max="3077" width="5.6640625" style="95" customWidth="1"/>
    <col min="3078" max="3078" width="7.5" style="95" customWidth="1"/>
    <col min="3079" max="3079" width="2.6640625" style="95" customWidth="1"/>
    <col min="3080" max="3080" width="5.6640625" style="95" customWidth="1"/>
    <col min="3081" max="3081" width="6.5" style="95" customWidth="1"/>
    <col min="3082" max="3082" width="2.6640625" style="95" customWidth="1"/>
    <col min="3083" max="3083" width="5.6640625" style="95" customWidth="1"/>
    <col min="3084" max="3084" width="6.5" style="95" customWidth="1"/>
    <col min="3085" max="3085" width="2.6640625" style="95" customWidth="1"/>
    <col min="3086" max="3086" width="5.6640625" style="95" customWidth="1"/>
    <col min="3087" max="3087" width="6.5" style="95" customWidth="1"/>
    <col min="3088" max="3088" width="2.6640625" style="95" customWidth="1"/>
    <col min="3089" max="3090" width="6.5" style="95" customWidth="1"/>
    <col min="3091" max="3091" width="2.6640625" style="95" customWidth="1"/>
    <col min="3092" max="3092" width="3.5" style="95" customWidth="1"/>
    <col min="3093" max="3328" width="9.1640625" style="95"/>
    <col min="3329" max="3329" width="34.5" style="95" customWidth="1"/>
    <col min="3330" max="3331" width="8.33203125" style="95" customWidth="1"/>
    <col min="3332" max="3332" width="2.6640625" style="95" customWidth="1"/>
    <col min="3333" max="3333" width="5.6640625" style="95" customWidth="1"/>
    <col min="3334" max="3334" width="7.5" style="95" customWidth="1"/>
    <col min="3335" max="3335" width="2.6640625" style="95" customWidth="1"/>
    <col min="3336" max="3336" width="5.6640625" style="95" customWidth="1"/>
    <col min="3337" max="3337" width="6.5" style="95" customWidth="1"/>
    <col min="3338" max="3338" width="2.6640625" style="95" customWidth="1"/>
    <col min="3339" max="3339" width="5.6640625" style="95" customWidth="1"/>
    <col min="3340" max="3340" width="6.5" style="95" customWidth="1"/>
    <col min="3341" max="3341" width="2.6640625" style="95" customWidth="1"/>
    <col min="3342" max="3342" width="5.6640625" style="95" customWidth="1"/>
    <col min="3343" max="3343" width="6.5" style="95" customWidth="1"/>
    <col min="3344" max="3344" width="2.6640625" style="95" customWidth="1"/>
    <col min="3345" max="3346" width="6.5" style="95" customWidth="1"/>
    <col min="3347" max="3347" width="2.6640625" style="95" customWidth="1"/>
    <col min="3348" max="3348" width="3.5" style="95" customWidth="1"/>
    <col min="3349" max="3584" width="9.1640625" style="95"/>
    <col min="3585" max="3585" width="34.5" style="95" customWidth="1"/>
    <col min="3586" max="3587" width="8.33203125" style="95" customWidth="1"/>
    <col min="3588" max="3588" width="2.6640625" style="95" customWidth="1"/>
    <col min="3589" max="3589" width="5.6640625" style="95" customWidth="1"/>
    <col min="3590" max="3590" width="7.5" style="95" customWidth="1"/>
    <col min="3591" max="3591" width="2.6640625" style="95" customWidth="1"/>
    <col min="3592" max="3592" width="5.6640625" style="95" customWidth="1"/>
    <col min="3593" max="3593" width="6.5" style="95" customWidth="1"/>
    <col min="3594" max="3594" width="2.6640625" style="95" customWidth="1"/>
    <col min="3595" max="3595" width="5.6640625" style="95" customWidth="1"/>
    <col min="3596" max="3596" width="6.5" style="95" customWidth="1"/>
    <col min="3597" max="3597" width="2.6640625" style="95" customWidth="1"/>
    <col min="3598" max="3598" width="5.6640625" style="95" customWidth="1"/>
    <col min="3599" max="3599" width="6.5" style="95" customWidth="1"/>
    <col min="3600" max="3600" width="2.6640625" style="95" customWidth="1"/>
    <col min="3601" max="3602" width="6.5" style="95" customWidth="1"/>
    <col min="3603" max="3603" width="2.6640625" style="95" customWidth="1"/>
    <col min="3604" max="3604" width="3.5" style="95" customWidth="1"/>
    <col min="3605" max="3840" width="9.1640625" style="95"/>
    <col min="3841" max="3841" width="34.5" style="95" customWidth="1"/>
    <col min="3842" max="3843" width="8.33203125" style="95" customWidth="1"/>
    <col min="3844" max="3844" width="2.6640625" style="95" customWidth="1"/>
    <col min="3845" max="3845" width="5.6640625" style="95" customWidth="1"/>
    <col min="3846" max="3846" width="7.5" style="95" customWidth="1"/>
    <col min="3847" max="3847" width="2.6640625" style="95" customWidth="1"/>
    <col min="3848" max="3848" width="5.6640625" style="95" customWidth="1"/>
    <col min="3849" max="3849" width="6.5" style="95" customWidth="1"/>
    <col min="3850" max="3850" width="2.6640625" style="95" customWidth="1"/>
    <col min="3851" max="3851" width="5.6640625" style="95" customWidth="1"/>
    <col min="3852" max="3852" width="6.5" style="95" customWidth="1"/>
    <col min="3853" max="3853" width="2.6640625" style="95" customWidth="1"/>
    <col min="3854" max="3854" width="5.6640625" style="95" customWidth="1"/>
    <col min="3855" max="3855" width="6.5" style="95" customWidth="1"/>
    <col min="3856" max="3856" width="2.6640625" style="95" customWidth="1"/>
    <col min="3857" max="3858" width="6.5" style="95" customWidth="1"/>
    <col min="3859" max="3859" width="2.6640625" style="95" customWidth="1"/>
    <col min="3860" max="3860" width="3.5" style="95" customWidth="1"/>
    <col min="3861" max="4096" width="9.1640625" style="95"/>
    <col min="4097" max="4097" width="34.5" style="95" customWidth="1"/>
    <col min="4098" max="4099" width="8.33203125" style="95" customWidth="1"/>
    <col min="4100" max="4100" width="2.6640625" style="95" customWidth="1"/>
    <col min="4101" max="4101" width="5.6640625" style="95" customWidth="1"/>
    <col min="4102" max="4102" width="7.5" style="95" customWidth="1"/>
    <col min="4103" max="4103" width="2.6640625" style="95" customWidth="1"/>
    <col min="4104" max="4104" width="5.6640625" style="95" customWidth="1"/>
    <col min="4105" max="4105" width="6.5" style="95" customWidth="1"/>
    <col min="4106" max="4106" width="2.6640625" style="95" customWidth="1"/>
    <col min="4107" max="4107" width="5.6640625" style="95" customWidth="1"/>
    <col min="4108" max="4108" width="6.5" style="95" customWidth="1"/>
    <col min="4109" max="4109" width="2.6640625" style="95" customWidth="1"/>
    <col min="4110" max="4110" width="5.6640625" style="95" customWidth="1"/>
    <col min="4111" max="4111" width="6.5" style="95" customWidth="1"/>
    <col min="4112" max="4112" width="2.6640625" style="95" customWidth="1"/>
    <col min="4113" max="4114" width="6.5" style="95" customWidth="1"/>
    <col min="4115" max="4115" width="2.6640625" style="95" customWidth="1"/>
    <col min="4116" max="4116" width="3.5" style="95" customWidth="1"/>
    <col min="4117" max="4352" width="9.1640625" style="95"/>
    <col min="4353" max="4353" width="34.5" style="95" customWidth="1"/>
    <col min="4354" max="4355" width="8.33203125" style="95" customWidth="1"/>
    <col min="4356" max="4356" width="2.6640625" style="95" customWidth="1"/>
    <col min="4357" max="4357" width="5.6640625" style="95" customWidth="1"/>
    <col min="4358" max="4358" width="7.5" style="95" customWidth="1"/>
    <col min="4359" max="4359" width="2.6640625" style="95" customWidth="1"/>
    <col min="4360" max="4360" width="5.6640625" style="95" customWidth="1"/>
    <col min="4361" max="4361" width="6.5" style="95" customWidth="1"/>
    <col min="4362" max="4362" width="2.6640625" style="95" customWidth="1"/>
    <col min="4363" max="4363" width="5.6640625" style="95" customWidth="1"/>
    <col min="4364" max="4364" width="6.5" style="95" customWidth="1"/>
    <col min="4365" max="4365" width="2.6640625" style="95" customWidth="1"/>
    <col min="4366" max="4366" width="5.6640625" style="95" customWidth="1"/>
    <col min="4367" max="4367" width="6.5" style="95" customWidth="1"/>
    <col min="4368" max="4368" width="2.6640625" style="95" customWidth="1"/>
    <col min="4369" max="4370" width="6.5" style="95" customWidth="1"/>
    <col min="4371" max="4371" width="2.6640625" style="95" customWidth="1"/>
    <col min="4372" max="4372" width="3.5" style="95" customWidth="1"/>
    <col min="4373" max="4608" width="9.1640625" style="95"/>
    <col min="4609" max="4609" width="34.5" style="95" customWidth="1"/>
    <col min="4610" max="4611" width="8.33203125" style="95" customWidth="1"/>
    <col min="4612" max="4612" width="2.6640625" style="95" customWidth="1"/>
    <col min="4613" max="4613" width="5.6640625" style="95" customWidth="1"/>
    <col min="4614" max="4614" width="7.5" style="95" customWidth="1"/>
    <col min="4615" max="4615" width="2.6640625" style="95" customWidth="1"/>
    <col min="4616" max="4616" width="5.6640625" style="95" customWidth="1"/>
    <col min="4617" max="4617" width="6.5" style="95" customWidth="1"/>
    <col min="4618" max="4618" width="2.6640625" style="95" customWidth="1"/>
    <col min="4619" max="4619" width="5.6640625" style="95" customWidth="1"/>
    <col min="4620" max="4620" width="6.5" style="95" customWidth="1"/>
    <col min="4621" max="4621" width="2.6640625" style="95" customWidth="1"/>
    <col min="4622" max="4622" width="5.6640625" style="95" customWidth="1"/>
    <col min="4623" max="4623" width="6.5" style="95" customWidth="1"/>
    <col min="4624" max="4624" width="2.6640625" style="95" customWidth="1"/>
    <col min="4625" max="4626" width="6.5" style="95" customWidth="1"/>
    <col min="4627" max="4627" width="2.6640625" style="95" customWidth="1"/>
    <col min="4628" max="4628" width="3.5" style="95" customWidth="1"/>
    <col min="4629" max="4864" width="9.1640625" style="95"/>
    <col min="4865" max="4865" width="34.5" style="95" customWidth="1"/>
    <col min="4866" max="4867" width="8.33203125" style="95" customWidth="1"/>
    <col min="4868" max="4868" width="2.6640625" style="95" customWidth="1"/>
    <col min="4869" max="4869" width="5.6640625" style="95" customWidth="1"/>
    <col min="4870" max="4870" width="7.5" style="95" customWidth="1"/>
    <col min="4871" max="4871" width="2.6640625" style="95" customWidth="1"/>
    <col min="4872" max="4872" width="5.6640625" style="95" customWidth="1"/>
    <col min="4873" max="4873" width="6.5" style="95" customWidth="1"/>
    <col min="4874" max="4874" width="2.6640625" style="95" customWidth="1"/>
    <col min="4875" max="4875" width="5.6640625" style="95" customWidth="1"/>
    <col min="4876" max="4876" width="6.5" style="95" customWidth="1"/>
    <col min="4877" max="4877" width="2.6640625" style="95" customWidth="1"/>
    <col min="4878" max="4878" width="5.6640625" style="95" customWidth="1"/>
    <col min="4879" max="4879" width="6.5" style="95" customWidth="1"/>
    <col min="4880" max="4880" width="2.6640625" style="95" customWidth="1"/>
    <col min="4881" max="4882" width="6.5" style="95" customWidth="1"/>
    <col min="4883" max="4883" width="2.6640625" style="95" customWidth="1"/>
    <col min="4884" max="4884" width="3.5" style="95" customWidth="1"/>
    <col min="4885" max="5120" width="9.1640625" style="95"/>
    <col min="5121" max="5121" width="34.5" style="95" customWidth="1"/>
    <col min="5122" max="5123" width="8.33203125" style="95" customWidth="1"/>
    <col min="5124" max="5124" width="2.6640625" style="95" customWidth="1"/>
    <col min="5125" max="5125" width="5.6640625" style="95" customWidth="1"/>
    <col min="5126" max="5126" width="7.5" style="95" customWidth="1"/>
    <col min="5127" max="5127" width="2.6640625" style="95" customWidth="1"/>
    <col min="5128" max="5128" width="5.6640625" style="95" customWidth="1"/>
    <col min="5129" max="5129" width="6.5" style="95" customWidth="1"/>
    <col min="5130" max="5130" width="2.6640625" style="95" customWidth="1"/>
    <col min="5131" max="5131" width="5.6640625" style="95" customWidth="1"/>
    <col min="5132" max="5132" width="6.5" style="95" customWidth="1"/>
    <col min="5133" max="5133" width="2.6640625" style="95" customWidth="1"/>
    <col min="5134" max="5134" width="5.6640625" style="95" customWidth="1"/>
    <col min="5135" max="5135" width="6.5" style="95" customWidth="1"/>
    <col min="5136" max="5136" width="2.6640625" style="95" customWidth="1"/>
    <col min="5137" max="5138" width="6.5" style="95" customWidth="1"/>
    <col min="5139" max="5139" width="2.6640625" style="95" customWidth="1"/>
    <col min="5140" max="5140" width="3.5" style="95" customWidth="1"/>
    <col min="5141" max="5376" width="9.1640625" style="95"/>
    <col min="5377" max="5377" width="34.5" style="95" customWidth="1"/>
    <col min="5378" max="5379" width="8.33203125" style="95" customWidth="1"/>
    <col min="5380" max="5380" width="2.6640625" style="95" customWidth="1"/>
    <col min="5381" max="5381" width="5.6640625" style="95" customWidth="1"/>
    <col min="5382" max="5382" width="7.5" style="95" customWidth="1"/>
    <col min="5383" max="5383" width="2.6640625" style="95" customWidth="1"/>
    <col min="5384" max="5384" width="5.6640625" style="95" customWidth="1"/>
    <col min="5385" max="5385" width="6.5" style="95" customWidth="1"/>
    <col min="5386" max="5386" width="2.6640625" style="95" customWidth="1"/>
    <col min="5387" max="5387" width="5.6640625" style="95" customWidth="1"/>
    <col min="5388" max="5388" width="6.5" style="95" customWidth="1"/>
    <col min="5389" max="5389" width="2.6640625" style="95" customWidth="1"/>
    <col min="5390" max="5390" width="5.6640625" style="95" customWidth="1"/>
    <col min="5391" max="5391" width="6.5" style="95" customWidth="1"/>
    <col min="5392" max="5392" width="2.6640625" style="95" customWidth="1"/>
    <col min="5393" max="5394" width="6.5" style="95" customWidth="1"/>
    <col min="5395" max="5395" width="2.6640625" style="95" customWidth="1"/>
    <col min="5396" max="5396" width="3.5" style="95" customWidth="1"/>
    <col min="5397" max="5632" width="9.1640625" style="95"/>
    <col min="5633" max="5633" width="34.5" style="95" customWidth="1"/>
    <col min="5634" max="5635" width="8.33203125" style="95" customWidth="1"/>
    <col min="5636" max="5636" width="2.6640625" style="95" customWidth="1"/>
    <col min="5637" max="5637" width="5.6640625" style="95" customWidth="1"/>
    <col min="5638" max="5638" width="7.5" style="95" customWidth="1"/>
    <col min="5639" max="5639" width="2.6640625" style="95" customWidth="1"/>
    <col min="5640" max="5640" width="5.6640625" style="95" customWidth="1"/>
    <col min="5641" max="5641" width="6.5" style="95" customWidth="1"/>
    <col min="5642" max="5642" width="2.6640625" style="95" customWidth="1"/>
    <col min="5643" max="5643" width="5.6640625" style="95" customWidth="1"/>
    <col min="5644" max="5644" width="6.5" style="95" customWidth="1"/>
    <col min="5645" max="5645" width="2.6640625" style="95" customWidth="1"/>
    <col min="5646" max="5646" width="5.6640625" style="95" customWidth="1"/>
    <col min="5647" max="5647" width="6.5" style="95" customWidth="1"/>
    <col min="5648" max="5648" width="2.6640625" style="95" customWidth="1"/>
    <col min="5649" max="5650" width="6.5" style="95" customWidth="1"/>
    <col min="5651" max="5651" width="2.6640625" style="95" customWidth="1"/>
    <col min="5652" max="5652" width="3.5" style="95" customWidth="1"/>
    <col min="5653" max="5888" width="9.1640625" style="95"/>
    <col min="5889" max="5889" width="34.5" style="95" customWidth="1"/>
    <col min="5890" max="5891" width="8.33203125" style="95" customWidth="1"/>
    <col min="5892" max="5892" width="2.6640625" style="95" customWidth="1"/>
    <col min="5893" max="5893" width="5.6640625" style="95" customWidth="1"/>
    <col min="5894" max="5894" width="7.5" style="95" customWidth="1"/>
    <col min="5895" max="5895" width="2.6640625" style="95" customWidth="1"/>
    <col min="5896" max="5896" width="5.6640625" style="95" customWidth="1"/>
    <col min="5897" max="5897" width="6.5" style="95" customWidth="1"/>
    <col min="5898" max="5898" width="2.6640625" style="95" customWidth="1"/>
    <col min="5899" max="5899" width="5.6640625" style="95" customWidth="1"/>
    <col min="5900" max="5900" width="6.5" style="95" customWidth="1"/>
    <col min="5901" max="5901" width="2.6640625" style="95" customWidth="1"/>
    <col min="5902" max="5902" width="5.6640625" style="95" customWidth="1"/>
    <col min="5903" max="5903" width="6.5" style="95" customWidth="1"/>
    <col min="5904" max="5904" width="2.6640625" style="95" customWidth="1"/>
    <col min="5905" max="5906" width="6.5" style="95" customWidth="1"/>
    <col min="5907" max="5907" width="2.6640625" style="95" customWidth="1"/>
    <col min="5908" max="5908" width="3.5" style="95" customWidth="1"/>
    <col min="5909" max="6144" width="9.1640625" style="95"/>
    <col min="6145" max="6145" width="34.5" style="95" customWidth="1"/>
    <col min="6146" max="6147" width="8.33203125" style="95" customWidth="1"/>
    <col min="6148" max="6148" width="2.6640625" style="95" customWidth="1"/>
    <col min="6149" max="6149" width="5.6640625" style="95" customWidth="1"/>
    <col min="6150" max="6150" width="7.5" style="95" customWidth="1"/>
    <col min="6151" max="6151" width="2.6640625" style="95" customWidth="1"/>
    <col min="6152" max="6152" width="5.6640625" style="95" customWidth="1"/>
    <col min="6153" max="6153" width="6.5" style="95" customWidth="1"/>
    <col min="6154" max="6154" width="2.6640625" style="95" customWidth="1"/>
    <col min="6155" max="6155" width="5.6640625" style="95" customWidth="1"/>
    <col min="6156" max="6156" width="6.5" style="95" customWidth="1"/>
    <col min="6157" max="6157" width="2.6640625" style="95" customWidth="1"/>
    <col min="6158" max="6158" width="5.6640625" style="95" customWidth="1"/>
    <col min="6159" max="6159" width="6.5" style="95" customWidth="1"/>
    <col min="6160" max="6160" width="2.6640625" style="95" customWidth="1"/>
    <col min="6161" max="6162" width="6.5" style="95" customWidth="1"/>
    <col min="6163" max="6163" width="2.6640625" style="95" customWidth="1"/>
    <col min="6164" max="6164" width="3.5" style="95" customWidth="1"/>
    <col min="6165" max="6400" width="9.1640625" style="95"/>
    <col min="6401" max="6401" width="34.5" style="95" customWidth="1"/>
    <col min="6402" max="6403" width="8.33203125" style="95" customWidth="1"/>
    <col min="6404" max="6404" width="2.6640625" style="95" customWidth="1"/>
    <col min="6405" max="6405" width="5.6640625" style="95" customWidth="1"/>
    <col min="6406" max="6406" width="7.5" style="95" customWidth="1"/>
    <col min="6407" max="6407" width="2.6640625" style="95" customWidth="1"/>
    <col min="6408" max="6408" width="5.6640625" style="95" customWidth="1"/>
    <col min="6409" max="6409" width="6.5" style="95" customWidth="1"/>
    <col min="6410" max="6410" width="2.6640625" style="95" customWidth="1"/>
    <col min="6411" max="6411" width="5.6640625" style="95" customWidth="1"/>
    <col min="6412" max="6412" width="6.5" style="95" customWidth="1"/>
    <col min="6413" max="6413" width="2.6640625" style="95" customWidth="1"/>
    <col min="6414" max="6414" width="5.6640625" style="95" customWidth="1"/>
    <col min="6415" max="6415" width="6.5" style="95" customWidth="1"/>
    <col min="6416" max="6416" width="2.6640625" style="95" customWidth="1"/>
    <col min="6417" max="6418" width="6.5" style="95" customWidth="1"/>
    <col min="6419" max="6419" width="2.6640625" style="95" customWidth="1"/>
    <col min="6420" max="6420" width="3.5" style="95" customWidth="1"/>
    <col min="6421" max="6656" width="9.1640625" style="95"/>
    <col min="6657" max="6657" width="34.5" style="95" customWidth="1"/>
    <col min="6658" max="6659" width="8.33203125" style="95" customWidth="1"/>
    <col min="6660" max="6660" width="2.6640625" style="95" customWidth="1"/>
    <col min="6661" max="6661" width="5.6640625" style="95" customWidth="1"/>
    <col min="6662" max="6662" width="7.5" style="95" customWidth="1"/>
    <col min="6663" max="6663" width="2.6640625" style="95" customWidth="1"/>
    <col min="6664" max="6664" width="5.6640625" style="95" customWidth="1"/>
    <col min="6665" max="6665" width="6.5" style="95" customWidth="1"/>
    <col min="6666" max="6666" width="2.6640625" style="95" customWidth="1"/>
    <col min="6667" max="6667" width="5.6640625" style="95" customWidth="1"/>
    <col min="6668" max="6668" width="6.5" style="95" customWidth="1"/>
    <col min="6669" max="6669" width="2.6640625" style="95" customWidth="1"/>
    <col min="6670" max="6670" width="5.6640625" style="95" customWidth="1"/>
    <col min="6671" max="6671" width="6.5" style="95" customWidth="1"/>
    <col min="6672" max="6672" width="2.6640625" style="95" customWidth="1"/>
    <col min="6673" max="6674" width="6.5" style="95" customWidth="1"/>
    <col min="6675" max="6675" width="2.6640625" style="95" customWidth="1"/>
    <col min="6676" max="6676" width="3.5" style="95" customWidth="1"/>
    <col min="6677" max="6912" width="9.1640625" style="95"/>
    <col min="6913" max="6913" width="34.5" style="95" customWidth="1"/>
    <col min="6914" max="6915" width="8.33203125" style="95" customWidth="1"/>
    <col min="6916" max="6916" width="2.6640625" style="95" customWidth="1"/>
    <col min="6917" max="6917" width="5.6640625" style="95" customWidth="1"/>
    <col min="6918" max="6918" width="7.5" style="95" customWidth="1"/>
    <col min="6919" max="6919" width="2.6640625" style="95" customWidth="1"/>
    <col min="6920" max="6920" width="5.6640625" style="95" customWidth="1"/>
    <col min="6921" max="6921" width="6.5" style="95" customWidth="1"/>
    <col min="6922" max="6922" width="2.6640625" style="95" customWidth="1"/>
    <col min="6923" max="6923" width="5.6640625" style="95" customWidth="1"/>
    <col min="6924" max="6924" width="6.5" style="95" customWidth="1"/>
    <col min="6925" max="6925" width="2.6640625" style="95" customWidth="1"/>
    <col min="6926" max="6926" width="5.6640625" style="95" customWidth="1"/>
    <col min="6927" max="6927" width="6.5" style="95" customWidth="1"/>
    <col min="6928" max="6928" width="2.6640625" style="95" customWidth="1"/>
    <col min="6929" max="6930" width="6.5" style="95" customWidth="1"/>
    <col min="6931" max="6931" width="2.6640625" style="95" customWidth="1"/>
    <col min="6932" max="6932" width="3.5" style="95" customWidth="1"/>
    <col min="6933" max="7168" width="9.1640625" style="95"/>
    <col min="7169" max="7169" width="34.5" style="95" customWidth="1"/>
    <col min="7170" max="7171" width="8.33203125" style="95" customWidth="1"/>
    <col min="7172" max="7172" width="2.6640625" style="95" customWidth="1"/>
    <col min="7173" max="7173" width="5.6640625" style="95" customWidth="1"/>
    <col min="7174" max="7174" width="7.5" style="95" customWidth="1"/>
    <col min="7175" max="7175" width="2.6640625" style="95" customWidth="1"/>
    <col min="7176" max="7176" width="5.6640625" style="95" customWidth="1"/>
    <col min="7177" max="7177" width="6.5" style="95" customWidth="1"/>
    <col min="7178" max="7178" width="2.6640625" style="95" customWidth="1"/>
    <col min="7179" max="7179" width="5.6640625" style="95" customWidth="1"/>
    <col min="7180" max="7180" width="6.5" style="95" customWidth="1"/>
    <col min="7181" max="7181" width="2.6640625" style="95" customWidth="1"/>
    <col min="7182" max="7182" width="5.6640625" style="95" customWidth="1"/>
    <col min="7183" max="7183" width="6.5" style="95" customWidth="1"/>
    <col min="7184" max="7184" width="2.6640625" style="95" customWidth="1"/>
    <col min="7185" max="7186" width="6.5" style="95" customWidth="1"/>
    <col min="7187" max="7187" width="2.6640625" style="95" customWidth="1"/>
    <col min="7188" max="7188" width="3.5" style="95" customWidth="1"/>
    <col min="7189" max="7424" width="9.1640625" style="95"/>
    <col min="7425" max="7425" width="34.5" style="95" customWidth="1"/>
    <col min="7426" max="7427" width="8.33203125" style="95" customWidth="1"/>
    <col min="7428" max="7428" width="2.6640625" style="95" customWidth="1"/>
    <col min="7429" max="7429" width="5.6640625" style="95" customWidth="1"/>
    <col min="7430" max="7430" width="7.5" style="95" customWidth="1"/>
    <col min="7431" max="7431" width="2.6640625" style="95" customWidth="1"/>
    <col min="7432" max="7432" width="5.6640625" style="95" customWidth="1"/>
    <col min="7433" max="7433" width="6.5" style="95" customWidth="1"/>
    <col min="7434" max="7434" width="2.6640625" style="95" customWidth="1"/>
    <col min="7435" max="7435" width="5.6640625" style="95" customWidth="1"/>
    <col min="7436" max="7436" width="6.5" style="95" customWidth="1"/>
    <col min="7437" max="7437" width="2.6640625" style="95" customWidth="1"/>
    <col min="7438" max="7438" width="5.6640625" style="95" customWidth="1"/>
    <col min="7439" max="7439" width="6.5" style="95" customWidth="1"/>
    <col min="7440" max="7440" width="2.6640625" style="95" customWidth="1"/>
    <col min="7441" max="7442" width="6.5" style="95" customWidth="1"/>
    <col min="7443" max="7443" width="2.6640625" style="95" customWidth="1"/>
    <col min="7444" max="7444" width="3.5" style="95" customWidth="1"/>
    <col min="7445" max="7680" width="9.1640625" style="95"/>
    <col min="7681" max="7681" width="34.5" style="95" customWidth="1"/>
    <col min="7682" max="7683" width="8.33203125" style="95" customWidth="1"/>
    <col min="7684" max="7684" width="2.6640625" style="95" customWidth="1"/>
    <col min="7685" max="7685" width="5.6640625" style="95" customWidth="1"/>
    <col min="7686" max="7686" width="7.5" style="95" customWidth="1"/>
    <col min="7687" max="7687" width="2.6640625" style="95" customWidth="1"/>
    <col min="7688" max="7688" width="5.6640625" style="95" customWidth="1"/>
    <col min="7689" max="7689" width="6.5" style="95" customWidth="1"/>
    <col min="7690" max="7690" width="2.6640625" style="95" customWidth="1"/>
    <col min="7691" max="7691" width="5.6640625" style="95" customWidth="1"/>
    <col min="7692" max="7692" width="6.5" style="95" customWidth="1"/>
    <col min="7693" max="7693" width="2.6640625" style="95" customWidth="1"/>
    <col min="7694" max="7694" width="5.6640625" style="95" customWidth="1"/>
    <col min="7695" max="7695" width="6.5" style="95" customWidth="1"/>
    <col min="7696" max="7696" width="2.6640625" style="95" customWidth="1"/>
    <col min="7697" max="7698" width="6.5" style="95" customWidth="1"/>
    <col min="7699" max="7699" width="2.6640625" style="95" customWidth="1"/>
    <col min="7700" max="7700" width="3.5" style="95" customWidth="1"/>
    <col min="7701" max="7936" width="9.1640625" style="95"/>
    <col min="7937" max="7937" width="34.5" style="95" customWidth="1"/>
    <col min="7938" max="7939" width="8.33203125" style="95" customWidth="1"/>
    <col min="7940" max="7940" width="2.6640625" style="95" customWidth="1"/>
    <col min="7941" max="7941" width="5.6640625" style="95" customWidth="1"/>
    <col min="7942" max="7942" width="7.5" style="95" customWidth="1"/>
    <col min="7943" max="7943" width="2.6640625" style="95" customWidth="1"/>
    <col min="7944" max="7944" width="5.6640625" style="95" customWidth="1"/>
    <col min="7945" max="7945" width="6.5" style="95" customWidth="1"/>
    <col min="7946" max="7946" width="2.6640625" style="95" customWidth="1"/>
    <col min="7947" max="7947" width="5.6640625" style="95" customWidth="1"/>
    <col min="7948" max="7948" width="6.5" style="95" customWidth="1"/>
    <col min="7949" max="7949" width="2.6640625" style="95" customWidth="1"/>
    <col min="7950" max="7950" width="5.6640625" style="95" customWidth="1"/>
    <col min="7951" max="7951" width="6.5" style="95" customWidth="1"/>
    <col min="7952" max="7952" width="2.6640625" style="95" customWidth="1"/>
    <col min="7953" max="7954" width="6.5" style="95" customWidth="1"/>
    <col min="7955" max="7955" width="2.6640625" style="95" customWidth="1"/>
    <col min="7956" max="7956" width="3.5" style="95" customWidth="1"/>
    <col min="7957" max="8192" width="9.1640625" style="95"/>
    <col min="8193" max="8193" width="34.5" style="95" customWidth="1"/>
    <col min="8194" max="8195" width="8.33203125" style="95" customWidth="1"/>
    <col min="8196" max="8196" width="2.6640625" style="95" customWidth="1"/>
    <col min="8197" max="8197" width="5.6640625" style="95" customWidth="1"/>
    <col min="8198" max="8198" width="7.5" style="95" customWidth="1"/>
    <col min="8199" max="8199" width="2.6640625" style="95" customWidth="1"/>
    <col min="8200" max="8200" width="5.6640625" style="95" customWidth="1"/>
    <col min="8201" max="8201" width="6.5" style="95" customWidth="1"/>
    <col min="8202" max="8202" width="2.6640625" style="95" customWidth="1"/>
    <col min="8203" max="8203" width="5.6640625" style="95" customWidth="1"/>
    <col min="8204" max="8204" width="6.5" style="95" customWidth="1"/>
    <col min="8205" max="8205" width="2.6640625" style="95" customWidth="1"/>
    <col min="8206" max="8206" width="5.6640625" style="95" customWidth="1"/>
    <col min="8207" max="8207" width="6.5" style="95" customWidth="1"/>
    <col min="8208" max="8208" width="2.6640625" style="95" customWidth="1"/>
    <col min="8209" max="8210" width="6.5" style="95" customWidth="1"/>
    <col min="8211" max="8211" width="2.6640625" style="95" customWidth="1"/>
    <col min="8212" max="8212" width="3.5" style="95" customWidth="1"/>
    <col min="8213" max="8448" width="9.1640625" style="95"/>
    <col min="8449" max="8449" width="34.5" style="95" customWidth="1"/>
    <col min="8450" max="8451" width="8.33203125" style="95" customWidth="1"/>
    <col min="8452" max="8452" width="2.6640625" style="95" customWidth="1"/>
    <col min="8453" max="8453" width="5.6640625" style="95" customWidth="1"/>
    <col min="8454" max="8454" width="7.5" style="95" customWidth="1"/>
    <col min="8455" max="8455" width="2.6640625" style="95" customWidth="1"/>
    <col min="8456" max="8456" width="5.6640625" style="95" customWidth="1"/>
    <col min="8457" max="8457" width="6.5" style="95" customWidth="1"/>
    <col min="8458" max="8458" width="2.6640625" style="95" customWidth="1"/>
    <col min="8459" max="8459" width="5.6640625" style="95" customWidth="1"/>
    <col min="8460" max="8460" width="6.5" style="95" customWidth="1"/>
    <col min="8461" max="8461" width="2.6640625" style="95" customWidth="1"/>
    <col min="8462" max="8462" width="5.6640625" style="95" customWidth="1"/>
    <col min="8463" max="8463" width="6.5" style="95" customWidth="1"/>
    <col min="8464" max="8464" width="2.6640625" style="95" customWidth="1"/>
    <col min="8465" max="8466" width="6.5" style="95" customWidth="1"/>
    <col min="8467" max="8467" width="2.6640625" style="95" customWidth="1"/>
    <col min="8468" max="8468" width="3.5" style="95" customWidth="1"/>
    <col min="8469" max="8704" width="9.1640625" style="95"/>
    <col min="8705" max="8705" width="34.5" style="95" customWidth="1"/>
    <col min="8706" max="8707" width="8.33203125" style="95" customWidth="1"/>
    <col min="8708" max="8708" width="2.6640625" style="95" customWidth="1"/>
    <col min="8709" max="8709" width="5.6640625" style="95" customWidth="1"/>
    <col min="8710" max="8710" width="7.5" style="95" customWidth="1"/>
    <col min="8711" max="8711" width="2.6640625" style="95" customWidth="1"/>
    <col min="8712" max="8712" width="5.6640625" style="95" customWidth="1"/>
    <col min="8713" max="8713" width="6.5" style="95" customWidth="1"/>
    <col min="8714" max="8714" width="2.6640625" style="95" customWidth="1"/>
    <col min="8715" max="8715" width="5.6640625" style="95" customWidth="1"/>
    <col min="8716" max="8716" width="6.5" style="95" customWidth="1"/>
    <col min="8717" max="8717" width="2.6640625" style="95" customWidth="1"/>
    <col min="8718" max="8718" width="5.6640625" style="95" customWidth="1"/>
    <col min="8719" max="8719" width="6.5" style="95" customWidth="1"/>
    <col min="8720" max="8720" width="2.6640625" style="95" customWidth="1"/>
    <col min="8721" max="8722" width="6.5" style="95" customWidth="1"/>
    <col min="8723" max="8723" width="2.6640625" style="95" customWidth="1"/>
    <col min="8724" max="8724" width="3.5" style="95" customWidth="1"/>
    <col min="8725" max="8960" width="9.1640625" style="95"/>
    <col min="8961" max="8961" width="34.5" style="95" customWidth="1"/>
    <col min="8962" max="8963" width="8.33203125" style="95" customWidth="1"/>
    <col min="8964" max="8964" width="2.6640625" style="95" customWidth="1"/>
    <col min="8965" max="8965" width="5.6640625" style="95" customWidth="1"/>
    <col min="8966" max="8966" width="7.5" style="95" customWidth="1"/>
    <col min="8967" max="8967" width="2.6640625" style="95" customWidth="1"/>
    <col min="8968" max="8968" width="5.6640625" style="95" customWidth="1"/>
    <col min="8969" max="8969" width="6.5" style="95" customWidth="1"/>
    <col min="8970" max="8970" width="2.6640625" style="95" customWidth="1"/>
    <col min="8971" max="8971" width="5.6640625" style="95" customWidth="1"/>
    <col min="8972" max="8972" width="6.5" style="95" customWidth="1"/>
    <col min="8973" max="8973" width="2.6640625" style="95" customWidth="1"/>
    <col min="8974" max="8974" width="5.6640625" style="95" customWidth="1"/>
    <col min="8975" max="8975" width="6.5" style="95" customWidth="1"/>
    <col min="8976" max="8976" width="2.6640625" style="95" customWidth="1"/>
    <col min="8977" max="8978" width="6.5" style="95" customWidth="1"/>
    <col min="8979" max="8979" width="2.6640625" style="95" customWidth="1"/>
    <col min="8980" max="8980" width="3.5" style="95" customWidth="1"/>
    <col min="8981" max="9216" width="9.1640625" style="95"/>
    <col min="9217" max="9217" width="34.5" style="95" customWidth="1"/>
    <col min="9218" max="9219" width="8.33203125" style="95" customWidth="1"/>
    <col min="9220" max="9220" width="2.6640625" style="95" customWidth="1"/>
    <col min="9221" max="9221" width="5.6640625" style="95" customWidth="1"/>
    <col min="9222" max="9222" width="7.5" style="95" customWidth="1"/>
    <col min="9223" max="9223" width="2.6640625" style="95" customWidth="1"/>
    <col min="9224" max="9224" width="5.6640625" style="95" customWidth="1"/>
    <col min="9225" max="9225" width="6.5" style="95" customWidth="1"/>
    <col min="9226" max="9226" width="2.6640625" style="95" customWidth="1"/>
    <col min="9227" max="9227" width="5.6640625" style="95" customWidth="1"/>
    <col min="9228" max="9228" width="6.5" style="95" customWidth="1"/>
    <col min="9229" max="9229" width="2.6640625" style="95" customWidth="1"/>
    <col min="9230" max="9230" width="5.6640625" style="95" customWidth="1"/>
    <col min="9231" max="9231" width="6.5" style="95" customWidth="1"/>
    <col min="9232" max="9232" width="2.6640625" style="95" customWidth="1"/>
    <col min="9233" max="9234" width="6.5" style="95" customWidth="1"/>
    <col min="9235" max="9235" width="2.6640625" style="95" customWidth="1"/>
    <col min="9236" max="9236" width="3.5" style="95" customWidth="1"/>
    <col min="9237" max="9472" width="9.1640625" style="95"/>
    <col min="9473" max="9473" width="34.5" style="95" customWidth="1"/>
    <col min="9474" max="9475" width="8.33203125" style="95" customWidth="1"/>
    <col min="9476" max="9476" width="2.6640625" style="95" customWidth="1"/>
    <col min="9477" max="9477" width="5.6640625" style="95" customWidth="1"/>
    <col min="9478" max="9478" width="7.5" style="95" customWidth="1"/>
    <col min="9479" max="9479" width="2.6640625" style="95" customWidth="1"/>
    <col min="9480" max="9480" width="5.6640625" style="95" customWidth="1"/>
    <col min="9481" max="9481" width="6.5" style="95" customWidth="1"/>
    <col min="9482" max="9482" width="2.6640625" style="95" customWidth="1"/>
    <col min="9483" max="9483" width="5.6640625" style="95" customWidth="1"/>
    <col min="9484" max="9484" width="6.5" style="95" customWidth="1"/>
    <col min="9485" max="9485" width="2.6640625" style="95" customWidth="1"/>
    <col min="9486" max="9486" width="5.6640625" style="95" customWidth="1"/>
    <col min="9487" max="9487" width="6.5" style="95" customWidth="1"/>
    <col min="9488" max="9488" width="2.6640625" style="95" customWidth="1"/>
    <col min="9489" max="9490" width="6.5" style="95" customWidth="1"/>
    <col min="9491" max="9491" width="2.6640625" style="95" customWidth="1"/>
    <col min="9492" max="9492" width="3.5" style="95" customWidth="1"/>
    <col min="9493" max="9728" width="9.1640625" style="95"/>
    <col min="9729" max="9729" width="34.5" style="95" customWidth="1"/>
    <col min="9730" max="9731" width="8.33203125" style="95" customWidth="1"/>
    <col min="9732" max="9732" width="2.6640625" style="95" customWidth="1"/>
    <col min="9733" max="9733" width="5.6640625" style="95" customWidth="1"/>
    <col min="9734" max="9734" width="7.5" style="95" customWidth="1"/>
    <col min="9735" max="9735" width="2.6640625" style="95" customWidth="1"/>
    <col min="9736" max="9736" width="5.6640625" style="95" customWidth="1"/>
    <col min="9737" max="9737" width="6.5" style="95" customWidth="1"/>
    <col min="9738" max="9738" width="2.6640625" style="95" customWidth="1"/>
    <col min="9739" max="9739" width="5.6640625" style="95" customWidth="1"/>
    <col min="9740" max="9740" width="6.5" style="95" customWidth="1"/>
    <col min="9741" max="9741" width="2.6640625" style="95" customWidth="1"/>
    <col min="9742" max="9742" width="5.6640625" style="95" customWidth="1"/>
    <col min="9743" max="9743" width="6.5" style="95" customWidth="1"/>
    <col min="9744" max="9744" width="2.6640625" style="95" customWidth="1"/>
    <col min="9745" max="9746" width="6.5" style="95" customWidth="1"/>
    <col min="9747" max="9747" width="2.6640625" style="95" customWidth="1"/>
    <col min="9748" max="9748" width="3.5" style="95" customWidth="1"/>
    <col min="9749" max="9984" width="9.1640625" style="95"/>
    <col min="9985" max="9985" width="34.5" style="95" customWidth="1"/>
    <col min="9986" max="9987" width="8.33203125" style="95" customWidth="1"/>
    <col min="9988" max="9988" width="2.6640625" style="95" customWidth="1"/>
    <col min="9989" max="9989" width="5.6640625" style="95" customWidth="1"/>
    <col min="9990" max="9990" width="7.5" style="95" customWidth="1"/>
    <col min="9991" max="9991" width="2.6640625" style="95" customWidth="1"/>
    <col min="9992" max="9992" width="5.6640625" style="95" customWidth="1"/>
    <col min="9993" max="9993" width="6.5" style="95" customWidth="1"/>
    <col min="9994" max="9994" width="2.6640625" style="95" customWidth="1"/>
    <col min="9995" max="9995" width="5.6640625" style="95" customWidth="1"/>
    <col min="9996" max="9996" width="6.5" style="95" customWidth="1"/>
    <col min="9997" max="9997" width="2.6640625" style="95" customWidth="1"/>
    <col min="9998" max="9998" width="5.6640625" style="95" customWidth="1"/>
    <col min="9999" max="9999" width="6.5" style="95" customWidth="1"/>
    <col min="10000" max="10000" width="2.6640625" style="95" customWidth="1"/>
    <col min="10001" max="10002" width="6.5" style="95" customWidth="1"/>
    <col min="10003" max="10003" width="2.6640625" style="95" customWidth="1"/>
    <col min="10004" max="10004" width="3.5" style="95" customWidth="1"/>
    <col min="10005" max="10240" width="9.1640625" style="95"/>
    <col min="10241" max="10241" width="34.5" style="95" customWidth="1"/>
    <col min="10242" max="10243" width="8.33203125" style="95" customWidth="1"/>
    <col min="10244" max="10244" width="2.6640625" style="95" customWidth="1"/>
    <col min="10245" max="10245" width="5.6640625" style="95" customWidth="1"/>
    <col min="10246" max="10246" width="7.5" style="95" customWidth="1"/>
    <col min="10247" max="10247" width="2.6640625" style="95" customWidth="1"/>
    <col min="10248" max="10248" width="5.6640625" style="95" customWidth="1"/>
    <col min="10249" max="10249" width="6.5" style="95" customWidth="1"/>
    <col min="10250" max="10250" width="2.6640625" style="95" customWidth="1"/>
    <col min="10251" max="10251" width="5.6640625" style="95" customWidth="1"/>
    <col min="10252" max="10252" width="6.5" style="95" customWidth="1"/>
    <col min="10253" max="10253" width="2.6640625" style="95" customWidth="1"/>
    <col min="10254" max="10254" width="5.6640625" style="95" customWidth="1"/>
    <col min="10255" max="10255" width="6.5" style="95" customWidth="1"/>
    <col min="10256" max="10256" width="2.6640625" style="95" customWidth="1"/>
    <col min="10257" max="10258" width="6.5" style="95" customWidth="1"/>
    <col min="10259" max="10259" width="2.6640625" style="95" customWidth="1"/>
    <col min="10260" max="10260" width="3.5" style="95" customWidth="1"/>
    <col min="10261" max="10496" width="9.1640625" style="95"/>
    <col min="10497" max="10497" width="34.5" style="95" customWidth="1"/>
    <col min="10498" max="10499" width="8.33203125" style="95" customWidth="1"/>
    <col min="10500" max="10500" width="2.6640625" style="95" customWidth="1"/>
    <col min="10501" max="10501" width="5.6640625" style="95" customWidth="1"/>
    <col min="10502" max="10502" width="7.5" style="95" customWidth="1"/>
    <col min="10503" max="10503" width="2.6640625" style="95" customWidth="1"/>
    <col min="10504" max="10504" width="5.6640625" style="95" customWidth="1"/>
    <col min="10505" max="10505" width="6.5" style="95" customWidth="1"/>
    <col min="10506" max="10506" width="2.6640625" style="95" customWidth="1"/>
    <col min="10507" max="10507" width="5.6640625" style="95" customWidth="1"/>
    <col min="10508" max="10508" width="6.5" style="95" customWidth="1"/>
    <col min="10509" max="10509" width="2.6640625" style="95" customWidth="1"/>
    <col min="10510" max="10510" width="5.6640625" style="95" customWidth="1"/>
    <col min="10511" max="10511" width="6.5" style="95" customWidth="1"/>
    <col min="10512" max="10512" width="2.6640625" style="95" customWidth="1"/>
    <col min="10513" max="10514" width="6.5" style="95" customWidth="1"/>
    <col min="10515" max="10515" width="2.6640625" style="95" customWidth="1"/>
    <col min="10516" max="10516" width="3.5" style="95" customWidth="1"/>
    <col min="10517" max="10752" width="9.1640625" style="95"/>
    <col min="10753" max="10753" width="34.5" style="95" customWidth="1"/>
    <col min="10754" max="10755" width="8.33203125" style="95" customWidth="1"/>
    <col min="10756" max="10756" width="2.6640625" style="95" customWidth="1"/>
    <col min="10757" max="10757" width="5.6640625" style="95" customWidth="1"/>
    <col min="10758" max="10758" width="7.5" style="95" customWidth="1"/>
    <col min="10759" max="10759" width="2.6640625" style="95" customWidth="1"/>
    <col min="10760" max="10760" width="5.6640625" style="95" customWidth="1"/>
    <col min="10761" max="10761" width="6.5" style="95" customWidth="1"/>
    <col min="10762" max="10762" width="2.6640625" style="95" customWidth="1"/>
    <col min="10763" max="10763" width="5.6640625" style="95" customWidth="1"/>
    <col min="10764" max="10764" width="6.5" style="95" customWidth="1"/>
    <col min="10765" max="10765" width="2.6640625" style="95" customWidth="1"/>
    <col min="10766" max="10766" width="5.6640625" style="95" customWidth="1"/>
    <col min="10767" max="10767" width="6.5" style="95" customWidth="1"/>
    <col min="10768" max="10768" width="2.6640625" style="95" customWidth="1"/>
    <col min="10769" max="10770" width="6.5" style="95" customWidth="1"/>
    <col min="10771" max="10771" width="2.6640625" style="95" customWidth="1"/>
    <col min="10772" max="10772" width="3.5" style="95" customWidth="1"/>
    <col min="10773" max="11008" width="9.1640625" style="95"/>
    <col min="11009" max="11009" width="34.5" style="95" customWidth="1"/>
    <col min="11010" max="11011" width="8.33203125" style="95" customWidth="1"/>
    <col min="11012" max="11012" width="2.6640625" style="95" customWidth="1"/>
    <col min="11013" max="11013" width="5.6640625" style="95" customWidth="1"/>
    <col min="11014" max="11014" width="7.5" style="95" customWidth="1"/>
    <col min="11015" max="11015" width="2.6640625" style="95" customWidth="1"/>
    <col min="11016" max="11016" width="5.6640625" style="95" customWidth="1"/>
    <col min="11017" max="11017" width="6.5" style="95" customWidth="1"/>
    <col min="11018" max="11018" width="2.6640625" style="95" customWidth="1"/>
    <col min="11019" max="11019" width="5.6640625" style="95" customWidth="1"/>
    <col min="11020" max="11020" width="6.5" style="95" customWidth="1"/>
    <col min="11021" max="11021" width="2.6640625" style="95" customWidth="1"/>
    <col min="11022" max="11022" width="5.6640625" style="95" customWidth="1"/>
    <col min="11023" max="11023" width="6.5" style="95" customWidth="1"/>
    <col min="11024" max="11024" width="2.6640625" style="95" customWidth="1"/>
    <col min="11025" max="11026" width="6.5" style="95" customWidth="1"/>
    <col min="11027" max="11027" width="2.6640625" style="95" customWidth="1"/>
    <col min="11028" max="11028" width="3.5" style="95" customWidth="1"/>
    <col min="11029" max="11264" width="9.1640625" style="95"/>
    <col min="11265" max="11265" width="34.5" style="95" customWidth="1"/>
    <col min="11266" max="11267" width="8.33203125" style="95" customWidth="1"/>
    <col min="11268" max="11268" width="2.6640625" style="95" customWidth="1"/>
    <col min="11269" max="11269" width="5.6640625" style="95" customWidth="1"/>
    <col min="11270" max="11270" width="7.5" style="95" customWidth="1"/>
    <col min="11271" max="11271" width="2.6640625" style="95" customWidth="1"/>
    <col min="11272" max="11272" width="5.6640625" style="95" customWidth="1"/>
    <col min="11273" max="11273" width="6.5" style="95" customWidth="1"/>
    <col min="11274" max="11274" width="2.6640625" style="95" customWidth="1"/>
    <col min="11275" max="11275" width="5.6640625" style="95" customWidth="1"/>
    <col min="11276" max="11276" width="6.5" style="95" customWidth="1"/>
    <col min="11277" max="11277" width="2.6640625" style="95" customWidth="1"/>
    <col min="11278" max="11278" width="5.6640625" style="95" customWidth="1"/>
    <col min="11279" max="11279" width="6.5" style="95" customWidth="1"/>
    <col min="11280" max="11280" width="2.6640625" style="95" customWidth="1"/>
    <col min="11281" max="11282" width="6.5" style="95" customWidth="1"/>
    <col min="11283" max="11283" width="2.6640625" style="95" customWidth="1"/>
    <col min="11284" max="11284" width="3.5" style="95" customWidth="1"/>
    <col min="11285" max="11520" width="9.1640625" style="95"/>
    <col min="11521" max="11521" width="34.5" style="95" customWidth="1"/>
    <col min="11522" max="11523" width="8.33203125" style="95" customWidth="1"/>
    <col min="11524" max="11524" width="2.6640625" style="95" customWidth="1"/>
    <col min="11525" max="11525" width="5.6640625" style="95" customWidth="1"/>
    <col min="11526" max="11526" width="7.5" style="95" customWidth="1"/>
    <col min="11527" max="11527" width="2.6640625" style="95" customWidth="1"/>
    <col min="11528" max="11528" width="5.6640625" style="95" customWidth="1"/>
    <col min="11529" max="11529" width="6.5" style="95" customWidth="1"/>
    <col min="11530" max="11530" width="2.6640625" style="95" customWidth="1"/>
    <col min="11531" max="11531" width="5.6640625" style="95" customWidth="1"/>
    <col min="11532" max="11532" width="6.5" style="95" customWidth="1"/>
    <col min="11533" max="11533" width="2.6640625" style="95" customWidth="1"/>
    <col min="11534" max="11534" width="5.6640625" style="95" customWidth="1"/>
    <col min="11535" max="11535" width="6.5" style="95" customWidth="1"/>
    <col min="11536" max="11536" width="2.6640625" style="95" customWidth="1"/>
    <col min="11537" max="11538" width="6.5" style="95" customWidth="1"/>
    <col min="11539" max="11539" width="2.6640625" style="95" customWidth="1"/>
    <col min="11540" max="11540" width="3.5" style="95" customWidth="1"/>
    <col min="11541" max="11776" width="9.1640625" style="95"/>
    <col min="11777" max="11777" width="34.5" style="95" customWidth="1"/>
    <col min="11778" max="11779" width="8.33203125" style="95" customWidth="1"/>
    <col min="11780" max="11780" width="2.6640625" style="95" customWidth="1"/>
    <col min="11781" max="11781" width="5.6640625" style="95" customWidth="1"/>
    <col min="11782" max="11782" width="7.5" style="95" customWidth="1"/>
    <col min="11783" max="11783" width="2.6640625" style="95" customWidth="1"/>
    <col min="11784" max="11784" width="5.6640625" style="95" customWidth="1"/>
    <col min="11785" max="11785" width="6.5" style="95" customWidth="1"/>
    <col min="11786" max="11786" width="2.6640625" style="95" customWidth="1"/>
    <col min="11787" max="11787" width="5.6640625" style="95" customWidth="1"/>
    <col min="11788" max="11788" width="6.5" style="95" customWidth="1"/>
    <col min="11789" max="11789" width="2.6640625" style="95" customWidth="1"/>
    <col min="11790" max="11790" width="5.6640625" style="95" customWidth="1"/>
    <col min="11791" max="11791" width="6.5" style="95" customWidth="1"/>
    <col min="11792" max="11792" width="2.6640625" style="95" customWidth="1"/>
    <col min="11793" max="11794" width="6.5" style="95" customWidth="1"/>
    <col min="11795" max="11795" width="2.6640625" style="95" customWidth="1"/>
    <col min="11796" max="11796" width="3.5" style="95" customWidth="1"/>
    <col min="11797" max="12032" width="9.1640625" style="95"/>
    <col min="12033" max="12033" width="34.5" style="95" customWidth="1"/>
    <col min="12034" max="12035" width="8.33203125" style="95" customWidth="1"/>
    <col min="12036" max="12036" width="2.6640625" style="95" customWidth="1"/>
    <col min="12037" max="12037" width="5.6640625" style="95" customWidth="1"/>
    <col min="12038" max="12038" width="7.5" style="95" customWidth="1"/>
    <col min="12039" max="12039" width="2.6640625" style="95" customWidth="1"/>
    <col min="12040" max="12040" width="5.6640625" style="95" customWidth="1"/>
    <col min="12041" max="12041" width="6.5" style="95" customWidth="1"/>
    <col min="12042" max="12042" width="2.6640625" style="95" customWidth="1"/>
    <col min="12043" max="12043" width="5.6640625" style="95" customWidth="1"/>
    <col min="12044" max="12044" width="6.5" style="95" customWidth="1"/>
    <col min="12045" max="12045" width="2.6640625" style="95" customWidth="1"/>
    <col min="12046" max="12046" width="5.6640625" style="95" customWidth="1"/>
    <col min="12047" max="12047" width="6.5" style="95" customWidth="1"/>
    <col min="12048" max="12048" width="2.6640625" style="95" customWidth="1"/>
    <col min="12049" max="12050" width="6.5" style="95" customWidth="1"/>
    <col min="12051" max="12051" width="2.6640625" style="95" customWidth="1"/>
    <col min="12052" max="12052" width="3.5" style="95" customWidth="1"/>
    <col min="12053" max="12288" width="9.1640625" style="95"/>
    <col min="12289" max="12289" width="34.5" style="95" customWidth="1"/>
    <col min="12290" max="12291" width="8.33203125" style="95" customWidth="1"/>
    <col min="12292" max="12292" width="2.6640625" style="95" customWidth="1"/>
    <col min="12293" max="12293" width="5.6640625" style="95" customWidth="1"/>
    <col min="12294" max="12294" width="7.5" style="95" customWidth="1"/>
    <col min="12295" max="12295" width="2.6640625" style="95" customWidth="1"/>
    <col min="12296" max="12296" width="5.6640625" style="95" customWidth="1"/>
    <col min="12297" max="12297" width="6.5" style="95" customWidth="1"/>
    <col min="12298" max="12298" width="2.6640625" style="95" customWidth="1"/>
    <col min="12299" max="12299" width="5.6640625" style="95" customWidth="1"/>
    <col min="12300" max="12300" width="6.5" style="95" customWidth="1"/>
    <col min="12301" max="12301" width="2.6640625" style="95" customWidth="1"/>
    <col min="12302" max="12302" width="5.6640625" style="95" customWidth="1"/>
    <col min="12303" max="12303" width="6.5" style="95" customWidth="1"/>
    <col min="12304" max="12304" width="2.6640625" style="95" customWidth="1"/>
    <col min="12305" max="12306" width="6.5" style="95" customWidth="1"/>
    <col min="12307" max="12307" width="2.6640625" style="95" customWidth="1"/>
    <col min="12308" max="12308" width="3.5" style="95" customWidth="1"/>
    <col min="12309" max="12544" width="9.1640625" style="95"/>
    <col min="12545" max="12545" width="34.5" style="95" customWidth="1"/>
    <col min="12546" max="12547" width="8.33203125" style="95" customWidth="1"/>
    <col min="12548" max="12548" width="2.6640625" style="95" customWidth="1"/>
    <col min="12549" max="12549" width="5.6640625" style="95" customWidth="1"/>
    <col min="12550" max="12550" width="7.5" style="95" customWidth="1"/>
    <col min="12551" max="12551" width="2.6640625" style="95" customWidth="1"/>
    <col min="12552" max="12552" width="5.6640625" style="95" customWidth="1"/>
    <col min="12553" max="12553" width="6.5" style="95" customWidth="1"/>
    <col min="12554" max="12554" width="2.6640625" style="95" customWidth="1"/>
    <col min="12555" max="12555" width="5.6640625" style="95" customWidth="1"/>
    <col min="12556" max="12556" width="6.5" style="95" customWidth="1"/>
    <col min="12557" max="12557" width="2.6640625" style="95" customWidth="1"/>
    <col min="12558" max="12558" width="5.6640625" style="95" customWidth="1"/>
    <col min="12559" max="12559" width="6.5" style="95" customWidth="1"/>
    <col min="12560" max="12560" width="2.6640625" style="95" customWidth="1"/>
    <col min="12561" max="12562" width="6.5" style="95" customWidth="1"/>
    <col min="12563" max="12563" width="2.6640625" style="95" customWidth="1"/>
    <col min="12564" max="12564" width="3.5" style="95" customWidth="1"/>
    <col min="12565" max="12800" width="9.1640625" style="95"/>
    <col min="12801" max="12801" width="34.5" style="95" customWidth="1"/>
    <col min="12802" max="12803" width="8.33203125" style="95" customWidth="1"/>
    <col min="12804" max="12804" width="2.6640625" style="95" customWidth="1"/>
    <col min="12805" max="12805" width="5.6640625" style="95" customWidth="1"/>
    <col min="12806" max="12806" width="7.5" style="95" customWidth="1"/>
    <col min="12807" max="12807" width="2.6640625" style="95" customWidth="1"/>
    <col min="12808" max="12808" width="5.6640625" style="95" customWidth="1"/>
    <col min="12809" max="12809" width="6.5" style="95" customWidth="1"/>
    <col min="12810" max="12810" width="2.6640625" style="95" customWidth="1"/>
    <col min="12811" max="12811" width="5.6640625" style="95" customWidth="1"/>
    <col min="12812" max="12812" width="6.5" style="95" customWidth="1"/>
    <col min="12813" max="12813" width="2.6640625" style="95" customWidth="1"/>
    <col min="12814" max="12814" width="5.6640625" style="95" customWidth="1"/>
    <col min="12815" max="12815" width="6.5" style="95" customWidth="1"/>
    <col min="12816" max="12816" width="2.6640625" style="95" customWidth="1"/>
    <col min="12817" max="12818" width="6.5" style="95" customWidth="1"/>
    <col min="12819" max="12819" width="2.6640625" style="95" customWidth="1"/>
    <col min="12820" max="12820" width="3.5" style="95" customWidth="1"/>
    <col min="12821" max="13056" width="9.1640625" style="95"/>
    <col min="13057" max="13057" width="34.5" style="95" customWidth="1"/>
    <col min="13058" max="13059" width="8.33203125" style="95" customWidth="1"/>
    <col min="13060" max="13060" width="2.6640625" style="95" customWidth="1"/>
    <col min="13061" max="13061" width="5.6640625" style="95" customWidth="1"/>
    <col min="13062" max="13062" width="7.5" style="95" customWidth="1"/>
    <col min="13063" max="13063" width="2.6640625" style="95" customWidth="1"/>
    <col min="13064" max="13064" width="5.6640625" style="95" customWidth="1"/>
    <col min="13065" max="13065" width="6.5" style="95" customWidth="1"/>
    <col min="13066" max="13066" width="2.6640625" style="95" customWidth="1"/>
    <col min="13067" max="13067" width="5.6640625" style="95" customWidth="1"/>
    <col min="13068" max="13068" width="6.5" style="95" customWidth="1"/>
    <col min="13069" max="13069" width="2.6640625" style="95" customWidth="1"/>
    <col min="13070" max="13070" width="5.6640625" style="95" customWidth="1"/>
    <col min="13071" max="13071" width="6.5" style="95" customWidth="1"/>
    <col min="13072" max="13072" width="2.6640625" style="95" customWidth="1"/>
    <col min="13073" max="13074" width="6.5" style="95" customWidth="1"/>
    <col min="13075" max="13075" width="2.6640625" style="95" customWidth="1"/>
    <col min="13076" max="13076" width="3.5" style="95" customWidth="1"/>
    <col min="13077" max="13312" width="9.1640625" style="95"/>
    <col min="13313" max="13313" width="34.5" style="95" customWidth="1"/>
    <col min="13314" max="13315" width="8.33203125" style="95" customWidth="1"/>
    <col min="13316" max="13316" width="2.6640625" style="95" customWidth="1"/>
    <col min="13317" max="13317" width="5.6640625" style="95" customWidth="1"/>
    <col min="13318" max="13318" width="7.5" style="95" customWidth="1"/>
    <col min="13319" max="13319" width="2.6640625" style="95" customWidth="1"/>
    <col min="13320" max="13320" width="5.6640625" style="95" customWidth="1"/>
    <col min="13321" max="13321" width="6.5" style="95" customWidth="1"/>
    <col min="13322" max="13322" width="2.6640625" style="95" customWidth="1"/>
    <col min="13323" max="13323" width="5.6640625" style="95" customWidth="1"/>
    <col min="13324" max="13324" width="6.5" style="95" customWidth="1"/>
    <col min="13325" max="13325" width="2.6640625" style="95" customWidth="1"/>
    <col min="13326" max="13326" width="5.6640625" style="95" customWidth="1"/>
    <col min="13327" max="13327" width="6.5" style="95" customWidth="1"/>
    <col min="13328" max="13328" width="2.6640625" style="95" customWidth="1"/>
    <col min="13329" max="13330" width="6.5" style="95" customWidth="1"/>
    <col min="13331" max="13331" width="2.6640625" style="95" customWidth="1"/>
    <col min="13332" max="13332" width="3.5" style="95" customWidth="1"/>
    <col min="13333" max="13568" width="9.1640625" style="95"/>
    <col min="13569" max="13569" width="34.5" style="95" customWidth="1"/>
    <col min="13570" max="13571" width="8.33203125" style="95" customWidth="1"/>
    <col min="13572" max="13572" width="2.6640625" style="95" customWidth="1"/>
    <col min="13573" max="13573" width="5.6640625" style="95" customWidth="1"/>
    <col min="13574" max="13574" width="7.5" style="95" customWidth="1"/>
    <col min="13575" max="13575" width="2.6640625" style="95" customWidth="1"/>
    <col min="13576" max="13576" width="5.6640625" style="95" customWidth="1"/>
    <col min="13577" max="13577" width="6.5" style="95" customWidth="1"/>
    <col min="13578" max="13578" width="2.6640625" style="95" customWidth="1"/>
    <col min="13579" max="13579" width="5.6640625" style="95" customWidth="1"/>
    <col min="13580" max="13580" width="6.5" style="95" customWidth="1"/>
    <col min="13581" max="13581" width="2.6640625" style="95" customWidth="1"/>
    <col min="13582" max="13582" width="5.6640625" style="95" customWidth="1"/>
    <col min="13583" max="13583" width="6.5" style="95" customWidth="1"/>
    <col min="13584" max="13584" width="2.6640625" style="95" customWidth="1"/>
    <col min="13585" max="13586" width="6.5" style="95" customWidth="1"/>
    <col min="13587" max="13587" width="2.6640625" style="95" customWidth="1"/>
    <col min="13588" max="13588" width="3.5" style="95" customWidth="1"/>
    <col min="13589" max="13824" width="9.1640625" style="95"/>
    <col min="13825" max="13825" width="34.5" style="95" customWidth="1"/>
    <col min="13826" max="13827" width="8.33203125" style="95" customWidth="1"/>
    <col min="13828" max="13828" width="2.6640625" style="95" customWidth="1"/>
    <col min="13829" max="13829" width="5.6640625" style="95" customWidth="1"/>
    <col min="13830" max="13830" width="7.5" style="95" customWidth="1"/>
    <col min="13831" max="13831" width="2.6640625" style="95" customWidth="1"/>
    <col min="13832" max="13832" width="5.6640625" style="95" customWidth="1"/>
    <col min="13833" max="13833" width="6.5" style="95" customWidth="1"/>
    <col min="13834" max="13834" width="2.6640625" style="95" customWidth="1"/>
    <col min="13835" max="13835" width="5.6640625" style="95" customWidth="1"/>
    <col min="13836" max="13836" width="6.5" style="95" customWidth="1"/>
    <col min="13837" max="13837" width="2.6640625" style="95" customWidth="1"/>
    <col min="13838" max="13838" width="5.6640625" style="95" customWidth="1"/>
    <col min="13839" max="13839" width="6.5" style="95" customWidth="1"/>
    <col min="13840" max="13840" width="2.6640625" style="95" customWidth="1"/>
    <col min="13841" max="13842" width="6.5" style="95" customWidth="1"/>
    <col min="13843" max="13843" width="2.6640625" style="95" customWidth="1"/>
    <col min="13844" max="13844" width="3.5" style="95" customWidth="1"/>
    <col min="13845" max="14080" width="9.1640625" style="95"/>
    <col min="14081" max="14081" width="34.5" style="95" customWidth="1"/>
    <col min="14082" max="14083" width="8.33203125" style="95" customWidth="1"/>
    <col min="14084" max="14084" width="2.6640625" style="95" customWidth="1"/>
    <col min="14085" max="14085" width="5.6640625" style="95" customWidth="1"/>
    <col min="14086" max="14086" width="7.5" style="95" customWidth="1"/>
    <col min="14087" max="14087" width="2.6640625" style="95" customWidth="1"/>
    <col min="14088" max="14088" width="5.6640625" style="95" customWidth="1"/>
    <col min="14089" max="14089" width="6.5" style="95" customWidth="1"/>
    <col min="14090" max="14090" width="2.6640625" style="95" customWidth="1"/>
    <col min="14091" max="14091" width="5.6640625" style="95" customWidth="1"/>
    <col min="14092" max="14092" width="6.5" style="95" customWidth="1"/>
    <col min="14093" max="14093" width="2.6640625" style="95" customWidth="1"/>
    <col min="14094" max="14094" width="5.6640625" style="95" customWidth="1"/>
    <col min="14095" max="14095" width="6.5" style="95" customWidth="1"/>
    <col min="14096" max="14096" width="2.6640625" style="95" customWidth="1"/>
    <col min="14097" max="14098" width="6.5" style="95" customWidth="1"/>
    <col min="14099" max="14099" width="2.6640625" style="95" customWidth="1"/>
    <col min="14100" max="14100" width="3.5" style="95" customWidth="1"/>
    <col min="14101" max="14336" width="9.1640625" style="95"/>
    <col min="14337" max="14337" width="34.5" style="95" customWidth="1"/>
    <col min="14338" max="14339" width="8.33203125" style="95" customWidth="1"/>
    <col min="14340" max="14340" width="2.6640625" style="95" customWidth="1"/>
    <col min="14341" max="14341" width="5.6640625" style="95" customWidth="1"/>
    <col min="14342" max="14342" width="7.5" style="95" customWidth="1"/>
    <col min="14343" max="14343" width="2.6640625" style="95" customWidth="1"/>
    <col min="14344" max="14344" width="5.6640625" style="95" customWidth="1"/>
    <col min="14345" max="14345" width="6.5" style="95" customWidth="1"/>
    <col min="14346" max="14346" width="2.6640625" style="95" customWidth="1"/>
    <col min="14347" max="14347" width="5.6640625" style="95" customWidth="1"/>
    <col min="14348" max="14348" width="6.5" style="95" customWidth="1"/>
    <col min="14349" max="14349" width="2.6640625" style="95" customWidth="1"/>
    <col min="14350" max="14350" width="5.6640625" style="95" customWidth="1"/>
    <col min="14351" max="14351" width="6.5" style="95" customWidth="1"/>
    <col min="14352" max="14352" width="2.6640625" style="95" customWidth="1"/>
    <col min="14353" max="14354" width="6.5" style="95" customWidth="1"/>
    <col min="14355" max="14355" width="2.6640625" style="95" customWidth="1"/>
    <col min="14356" max="14356" width="3.5" style="95" customWidth="1"/>
    <col min="14357" max="14592" width="9.1640625" style="95"/>
    <col min="14593" max="14593" width="34.5" style="95" customWidth="1"/>
    <col min="14594" max="14595" width="8.33203125" style="95" customWidth="1"/>
    <col min="14596" max="14596" width="2.6640625" style="95" customWidth="1"/>
    <col min="14597" max="14597" width="5.6640625" style="95" customWidth="1"/>
    <col min="14598" max="14598" width="7.5" style="95" customWidth="1"/>
    <col min="14599" max="14599" width="2.6640625" style="95" customWidth="1"/>
    <col min="14600" max="14600" width="5.6640625" style="95" customWidth="1"/>
    <col min="14601" max="14601" width="6.5" style="95" customWidth="1"/>
    <col min="14602" max="14602" width="2.6640625" style="95" customWidth="1"/>
    <col min="14603" max="14603" width="5.6640625" style="95" customWidth="1"/>
    <col min="14604" max="14604" width="6.5" style="95" customWidth="1"/>
    <col min="14605" max="14605" width="2.6640625" style="95" customWidth="1"/>
    <col min="14606" max="14606" width="5.6640625" style="95" customWidth="1"/>
    <col min="14607" max="14607" width="6.5" style="95" customWidth="1"/>
    <col min="14608" max="14608" width="2.6640625" style="95" customWidth="1"/>
    <col min="14609" max="14610" width="6.5" style="95" customWidth="1"/>
    <col min="14611" max="14611" width="2.6640625" style="95" customWidth="1"/>
    <col min="14612" max="14612" width="3.5" style="95" customWidth="1"/>
    <col min="14613" max="14848" width="9.1640625" style="95"/>
    <col min="14849" max="14849" width="34.5" style="95" customWidth="1"/>
    <col min="14850" max="14851" width="8.33203125" style="95" customWidth="1"/>
    <col min="14852" max="14852" width="2.6640625" style="95" customWidth="1"/>
    <col min="14853" max="14853" width="5.6640625" style="95" customWidth="1"/>
    <col min="14854" max="14854" width="7.5" style="95" customWidth="1"/>
    <col min="14855" max="14855" width="2.6640625" style="95" customWidth="1"/>
    <col min="14856" max="14856" width="5.6640625" style="95" customWidth="1"/>
    <col min="14857" max="14857" width="6.5" style="95" customWidth="1"/>
    <col min="14858" max="14858" width="2.6640625" style="95" customWidth="1"/>
    <col min="14859" max="14859" width="5.6640625" style="95" customWidth="1"/>
    <col min="14860" max="14860" width="6.5" style="95" customWidth="1"/>
    <col min="14861" max="14861" width="2.6640625" style="95" customWidth="1"/>
    <col min="14862" max="14862" width="5.6640625" style="95" customWidth="1"/>
    <col min="14863" max="14863" width="6.5" style="95" customWidth="1"/>
    <col min="14864" max="14864" width="2.6640625" style="95" customWidth="1"/>
    <col min="14865" max="14866" width="6.5" style="95" customWidth="1"/>
    <col min="14867" max="14867" width="2.6640625" style="95" customWidth="1"/>
    <col min="14868" max="14868" width="3.5" style="95" customWidth="1"/>
    <col min="14869" max="15104" width="9.1640625" style="95"/>
    <col min="15105" max="15105" width="34.5" style="95" customWidth="1"/>
    <col min="15106" max="15107" width="8.33203125" style="95" customWidth="1"/>
    <col min="15108" max="15108" width="2.6640625" style="95" customWidth="1"/>
    <col min="15109" max="15109" width="5.6640625" style="95" customWidth="1"/>
    <col min="15110" max="15110" width="7.5" style="95" customWidth="1"/>
    <col min="15111" max="15111" width="2.6640625" style="95" customWidth="1"/>
    <col min="15112" max="15112" width="5.6640625" style="95" customWidth="1"/>
    <col min="15113" max="15113" width="6.5" style="95" customWidth="1"/>
    <col min="15114" max="15114" width="2.6640625" style="95" customWidth="1"/>
    <col min="15115" max="15115" width="5.6640625" style="95" customWidth="1"/>
    <col min="15116" max="15116" width="6.5" style="95" customWidth="1"/>
    <col min="15117" max="15117" width="2.6640625" style="95" customWidth="1"/>
    <col min="15118" max="15118" width="5.6640625" style="95" customWidth="1"/>
    <col min="15119" max="15119" width="6.5" style="95" customWidth="1"/>
    <col min="15120" max="15120" width="2.6640625" style="95" customWidth="1"/>
    <col min="15121" max="15122" width="6.5" style="95" customWidth="1"/>
    <col min="15123" max="15123" width="2.6640625" style="95" customWidth="1"/>
    <col min="15124" max="15124" width="3.5" style="95" customWidth="1"/>
    <col min="15125" max="15360" width="9.1640625" style="95"/>
    <col min="15361" max="15361" width="34.5" style="95" customWidth="1"/>
    <col min="15362" max="15363" width="8.33203125" style="95" customWidth="1"/>
    <col min="15364" max="15364" width="2.6640625" style="95" customWidth="1"/>
    <col min="15365" max="15365" width="5.6640625" style="95" customWidth="1"/>
    <col min="15366" max="15366" width="7.5" style="95" customWidth="1"/>
    <col min="15367" max="15367" width="2.6640625" style="95" customWidth="1"/>
    <col min="15368" max="15368" width="5.6640625" style="95" customWidth="1"/>
    <col min="15369" max="15369" width="6.5" style="95" customWidth="1"/>
    <col min="15370" max="15370" width="2.6640625" style="95" customWidth="1"/>
    <col min="15371" max="15371" width="5.6640625" style="95" customWidth="1"/>
    <col min="15372" max="15372" width="6.5" style="95" customWidth="1"/>
    <col min="15373" max="15373" width="2.6640625" style="95" customWidth="1"/>
    <col min="15374" max="15374" width="5.6640625" style="95" customWidth="1"/>
    <col min="15375" max="15375" width="6.5" style="95" customWidth="1"/>
    <col min="15376" max="15376" width="2.6640625" style="95" customWidth="1"/>
    <col min="15377" max="15378" width="6.5" style="95" customWidth="1"/>
    <col min="15379" max="15379" width="2.6640625" style="95" customWidth="1"/>
    <col min="15380" max="15380" width="3.5" style="95" customWidth="1"/>
    <col min="15381" max="15616" width="9.1640625" style="95"/>
    <col min="15617" max="15617" width="34.5" style="95" customWidth="1"/>
    <col min="15618" max="15619" width="8.33203125" style="95" customWidth="1"/>
    <col min="15620" max="15620" width="2.6640625" style="95" customWidth="1"/>
    <col min="15621" max="15621" width="5.6640625" style="95" customWidth="1"/>
    <col min="15622" max="15622" width="7.5" style="95" customWidth="1"/>
    <col min="15623" max="15623" width="2.6640625" style="95" customWidth="1"/>
    <col min="15624" max="15624" width="5.6640625" style="95" customWidth="1"/>
    <col min="15625" max="15625" width="6.5" style="95" customWidth="1"/>
    <col min="15626" max="15626" width="2.6640625" style="95" customWidth="1"/>
    <col min="15627" max="15627" width="5.6640625" style="95" customWidth="1"/>
    <col min="15628" max="15628" width="6.5" style="95" customWidth="1"/>
    <col min="15629" max="15629" width="2.6640625" style="95" customWidth="1"/>
    <col min="15630" max="15630" width="5.6640625" style="95" customWidth="1"/>
    <col min="15631" max="15631" width="6.5" style="95" customWidth="1"/>
    <col min="15632" max="15632" width="2.6640625" style="95" customWidth="1"/>
    <col min="15633" max="15634" width="6.5" style="95" customWidth="1"/>
    <col min="15635" max="15635" width="2.6640625" style="95" customWidth="1"/>
    <col min="15636" max="15636" width="3.5" style="95" customWidth="1"/>
    <col min="15637" max="15872" width="9.1640625" style="95"/>
    <col min="15873" max="15873" width="34.5" style="95" customWidth="1"/>
    <col min="15874" max="15875" width="8.33203125" style="95" customWidth="1"/>
    <col min="15876" max="15876" width="2.6640625" style="95" customWidth="1"/>
    <col min="15877" max="15877" width="5.6640625" style="95" customWidth="1"/>
    <col min="15878" max="15878" width="7.5" style="95" customWidth="1"/>
    <col min="15879" max="15879" width="2.6640625" style="95" customWidth="1"/>
    <col min="15880" max="15880" width="5.6640625" style="95" customWidth="1"/>
    <col min="15881" max="15881" width="6.5" style="95" customWidth="1"/>
    <col min="15882" max="15882" width="2.6640625" style="95" customWidth="1"/>
    <col min="15883" max="15883" width="5.6640625" style="95" customWidth="1"/>
    <col min="15884" max="15884" width="6.5" style="95" customWidth="1"/>
    <col min="15885" max="15885" width="2.6640625" style="95" customWidth="1"/>
    <col min="15886" max="15886" width="5.6640625" style="95" customWidth="1"/>
    <col min="15887" max="15887" width="6.5" style="95" customWidth="1"/>
    <col min="15888" max="15888" width="2.6640625" style="95" customWidth="1"/>
    <col min="15889" max="15890" width="6.5" style="95" customWidth="1"/>
    <col min="15891" max="15891" width="2.6640625" style="95" customWidth="1"/>
    <col min="15892" max="15892" width="3.5" style="95" customWidth="1"/>
    <col min="15893" max="16128" width="9.1640625" style="95"/>
    <col min="16129" max="16129" width="34.5" style="95" customWidth="1"/>
    <col min="16130" max="16131" width="8.33203125" style="95" customWidth="1"/>
    <col min="16132" max="16132" width="2.6640625" style="95" customWidth="1"/>
    <col min="16133" max="16133" width="5.6640625" style="95" customWidth="1"/>
    <col min="16134" max="16134" width="7.5" style="95" customWidth="1"/>
    <col min="16135" max="16135" width="2.6640625" style="95" customWidth="1"/>
    <col min="16136" max="16136" width="5.6640625" style="95" customWidth="1"/>
    <col min="16137" max="16137" width="6.5" style="95" customWidth="1"/>
    <col min="16138" max="16138" width="2.6640625" style="95" customWidth="1"/>
    <col min="16139" max="16139" width="5.6640625" style="95" customWidth="1"/>
    <col min="16140" max="16140" width="6.5" style="95" customWidth="1"/>
    <col min="16141" max="16141" width="2.6640625" style="95" customWidth="1"/>
    <col min="16142" max="16142" width="5.6640625" style="95" customWidth="1"/>
    <col min="16143" max="16143" width="6.5" style="95" customWidth="1"/>
    <col min="16144" max="16144" width="2.6640625" style="95" customWidth="1"/>
    <col min="16145" max="16146" width="6.5" style="95" customWidth="1"/>
    <col min="16147" max="16147" width="2.6640625" style="95" customWidth="1"/>
    <col min="16148" max="16148" width="3.5" style="95" customWidth="1"/>
    <col min="16149" max="16384" width="9.1640625" style="95"/>
  </cols>
  <sheetData>
    <row r="1" spans="1:19" ht="0.75" customHeight="1">
      <c r="A1" s="628">
        <f ca="1">TODAY()</f>
        <v>44084</v>
      </c>
      <c r="B1" s="58" t="s">
        <v>1591</v>
      </c>
    </row>
    <row r="2" spans="1:19">
      <c r="A2" s="95" t="s">
        <v>453</v>
      </c>
    </row>
    <row r="3" spans="1:19">
      <c r="A3" s="95" t="s">
        <v>454</v>
      </c>
      <c r="L3" s="55" t="s">
        <v>128</v>
      </c>
    </row>
    <row r="4" spans="1:19" ht="6.75" customHeight="1"/>
    <row r="5" spans="1:19">
      <c r="A5" s="33" t="s">
        <v>2156</v>
      </c>
    </row>
    <row r="6" spans="1:19" ht="6.75" customHeight="1" thickBot="1">
      <c r="E6" s="391"/>
      <c r="F6" s="575"/>
      <c r="G6" s="575"/>
      <c r="H6" s="391"/>
      <c r="I6" s="575"/>
      <c r="J6" s="607"/>
      <c r="K6" s="391"/>
      <c r="L6" s="575"/>
      <c r="M6" s="482"/>
      <c r="N6" s="391"/>
      <c r="O6" s="575"/>
      <c r="P6" s="607"/>
      <c r="Q6" s="391"/>
      <c r="R6" s="575"/>
      <c r="S6" s="575"/>
    </row>
    <row r="7" spans="1:19">
      <c r="A7" s="97"/>
      <c r="B7" s="186"/>
      <c r="C7" s="974"/>
      <c r="D7" s="67"/>
      <c r="E7" s="189"/>
      <c r="F7" s="66"/>
      <c r="G7" s="66"/>
      <c r="H7" s="189"/>
      <c r="I7" s="66"/>
      <c r="J7" s="67"/>
      <c r="K7" s="189"/>
      <c r="L7" s="66"/>
      <c r="N7" s="189"/>
      <c r="O7" s="66"/>
      <c r="P7" s="67"/>
      <c r="Q7" s="189"/>
      <c r="R7" s="66"/>
      <c r="S7" s="66"/>
    </row>
    <row r="8" spans="1:19" ht="15">
      <c r="A8" s="116" t="s">
        <v>1592</v>
      </c>
      <c r="B8" s="1074" t="s">
        <v>497</v>
      </c>
      <c r="C8" s="1074"/>
      <c r="D8" s="68"/>
      <c r="E8" s="1021">
        <v>1</v>
      </c>
      <c r="F8" s="1021"/>
      <c r="G8" s="622"/>
      <c r="H8" s="1021">
        <v>2</v>
      </c>
      <c r="I8" s="1021"/>
      <c r="J8" s="622"/>
      <c r="K8" s="1021">
        <v>3</v>
      </c>
      <c r="L8" s="1021"/>
      <c r="M8" s="623"/>
      <c r="N8" s="1021">
        <v>4</v>
      </c>
      <c r="O8" s="1021"/>
      <c r="P8" s="622"/>
      <c r="Q8" s="1021">
        <v>5</v>
      </c>
      <c r="R8" s="1021"/>
      <c r="S8" s="622"/>
    </row>
    <row r="9" spans="1:19">
      <c r="A9" s="95" t="s">
        <v>1593</v>
      </c>
      <c r="B9" s="194" t="s">
        <v>1172</v>
      </c>
      <c r="C9" s="975" t="s">
        <v>401</v>
      </c>
      <c r="D9" s="68"/>
      <c r="E9" s="196" t="s">
        <v>1475</v>
      </c>
      <c r="F9" s="624" t="s">
        <v>401</v>
      </c>
      <c r="G9" s="539"/>
      <c r="H9" s="196" t="s">
        <v>1475</v>
      </c>
      <c r="I9" s="624" t="s">
        <v>401</v>
      </c>
      <c r="J9" s="68"/>
      <c r="K9" s="196" t="s">
        <v>1475</v>
      </c>
      <c r="L9" s="624" t="s">
        <v>401</v>
      </c>
      <c r="N9" s="196" t="s">
        <v>1475</v>
      </c>
      <c r="O9" s="624" t="s">
        <v>401</v>
      </c>
      <c r="P9" s="68"/>
      <c r="Q9" s="196" t="s">
        <v>1475</v>
      </c>
      <c r="R9" s="624" t="s">
        <v>401</v>
      </c>
      <c r="S9" s="539"/>
    </row>
    <row r="10" spans="1:19" ht="8.25" customHeight="1" thickBot="1">
      <c r="A10" s="102"/>
      <c r="B10" s="197"/>
      <c r="C10" s="976"/>
      <c r="D10" s="625"/>
      <c r="E10" s="200"/>
      <c r="F10" s="617"/>
      <c r="G10" s="617"/>
      <c r="H10" s="200"/>
      <c r="I10" s="617"/>
      <c r="J10" s="625"/>
      <c r="K10" s="200"/>
      <c r="L10" s="617"/>
      <c r="M10" s="625"/>
      <c r="N10" s="200"/>
      <c r="O10" s="617"/>
      <c r="P10" s="625"/>
      <c r="Q10" s="200"/>
      <c r="R10" s="617"/>
      <c r="S10" s="617"/>
    </row>
    <row r="11" spans="1:19" ht="9" customHeight="1">
      <c r="A11" s="116"/>
      <c r="B11" s="190"/>
      <c r="C11" s="452"/>
      <c r="D11" s="68"/>
      <c r="E11" s="201"/>
      <c r="F11" s="74"/>
      <c r="G11" s="74"/>
      <c r="H11" s="201"/>
      <c r="I11" s="19"/>
      <c r="J11" s="68"/>
      <c r="K11" s="201"/>
      <c r="L11" s="74"/>
      <c r="M11" s="68"/>
      <c r="N11" s="201"/>
      <c r="O11" s="74"/>
      <c r="P11" s="68"/>
      <c r="Q11" s="201"/>
      <c r="R11" s="74"/>
      <c r="S11" s="74"/>
    </row>
    <row r="12" spans="1:19" s="55" customFormat="1">
      <c r="A12" s="55" t="s">
        <v>402</v>
      </c>
      <c r="B12" s="626">
        <f>IF(A12&lt;&gt;0,E12+H12+K12+N12+Q12,"")</f>
        <v>23131</v>
      </c>
      <c r="C12" s="19">
        <f>SUM(C14+C97)</f>
        <v>100</v>
      </c>
      <c r="D12" s="626"/>
      <c r="E12" s="626">
        <f>SUM(E14+E97)</f>
        <v>1072</v>
      </c>
      <c r="F12" s="19">
        <f>IF($A12&lt;&gt;0,E12/$B12*100,"")</f>
        <v>4.6344732177597168</v>
      </c>
      <c r="G12" s="626"/>
      <c r="H12" s="626">
        <f>SUM(H14+H97)</f>
        <v>1263</v>
      </c>
      <c r="I12" s="19">
        <f>IF($A12&lt;&gt;0,H12/$B12*100,"")</f>
        <v>5.4602049198045917</v>
      </c>
      <c r="J12" s="626"/>
      <c r="K12" s="626">
        <f>SUM(K14+K97)</f>
        <v>1840</v>
      </c>
      <c r="L12" s="19">
        <f>IF($A12&lt;&gt;0,K12/$B12*100,"")</f>
        <v>7.954692836453245</v>
      </c>
      <c r="M12" s="626"/>
      <c r="N12" s="626">
        <f>SUM(N14+N97)</f>
        <v>2491</v>
      </c>
      <c r="O12" s="19">
        <f>IF($A12&lt;&gt;0,N12/$B12*100,"")</f>
        <v>10.769097747611431</v>
      </c>
      <c r="P12" s="626"/>
      <c r="Q12" s="626">
        <f>SUM(Q14+Q97)</f>
        <v>16465</v>
      </c>
      <c r="R12" s="19">
        <f>IF($A12&lt;&gt;0,Q12/$B12*100,"")</f>
        <v>71.181531278371011</v>
      </c>
      <c r="S12" s="626"/>
    </row>
    <row r="13" spans="1:19">
      <c r="B13" s="560" t="str">
        <f t="shared" ref="B13:B76" si="0">IF(A13&lt;&gt;0,E13+H13+K13+N13+Q13,"")</f>
        <v/>
      </c>
      <c r="C13" s="81"/>
      <c r="D13" s="560"/>
      <c r="E13" s="560"/>
      <c r="F13" s="81" t="str">
        <f t="shared" ref="F13:F76" si="1">IF($A13&lt;&gt;0,E13/$B13*100,"")</f>
        <v/>
      </c>
      <c r="G13" s="560"/>
      <c r="H13" s="560"/>
      <c r="I13" s="81" t="str">
        <f t="shared" ref="I13:I76" si="2">IF($A13&lt;&gt;0,H13/$B13*100,"")</f>
        <v/>
      </c>
      <c r="J13" s="560"/>
      <c r="K13" s="560"/>
      <c r="L13" s="81" t="str">
        <f t="shared" ref="L13:L76" si="3">IF($A13&lt;&gt;0,K13/$B13*100,"")</f>
        <v/>
      </c>
      <c r="M13" s="560"/>
      <c r="N13" s="560"/>
      <c r="O13" s="81" t="str">
        <f t="shared" ref="O13:O76" si="4">IF($A13&lt;&gt;0,N13/$B13*100,"")</f>
        <v/>
      </c>
      <c r="P13" s="560"/>
      <c r="Q13" s="560"/>
      <c r="R13" s="81" t="str">
        <f t="shared" ref="R13:R76" si="5">IF($A13&lt;&gt;0,Q13/$B13*100,"")</f>
        <v/>
      </c>
      <c r="S13" s="560"/>
    </row>
    <row r="14" spans="1:19" s="55" customFormat="1">
      <c r="A14" s="55" t="s">
        <v>403</v>
      </c>
      <c r="B14" s="626">
        <f t="shared" si="0"/>
        <v>15209</v>
      </c>
      <c r="C14" s="19">
        <f>IF(A14&lt;&gt;0,B14/$B$12*100,"")</f>
        <v>65.751588776965974</v>
      </c>
      <c r="D14" s="626"/>
      <c r="E14" s="626">
        <f>E16+E27+E35+E75+E61+E82+E94+E95</f>
        <v>862</v>
      </c>
      <c r="F14" s="19">
        <f t="shared" si="1"/>
        <v>5.6676967584982574</v>
      </c>
      <c r="G14" s="626"/>
      <c r="H14" s="626">
        <f>H16+H27+H35+H75+H61+H82+H94+H95</f>
        <v>1015</v>
      </c>
      <c r="I14" s="19">
        <f t="shared" si="2"/>
        <v>6.6736800578604774</v>
      </c>
      <c r="J14" s="626"/>
      <c r="K14" s="626">
        <f>K16+K27+K35+K75+K61+K82+K94+K95</f>
        <v>1433</v>
      </c>
      <c r="L14" s="19">
        <f t="shared" si="3"/>
        <v>9.4220527319350378</v>
      </c>
      <c r="M14" s="626"/>
      <c r="N14" s="626">
        <f>N16+N27+N35+N75+N61+N82+N94+N95</f>
        <v>1823</v>
      </c>
      <c r="O14" s="19">
        <f t="shared" si="4"/>
        <v>11.98632388717207</v>
      </c>
      <c r="P14" s="626"/>
      <c r="Q14" s="626">
        <f>Q16+Q27+Q35+Q75+Q61+Q82+Q94+Q95</f>
        <v>10076</v>
      </c>
      <c r="R14" s="19">
        <f t="shared" si="5"/>
        <v>66.250246564534152</v>
      </c>
      <c r="S14" s="626"/>
    </row>
    <row r="15" spans="1:19">
      <c r="A15" s="55"/>
      <c r="B15" s="560" t="str">
        <f t="shared" si="0"/>
        <v/>
      </c>
      <c r="C15" s="81" t="str">
        <f t="shared" ref="C15:C78" si="6">IF(A15&lt;&gt;0,B15/$B$12*100,"")</f>
        <v/>
      </c>
      <c r="D15" s="560"/>
      <c r="E15" s="560"/>
      <c r="F15" s="81" t="str">
        <f t="shared" si="1"/>
        <v/>
      </c>
      <c r="G15" s="560"/>
      <c r="H15" s="560"/>
      <c r="I15" s="81" t="str">
        <f t="shared" si="2"/>
        <v/>
      </c>
      <c r="J15" s="560"/>
      <c r="K15" s="560"/>
      <c r="L15" s="81" t="str">
        <f t="shared" si="3"/>
        <v/>
      </c>
      <c r="M15" s="560"/>
      <c r="N15" s="560"/>
      <c r="O15" s="81" t="str">
        <f t="shared" si="4"/>
        <v/>
      </c>
      <c r="P15" s="560"/>
      <c r="Q15" s="560"/>
      <c r="R15" s="81" t="str">
        <f t="shared" si="5"/>
        <v/>
      </c>
      <c r="S15" s="560"/>
    </row>
    <row r="16" spans="1:19" s="55" customFormat="1">
      <c r="A16" s="55" t="s">
        <v>404</v>
      </c>
      <c r="B16" s="626">
        <f t="shared" si="0"/>
        <v>1417</v>
      </c>
      <c r="C16" s="19">
        <f t="shared" si="6"/>
        <v>6.1259781245946998</v>
      </c>
      <c r="D16" s="626"/>
      <c r="E16" s="626">
        <f>E17+E22</f>
        <v>75</v>
      </c>
      <c r="F16" s="19">
        <f t="shared" si="1"/>
        <v>5.2928722653493301</v>
      </c>
      <c r="G16" s="626"/>
      <c r="H16" s="626">
        <f>H17+H22</f>
        <v>87</v>
      </c>
      <c r="I16" s="19">
        <f t="shared" si="2"/>
        <v>6.1397318278052229</v>
      </c>
      <c r="J16" s="626"/>
      <c r="K16" s="626">
        <f>K17+K22</f>
        <v>143</v>
      </c>
      <c r="L16" s="19">
        <f t="shared" si="3"/>
        <v>10.091743119266056</v>
      </c>
      <c r="M16" s="626"/>
      <c r="N16" s="626">
        <f>N17+N22</f>
        <v>183</v>
      </c>
      <c r="O16" s="19">
        <f t="shared" si="4"/>
        <v>12.914608327452365</v>
      </c>
      <c r="P16" s="626"/>
      <c r="Q16" s="626">
        <f>Q17+Q22</f>
        <v>929</v>
      </c>
      <c r="R16" s="19">
        <f t="shared" si="5"/>
        <v>65.561044460127022</v>
      </c>
      <c r="S16" s="626"/>
    </row>
    <row r="17" spans="1:19">
      <c r="A17" s="95" t="s">
        <v>162</v>
      </c>
      <c r="B17" s="560">
        <f t="shared" si="0"/>
        <v>429</v>
      </c>
      <c r="C17" s="81">
        <f t="shared" si="6"/>
        <v>1.8546539276295879</v>
      </c>
      <c r="D17" s="560"/>
      <c r="E17" s="560">
        <f>SUM(E18:E20)</f>
        <v>31</v>
      </c>
      <c r="F17" s="81">
        <f t="shared" si="1"/>
        <v>7.2261072261072261</v>
      </c>
      <c r="G17" s="560"/>
      <c r="H17" s="560">
        <f>SUM(H18:H20)</f>
        <v>25</v>
      </c>
      <c r="I17" s="81">
        <f t="shared" si="2"/>
        <v>5.8275058275058269</v>
      </c>
      <c r="J17" s="560"/>
      <c r="K17" s="560">
        <f>SUM(K18:K20)</f>
        <v>52</v>
      </c>
      <c r="L17" s="81">
        <f t="shared" si="3"/>
        <v>12.121212121212121</v>
      </c>
      <c r="M17" s="560"/>
      <c r="N17" s="560">
        <f>SUM(N18:N20)</f>
        <v>62</v>
      </c>
      <c r="O17" s="81">
        <f t="shared" si="4"/>
        <v>14.452214452214452</v>
      </c>
      <c r="P17" s="560"/>
      <c r="Q17" s="560">
        <f>SUM(Q18:Q20)</f>
        <v>259</v>
      </c>
      <c r="R17" s="81">
        <f t="shared" si="5"/>
        <v>60.372960372960371</v>
      </c>
      <c r="S17" s="560"/>
    </row>
    <row r="18" spans="1:19">
      <c r="A18" s="33" t="s">
        <v>163</v>
      </c>
      <c r="B18" s="560">
        <f t="shared" si="0"/>
        <v>71</v>
      </c>
      <c r="C18" s="81">
        <f t="shared" si="6"/>
        <v>0.30694738662401105</v>
      </c>
      <c r="D18" s="560"/>
      <c r="E18" s="977">
        <v>4</v>
      </c>
      <c r="F18" s="81">
        <f t="shared" si="1"/>
        <v>5.6338028169014089</v>
      </c>
      <c r="G18" s="977"/>
      <c r="H18" s="977">
        <v>4</v>
      </c>
      <c r="I18" s="81">
        <f t="shared" si="2"/>
        <v>5.6338028169014089</v>
      </c>
      <c r="J18" s="977"/>
      <c r="K18" s="977">
        <v>5</v>
      </c>
      <c r="L18" s="81">
        <f t="shared" si="3"/>
        <v>7.042253521126761</v>
      </c>
      <c r="M18" s="977"/>
      <c r="N18" s="977">
        <v>9</v>
      </c>
      <c r="O18" s="81">
        <f t="shared" si="4"/>
        <v>12.676056338028168</v>
      </c>
      <c r="P18" s="977"/>
      <c r="Q18" s="977">
        <v>49</v>
      </c>
      <c r="R18" s="81">
        <f t="shared" si="5"/>
        <v>69.014084507042256</v>
      </c>
      <c r="S18" s="95"/>
    </row>
    <row r="19" spans="1:19">
      <c r="A19" s="95" t="s">
        <v>164</v>
      </c>
      <c r="B19" s="560">
        <f t="shared" si="0"/>
        <v>100</v>
      </c>
      <c r="C19" s="81">
        <f t="shared" si="6"/>
        <v>0.43232026285071984</v>
      </c>
      <c r="D19" s="560"/>
      <c r="E19" s="977">
        <v>10</v>
      </c>
      <c r="F19" s="81">
        <f t="shared" si="1"/>
        <v>10</v>
      </c>
      <c r="G19" s="977"/>
      <c r="H19" s="977">
        <v>6</v>
      </c>
      <c r="I19" s="81">
        <f t="shared" si="2"/>
        <v>6</v>
      </c>
      <c r="J19" s="977"/>
      <c r="K19" s="977">
        <v>15</v>
      </c>
      <c r="L19" s="81">
        <f t="shared" si="3"/>
        <v>15</v>
      </c>
      <c r="M19" s="977"/>
      <c r="N19" s="977">
        <v>20</v>
      </c>
      <c r="O19" s="81">
        <f t="shared" si="4"/>
        <v>20</v>
      </c>
      <c r="P19" s="977"/>
      <c r="Q19" s="977">
        <v>49</v>
      </c>
      <c r="R19" s="81">
        <f t="shared" si="5"/>
        <v>49</v>
      </c>
      <c r="S19" s="95"/>
    </row>
    <row r="20" spans="1:19">
      <c r="A20" s="95" t="s">
        <v>165</v>
      </c>
      <c r="B20" s="560">
        <f t="shared" si="0"/>
        <v>258</v>
      </c>
      <c r="C20" s="81">
        <f t="shared" si="6"/>
        <v>1.1153862781548571</v>
      </c>
      <c r="D20" s="560"/>
      <c r="E20" s="977">
        <v>17</v>
      </c>
      <c r="F20" s="81">
        <f t="shared" si="1"/>
        <v>6.5891472868217065</v>
      </c>
      <c r="G20" s="977"/>
      <c r="H20" s="977">
        <v>15</v>
      </c>
      <c r="I20" s="81">
        <f t="shared" si="2"/>
        <v>5.8139534883720927</v>
      </c>
      <c r="J20" s="977"/>
      <c r="K20" s="977">
        <v>32</v>
      </c>
      <c r="L20" s="81">
        <f t="shared" si="3"/>
        <v>12.403100775193799</v>
      </c>
      <c r="M20" s="977"/>
      <c r="N20" s="977">
        <v>33</v>
      </c>
      <c r="O20" s="81">
        <f t="shared" si="4"/>
        <v>12.790697674418606</v>
      </c>
      <c r="P20" s="977"/>
      <c r="Q20" s="977">
        <v>161</v>
      </c>
      <c r="R20" s="81">
        <f t="shared" si="5"/>
        <v>62.403100775193799</v>
      </c>
      <c r="S20" s="95"/>
    </row>
    <row r="21" spans="1:19">
      <c r="B21" s="560" t="str">
        <f t="shared" si="0"/>
        <v/>
      </c>
      <c r="C21" s="81" t="str">
        <f t="shared" si="6"/>
        <v/>
      </c>
      <c r="D21" s="560"/>
      <c r="E21" s="560"/>
      <c r="F21" s="81" t="str">
        <f t="shared" si="1"/>
        <v/>
      </c>
      <c r="G21" s="560"/>
      <c r="H21" s="560"/>
      <c r="I21" s="81" t="str">
        <f t="shared" si="2"/>
        <v/>
      </c>
      <c r="J21" s="560"/>
      <c r="K21" s="560"/>
      <c r="L21" s="81" t="str">
        <f t="shared" si="3"/>
        <v/>
      </c>
      <c r="M21" s="560"/>
      <c r="N21" s="560"/>
      <c r="O21" s="81" t="str">
        <f t="shared" si="4"/>
        <v/>
      </c>
      <c r="P21" s="560"/>
      <c r="Q21" s="560"/>
      <c r="R21" s="81" t="str">
        <f t="shared" si="5"/>
        <v/>
      </c>
      <c r="S21" s="560"/>
    </row>
    <row r="22" spans="1:19">
      <c r="A22" s="95" t="s">
        <v>166</v>
      </c>
      <c r="B22" s="560">
        <f t="shared" si="0"/>
        <v>988</v>
      </c>
      <c r="C22" s="81">
        <f t="shared" si="6"/>
        <v>4.2713241969651117</v>
      </c>
      <c r="D22" s="560"/>
      <c r="E22" s="560">
        <f>SUM(E23:E25)</f>
        <v>44</v>
      </c>
      <c r="F22" s="81">
        <f t="shared" si="1"/>
        <v>4.4534412955465585</v>
      </c>
      <c r="G22" s="560"/>
      <c r="H22" s="560">
        <f>SUM(H23:H25)</f>
        <v>62</v>
      </c>
      <c r="I22" s="81">
        <f t="shared" si="2"/>
        <v>6.2753036437246958</v>
      </c>
      <c r="J22" s="560"/>
      <c r="K22" s="560">
        <f>SUM(K23:K25)</f>
        <v>91</v>
      </c>
      <c r="L22" s="81">
        <f t="shared" si="3"/>
        <v>9.2105263157894726</v>
      </c>
      <c r="M22" s="560"/>
      <c r="N22" s="560">
        <f>SUM(N23:N25)</f>
        <v>121</v>
      </c>
      <c r="O22" s="81">
        <f t="shared" si="4"/>
        <v>12.246963562753036</v>
      </c>
      <c r="P22" s="560"/>
      <c r="Q22" s="560">
        <f>SUM(Q23:Q25)</f>
        <v>670</v>
      </c>
      <c r="R22" s="81">
        <f t="shared" si="5"/>
        <v>67.813765182186231</v>
      </c>
      <c r="S22" s="560"/>
    </row>
    <row r="23" spans="1:19">
      <c r="A23" s="95" t="s">
        <v>167</v>
      </c>
      <c r="B23" s="560">
        <f t="shared" si="0"/>
        <v>336</v>
      </c>
      <c r="C23" s="81">
        <f t="shared" si="6"/>
        <v>1.4525960831784186</v>
      </c>
      <c r="D23" s="560"/>
      <c r="E23" s="977">
        <v>8</v>
      </c>
      <c r="F23" s="81">
        <f t="shared" si="1"/>
        <v>2.3809523809523809</v>
      </c>
      <c r="G23" s="977"/>
      <c r="H23" s="977">
        <v>28</v>
      </c>
      <c r="I23" s="81">
        <f t="shared" si="2"/>
        <v>8.3333333333333321</v>
      </c>
      <c r="J23" s="977"/>
      <c r="K23" s="977">
        <v>35</v>
      </c>
      <c r="L23" s="81">
        <f t="shared" si="3"/>
        <v>10.416666666666668</v>
      </c>
      <c r="M23" s="977"/>
      <c r="N23" s="977">
        <v>43</v>
      </c>
      <c r="O23" s="81">
        <f t="shared" si="4"/>
        <v>12.797619047619047</v>
      </c>
      <c r="P23" s="977"/>
      <c r="Q23" s="977">
        <v>222</v>
      </c>
      <c r="R23" s="81">
        <f t="shared" si="5"/>
        <v>66.071428571428569</v>
      </c>
      <c r="S23" s="95"/>
    </row>
    <row r="24" spans="1:19">
      <c r="A24" s="95" t="s">
        <v>168</v>
      </c>
      <c r="B24" s="560">
        <f t="shared" si="0"/>
        <v>123</v>
      </c>
      <c r="C24" s="81">
        <f t="shared" si="6"/>
        <v>0.53175392330638538</v>
      </c>
      <c r="D24" s="560"/>
      <c r="E24" s="977">
        <v>2</v>
      </c>
      <c r="F24" s="81">
        <f t="shared" si="1"/>
        <v>1.6260162601626018</v>
      </c>
      <c r="G24" s="977"/>
      <c r="H24" s="977">
        <v>6</v>
      </c>
      <c r="I24" s="81">
        <f t="shared" si="2"/>
        <v>4.8780487804878048</v>
      </c>
      <c r="J24" s="977"/>
      <c r="K24" s="977">
        <v>9</v>
      </c>
      <c r="L24" s="81">
        <f t="shared" si="3"/>
        <v>7.3170731707317067</v>
      </c>
      <c r="M24" s="977"/>
      <c r="N24" s="977">
        <v>11</v>
      </c>
      <c r="O24" s="81">
        <f t="shared" si="4"/>
        <v>8.9430894308943092</v>
      </c>
      <c r="P24" s="977"/>
      <c r="Q24" s="977">
        <v>95</v>
      </c>
      <c r="R24" s="81">
        <f t="shared" si="5"/>
        <v>77.235772357723576</v>
      </c>
      <c r="S24" s="95"/>
    </row>
    <row r="25" spans="1:19">
      <c r="A25" s="95" t="s">
        <v>169</v>
      </c>
      <c r="B25" s="560">
        <f t="shared" si="0"/>
        <v>529</v>
      </c>
      <c r="C25" s="81">
        <f t="shared" si="6"/>
        <v>2.2869741904803078</v>
      </c>
      <c r="D25" s="560"/>
      <c r="E25" s="977">
        <v>34</v>
      </c>
      <c r="F25" s="81">
        <f t="shared" si="1"/>
        <v>6.4272211720226844</v>
      </c>
      <c r="G25" s="977"/>
      <c r="H25" s="977">
        <v>28</v>
      </c>
      <c r="I25" s="81">
        <f t="shared" si="2"/>
        <v>5.2930056710775046</v>
      </c>
      <c r="J25" s="977"/>
      <c r="K25" s="977">
        <v>47</v>
      </c>
      <c r="L25" s="81">
        <f t="shared" si="3"/>
        <v>8.8846880907372405</v>
      </c>
      <c r="M25" s="977"/>
      <c r="N25" s="977">
        <v>67</v>
      </c>
      <c r="O25" s="81">
        <f t="shared" si="4"/>
        <v>12.665406427221171</v>
      </c>
      <c r="P25" s="977"/>
      <c r="Q25" s="977">
        <v>353</v>
      </c>
      <c r="R25" s="81">
        <f t="shared" si="5"/>
        <v>66.729678638941408</v>
      </c>
      <c r="S25" s="95"/>
    </row>
    <row r="26" spans="1:19">
      <c r="B26" s="560" t="str">
        <f t="shared" si="0"/>
        <v/>
      </c>
      <c r="C26" s="81" t="str">
        <f t="shared" si="6"/>
        <v/>
      </c>
      <c r="D26" s="560"/>
      <c r="E26" s="560"/>
      <c r="F26" s="81" t="str">
        <f t="shared" si="1"/>
        <v/>
      </c>
      <c r="G26" s="560"/>
      <c r="H26" s="560"/>
      <c r="I26" s="81" t="str">
        <f t="shared" si="2"/>
        <v/>
      </c>
      <c r="J26" s="560"/>
      <c r="K26" s="560"/>
      <c r="L26" s="81" t="str">
        <f t="shared" si="3"/>
        <v/>
      </c>
      <c r="M26" s="560"/>
      <c r="N26" s="560"/>
      <c r="O26" s="81" t="str">
        <f t="shared" si="4"/>
        <v/>
      </c>
      <c r="P26" s="560"/>
      <c r="Q26" s="560"/>
      <c r="R26" s="81" t="str">
        <f t="shared" si="5"/>
        <v/>
      </c>
      <c r="S26" s="560"/>
    </row>
    <row r="27" spans="1:19" s="55" customFormat="1">
      <c r="A27" s="55" t="s">
        <v>464</v>
      </c>
      <c r="B27" s="626">
        <f t="shared" si="0"/>
        <v>986</v>
      </c>
      <c r="C27" s="19">
        <f t="shared" si="6"/>
        <v>4.2626777917080974</v>
      </c>
      <c r="D27" s="626"/>
      <c r="E27" s="626">
        <f>SUM(E28)</f>
        <v>57</v>
      </c>
      <c r="F27" s="19">
        <f t="shared" si="1"/>
        <v>5.7809330628803242</v>
      </c>
      <c r="G27" s="626"/>
      <c r="H27" s="626">
        <f>SUM(H28)</f>
        <v>64</v>
      </c>
      <c r="I27" s="19">
        <f t="shared" si="2"/>
        <v>6.4908722109533468</v>
      </c>
      <c r="J27" s="626"/>
      <c r="K27" s="626">
        <f>SUM(K28)</f>
        <v>102</v>
      </c>
      <c r="L27" s="19">
        <f t="shared" si="3"/>
        <v>10.344827586206897</v>
      </c>
      <c r="M27" s="626"/>
      <c r="N27" s="626">
        <f>SUM(N28)</f>
        <v>133</v>
      </c>
      <c r="O27" s="19">
        <f t="shared" si="4"/>
        <v>13.488843813387424</v>
      </c>
      <c r="P27" s="626"/>
      <c r="Q27" s="626">
        <f>SUM(Q28)</f>
        <v>630</v>
      </c>
      <c r="R27" s="19">
        <f t="shared" si="5"/>
        <v>63.894523326572006</v>
      </c>
      <c r="S27" s="626"/>
    </row>
    <row r="28" spans="1:19">
      <c r="A28" s="95" t="s">
        <v>171</v>
      </c>
      <c r="B28" s="560">
        <f t="shared" si="0"/>
        <v>986</v>
      </c>
      <c r="C28" s="81">
        <f t="shared" si="6"/>
        <v>4.2626777917080974</v>
      </c>
      <c r="D28" s="560"/>
      <c r="E28" s="560">
        <f>SUM(E29:E33)</f>
        <v>57</v>
      </c>
      <c r="F28" s="81">
        <f t="shared" si="1"/>
        <v>5.7809330628803242</v>
      </c>
      <c r="G28" s="560"/>
      <c r="H28" s="560">
        <f>SUM(H29:H33)</f>
        <v>64</v>
      </c>
      <c r="I28" s="81">
        <f t="shared" si="2"/>
        <v>6.4908722109533468</v>
      </c>
      <c r="J28" s="560"/>
      <c r="K28" s="560">
        <f>SUM(K29:K33)</f>
        <v>102</v>
      </c>
      <c r="L28" s="81">
        <f t="shared" si="3"/>
        <v>10.344827586206897</v>
      </c>
      <c r="M28" s="560"/>
      <c r="N28" s="560">
        <f>SUM(N29:N33)</f>
        <v>133</v>
      </c>
      <c r="O28" s="81">
        <f t="shared" si="4"/>
        <v>13.488843813387424</v>
      </c>
      <c r="P28" s="560"/>
      <c r="Q28" s="560">
        <f>SUM(Q29:Q33)</f>
        <v>630</v>
      </c>
      <c r="R28" s="81">
        <f t="shared" si="5"/>
        <v>63.894523326572006</v>
      </c>
      <c r="S28" s="560"/>
    </row>
    <row r="29" spans="1:19">
      <c r="A29" s="95" t="s">
        <v>172</v>
      </c>
      <c r="B29" s="560">
        <f t="shared" si="0"/>
        <v>152</v>
      </c>
      <c r="C29" s="81">
        <f t="shared" si="6"/>
        <v>0.65712679953309416</v>
      </c>
      <c r="D29" s="560"/>
      <c r="E29" s="977">
        <v>9</v>
      </c>
      <c r="F29" s="81">
        <f t="shared" si="1"/>
        <v>5.9210526315789469</v>
      </c>
      <c r="G29" s="977"/>
      <c r="H29" s="977">
        <v>7</v>
      </c>
      <c r="I29" s="81">
        <f t="shared" si="2"/>
        <v>4.6052631578947363</v>
      </c>
      <c r="J29" s="977"/>
      <c r="K29" s="977">
        <v>19</v>
      </c>
      <c r="L29" s="81">
        <f t="shared" si="3"/>
        <v>12.5</v>
      </c>
      <c r="M29" s="977"/>
      <c r="N29" s="977">
        <v>25</v>
      </c>
      <c r="O29" s="81">
        <f t="shared" si="4"/>
        <v>16.447368421052634</v>
      </c>
      <c r="P29" s="977"/>
      <c r="Q29" s="977">
        <v>92</v>
      </c>
      <c r="R29" s="81">
        <f t="shared" si="5"/>
        <v>60.526315789473685</v>
      </c>
      <c r="S29" s="95"/>
    </row>
    <row r="30" spans="1:19">
      <c r="A30" s="95" t="s">
        <v>173</v>
      </c>
      <c r="B30" s="560">
        <f t="shared" si="0"/>
        <v>237</v>
      </c>
      <c r="C30" s="81">
        <f t="shared" si="6"/>
        <v>1.0245990229562061</v>
      </c>
      <c r="D30" s="560"/>
      <c r="E30" s="977">
        <v>15</v>
      </c>
      <c r="F30" s="81">
        <f t="shared" si="1"/>
        <v>6.3291139240506329</v>
      </c>
      <c r="G30" s="977"/>
      <c r="H30" s="977">
        <v>14</v>
      </c>
      <c r="I30" s="81">
        <f t="shared" si="2"/>
        <v>5.9071729957805905</v>
      </c>
      <c r="J30" s="977"/>
      <c r="K30" s="977">
        <v>32</v>
      </c>
      <c r="L30" s="81">
        <f t="shared" si="3"/>
        <v>13.502109704641349</v>
      </c>
      <c r="M30" s="977"/>
      <c r="N30" s="977">
        <v>32</v>
      </c>
      <c r="O30" s="81">
        <f t="shared" si="4"/>
        <v>13.502109704641349</v>
      </c>
      <c r="P30" s="977"/>
      <c r="Q30" s="977">
        <v>144</v>
      </c>
      <c r="R30" s="81">
        <f t="shared" si="5"/>
        <v>60.75949367088608</v>
      </c>
      <c r="S30" s="95"/>
    </row>
    <row r="31" spans="1:19">
      <c r="A31" s="95" t="s">
        <v>174</v>
      </c>
      <c r="B31" s="560">
        <f t="shared" si="0"/>
        <v>175</v>
      </c>
      <c r="C31" s="81">
        <f t="shared" si="6"/>
        <v>0.75656045998875976</v>
      </c>
      <c r="D31" s="560"/>
      <c r="E31" s="977">
        <v>6</v>
      </c>
      <c r="F31" s="81">
        <f t="shared" si="1"/>
        <v>3.4285714285714288</v>
      </c>
      <c r="G31" s="977"/>
      <c r="H31" s="977">
        <v>14</v>
      </c>
      <c r="I31" s="81">
        <f t="shared" si="2"/>
        <v>8</v>
      </c>
      <c r="J31" s="977"/>
      <c r="K31" s="977">
        <v>16</v>
      </c>
      <c r="L31" s="81">
        <f t="shared" si="3"/>
        <v>9.1428571428571423</v>
      </c>
      <c r="M31" s="977"/>
      <c r="N31" s="977">
        <v>26</v>
      </c>
      <c r="O31" s="81">
        <f t="shared" si="4"/>
        <v>14.857142857142858</v>
      </c>
      <c r="P31" s="977"/>
      <c r="Q31" s="977">
        <v>113</v>
      </c>
      <c r="R31" s="81">
        <f t="shared" si="5"/>
        <v>64.571428571428569</v>
      </c>
      <c r="S31" s="95"/>
    </row>
    <row r="32" spans="1:19">
      <c r="A32" s="95" t="s">
        <v>175</v>
      </c>
      <c r="B32" s="560">
        <f t="shared" si="0"/>
        <v>254</v>
      </c>
      <c r="C32" s="81">
        <f t="shared" si="6"/>
        <v>1.0980934676408283</v>
      </c>
      <c r="D32" s="560"/>
      <c r="E32" s="977">
        <v>13</v>
      </c>
      <c r="F32" s="81">
        <f t="shared" si="1"/>
        <v>5.1181102362204722</v>
      </c>
      <c r="G32" s="977"/>
      <c r="H32" s="977">
        <v>13</v>
      </c>
      <c r="I32" s="81">
        <f t="shared" si="2"/>
        <v>5.1181102362204722</v>
      </c>
      <c r="J32" s="977"/>
      <c r="K32" s="977">
        <v>19</v>
      </c>
      <c r="L32" s="81">
        <f t="shared" si="3"/>
        <v>7.4803149606299222</v>
      </c>
      <c r="M32" s="977"/>
      <c r="N32" s="977">
        <v>30</v>
      </c>
      <c r="O32" s="81">
        <f t="shared" si="4"/>
        <v>11.811023622047244</v>
      </c>
      <c r="P32" s="977"/>
      <c r="Q32" s="977">
        <v>179</v>
      </c>
      <c r="R32" s="81">
        <f t="shared" si="5"/>
        <v>70.472440944881882</v>
      </c>
      <c r="S32" s="95"/>
    </row>
    <row r="33" spans="1:19">
      <c r="A33" s="95" t="s">
        <v>176</v>
      </c>
      <c r="B33" s="560">
        <f t="shared" si="0"/>
        <v>168</v>
      </c>
      <c r="C33" s="81">
        <f t="shared" si="6"/>
        <v>0.7262980415892093</v>
      </c>
      <c r="D33" s="560"/>
      <c r="E33" s="977">
        <v>14</v>
      </c>
      <c r="F33" s="81">
        <f t="shared" si="1"/>
        <v>8.3333333333333321</v>
      </c>
      <c r="G33" s="977"/>
      <c r="H33" s="977">
        <v>16</v>
      </c>
      <c r="I33" s="81">
        <f t="shared" si="2"/>
        <v>9.5238095238095237</v>
      </c>
      <c r="J33" s="977"/>
      <c r="K33" s="977">
        <v>16</v>
      </c>
      <c r="L33" s="81">
        <f t="shared" si="3"/>
        <v>9.5238095238095237</v>
      </c>
      <c r="M33" s="977"/>
      <c r="N33" s="977">
        <v>20</v>
      </c>
      <c r="O33" s="81">
        <f t="shared" si="4"/>
        <v>11.904761904761903</v>
      </c>
      <c r="P33" s="977"/>
      <c r="Q33" s="977">
        <v>102</v>
      </c>
      <c r="R33" s="81">
        <f t="shared" si="5"/>
        <v>60.714285714285708</v>
      </c>
      <c r="S33" s="95"/>
    </row>
    <row r="34" spans="1:19">
      <c r="B34" s="560" t="str">
        <f t="shared" si="0"/>
        <v/>
      </c>
      <c r="C34" s="81" t="str">
        <f t="shared" si="6"/>
        <v/>
      </c>
      <c r="D34" s="560"/>
      <c r="E34" s="560"/>
      <c r="F34" s="81" t="str">
        <f t="shared" si="1"/>
        <v/>
      </c>
      <c r="G34" s="560"/>
      <c r="H34" s="560"/>
      <c r="I34" s="81" t="str">
        <f t="shared" si="2"/>
        <v/>
      </c>
      <c r="J34" s="560"/>
      <c r="K34" s="560"/>
      <c r="L34" s="81" t="str">
        <f t="shared" si="3"/>
        <v/>
      </c>
      <c r="M34" s="560"/>
      <c r="N34" s="560"/>
      <c r="O34" s="81" t="str">
        <f t="shared" si="4"/>
        <v/>
      </c>
      <c r="P34" s="560"/>
      <c r="Q34" s="560"/>
      <c r="R34" s="81" t="str">
        <f t="shared" si="5"/>
        <v/>
      </c>
      <c r="S34" s="560"/>
    </row>
    <row r="35" spans="1:19" s="55" customFormat="1">
      <c r="A35" s="55" t="s">
        <v>406</v>
      </c>
      <c r="B35" s="626">
        <f t="shared" si="0"/>
        <v>6682</v>
      </c>
      <c r="C35" s="19">
        <f t="shared" si="6"/>
        <v>28.887639963685096</v>
      </c>
      <c r="D35" s="626"/>
      <c r="E35" s="626">
        <f>SUM(E36+E42+E52+E54)</f>
        <v>357</v>
      </c>
      <c r="F35" s="19">
        <f t="shared" si="1"/>
        <v>5.3427117629452257</v>
      </c>
      <c r="G35" s="626"/>
      <c r="H35" s="626">
        <f>SUM(H36+H42+H52+H54)</f>
        <v>406</v>
      </c>
      <c r="I35" s="19">
        <f t="shared" si="2"/>
        <v>6.0760251421730018</v>
      </c>
      <c r="J35" s="626"/>
      <c r="K35" s="626">
        <f>SUM(K36+K42+K52+K54)</f>
        <v>602</v>
      </c>
      <c r="L35" s="19">
        <f t="shared" si="3"/>
        <v>9.0092786590841065</v>
      </c>
      <c r="M35" s="626"/>
      <c r="N35" s="626">
        <f>SUM(N36+N42+N52+N54)</f>
        <v>757</v>
      </c>
      <c r="O35" s="19">
        <f t="shared" si="4"/>
        <v>11.328943430110746</v>
      </c>
      <c r="P35" s="626"/>
      <c r="Q35" s="626">
        <f>SUM(Q36+Q42+Q52+Q54)</f>
        <v>4560</v>
      </c>
      <c r="R35" s="19">
        <f t="shared" si="5"/>
        <v>68.243041005686919</v>
      </c>
      <c r="S35" s="626"/>
    </row>
    <row r="36" spans="1:19">
      <c r="A36" s="95" t="s">
        <v>178</v>
      </c>
      <c r="B36" s="560">
        <f t="shared" si="0"/>
        <v>2259</v>
      </c>
      <c r="C36" s="81">
        <f t="shared" si="6"/>
        <v>9.7661147377977606</v>
      </c>
      <c r="D36" s="560"/>
      <c r="E36" s="560">
        <f>SUM(E37:E40)</f>
        <v>142</v>
      </c>
      <c r="F36" s="81">
        <f t="shared" si="1"/>
        <v>6.285967242142541</v>
      </c>
      <c r="G36" s="560"/>
      <c r="H36" s="560">
        <f>SUM(H37:H40)</f>
        <v>135</v>
      </c>
      <c r="I36" s="81">
        <f t="shared" si="2"/>
        <v>5.9760956175298805</v>
      </c>
      <c r="J36" s="560"/>
      <c r="K36" s="560">
        <f>SUM(K37:K40)</f>
        <v>221</v>
      </c>
      <c r="L36" s="81">
        <f t="shared" si="3"/>
        <v>9.7830898627711385</v>
      </c>
      <c r="M36" s="560"/>
      <c r="N36" s="560">
        <f>SUM(N37:N40)</f>
        <v>271</v>
      </c>
      <c r="O36" s="81">
        <f t="shared" si="4"/>
        <v>11.996458610004426</v>
      </c>
      <c r="P36" s="560"/>
      <c r="Q36" s="560">
        <f>SUM(Q37:Q40)</f>
        <v>1490</v>
      </c>
      <c r="R36" s="81">
        <f t="shared" si="5"/>
        <v>65.958388667552015</v>
      </c>
      <c r="S36" s="560"/>
    </row>
    <row r="37" spans="1:19">
      <c r="A37" s="95" t="s">
        <v>179</v>
      </c>
      <c r="B37" s="560">
        <f t="shared" si="0"/>
        <v>1222</v>
      </c>
      <c r="C37" s="81">
        <f t="shared" si="6"/>
        <v>5.2829536120357963</v>
      </c>
      <c r="D37" s="560"/>
      <c r="E37" s="977">
        <v>75</v>
      </c>
      <c r="F37" s="81">
        <f t="shared" si="1"/>
        <v>6.1374795417348613</v>
      </c>
      <c r="G37" s="977"/>
      <c r="H37" s="977">
        <v>77</v>
      </c>
      <c r="I37" s="81">
        <f t="shared" si="2"/>
        <v>6.30114566284779</v>
      </c>
      <c r="J37" s="977"/>
      <c r="K37" s="977">
        <v>122</v>
      </c>
      <c r="L37" s="81">
        <f t="shared" si="3"/>
        <v>9.9836333878887071</v>
      </c>
      <c r="M37" s="977"/>
      <c r="N37" s="977">
        <v>142</v>
      </c>
      <c r="O37" s="81">
        <f t="shared" si="4"/>
        <v>11.620294599018004</v>
      </c>
      <c r="P37" s="977"/>
      <c r="Q37" s="977">
        <v>806</v>
      </c>
      <c r="R37" s="81">
        <f t="shared" si="5"/>
        <v>65.957446808510639</v>
      </c>
      <c r="S37" s="95"/>
    </row>
    <row r="38" spans="1:19">
      <c r="A38" s="95" t="s">
        <v>180</v>
      </c>
      <c r="B38" s="560">
        <f t="shared" si="0"/>
        <v>600</v>
      </c>
      <c r="C38" s="81">
        <f t="shared" si="6"/>
        <v>2.5939215771043189</v>
      </c>
      <c r="D38" s="560"/>
      <c r="E38" s="977">
        <v>35</v>
      </c>
      <c r="F38" s="81">
        <f t="shared" si="1"/>
        <v>5.833333333333333</v>
      </c>
      <c r="G38" s="977"/>
      <c r="H38" s="977">
        <v>34</v>
      </c>
      <c r="I38" s="81">
        <f t="shared" si="2"/>
        <v>5.6666666666666661</v>
      </c>
      <c r="J38" s="977"/>
      <c r="K38" s="977">
        <v>55</v>
      </c>
      <c r="L38" s="81">
        <f t="shared" si="3"/>
        <v>9.1666666666666661</v>
      </c>
      <c r="M38" s="977"/>
      <c r="N38" s="977">
        <v>77</v>
      </c>
      <c r="O38" s="81">
        <f t="shared" si="4"/>
        <v>12.833333333333332</v>
      </c>
      <c r="P38" s="977"/>
      <c r="Q38" s="977">
        <v>399</v>
      </c>
      <c r="R38" s="81">
        <f t="shared" si="5"/>
        <v>66.5</v>
      </c>
      <c r="S38" s="95"/>
    </row>
    <row r="39" spans="1:19">
      <c r="A39" s="95" t="s">
        <v>181</v>
      </c>
      <c r="B39" s="560">
        <f t="shared" si="0"/>
        <v>188</v>
      </c>
      <c r="C39" s="81">
        <f t="shared" si="6"/>
        <v>0.8127620941593533</v>
      </c>
      <c r="D39" s="560"/>
      <c r="E39" s="977">
        <v>17</v>
      </c>
      <c r="F39" s="81">
        <f t="shared" si="1"/>
        <v>9.0425531914893629</v>
      </c>
      <c r="G39" s="977"/>
      <c r="H39" s="977">
        <v>10</v>
      </c>
      <c r="I39" s="81">
        <f t="shared" si="2"/>
        <v>5.3191489361702127</v>
      </c>
      <c r="J39" s="977"/>
      <c r="K39" s="977">
        <v>21</v>
      </c>
      <c r="L39" s="81">
        <f t="shared" si="3"/>
        <v>11.170212765957446</v>
      </c>
      <c r="M39" s="977"/>
      <c r="N39" s="977">
        <v>25</v>
      </c>
      <c r="O39" s="81">
        <f t="shared" si="4"/>
        <v>13.297872340425531</v>
      </c>
      <c r="P39" s="977"/>
      <c r="Q39" s="977">
        <v>115</v>
      </c>
      <c r="R39" s="81">
        <f t="shared" si="5"/>
        <v>61.170212765957444</v>
      </c>
      <c r="S39" s="95"/>
    </row>
    <row r="40" spans="1:19">
      <c r="A40" s="95" t="s">
        <v>182</v>
      </c>
      <c r="B40" s="560">
        <f t="shared" si="0"/>
        <v>249</v>
      </c>
      <c r="C40" s="81">
        <f t="shared" si="6"/>
        <v>1.0764774544982922</v>
      </c>
      <c r="D40" s="560"/>
      <c r="E40" s="977">
        <v>15</v>
      </c>
      <c r="F40" s="81">
        <f t="shared" si="1"/>
        <v>6.024096385542169</v>
      </c>
      <c r="G40" s="977"/>
      <c r="H40" s="977">
        <v>14</v>
      </c>
      <c r="I40" s="81">
        <f t="shared" si="2"/>
        <v>5.6224899598393572</v>
      </c>
      <c r="J40" s="977"/>
      <c r="K40" s="977">
        <v>23</v>
      </c>
      <c r="L40" s="81">
        <f t="shared" si="3"/>
        <v>9.236947791164658</v>
      </c>
      <c r="M40" s="977"/>
      <c r="N40" s="977">
        <v>27</v>
      </c>
      <c r="O40" s="81">
        <f t="shared" si="4"/>
        <v>10.843373493975903</v>
      </c>
      <c r="P40" s="977"/>
      <c r="Q40" s="977">
        <v>170</v>
      </c>
      <c r="R40" s="81">
        <f t="shared" si="5"/>
        <v>68.273092369477922</v>
      </c>
      <c r="S40" s="95"/>
    </row>
    <row r="41" spans="1:19">
      <c r="B41" s="560" t="str">
        <f t="shared" si="0"/>
        <v/>
      </c>
      <c r="C41" s="81" t="str">
        <f t="shared" si="6"/>
        <v/>
      </c>
      <c r="D41" s="560"/>
      <c r="E41" s="560"/>
      <c r="F41" s="81" t="str">
        <f t="shared" si="1"/>
        <v/>
      </c>
      <c r="G41" s="560"/>
      <c r="H41" s="560"/>
      <c r="I41" s="81" t="str">
        <f t="shared" si="2"/>
        <v/>
      </c>
      <c r="J41" s="560"/>
      <c r="K41" s="560"/>
      <c r="L41" s="81" t="str">
        <f t="shared" si="3"/>
        <v/>
      </c>
      <c r="M41" s="560"/>
      <c r="N41" s="560"/>
      <c r="O41" s="81" t="str">
        <f t="shared" si="4"/>
        <v/>
      </c>
      <c r="P41" s="560"/>
      <c r="Q41" s="560"/>
      <c r="R41" s="81" t="str">
        <f t="shared" si="5"/>
        <v/>
      </c>
      <c r="S41" s="560"/>
    </row>
    <row r="42" spans="1:19">
      <c r="A42" s="95" t="s">
        <v>183</v>
      </c>
      <c r="B42" s="560">
        <f t="shared" si="0"/>
        <v>1937</v>
      </c>
      <c r="C42" s="81">
        <f t="shared" si="6"/>
        <v>8.3740434914184423</v>
      </c>
      <c r="D42" s="560"/>
      <c r="E42" s="560">
        <f>SUM(E43:E50)</f>
        <v>103</v>
      </c>
      <c r="F42" s="81">
        <f t="shared" si="1"/>
        <v>5.3175012906556534</v>
      </c>
      <c r="G42" s="560"/>
      <c r="H42" s="560">
        <f>SUM(H43:H50)</f>
        <v>131</v>
      </c>
      <c r="I42" s="81">
        <f t="shared" si="2"/>
        <v>6.7630356220960248</v>
      </c>
      <c r="J42" s="560"/>
      <c r="K42" s="560">
        <f>SUM(K43:K50)</f>
        <v>188</v>
      </c>
      <c r="L42" s="81">
        <f t="shared" si="3"/>
        <v>9.7057305110996381</v>
      </c>
      <c r="M42" s="560"/>
      <c r="N42" s="560">
        <f>SUM(N43:N50)</f>
        <v>198</v>
      </c>
      <c r="O42" s="81">
        <f t="shared" si="4"/>
        <v>10.221992772328342</v>
      </c>
      <c r="P42" s="560"/>
      <c r="Q42" s="560">
        <f>SUM(Q43:Q50)</f>
        <v>1317</v>
      </c>
      <c r="R42" s="81">
        <f t="shared" si="5"/>
        <v>67.991739803820337</v>
      </c>
      <c r="S42" s="560"/>
    </row>
    <row r="43" spans="1:19">
      <c r="A43" s="95" t="s">
        <v>407</v>
      </c>
      <c r="B43" s="560">
        <f t="shared" si="0"/>
        <v>224</v>
      </c>
      <c r="C43" s="81">
        <f t="shared" si="6"/>
        <v>0.96839738878561243</v>
      </c>
      <c r="D43" s="560"/>
      <c r="E43" s="977">
        <v>10</v>
      </c>
      <c r="F43" s="81">
        <f t="shared" si="1"/>
        <v>4.4642857142857144</v>
      </c>
      <c r="G43" s="977"/>
      <c r="H43" s="977">
        <v>13</v>
      </c>
      <c r="I43" s="81">
        <f t="shared" si="2"/>
        <v>5.8035714285714288</v>
      </c>
      <c r="J43" s="977"/>
      <c r="K43" s="977">
        <v>28</v>
      </c>
      <c r="L43" s="81">
        <f t="shared" si="3"/>
        <v>12.5</v>
      </c>
      <c r="M43" s="977"/>
      <c r="N43" s="977">
        <v>21</v>
      </c>
      <c r="O43" s="81">
        <f t="shared" si="4"/>
        <v>9.375</v>
      </c>
      <c r="P43" s="977"/>
      <c r="Q43" s="977">
        <v>152</v>
      </c>
      <c r="R43" s="81">
        <f t="shared" si="5"/>
        <v>67.857142857142861</v>
      </c>
      <c r="S43" s="95"/>
    </row>
    <row r="44" spans="1:19">
      <c r="A44" s="95" t="s">
        <v>184</v>
      </c>
      <c r="B44" s="560">
        <f t="shared" si="0"/>
        <v>222</v>
      </c>
      <c r="C44" s="81">
        <f t="shared" si="6"/>
        <v>0.959750983528598</v>
      </c>
      <c r="D44" s="560"/>
      <c r="E44" s="977">
        <v>10</v>
      </c>
      <c r="F44" s="81">
        <f t="shared" si="1"/>
        <v>4.5045045045045047</v>
      </c>
      <c r="G44" s="977"/>
      <c r="H44" s="977">
        <v>11</v>
      </c>
      <c r="I44" s="81">
        <f t="shared" si="2"/>
        <v>4.954954954954955</v>
      </c>
      <c r="J44" s="977"/>
      <c r="K44" s="977">
        <v>13</v>
      </c>
      <c r="L44" s="81">
        <f t="shared" si="3"/>
        <v>5.8558558558558556</v>
      </c>
      <c r="M44" s="977"/>
      <c r="N44" s="977">
        <v>20</v>
      </c>
      <c r="O44" s="81">
        <f t="shared" si="4"/>
        <v>9.0090090090090094</v>
      </c>
      <c r="P44" s="977"/>
      <c r="Q44" s="977">
        <v>168</v>
      </c>
      <c r="R44" s="81">
        <f t="shared" si="5"/>
        <v>75.675675675675677</v>
      </c>
      <c r="S44" s="95"/>
    </row>
    <row r="45" spans="1:19">
      <c r="A45" s="95" t="s">
        <v>185</v>
      </c>
      <c r="B45" s="560">
        <f t="shared" si="0"/>
        <v>124</v>
      </c>
      <c r="C45" s="81">
        <f t="shared" si="6"/>
        <v>0.53607712593489254</v>
      </c>
      <c r="D45" s="560"/>
      <c r="E45" s="977">
        <v>13</v>
      </c>
      <c r="F45" s="81">
        <f t="shared" si="1"/>
        <v>10.483870967741936</v>
      </c>
      <c r="G45" s="977"/>
      <c r="H45" s="977">
        <v>12</v>
      </c>
      <c r="I45" s="81">
        <f t="shared" si="2"/>
        <v>9.67741935483871</v>
      </c>
      <c r="J45" s="977"/>
      <c r="K45" s="977">
        <v>24</v>
      </c>
      <c r="L45" s="81">
        <f t="shared" si="3"/>
        <v>19.35483870967742</v>
      </c>
      <c r="M45" s="977"/>
      <c r="N45" s="977">
        <v>15</v>
      </c>
      <c r="O45" s="81">
        <f t="shared" si="4"/>
        <v>12.096774193548388</v>
      </c>
      <c r="P45" s="977"/>
      <c r="Q45" s="977">
        <v>60</v>
      </c>
      <c r="R45" s="81">
        <f t="shared" si="5"/>
        <v>48.387096774193552</v>
      </c>
      <c r="S45" s="95"/>
    </row>
    <row r="46" spans="1:19">
      <c r="A46" s="95" t="s">
        <v>186</v>
      </c>
      <c r="B46" s="560">
        <f t="shared" si="0"/>
        <v>282</v>
      </c>
      <c r="C46" s="81">
        <f t="shared" si="6"/>
        <v>1.2191431412390299</v>
      </c>
      <c r="D46" s="560"/>
      <c r="E46" s="977">
        <v>10</v>
      </c>
      <c r="F46" s="81">
        <f t="shared" si="1"/>
        <v>3.5460992907801421</v>
      </c>
      <c r="G46" s="977"/>
      <c r="H46" s="977">
        <v>23</v>
      </c>
      <c r="I46" s="81">
        <f t="shared" si="2"/>
        <v>8.1560283687943276</v>
      </c>
      <c r="J46" s="977"/>
      <c r="K46" s="977">
        <v>29</v>
      </c>
      <c r="L46" s="81">
        <f t="shared" si="3"/>
        <v>10.283687943262411</v>
      </c>
      <c r="M46" s="977"/>
      <c r="N46" s="977">
        <v>29</v>
      </c>
      <c r="O46" s="81">
        <f t="shared" si="4"/>
        <v>10.283687943262411</v>
      </c>
      <c r="P46" s="977"/>
      <c r="Q46" s="977">
        <v>191</v>
      </c>
      <c r="R46" s="81">
        <f t="shared" si="5"/>
        <v>67.730496453900713</v>
      </c>
      <c r="S46" s="95"/>
    </row>
    <row r="47" spans="1:19">
      <c r="A47" s="95" t="s">
        <v>190</v>
      </c>
      <c r="B47" s="560">
        <f t="shared" si="0"/>
        <v>214</v>
      </c>
      <c r="C47" s="81">
        <f t="shared" si="6"/>
        <v>0.92516536250054038</v>
      </c>
      <c r="D47" s="560"/>
      <c r="E47" s="977">
        <v>3</v>
      </c>
      <c r="F47" s="81">
        <f t="shared" si="1"/>
        <v>1.4018691588785046</v>
      </c>
      <c r="G47" s="977"/>
      <c r="H47" s="977">
        <v>10</v>
      </c>
      <c r="I47" s="81">
        <f t="shared" si="2"/>
        <v>4.6728971962616823</v>
      </c>
      <c r="J47" s="977"/>
      <c r="K47" s="977">
        <v>15</v>
      </c>
      <c r="L47" s="81">
        <f t="shared" si="3"/>
        <v>7.009345794392523</v>
      </c>
      <c r="M47" s="977"/>
      <c r="N47" s="977">
        <v>18</v>
      </c>
      <c r="O47" s="81">
        <f t="shared" si="4"/>
        <v>8.4112149532710276</v>
      </c>
      <c r="P47" s="977"/>
      <c r="Q47" s="977">
        <v>168</v>
      </c>
      <c r="R47" s="81">
        <f t="shared" si="5"/>
        <v>78.504672897196258</v>
      </c>
      <c r="S47" s="95"/>
    </row>
    <row r="48" spans="1:19">
      <c r="A48" s="95" t="s">
        <v>408</v>
      </c>
      <c r="B48" s="560">
        <f t="shared" si="0"/>
        <v>405</v>
      </c>
      <c r="C48" s="81">
        <f t="shared" si="6"/>
        <v>1.7508970645454154</v>
      </c>
      <c r="D48" s="560"/>
      <c r="E48" s="977">
        <v>21</v>
      </c>
      <c r="F48" s="81">
        <f t="shared" si="1"/>
        <v>5.1851851851851851</v>
      </c>
      <c r="G48" s="977"/>
      <c r="H48" s="977">
        <v>26</v>
      </c>
      <c r="I48" s="81">
        <f t="shared" si="2"/>
        <v>6.4197530864197532</v>
      </c>
      <c r="J48" s="977"/>
      <c r="K48" s="977">
        <v>39</v>
      </c>
      <c r="L48" s="81">
        <f t="shared" si="3"/>
        <v>9.6296296296296298</v>
      </c>
      <c r="M48" s="977"/>
      <c r="N48" s="977">
        <v>50</v>
      </c>
      <c r="O48" s="81">
        <f t="shared" si="4"/>
        <v>12.345679012345679</v>
      </c>
      <c r="P48" s="977"/>
      <c r="Q48" s="977">
        <v>269</v>
      </c>
      <c r="R48" s="81">
        <f t="shared" si="5"/>
        <v>66.419753086419746</v>
      </c>
      <c r="S48" s="95"/>
    </row>
    <row r="49" spans="1:19">
      <c r="A49" s="95" t="s">
        <v>189</v>
      </c>
      <c r="B49" s="560">
        <f t="shared" si="0"/>
        <v>158</v>
      </c>
      <c r="C49" s="81">
        <f t="shared" si="6"/>
        <v>0.68306601530413724</v>
      </c>
      <c r="D49" s="560"/>
      <c r="E49" s="977">
        <v>17</v>
      </c>
      <c r="F49" s="81">
        <f t="shared" si="1"/>
        <v>10.759493670886076</v>
      </c>
      <c r="G49" s="977"/>
      <c r="H49" s="977">
        <v>11</v>
      </c>
      <c r="I49" s="81">
        <f t="shared" si="2"/>
        <v>6.962025316455696</v>
      </c>
      <c r="J49" s="977"/>
      <c r="K49" s="977">
        <v>16</v>
      </c>
      <c r="L49" s="81">
        <f t="shared" si="3"/>
        <v>10.126582278481013</v>
      </c>
      <c r="M49" s="977"/>
      <c r="N49" s="977">
        <v>14</v>
      </c>
      <c r="O49" s="81">
        <f t="shared" si="4"/>
        <v>8.8607594936708853</v>
      </c>
      <c r="P49" s="977"/>
      <c r="Q49" s="977">
        <v>100</v>
      </c>
      <c r="R49" s="81">
        <f t="shared" si="5"/>
        <v>63.291139240506332</v>
      </c>
      <c r="S49" s="95"/>
    </row>
    <row r="50" spans="1:19">
      <c r="A50" s="95" t="s">
        <v>188</v>
      </c>
      <c r="B50" s="560">
        <f t="shared" si="0"/>
        <v>308</v>
      </c>
      <c r="C50" s="81">
        <f t="shared" si="6"/>
        <v>1.3315464095802172</v>
      </c>
      <c r="D50" s="560"/>
      <c r="E50" s="977">
        <v>19</v>
      </c>
      <c r="F50" s="81">
        <f t="shared" si="1"/>
        <v>6.1688311688311686</v>
      </c>
      <c r="G50" s="977"/>
      <c r="H50" s="977">
        <v>25</v>
      </c>
      <c r="I50" s="81">
        <f t="shared" si="2"/>
        <v>8.1168831168831161</v>
      </c>
      <c r="J50" s="977"/>
      <c r="K50" s="977">
        <v>24</v>
      </c>
      <c r="L50" s="81">
        <f t="shared" si="3"/>
        <v>7.7922077922077921</v>
      </c>
      <c r="M50" s="977"/>
      <c r="N50" s="977">
        <v>31</v>
      </c>
      <c r="O50" s="81">
        <f t="shared" si="4"/>
        <v>10.064935064935066</v>
      </c>
      <c r="P50" s="977"/>
      <c r="Q50" s="977">
        <v>209</v>
      </c>
      <c r="R50" s="81">
        <f t="shared" si="5"/>
        <v>67.857142857142861</v>
      </c>
      <c r="S50" s="95"/>
    </row>
    <row r="51" spans="1:19" ht="9.75" customHeight="1">
      <c r="B51" s="560" t="str">
        <f t="shared" si="0"/>
        <v/>
      </c>
      <c r="C51" s="81" t="str">
        <f t="shared" si="6"/>
        <v/>
      </c>
      <c r="D51" s="560"/>
      <c r="E51" s="977"/>
      <c r="F51" s="81" t="str">
        <f t="shared" si="1"/>
        <v/>
      </c>
      <c r="G51" s="977"/>
      <c r="H51" s="977"/>
      <c r="I51" s="81" t="str">
        <f t="shared" si="2"/>
        <v/>
      </c>
      <c r="J51" s="977"/>
      <c r="K51" s="977"/>
      <c r="L51" s="81" t="str">
        <f t="shared" si="3"/>
        <v/>
      </c>
      <c r="M51" s="977"/>
      <c r="N51" s="977"/>
      <c r="O51" s="81" t="str">
        <f t="shared" si="4"/>
        <v/>
      </c>
      <c r="P51" s="977"/>
      <c r="Q51" s="977"/>
      <c r="R51" s="81" t="str">
        <f t="shared" si="5"/>
        <v/>
      </c>
      <c r="S51" s="95"/>
    </row>
    <row r="52" spans="1:19">
      <c r="A52" s="95" t="s">
        <v>192</v>
      </c>
      <c r="B52" s="560">
        <f t="shared" si="0"/>
        <v>411</v>
      </c>
      <c r="C52" s="81">
        <f t="shared" si="6"/>
        <v>1.7768362803164583</v>
      </c>
      <c r="D52" s="560"/>
      <c r="E52" s="977">
        <v>30</v>
      </c>
      <c r="F52" s="81">
        <f t="shared" si="1"/>
        <v>7.2992700729926998</v>
      </c>
      <c r="G52" s="977"/>
      <c r="H52" s="977">
        <v>35</v>
      </c>
      <c r="I52" s="81">
        <f t="shared" si="2"/>
        <v>8.5158150851581507</v>
      </c>
      <c r="J52" s="977"/>
      <c r="K52" s="977">
        <v>37</v>
      </c>
      <c r="L52" s="81">
        <f t="shared" si="3"/>
        <v>9.002433090024331</v>
      </c>
      <c r="M52" s="977"/>
      <c r="N52" s="977">
        <v>58</v>
      </c>
      <c r="O52" s="81">
        <f t="shared" si="4"/>
        <v>14.111922141119221</v>
      </c>
      <c r="P52" s="977"/>
      <c r="Q52" s="977">
        <v>251</v>
      </c>
      <c r="R52" s="81">
        <f t="shared" si="5"/>
        <v>61.070559610705601</v>
      </c>
      <c r="S52" s="95"/>
    </row>
    <row r="53" spans="1:19" ht="9" customHeight="1">
      <c r="B53" s="560" t="str">
        <f t="shared" si="0"/>
        <v/>
      </c>
      <c r="C53" s="81" t="str">
        <f t="shared" si="6"/>
        <v/>
      </c>
      <c r="D53" s="560"/>
      <c r="E53" s="560"/>
      <c r="F53" s="81" t="str">
        <f t="shared" si="1"/>
        <v/>
      </c>
      <c r="G53" s="560"/>
      <c r="H53" s="560"/>
      <c r="I53" s="81" t="str">
        <f t="shared" si="2"/>
        <v/>
      </c>
      <c r="J53" s="560"/>
      <c r="K53" s="560"/>
      <c r="L53" s="81" t="str">
        <f t="shared" si="3"/>
        <v/>
      </c>
      <c r="M53" s="560"/>
      <c r="N53" s="560"/>
      <c r="O53" s="81" t="str">
        <f t="shared" si="4"/>
        <v/>
      </c>
      <c r="P53" s="560"/>
      <c r="Q53" s="560"/>
      <c r="R53" s="81" t="str">
        <f t="shared" si="5"/>
        <v/>
      </c>
      <c r="S53" s="560"/>
    </row>
    <row r="54" spans="1:19">
      <c r="A54" s="95" t="s">
        <v>193</v>
      </c>
      <c r="B54" s="560">
        <f t="shared" si="0"/>
        <v>2075</v>
      </c>
      <c r="C54" s="81">
        <f t="shared" si="6"/>
        <v>8.9706454541524359</v>
      </c>
      <c r="D54" s="560"/>
      <c r="E54" s="560">
        <f>SUM(E55:E59)</f>
        <v>82</v>
      </c>
      <c r="F54" s="81">
        <f t="shared" si="1"/>
        <v>3.9518072289156625</v>
      </c>
      <c r="G54" s="560"/>
      <c r="H54" s="560">
        <f>SUM(H55:H59)</f>
        <v>105</v>
      </c>
      <c r="I54" s="81">
        <f t="shared" si="2"/>
        <v>5.0602409638554215</v>
      </c>
      <c r="J54" s="560"/>
      <c r="K54" s="560">
        <f>SUM(K55:K59)</f>
        <v>156</v>
      </c>
      <c r="L54" s="81">
        <f t="shared" si="3"/>
        <v>7.5180722891566267</v>
      </c>
      <c r="M54" s="560"/>
      <c r="N54" s="560">
        <f>SUM(N55:N59)</f>
        <v>230</v>
      </c>
      <c r="O54" s="81">
        <f t="shared" si="4"/>
        <v>11.08433734939759</v>
      </c>
      <c r="P54" s="560"/>
      <c r="Q54" s="560">
        <f>SUM(Q55:Q59)</f>
        <v>1502</v>
      </c>
      <c r="R54" s="81">
        <f t="shared" si="5"/>
        <v>72.385542168674704</v>
      </c>
      <c r="S54" s="560"/>
    </row>
    <row r="55" spans="1:19">
      <c r="A55" s="95" t="s">
        <v>194</v>
      </c>
      <c r="B55" s="560">
        <f t="shared" si="0"/>
        <v>55</v>
      </c>
      <c r="C55" s="81">
        <f t="shared" si="6"/>
        <v>0.23777614456789589</v>
      </c>
      <c r="D55" s="560"/>
      <c r="E55" s="977">
        <v>1</v>
      </c>
      <c r="F55" s="81">
        <f t="shared" si="1"/>
        <v>1.8181818181818181</v>
      </c>
      <c r="G55" s="977"/>
      <c r="H55" s="977">
        <v>3</v>
      </c>
      <c r="I55" s="81">
        <f t="shared" si="2"/>
        <v>5.4545454545454541</v>
      </c>
      <c r="J55" s="977"/>
      <c r="K55" s="977">
        <v>2</v>
      </c>
      <c r="L55" s="81">
        <f t="shared" si="3"/>
        <v>3.6363636363636362</v>
      </c>
      <c r="M55" s="977"/>
      <c r="N55" s="977">
        <v>8</v>
      </c>
      <c r="O55" s="81">
        <f t="shared" si="4"/>
        <v>14.545454545454545</v>
      </c>
      <c r="P55" s="977"/>
      <c r="Q55" s="977">
        <v>41</v>
      </c>
      <c r="R55" s="81">
        <f t="shared" si="5"/>
        <v>74.545454545454547</v>
      </c>
      <c r="S55" s="95"/>
    </row>
    <row r="56" spans="1:19">
      <c r="A56" s="95" t="s">
        <v>195</v>
      </c>
      <c r="B56" s="560">
        <f t="shared" si="0"/>
        <v>1300</v>
      </c>
      <c r="C56" s="81">
        <f t="shared" si="6"/>
        <v>5.6201634170593575</v>
      </c>
      <c r="D56" s="560"/>
      <c r="E56" s="977">
        <v>47</v>
      </c>
      <c r="F56" s="81">
        <f t="shared" si="1"/>
        <v>3.6153846153846154</v>
      </c>
      <c r="G56" s="977"/>
      <c r="H56" s="977">
        <v>57</v>
      </c>
      <c r="I56" s="81">
        <f t="shared" si="2"/>
        <v>4.384615384615385</v>
      </c>
      <c r="J56" s="977"/>
      <c r="K56" s="977">
        <v>100</v>
      </c>
      <c r="L56" s="81">
        <f t="shared" si="3"/>
        <v>7.6923076923076925</v>
      </c>
      <c r="M56" s="977"/>
      <c r="N56" s="977">
        <v>152</v>
      </c>
      <c r="O56" s="81">
        <f t="shared" si="4"/>
        <v>11.692307692307692</v>
      </c>
      <c r="P56" s="977"/>
      <c r="Q56" s="977">
        <v>944</v>
      </c>
      <c r="R56" s="81">
        <f t="shared" si="5"/>
        <v>72.615384615384613</v>
      </c>
      <c r="S56" s="95"/>
    </row>
    <row r="57" spans="1:19">
      <c r="A57" s="95" t="s">
        <v>196</v>
      </c>
      <c r="B57" s="560">
        <f t="shared" si="0"/>
        <v>236</v>
      </c>
      <c r="C57" s="81">
        <f t="shared" si="6"/>
        <v>1.0202758203276989</v>
      </c>
      <c r="D57" s="560"/>
      <c r="E57" s="977">
        <v>13</v>
      </c>
      <c r="F57" s="81">
        <f t="shared" si="1"/>
        <v>5.508474576271186</v>
      </c>
      <c r="G57" s="977"/>
      <c r="H57" s="977">
        <v>16</v>
      </c>
      <c r="I57" s="81">
        <f t="shared" si="2"/>
        <v>6.7796610169491522</v>
      </c>
      <c r="J57" s="977"/>
      <c r="K57" s="977">
        <v>20</v>
      </c>
      <c r="L57" s="81">
        <f t="shared" si="3"/>
        <v>8.4745762711864394</v>
      </c>
      <c r="M57" s="977"/>
      <c r="N57" s="977">
        <v>28</v>
      </c>
      <c r="O57" s="81">
        <f t="shared" si="4"/>
        <v>11.864406779661017</v>
      </c>
      <c r="P57" s="977"/>
      <c r="Q57" s="977">
        <v>159</v>
      </c>
      <c r="R57" s="81">
        <f t="shared" si="5"/>
        <v>67.372881355932208</v>
      </c>
      <c r="S57" s="95"/>
    </row>
    <row r="58" spans="1:19">
      <c r="A58" s="95" t="s">
        <v>409</v>
      </c>
      <c r="B58" s="560">
        <f t="shared" si="0"/>
        <v>323</v>
      </c>
      <c r="C58" s="81">
        <f t="shared" si="6"/>
        <v>1.3963944490078251</v>
      </c>
      <c r="D58" s="560"/>
      <c r="E58" s="977">
        <v>11</v>
      </c>
      <c r="F58" s="81">
        <f t="shared" si="1"/>
        <v>3.4055727554179565</v>
      </c>
      <c r="G58" s="977"/>
      <c r="H58" s="977">
        <v>20</v>
      </c>
      <c r="I58" s="81">
        <f t="shared" si="2"/>
        <v>6.1919504643962853</v>
      </c>
      <c r="J58" s="977"/>
      <c r="K58" s="977">
        <v>20</v>
      </c>
      <c r="L58" s="81">
        <f t="shared" si="3"/>
        <v>6.1919504643962853</v>
      </c>
      <c r="M58" s="977"/>
      <c r="N58" s="977">
        <v>32</v>
      </c>
      <c r="O58" s="81">
        <f t="shared" si="4"/>
        <v>9.9071207430340564</v>
      </c>
      <c r="P58" s="977"/>
      <c r="Q58" s="977">
        <v>240</v>
      </c>
      <c r="R58" s="81">
        <f t="shared" si="5"/>
        <v>74.303405572755423</v>
      </c>
      <c r="S58" s="95"/>
    </row>
    <row r="59" spans="1:19">
      <c r="A59" s="95" t="s">
        <v>198</v>
      </c>
      <c r="B59" s="560">
        <f t="shared" si="0"/>
        <v>161</v>
      </c>
      <c r="C59" s="81">
        <f t="shared" si="6"/>
        <v>0.69603562318965884</v>
      </c>
      <c r="D59" s="560"/>
      <c r="E59" s="977">
        <v>10</v>
      </c>
      <c r="F59" s="81">
        <f t="shared" si="1"/>
        <v>6.2111801242236027</v>
      </c>
      <c r="G59" s="977"/>
      <c r="H59" s="977">
        <v>9</v>
      </c>
      <c r="I59" s="81">
        <f t="shared" si="2"/>
        <v>5.5900621118012426</v>
      </c>
      <c r="J59" s="977"/>
      <c r="K59" s="977">
        <v>14</v>
      </c>
      <c r="L59" s="81">
        <f t="shared" si="3"/>
        <v>8.695652173913043</v>
      </c>
      <c r="M59" s="977"/>
      <c r="N59" s="977">
        <v>10</v>
      </c>
      <c r="O59" s="81">
        <f t="shared" si="4"/>
        <v>6.2111801242236027</v>
      </c>
      <c r="P59" s="977"/>
      <c r="Q59" s="977">
        <v>118</v>
      </c>
      <c r="R59" s="81">
        <f t="shared" si="5"/>
        <v>73.291925465838517</v>
      </c>
      <c r="S59" s="95"/>
    </row>
    <row r="60" spans="1:19" ht="8.25" customHeight="1">
      <c r="B60" s="560" t="str">
        <f t="shared" si="0"/>
        <v/>
      </c>
      <c r="C60" s="81" t="str">
        <f t="shared" si="6"/>
        <v/>
      </c>
      <c r="D60" s="560"/>
      <c r="E60" s="560"/>
      <c r="F60" s="81" t="str">
        <f t="shared" si="1"/>
        <v/>
      </c>
      <c r="G60" s="560"/>
      <c r="H60" s="560"/>
      <c r="I60" s="81" t="str">
        <f t="shared" si="2"/>
        <v/>
      </c>
      <c r="J60" s="560"/>
      <c r="K60" s="560"/>
      <c r="L60" s="81" t="str">
        <f t="shared" si="3"/>
        <v/>
      </c>
      <c r="M60" s="560"/>
      <c r="N60" s="560"/>
      <c r="O60" s="81" t="str">
        <f t="shared" si="4"/>
        <v/>
      </c>
      <c r="P60" s="560"/>
      <c r="Q60" s="560"/>
      <c r="R60" s="81" t="str">
        <f t="shared" si="5"/>
        <v/>
      </c>
      <c r="S60" s="560"/>
    </row>
    <row r="61" spans="1:19" s="55" customFormat="1">
      <c r="A61" s="55" t="s">
        <v>410</v>
      </c>
      <c r="B61" s="626">
        <f t="shared" si="0"/>
        <v>1852</v>
      </c>
      <c r="C61" s="19">
        <f t="shared" si="6"/>
        <v>8.0065712679953318</v>
      </c>
      <c r="D61" s="626"/>
      <c r="E61" s="626">
        <f>SUM(E62+E64+E71+E73)</f>
        <v>138</v>
      </c>
      <c r="F61" s="19">
        <f t="shared" si="1"/>
        <v>7.4514038876889845</v>
      </c>
      <c r="G61" s="626"/>
      <c r="H61" s="626">
        <f>SUM(H62+H64+H71+H73)</f>
        <v>173</v>
      </c>
      <c r="I61" s="19">
        <f t="shared" si="2"/>
        <v>9.3412526997840164</v>
      </c>
      <c r="J61" s="626"/>
      <c r="K61" s="626">
        <f>SUM(K62+K64+K71+K73)</f>
        <v>169</v>
      </c>
      <c r="L61" s="19">
        <f t="shared" si="3"/>
        <v>9.125269978401727</v>
      </c>
      <c r="M61" s="626"/>
      <c r="N61" s="626">
        <f>SUM(N62+N64+N71+N73)</f>
        <v>266</v>
      </c>
      <c r="O61" s="19">
        <f t="shared" si="4"/>
        <v>14.362850971922247</v>
      </c>
      <c r="P61" s="626"/>
      <c r="Q61" s="626">
        <f>SUM(Q62+Q64+Q71+Q73)</f>
        <v>1106</v>
      </c>
      <c r="R61" s="19">
        <f t="shared" si="5"/>
        <v>59.719222462203028</v>
      </c>
      <c r="S61" s="626"/>
    </row>
    <row r="62" spans="1:19">
      <c r="A62" s="95" t="s">
        <v>411</v>
      </c>
      <c r="B62" s="560">
        <f t="shared" si="0"/>
        <v>263</v>
      </c>
      <c r="C62" s="81">
        <f t="shared" si="6"/>
        <v>1.1370022912973932</v>
      </c>
      <c r="D62" s="560"/>
      <c r="E62" s="977">
        <v>25</v>
      </c>
      <c r="F62" s="81">
        <f t="shared" si="1"/>
        <v>9.5057034220532319</v>
      </c>
      <c r="G62" s="977"/>
      <c r="H62" s="977">
        <v>31</v>
      </c>
      <c r="I62" s="81">
        <f t="shared" si="2"/>
        <v>11.787072243346007</v>
      </c>
      <c r="J62" s="977"/>
      <c r="K62" s="977">
        <v>28</v>
      </c>
      <c r="L62" s="81">
        <f t="shared" si="3"/>
        <v>10.646387832699618</v>
      </c>
      <c r="M62" s="977"/>
      <c r="N62" s="977">
        <v>32</v>
      </c>
      <c r="O62" s="81">
        <f t="shared" si="4"/>
        <v>12.167300380228136</v>
      </c>
      <c r="P62" s="977"/>
      <c r="Q62" s="977">
        <v>147</v>
      </c>
      <c r="R62" s="81">
        <f t="shared" si="5"/>
        <v>55.893536121673002</v>
      </c>
      <c r="S62" s="95"/>
    </row>
    <row r="63" spans="1:19" ht="9" customHeight="1">
      <c r="B63" s="560" t="str">
        <f t="shared" si="0"/>
        <v/>
      </c>
      <c r="C63" s="81" t="str">
        <f t="shared" si="6"/>
        <v/>
      </c>
      <c r="D63" s="560"/>
      <c r="E63" s="560"/>
      <c r="F63" s="81" t="str">
        <f t="shared" si="1"/>
        <v/>
      </c>
      <c r="G63" s="560"/>
      <c r="H63" s="560"/>
      <c r="I63" s="81" t="str">
        <f t="shared" si="2"/>
        <v/>
      </c>
      <c r="J63" s="560"/>
      <c r="K63" s="560"/>
      <c r="L63" s="81" t="str">
        <f t="shared" si="3"/>
        <v/>
      </c>
      <c r="M63" s="560"/>
      <c r="N63" s="560"/>
      <c r="O63" s="81" t="str">
        <f t="shared" si="4"/>
        <v/>
      </c>
      <c r="P63" s="560"/>
      <c r="Q63" s="560"/>
      <c r="R63" s="81" t="str">
        <f t="shared" si="5"/>
        <v/>
      </c>
      <c r="S63" s="560"/>
    </row>
    <row r="64" spans="1:19">
      <c r="A64" s="95" t="s">
        <v>202</v>
      </c>
      <c r="B64" s="560">
        <f t="shared" si="0"/>
        <v>1113</v>
      </c>
      <c r="C64" s="81">
        <f t="shared" si="6"/>
        <v>4.8117245255285113</v>
      </c>
      <c r="D64" s="560"/>
      <c r="E64" s="560">
        <f>SUM(E65:E69)</f>
        <v>72</v>
      </c>
      <c r="F64" s="81">
        <f t="shared" si="1"/>
        <v>6.4690026954177897</v>
      </c>
      <c r="G64" s="560"/>
      <c r="H64" s="560">
        <f>SUM(H65:H69)</f>
        <v>93</v>
      </c>
      <c r="I64" s="81">
        <f t="shared" si="2"/>
        <v>8.355795148247978</v>
      </c>
      <c r="J64" s="560"/>
      <c r="K64" s="560">
        <f>SUM(K65:K69)</f>
        <v>96</v>
      </c>
      <c r="L64" s="81">
        <f t="shared" si="3"/>
        <v>8.6253369272237208</v>
      </c>
      <c r="M64" s="560"/>
      <c r="N64" s="560">
        <f>SUM(N65:N69)</f>
        <v>165</v>
      </c>
      <c r="O64" s="81">
        <f t="shared" si="4"/>
        <v>14.824797843665769</v>
      </c>
      <c r="P64" s="560"/>
      <c r="Q64" s="560">
        <f>SUM(Q65:Q69)</f>
        <v>687</v>
      </c>
      <c r="R64" s="81">
        <f t="shared" si="5"/>
        <v>61.725067385444746</v>
      </c>
      <c r="S64" s="560"/>
    </row>
    <row r="65" spans="1:19">
      <c r="A65" s="95" t="s">
        <v>203</v>
      </c>
      <c r="B65" s="560">
        <f t="shared" si="0"/>
        <v>239</v>
      </c>
      <c r="C65" s="81">
        <f t="shared" si="6"/>
        <v>1.0332454282132204</v>
      </c>
      <c r="D65" s="560"/>
      <c r="E65" s="977">
        <v>16</v>
      </c>
      <c r="F65" s="81">
        <f t="shared" si="1"/>
        <v>6.6945606694560666</v>
      </c>
      <c r="G65" s="977"/>
      <c r="H65" s="977">
        <v>26</v>
      </c>
      <c r="I65" s="81">
        <f t="shared" si="2"/>
        <v>10.87866108786611</v>
      </c>
      <c r="J65" s="977"/>
      <c r="K65" s="977">
        <v>28</v>
      </c>
      <c r="L65" s="81">
        <f t="shared" si="3"/>
        <v>11.715481171548117</v>
      </c>
      <c r="M65" s="977"/>
      <c r="N65" s="977">
        <v>38</v>
      </c>
      <c r="O65" s="81">
        <f t="shared" si="4"/>
        <v>15.899581589958158</v>
      </c>
      <c r="P65" s="977"/>
      <c r="Q65" s="977">
        <v>131</v>
      </c>
      <c r="R65" s="81">
        <f t="shared" si="5"/>
        <v>54.811715481171554</v>
      </c>
      <c r="S65" s="95"/>
    </row>
    <row r="66" spans="1:19">
      <c r="A66" s="95" t="s">
        <v>204</v>
      </c>
      <c r="B66" s="560">
        <f t="shared" si="0"/>
        <v>277</v>
      </c>
      <c r="C66" s="81">
        <f t="shared" si="6"/>
        <v>1.1975271280964939</v>
      </c>
      <c r="D66" s="560"/>
      <c r="E66" s="977">
        <v>18</v>
      </c>
      <c r="F66" s="81">
        <f t="shared" si="1"/>
        <v>6.4981949458483745</v>
      </c>
      <c r="G66" s="977"/>
      <c r="H66" s="977">
        <v>17</v>
      </c>
      <c r="I66" s="81">
        <f t="shared" si="2"/>
        <v>6.1371841155234659</v>
      </c>
      <c r="J66" s="977"/>
      <c r="K66" s="977">
        <v>20</v>
      </c>
      <c r="L66" s="81">
        <f t="shared" si="3"/>
        <v>7.2202166064981945</v>
      </c>
      <c r="M66" s="977"/>
      <c r="N66" s="977">
        <v>43</v>
      </c>
      <c r="O66" s="81">
        <f t="shared" si="4"/>
        <v>15.523465703971121</v>
      </c>
      <c r="P66" s="977"/>
      <c r="Q66" s="977">
        <v>179</v>
      </c>
      <c r="R66" s="81">
        <f t="shared" si="5"/>
        <v>64.620938628158839</v>
      </c>
      <c r="S66" s="95"/>
    </row>
    <row r="67" spans="1:19">
      <c r="A67" s="95" t="s">
        <v>206</v>
      </c>
      <c r="B67" s="560">
        <f t="shared" si="0"/>
        <v>119</v>
      </c>
      <c r="C67" s="81">
        <f t="shared" si="6"/>
        <v>0.51446111279235662</v>
      </c>
      <c r="D67" s="560"/>
      <c r="E67" s="977">
        <v>8</v>
      </c>
      <c r="F67" s="81">
        <f t="shared" si="1"/>
        <v>6.7226890756302522</v>
      </c>
      <c r="G67" s="977"/>
      <c r="H67" s="977">
        <v>12</v>
      </c>
      <c r="I67" s="81">
        <f t="shared" si="2"/>
        <v>10.084033613445378</v>
      </c>
      <c r="J67" s="977"/>
      <c r="K67" s="977">
        <v>7</v>
      </c>
      <c r="L67" s="81">
        <f t="shared" si="3"/>
        <v>5.8823529411764701</v>
      </c>
      <c r="M67" s="977"/>
      <c r="N67" s="977">
        <v>21</v>
      </c>
      <c r="O67" s="81">
        <f t="shared" si="4"/>
        <v>17.647058823529413</v>
      </c>
      <c r="P67" s="977"/>
      <c r="Q67" s="977">
        <v>71</v>
      </c>
      <c r="R67" s="81">
        <f t="shared" si="5"/>
        <v>59.663865546218489</v>
      </c>
    </row>
    <row r="68" spans="1:19">
      <c r="A68" s="95" t="s">
        <v>205</v>
      </c>
      <c r="B68" s="560">
        <f t="shared" si="0"/>
        <v>88</v>
      </c>
      <c r="C68" s="81">
        <f t="shared" si="6"/>
        <v>0.3804418313086334</v>
      </c>
      <c r="D68" s="560"/>
      <c r="E68" s="977">
        <v>3</v>
      </c>
      <c r="F68" s="81">
        <f t="shared" si="1"/>
        <v>3.4090909090909087</v>
      </c>
      <c r="G68" s="977"/>
      <c r="H68" s="977">
        <v>6</v>
      </c>
      <c r="I68" s="81">
        <f t="shared" si="2"/>
        <v>6.8181818181818175</v>
      </c>
      <c r="J68" s="977"/>
      <c r="K68" s="977">
        <v>6</v>
      </c>
      <c r="L68" s="81">
        <f t="shared" si="3"/>
        <v>6.8181818181818175</v>
      </c>
      <c r="M68" s="977"/>
      <c r="N68" s="977">
        <v>12</v>
      </c>
      <c r="O68" s="81">
        <f t="shared" si="4"/>
        <v>13.636363636363635</v>
      </c>
      <c r="P68" s="977"/>
      <c r="Q68" s="977">
        <v>61</v>
      </c>
      <c r="R68" s="81">
        <f t="shared" si="5"/>
        <v>69.318181818181827</v>
      </c>
      <c r="S68" s="95"/>
    </row>
    <row r="69" spans="1:19">
      <c r="A69" s="95" t="s">
        <v>1530</v>
      </c>
      <c r="B69" s="560">
        <f t="shared" si="0"/>
        <v>390</v>
      </c>
      <c r="C69" s="81">
        <f t="shared" si="6"/>
        <v>1.6860490251178073</v>
      </c>
      <c r="D69" s="560"/>
      <c r="E69" s="977">
        <v>27</v>
      </c>
      <c r="F69" s="81">
        <f t="shared" si="1"/>
        <v>6.9230769230769234</v>
      </c>
      <c r="G69" s="977"/>
      <c r="H69" s="977">
        <v>32</v>
      </c>
      <c r="I69" s="81">
        <f t="shared" si="2"/>
        <v>8.2051282051282044</v>
      </c>
      <c r="J69" s="977"/>
      <c r="K69" s="977">
        <v>35</v>
      </c>
      <c r="L69" s="81">
        <f t="shared" si="3"/>
        <v>8.9743589743589745</v>
      </c>
      <c r="M69" s="977"/>
      <c r="N69" s="977">
        <v>51</v>
      </c>
      <c r="O69" s="81">
        <f t="shared" si="4"/>
        <v>13.076923076923078</v>
      </c>
      <c r="P69" s="977"/>
      <c r="Q69" s="977">
        <v>245</v>
      </c>
      <c r="R69" s="81">
        <f t="shared" si="5"/>
        <v>62.820512820512818</v>
      </c>
      <c r="S69" s="95"/>
    </row>
    <row r="70" spans="1:19" ht="9.75" customHeight="1">
      <c r="B70" s="560" t="str">
        <f t="shared" si="0"/>
        <v/>
      </c>
      <c r="C70" s="81" t="str">
        <f t="shared" si="6"/>
        <v/>
      </c>
      <c r="D70" s="560"/>
      <c r="E70" s="801"/>
      <c r="F70" s="81" t="str">
        <f t="shared" si="1"/>
        <v/>
      </c>
      <c r="G70" s="801"/>
      <c r="H70" s="801"/>
      <c r="I70" s="81" t="str">
        <f t="shared" si="2"/>
        <v/>
      </c>
      <c r="J70" s="801"/>
      <c r="K70" s="801"/>
      <c r="L70" s="81" t="str">
        <f t="shared" si="3"/>
        <v/>
      </c>
      <c r="M70" s="801"/>
      <c r="N70" s="801"/>
      <c r="O70" s="81" t="str">
        <f t="shared" si="4"/>
        <v/>
      </c>
      <c r="P70" s="801"/>
      <c r="Q70" s="801"/>
      <c r="R70" s="81" t="str">
        <f t="shared" si="5"/>
        <v/>
      </c>
      <c r="S70" s="95"/>
    </row>
    <row r="71" spans="1:19">
      <c r="A71" s="95" t="s">
        <v>208</v>
      </c>
      <c r="B71" s="560">
        <f t="shared" si="0"/>
        <v>201</v>
      </c>
      <c r="C71" s="81">
        <f t="shared" si="6"/>
        <v>0.86896372832994695</v>
      </c>
      <c r="D71" s="560"/>
      <c r="E71" s="977">
        <v>17</v>
      </c>
      <c r="F71" s="81">
        <f t="shared" si="1"/>
        <v>8.4577114427860707</v>
      </c>
      <c r="G71" s="977"/>
      <c r="H71" s="977">
        <v>21</v>
      </c>
      <c r="I71" s="81">
        <f t="shared" si="2"/>
        <v>10.44776119402985</v>
      </c>
      <c r="J71" s="977"/>
      <c r="K71" s="977">
        <v>14</v>
      </c>
      <c r="L71" s="81">
        <f t="shared" si="3"/>
        <v>6.9651741293532341</v>
      </c>
      <c r="M71" s="977"/>
      <c r="N71" s="977">
        <v>26</v>
      </c>
      <c r="O71" s="81">
        <f t="shared" si="4"/>
        <v>12.935323383084576</v>
      </c>
      <c r="P71" s="977"/>
      <c r="Q71" s="977">
        <v>123</v>
      </c>
      <c r="R71" s="81">
        <f t="shared" si="5"/>
        <v>61.194029850746269</v>
      </c>
      <c r="S71" s="95"/>
    </row>
    <row r="72" spans="1:19" ht="10.5" customHeight="1">
      <c r="B72" s="560" t="str">
        <f t="shared" si="0"/>
        <v/>
      </c>
      <c r="C72" s="81" t="str">
        <f t="shared" si="6"/>
        <v/>
      </c>
      <c r="D72" s="560"/>
      <c r="E72" s="801"/>
      <c r="F72" s="81" t="str">
        <f t="shared" si="1"/>
        <v/>
      </c>
      <c r="G72" s="801"/>
      <c r="H72" s="801"/>
      <c r="I72" s="81" t="str">
        <f t="shared" si="2"/>
        <v/>
      </c>
      <c r="J72" s="801"/>
      <c r="K72" s="801"/>
      <c r="L72" s="81" t="str">
        <f t="shared" si="3"/>
        <v/>
      </c>
      <c r="M72" s="801"/>
      <c r="N72" s="801"/>
      <c r="O72" s="81" t="str">
        <f t="shared" si="4"/>
        <v/>
      </c>
      <c r="P72" s="801"/>
      <c r="Q72" s="801"/>
      <c r="R72" s="81" t="str">
        <f t="shared" si="5"/>
        <v/>
      </c>
      <c r="S72" s="95"/>
    </row>
    <row r="73" spans="1:19">
      <c r="A73" s="95" t="s">
        <v>209</v>
      </c>
      <c r="B73" s="560">
        <f t="shared" si="0"/>
        <v>275</v>
      </c>
      <c r="C73" s="81">
        <f t="shared" si="6"/>
        <v>1.1888807228394795</v>
      </c>
      <c r="D73" s="560"/>
      <c r="E73" s="977">
        <v>24</v>
      </c>
      <c r="F73" s="81">
        <f t="shared" si="1"/>
        <v>8.7272727272727284</v>
      </c>
      <c r="G73" s="977"/>
      <c r="H73" s="977">
        <v>28</v>
      </c>
      <c r="I73" s="81">
        <f t="shared" si="2"/>
        <v>10.181818181818182</v>
      </c>
      <c r="J73" s="977"/>
      <c r="K73" s="977">
        <v>31</v>
      </c>
      <c r="L73" s="81">
        <f t="shared" si="3"/>
        <v>11.272727272727273</v>
      </c>
      <c r="M73" s="977"/>
      <c r="N73" s="977">
        <v>43</v>
      </c>
      <c r="O73" s="81">
        <f t="shared" si="4"/>
        <v>15.636363636363637</v>
      </c>
      <c r="P73" s="977"/>
      <c r="Q73" s="977">
        <v>149</v>
      </c>
      <c r="R73" s="81">
        <f t="shared" si="5"/>
        <v>54.181818181818187</v>
      </c>
      <c r="S73" s="95"/>
    </row>
    <row r="74" spans="1:19" ht="9" customHeight="1">
      <c r="A74" s="116"/>
      <c r="B74" s="560" t="str">
        <f t="shared" si="0"/>
        <v/>
      </c>
      <c r="C74" s="81" t="str">
        <f t="shared" si="6"/>
        <v/>
      </c>
      <c r="D74" s="57"/>
      <c r="E74" s="201"/>
      <c r="F74" s="81" t="str">
        <f t="shared" si="1"/>
        <v/>
      </c>
      <c r="G74" s="191"/>
      <c r="H74" s="201"/>
      <c r="I74" s="81" t="str">
        <f t="shared" si="2"/>
        <v/>
      </c>
      <c r="J74" s="57"/>
      <c r="K74" s="201"/>
      <c r="L74" s="81" t="str">
        <f t="shared" si="3"/>
        <v/>
      </c>
      <c r="M74" s="57"/>
      <c r="N74" s="201"/>
      <c r="O74" s="81" t="str">
        <f t="shared" si="4"/>
        <v/>
      </c>
      <c r="P74" s="57"/>
      <c r="Q74" s="201"/>
      <c r="R74" s="81" t="str">
        <f t="shared" si="5"/>
        <v/>
      </c>
      <c r="S74" s="74"/>
    </row>
    <row r="75" spans="1:19" s="55" customFormat="1">
      <c r="A75" s="55" t="s">
        <v>413</v>
      </c>
      <c r="B75" s="626">
        <f t="shared" si="0"/>
        <v>739</v>
      </c>
      <c r="C75" s="19">
        <f t="shared" si="6"/>
        <v>3.1948467424668197</v>
      </c>
      <c r="D75" s="626"/>
      <c r="E75" s="626">
        <f>SUM(E76)</f>
        <v>33</v>
      </c>
      <c r="F75" s="19">
        <f t="shared" si="1"/>
        <v>4.465493910690121</v>
      </c>
      <c r="G75" s="626"/>
      <c r="H75" s="626">
        <f>SUM(H76)</f>
        <v>48</v>
      </c>
      <c r="I75" s="19">
        <f t="shared" si="2"/>
        <v>6.4952638700947221</v>
      </c>
      <c r="J75" s="626"/>
      <c r="K75" s="626">
        <f>SUM(K76)</f>
        <v>58</v>
      </c>
      <c r="L75" s="19">
        <f t="shared" si="3"/>
        <v>7.8484438430311236</v>
      </c>
      <c r="M75" s="626"/>
      <c r="N75" s="626">
        <f>SUM(N76)</f>
        <v>74</v>
      </c>
      <c r="O75" s="19">
        <f t="shared" si="4"/>
        <v>10.013531799729364</v>
      </c>
      <c r="P75" s="626"/>
      <c r="Q75" s="626">
        <f>SUM(Q76)</f>
        <v>526</v>
      </c>
      <c r="R75" s="19">
        <f t="shared" si="5"/>
        <v>71.17726657645467</v>
      </c>
      <c r="S75" s="560"/>
    </row>
    <row r="76" spans="1:19">
      <c r="A76" s="95" t="s">
        <v>414</v>
      </c>
      <c r="B76" s="560">
        <f t="shared" si="0"/>
        <v>739</v>
      </c>
      <c r="C76" s="81">
        <f t="shared" si="6"/>
        <v>3.1948467424668197</v>
      </c>
      <c r="D76" s="560"/>
      <c r="E76" s="560">
        <f>SUM(E77:E80)</f>
        <v>33</v>
      </c>
      <c r="F76" s="81">
        <f t="shared" si="1"/>
        <v>4.465493910690121</v>
      </c>
      <c r="G76" s="560"/>
      <c r="H76" s="560">
        <f>SUM(H77:H80)</f>
        <v>48</v>
      </c>
      <c r="I76" s="81">
        <f t="shared" si="2"/>
        <v>6.4952638700947221</v>
      </c>
      <c r="J76" s="560"/>
      <c r="K76" s="560">
        <f>SUM(K77:K80)</f>
        <v>58</v>
      </c>
      <c r="L76" s="81">
        <f t="shared" si="3"/>
        <v>7.8484438430311236</v>
      </c>
      <c r="M76" s="560"/>
      <c r="N76" s="560">
        <f>SUM(N77:N80)</f>
        <v>74</v>
      </c>
      <c r="O76" s="81">
        <f t="shared" si="4"/>
        <v>10.013531799729364</v>
      </c>
      <c r="P76" s="560"/>
      <c r="Q76" s="560">
        <f>SUM(Q77:Q80)</f>
        <v>526</v>
      </c>
      <c r="R76" s="81">
        <f t="shared" si="5"/>
        <v>71.17726657645467</v>
      </c>
      <c r="S76" s="560"/>
    </row>
    <row r="77" spans="1:19">
      <c r="A77" s="95" t="s">
        <v>212</v>
      </c>
      <c r="B77" s="560">
        <f t="shared" ref="B77:B102" si="7">IF(A77&lt;&gt;0,E77+H77+K77+N77+Q77,"")</f>
        <v>224</v>
      </c>
      <c r="C77" s="81">
        <f t="shared" si="6"/>
        <v>0.96839738878561243</v>
      </c>
      <c r="D77" s="560"/>
      <c r="E77" s="977">
        <v>8</v>
      </c>
      <c r="F77" s="81">
        <f t="shared" ref="F77:F102" si="8">IF($A77&lt;&gt;0,E77/$B77*100,"")</f>
        <v>3.5714285714285712</v>
      </c>
      <c r="G77" s="977"/>
      <c r="H77" s="977">
        <v>9</v>
      </c>
      <c r="I77" s="81">
        <f t="shared" ref="I77:I102" si="9">IF($A77&lt;&gt;0,H77/$B77*100,"")</f>
        <v>4.0178571428571432</v>
      </c>
      <c r="J77" s="977"/>
      <c r="K77" s="977">
        <v>11</v>
      </c>
      <c r="L77" s="81">
        <f t="shared" ref="L77:L102" si="10">IF($A77&lt;&gt;0,K77/$B77*100,"")</f>
        <v>4.9107142857142856</v>
      </c>
      <c r="M77" s="977"/>
      <c r="N77" s="977">
        <v>25</v>
      </c>
      <c r="O77" s="81">
        <f t="shared" ref="O77:O102" si="11">IF($A77&lt;&gt;0,N77/$B77*100,"")</f>
        <v>11.160714285714286</v>
      </c>
      <c r="P77" s="977"/>
      <c r="Q77" s="977">
        <v>171</v>
      </c>
      <c r="R77" s="81">
        <f t="shared" ref="R77:R102" si="12">IF($A77&lt;&gt;0,Q77/$B77*100,"")</f>
        <v>76.339285714285708</v>
      </c>
      <c r="S77" s="95"/>
    </row>
    <row r="78" spans="1:19">
      <c r="A78" s="95" t="s">
        <v>213</v>
      </c>
      <c r="B78" s="560">
        <f t="shared" si="7"/>
        <v>255</v>
      </c>
      <c r="C78" s="81">
        <f t="shared" si="6"/>
        <v>1.1024166702693354</v>
      </c>
      <c r="D78" s="560"/>
      <c r="E78" s="977">
        <v>8</v>
      </c>
      <c r="F78" s="81">
        <f t="shared" si="8"/>
        <v>3.1372549019607843</v>
      </c>
      <c r="G78" s="977"/>
      <c r="H78" s="977">
        <v>18</v>
      </c>
      <c r="I78" s="81">
        <f t="shared" si="9"/>
        <v>7.0588235294117645</v>
      </c>
      <c r="J78" s="977"/>
      <c r="K78" s="977">
        <v>15</v>
      </c>
      <c r="L78" s="81">
        <f t="shared" si="10"/>
        <v>5.8823529411764701</v>
      </c>
      <c r="M78" s="977"/>
      <c r="N78" s="977">
        <v>26</v>
      </c>
      <c r="O78" s="81">
        <f t="shared" si="11"/>
        <v>10.196078431372548</v>
      </c>
      <c r="P78" s="977"/>
      <c r="Q78" s="977">
        <v>188</v>
      </c>
      <c r="R78" s="81">
        <f t="shared" si="12"/>
        <v>73.725490196078439</v>
      </c>
      <c r="S78" s="95"/>
    </row>
    <row r="79" spans="1:19">
      <c r="A79" s="95" t="s">
        <v>214</v>
      </c>
      <c r="B79" s="560">
        <f t="shared" si="7"/>
        <v>190</v>
      </c>
      <c r="C79" s="81">
        <f t="shared" ref="C79:C102" si="13">IF(A79&lt;&gt;0,B79/$B$12*100,"")</f>
        <v>0.82140849941636762</v>
      </c>
      <c r="D79" s="560"/>
      <c r="E79" s="977">
        <v>11</v>
      </c>
      <c r="F79" s="81">
        <f t="shared" si="8"/>
        <v>5.7894736842105265</v>
      </c>
      <c r="G79" s="977"/>
      <c r="H79" s="977">
        <v>16</v>
      </c>
      <c r="I79" s="81">
        <f t="shared" si="9"/>
        <v>8.4210526315789469</v>
      </c>
      <c r="J79" s="977"/>
      <c r="K79" s="977">
        <v>20</v>
      </c>
      <c r="L79" s="81">
        <f t="shared" si="10"/>
        <v>10.526315789473683</v>
      </c>
      <c r="M79" s="977"/>
      <c r="N79" s="977">
        <v>13</v>
      </c>
      <c r="O79" s="81">
        <f t="shared" si="11"/>
        <v>6.8421052631578956</v>
      </c>
      <c r="P79" s="977"/>
      <c r="Q79" s="977">
        <v>130</v>
      </c>
      <c r="R79" s="81">
        <f t="shared" si="12"/>
        <v>68.421052631578945</v>
      </c>
      <c r="S79" s="95"/>
    </row>
    <row r="80" spans="1:19">
      <c r="A80" s="95" t="s">
        <v>215</v>
      </c>
      <c r="B80" s="560">
        <f t="shared" si="7"/>
        <v>70</v>
      </c>
      <c r="C80" s="81">
        <f t="shared" si="13"/>
        <v>0.30262418399550384</v>
      </c>
      <c r="D80" s="560"/>
      <c r="E80" s="977">
        <v>6</v>
      </c>
      <c r="F80" s="81">
        <f t="shared" si="8"/>
        <v>8.5714285714285712</v>
      </c>
      <c r="G80" s="977"/>
      <c r="H80" s="977">
        <v>5</v>
      </c>
      <c r="I80" s="81">
        <f t="shared" si="9"/>
        <v>7.1428571428571423</v>
      </c>
      <c r="J80" s="977"/>
      <c r="K80" s="977">
        <v>12</v>
      </c>
      <c r="L80" s="81">
        <f t="shared" si="10"/>
        <v>17.142857142857142</v>
      </c>
      <c r="M80" s="977"/>
      <c r="N80" s="977">
        <v>10</v>
      </c>
      <c r="O80" s="81">
        <f t="shared" si="11"/>
        <v>14.285714285714285</v>
      </c>
      <c r="P80" s="977"/>
      <c r="Q80" s="977">
        <v>37</v>
      </c>
      <c r="R80" s="81">
        <f t="shared" si="12"/>
        <v>52.857142857142861</v>
      </c>
      <c r="S80" s="95"/>
    </row>
    <row r="81" spans="1:20" ht="7.5" customHeight="1">
      <c r="B81" s="560" t="str">
        <f t="shared" si="7"/>
        <v/>
      </c>
      <c r="C81" s="81" t="str">
        <f t="shared" si="13"/>
        <v/>
      </c>
      <c r="D81" s="560"/>
      <c r="E81" s="560"/>
      <c r="F81" s="81" t="str">
        <f t="shared" si="8"/>
        <v/>
      </c>
      <c r="G81" s="560"/>
      <c r="H81" s="560"/>
      <c r="I81" s="81" t="str">
        <f t="shared" si="9"/>
        <v/>
      </c>
      <c r="J81" s="560"/>
      <c r="K81" s="560"/>
      <c r="L81" s="81" t="str">
        <f t="shared" si="10"/>
        <v/>
      </c>
      <c r="M81" s="560"/>
      <c r="N81" s="560"/>
      <c r="O81" s="81" t="str">
        <f t="shared" si="11"/>
        <v/>
      </c>
      <c r="P81" s="560"/>
      <c r="Q81" s="560"/>
      <c r="R81" s="81" t="str">
        <f t="shared" si="12"/>
        <v/>
      </c>
      <c r="S81" s="560"/>
    </row>
    <row r="82" spans="1:20" s="55" customFormat="1">
      <c r="A82" s="55" t="s">
        <v>483</v>
      </c>
      <c r="B82" s="626">
        <f t="shared" si="7"/>
        <v>2684</v>
      </c>
      <c r="C82" s="19">
        <f t="shared" si="13"/>
        <v>11.60347585491332</v>
      </c>
      <c r="D82" s="626"/>
      <c r="E82" s="626">
        <f>SUM(E83)</f>
        <v>181</v>
      </c>
      <c r="F82" s="19">
        <f t="shared" si="8"/>
        <v>6.7436661698956772</v>
      </c>
      <c r="G82" s="626"/>
      <c r="H82" s="626">
        <f>SUM(H83)</f>
        <v>204</v>
      </c>
      <c r="I82" s="19">
        <f t="shared" si="9"/>
        <v>7.6005961251862892</v>
      </c>
      <c r="J82" s="626"/>
      <c r="K82" s="626">
        <f>SUM(K83)</f>
        <v>309</v>
      </c>
      <c r="L82" s="19">
        <f t="shared" si="10"/>
        <v>11.512667660208644</v>
      </c>
      <c r="M82" s="626"/>
      <c r="N82" s="626">
        <f>SUM(N83)</f>
        <v>323</v>
      </c>
      <c r="O82" s="19">
        <f t="shared" si="11"/>
        <v>12.034277198211624</v>
      </c>
      <c r="P82" s="626"/>
      <c r="Q82" s="626">
        <f>SUM(Q83)</f>
        <v>1667</v>
      </c>
      <c r="R82" s="19">
        <f t="shared" si="12"/>
        <v>62.108792846497764</v>
      </c>
      <c r="S82" s="626"/>
    </row>
    <row r="83" spans="1:20">
      <c r="A83" s="95" t="s">
        <v>217</v>
      </c>
      <c r="B83" s="560">
        <f t="shared" si="7"/>
        <v>2684</v>
      </c>
      <c r="C83" s="81">
        <f t="shared" si="13"/>
        <v>11.60347585491332</v>
      </c>
      <c r="D83" s="560"/>
      <c r="E83" s="560">
        <f>SUM(E84:E92)</f>
        <v>181</v>
      </c>
      <c r="F83" s="81">
        <f t="shared" si="8"/>
        <v>6.7436661698956772</v>
      </c>
      <c r="G83" s="560"/>
      <c r="H83" s="560">
        <f>SUM(H84:H92)</f>
        <v>204</v>
      </c>
      <c r="I83" s="81">
        <f t="shared" si="9"/>
        <v>7.6005961251862892</v>
      </c>
      <c r="J83" s="560"/>
      <c r="K83" s="560">
        <f>SUM(K84:K92)</f>
        <v>309</v>
      </c>
      <c r="L83" s="81">
        <f t="shared" si="10"/>
        <v>11.512667660208644</v>
      </c>
      <c r="M83" s="560"/>
      <c r="N83" s="560">
        <f>SUM(N84:N92)</f>
        <v>323</v>
      </c>
      <c r="O83" s="81">
        <f t="shared" si="11"/>
        <v>12.034277198211624</v>
      </c>
      <c r="P83" s="560"/>
      <c r="Q83" s="560">
        <f>SUM(Q84:Q92)</f>
        <v>1667</v>
      </c>
      <c r="R83" s="81">
        <f t="shared" si="12"/>
        <v>62.108792846497764</v>
      </c>
      <c r="S83" s="560"/>
    </row>
    <row r="84" spans="1:20">
      <c r="A84" s="33" t="s">
        <v>1921</v>
      </c>
      <c r="B84" s="560">
        <f t="shared" si="7"/>
        <v>298</v>
      </c>
      <c r="C84" s="81">
        <f t="shared" si="13"/>
        <v>1.2883143832951451</v>
      </c>
      <c r="D84" s="560"/>
      <c r="E84" s="977">
        <v>16</v>
      </c>
      <c r="F84" s="81">
        <f t="shared" si="8"/>
        <v>5.3691275167785237</v>
      </c>
      <c r="G84" s="977"/>
      <c r="H84" s="977">
        <v>15</v>
      </c>
      <c r="I84" s="81">
        <f t="shared" si="9"/>
        <v>5.0335570469798654</v>
      </c>
      <c r="J84" s="977"/>
      <c r="K84" s="977">
        <v>25</v>
      </c>
      <c r="L84" s="81">
        <f t="shared" si="10"/>
        <v>8.3892617449664435</v>
      </c>
      <c r="M84" s="977"/>
      <c r="N84" s="977">
        <v>37</v>
      </c>
      <c r="O84" s="81">
        <f t="shared" si="11"/>
        <v>12.416107382550337</v>
      </c>
      <c r="P84" s="977"/>
      <c r="Q84" s="977">
        <v>205</v>
      </c>
      <c r="R84" s="81">
        <f t="shared" si="12"/>
        <v>68.791946308724832</v>
      </c>
      <c r="S84" s="95"/>
    </row>
    <row r="85" spans="1:20">
      <c r="A85" s="95" t="s">
        <v>218</v>
      </c>
      <c r="B85" s="560">
        <f t="shared" si="7"/>
        <v>401</v>
      </c>
      <c r="C85" s="81">
        <f t="shared" si="13"/>
        <v>1.7336042540313865</v>
      </c>
      <c r="D85" s="560"/>
      <c r="E85" s="977">
        <v>28</v>
      </c>
      <c r="F85" s="81">
        <f t="shared" si="8"/>
        <v>6.982543640897755</v>
      </c>
      <c r="G85" s="977"/>
      <c r="H85" s="977">
        <v>31</v>
      </c>
      <c r="I85" s="81">
        <f t="shared" si="9"/>
        <v>7.7306733167082298</v>
      </c>
      <c r="J85" s="977"/>
      <c r="K85" s="977">
        <v>49</v>
      </c>
      <c r="L85" s="81">
        <f t="shared" si="10"/>
        <v>12.219451371571072</v>
      </c>
      <c r="M85" s="977"/>
      <c r="N85" s="977">
        <v>55</v>
      </c>
      <c r="O85" s="81">
        <f t="shared" si="11"/>
        <v>13.715710723192021</v>
      </c>
      <c r="P85" s="977"/>
      <c r="Q85" s="977">
        <v>238</v>
      </c>
      <c r="R85" s="81">
        <f t="shared" si="12"/>
        <v>59.35162094763092</v>
      </c>
      <c r="S85" s="95"/>
    </row>
    <row r="86" spans="1:20">
      <c r="A86" s="95" t="s">
        <v>220</v>
      </c>
      <c r="B86" s="560">
        <f t="shared" si="7"/>
        <v>500</v>
      </c>
      <c r="C86" s="81">
        <f t="shared" si="13"/>
        <v>2.1616013142535988</v>
      </c>
      <c r="D86" s="560"/>
      <c r="E86" s="977">
        <v>47</v>
      </c>
      <c r="F86" s="81">
        <f t="shared" si="8"/>
        <v>9.4</v>
      </c>
      <c r="G86" s="977"/>
      <c r="H86" s="977">
        <v>41</v>
      </c>
      <c r="I86" s="81">
        <f t="shared" si="9"/>
        <v>8.2000000000000011</v>
      </c>
      <c r="J86" s="977"/>
      <c r="K86" s="977">
        <v>58</v>
      </c>
      <c r="L86" s="81">
        <f t="shared" si="10"/>
        <v>11.600000000000001</v>
      </c>
      <c r="M86" s="977"/>
      <c r="N86" s="977">
        <v>56</v>
      </c>
      <c r="O86" s="81">
        <f t="shared" si="11"/>
        <v>11.200000000000001</v>
      </c>
      <c r="P86" s="977"/>
      <c r="Q86" s="977">
        <v>298</v>
      </c>
      <c r="R86" s="81">
        <f t="shared" si="12"/>
        <v>59.599999999999994</v>
      </c>
      <c r="S86" s="95"/>
    </row>
    <row r="87" spans="1:20">
      <c r="A87" s="95" t="s">
        <v>222</v>
      </c>
      <c r="B87" s="560">
        <f t="shared" si="7"/>
        <v>149</v>
      </c>
      <c r="C87" s="81">
        <f t="shared" si="13"/>
        <v>0.64415719164757257</v>
      </c>
      <c r="D87" s="560"/>
      <c r="E87" s="977">
        <v>7</v>
      </c>
      <c r="F87" s="81">
        <f t="shared" si="8"/>
        <v>4.6979865771812079</v>
      </c>
      <c r="G87" s="977"/>
      <c r="H87" s="977">
        <v>19</v>
      </c>
      <c r="I87" s="81">
        <f t="shared" si="9"/>
        <v>12.751677852348994</v>
      </c>
      <c r="J87" s="977"/>
      <c r="K87" s="977">
        <v>20</v>
      </c>
      <c r="L87" s="81">
        <f t="shared" si="10"/>
        <v>13.422818791946309</v>
      </c>
      <c r="M87" s="977"/>
      <c r="N87" s="977">
        <v>17</v>
      </c>
      <c r="O87" s="81">
        <f t="shared" si="11"/>
        <v>11.409395973154362</v>
      </c>
      <c r="P87" s="977"/>
      <c r="Q87" s="977">
        <v>86</v>
      </c>
      <c r="R87" s="81">
        <f t="shared" si="12"/>
        <v>57.718120805369132</v>
      </c>
      <c r="S87" s="95"/>
    </row>
    <row r="88" spans="1:20">
      <c r="A88" s="95" t="s">
        <v>221</v>
      </c>
      <c r="B88" s="560">
        <f t="shared" si="7"/>
        <v>197</v>
      </c>
      <c r="C88" s="81">
        <f t="shared" si="13"/>
        <v>0.85167091781591808</v>
      </c>
      <c r="D88" s="560"/>
      <c r="E88" s="977">
        <v>9</v>
      </c>
      <c r="F88" s="81">
        <f t="shared" si="8"/>
        <v>4.5685279187817258</v>
      </c>
      <c r="G88" s="977"/>
      <c r="H88" s="977">
        <v>19</v>
      </c>
      <c r="I88" s="81">
        <f t="shared" si="9"/>
        <v>9.6446700507614214</v>
      </c>
      <c r="J88" s="977"/>
      <c r="K88" s="977">
        <v>24</v>
      </c>
      <c r="L88" s="81">
        <f t="shared" si="10"/>
        <v>12.18274111675127</v>
      </c>
      <c r="M88" s="977"/>
      <c r="N88" s="977">
        <v>28</v>
      </c>
      <c r="O88" s="81">
        <f t="shared" si="11"/>
        <v>14.213197969543149</v>
      </c>
      <c r="P88" s="977"/>
      <c r="Q88" s="977">
        <v>117</v>
      </c>
      <c r="R88" s="81">
        <f t="shared" si="12"/>
        <v>59.390862944162436</v>
      </c>
      <c r="S88" s="95"/>
    </row>
    <row r="89" spans="1:20">
      <c r="A89" s="95" t="s">
        <v>219</v>
      </c>
      <c r="B89" s="560">
        <f t="shared" si="7"/>
        <v>282</v>
      </c>
      <c r="C89" s="81">
        <f t="shared" si="13"/>
        <v>1.2191431412390299</v>
      </c>
      <c r="D89" s="560"/>
      <c r="E89" s="977">
        <v>13</v>
      </c>
      <c r="F89" s="81">
        <f t="shared" si="8"/>
        <v>4.6099290780141837</v>
      </c>
      <c r="G89" s="977"/>
      <c r="H89" s="977">
        <v>18</v>
      </c>
      <c r="I89" s="81">
        <f t="shared" si="9"/>
        <v>6.3829787234042552</v>
      </c>
      <c r="J89" s="977"/>
      <c r="K89" s="977">
        <v>42</v>
      </c>
      <c r="L89" s="81">
        <f t="shared" si="10"/>
        <v>14.893617021276595</v>
      </c>
      <c r="M89" s="977"/>
      <c r="N89" s="977">
        <v>32</v>
      </c>
      <c r="O89" s="81">
        <f t="shared" si="11"/>
        <v>11.347517730496454</v>
      </c>
      <c r="P89" s="977"/>
      <c r="Q89" s="977">
        <v>177</v>
      </c>
      <c r="R89" s="81">
        <f t="shared" si="12"/>
        <v>62.765957446808507</v>
      </c>
      <c r="S89" s="95"/>
    </row>
    <row r="90" spans="1:20">
      <c r="A90" s="95" t="s">
        <v>223</v>
      </c>
      <c r="B90" s="560">
        <f t="shared" si="7"/>
        <v>298</v>
      </c>
      <c r="C90" s="81">
        <f t="shared" si="13"/>
        <v>1.2883143832951451</v>
      </c>
      <c r="D90" s="560"/>
      <c r="E90" s="977">
        <v>12</v>
      </c>
      <c r="F90" s="81">
        <f t="shared" si="8"/>
        <v>4.0268456375838921</v>
      </c>
      <c r="G90" s="977"/>
      <c r="H90" s="977">
        <v>22</v>
      </c>
      <c r="I90" s="81">
        <f t="shared" si="9"/>
        <v>7.3825503355704702</v>
      </c>
      <c r="J90" s="977"/>
      <c r="K90" s="977">
        <v>31</v>
      </c>
      <c r="L90" s="81">
        <f t="shared" si="10"/>
        <v>10.40268456375839</v>
      </c>
      <c r="M90" s="977"/>
      <c r="N90" s="977">
        <v>36</v>
      </c>
      <c r="O90" s="81">
        <f t="shared" si="11"/>
        <v>12.080536912751679</v>
      </c>
      <c r="P90" s="977"/>
      <c r="Q90" s="977">
        <v>197</v>
      </c>
      <c r="R90" s="81">
        <f t="shared" si="12"/>
        <v>66.107382550335572</v>
      </c>
      <c r="S90" s="95"/>
    </row>
    <row r="91" spans="1:20">
      <c r="A91" s="95" t="s">
        <v>1183</v>
      </c>
      <c r="B91" s="560">
        <f t="shared" si="7"/>
        <v>264</v>
      </c>
      <c r="C91" s="81">
        <f t="shared" si="13"/>
        <v>1.1413254939259003</v>
      </c>
      <c r="D91" s="560"/>
      <c r="E91" s="977">
        <v>16</v>
      </c>
      <c r="F91" s="81">
        <f t="shared" si="8"/>
        <v>6.0606060606060606</v>
      </c>
      <c r="G91" s="977"/>
      <c r="H91" s="977">
        <v>17</v>
      </c>
      <c r="I91" s="81">
        <f t="shared" si="9"/>
        <v>6.4393939393939394</v>
      </c>
      <c r="J91" s="977"/>
      <c r="K91" s="977">
        <v>26</v>
      </c>
      <c r="L91" s="81">
        <f t="shared" si="10"/>
        <v>9.8484848484848477</v>
      </c>
      <c r="M91" s="977"/>
      <c r="N91" s="977">
        <v>25</v>
      </c>
      <c r="O91" s="81">
        <f t="shared" si="11"/>
        <v>9.4696969696969688</v>
      </c>
      <c r="P91" s="977"/>
      <c r="Q91" s="977">
        <v>180</v>
      </c>
      <c r="R91" s="81">
        <f t="shared" si="12"/>
        <v>68.181818181818173</v>
      </c>
      <c r="S91" s="95"/>
      <c r="T91" s="105"/>
    </row>
    <row r="92" spans="1:20">
      <c r="A92" s="95" t="s">
        <v>416</v>
      </c>
      <c r="B92" s="560">
        <f t="shared" si="7"/>
        <v>295</v>
      </c>
      <c r="C92" s="81">
        <f t="shared" si="13"/>
        <v>1.2753447754096234</v>
      </c>
      <c r="D92" s="560"/>
      <c r="E92" s="977">
        <v>33</v>
      </c>
      <c r="F92" s="81">
        <f t="shared" si="8"/>
        <v>11.186440677966102</v>
      </c>
      <c r="G92" s="977"/>
      <c r="H92" s="977">
        <v>22</v>
      </c>
      <c r="I92" s="81">
        <f t="shared" si="9"/>
        <v>7.4576271186440684</v>
      </c>
      <c r="J92" s="977"/>
      <c r="K92" s="977">
        <v>34</v>
      </c>
      <c r="L92" s="81">
        <f t="shared" si="10"/>
        <v>11.525423728813559</v>
      </c>
      <c r="M92" s="977"/>
      <c r="N92" s="977">
        <v>37</v>
      </c>
      <c r="O92" s="81">
        <f t="shared" si="11"/>
        <v>12.542372881355931</v>
      </c>
      <c r="P92" s="977"/>
      <c r="Q92" s="977">
        <v>169</v>
      </c>
      <c r="R92" s="81">
        <f t="shared" si="12"/>
        <v>57.288135593220332</v>
      </c>
      <c r="S92" s="95"/>
    </row>
    <row r="93" spans="1:20" ht="10.5" customHeight="1">
      <c r="B93" s="560" t="str">
        <f t="shared" si="7"/>
        <v/>
      </c>
      <c r="C93" s="81" t="str">
        <f t="shared" si="13"/>
        <v/>
      </c>
      <c r="D93" s="560"/>
      <c r="E93" s="801"/>
      <c r="F93" s="81" t="str">
        <f t="shared" si="8"/>
        <v/>
      </c>
      <c r="G93" s="801"/>
      <c r="H93" s="801"/>
      <c r="I93" s="81" t="str">
        <f t="shared" si="9"/>
        <v/>
      </c>
      <c r="J93" s="801"/>
      <c r="K93" s="801"/>
      <c r="L93" s="81" t="str">
        <f t="shared" si="10"/>
        <v/>
      </c>
      <c r="M93" s="801"/>
      <c r="N93" s="801"/>
      <c r="O93" s="81" t="str">
        <f t="shared" si="11"/>
        <v/>
      </c>
      <c r="P93" s="801"/>
      <c r="Q93" s="801"/>
      <c r="R93" s="81" t="str">
        <f t="shared" si="12"/>
        <v/>
      </c>
      <c r="S93" s="95"/>
    </row>
    <row r="94" spans="1:20">
      <c r="A94" s="95" t="s">
        <v>535</v>
      </c>
      <c r="B94" s="560">
        <f t="shared" si="7"/>
        <v>418</v>
      </c>
      <c r="C94" s="81">
        <f t="shared" si="13"/>
        <v>1.8070986987160087</v>
      </c>
      <c r="D94" s="560"/>
      <c r="E94" s="977">
        <v>4</v>
      </c>
      <c r="F94" s="81">
        <f t="shared" si="8"/>
        <v>0.9569377990430622</v>
      </c>
      <c r="G94" s="977"/>
      <c r="H94" s="977">
        <v>2</v>
      </c>
      <c r="I94" s="81">
        <f t="shared" si="9"/>
        <v>0.4784688995215311</v>
      </c>
      <c r="J94" s="977"/>
      <c r="K94" s="977">
        <v>8</v>
      </c>
      <c r="L94" s="81">
        <f t="shared" si="10"/>
        <v>1.9138755980861244</v>
      </c>
      <c r="M94" s="977"/>
      <c r="N94" s="977">
        <v>17</v>
      </c>
      <c r="O94" s="81">
        <f t="shared" si="11"/>
        <v>4.0669856459330145</v>
      </c>
      <c r="P94" s="977"/>
      <c r="Q94" s="977">
        <v>387</v>
      </c>
      <c r="R94" s="81">
        <f t="shared" si="12"/>
        <v>92.58373205741627</v>
      </c>
      <c r="S94" s="95"/>
    </row>
    <row r="95" spans="1:20">
      <c r="A95" s="95" t="s">
        <v>2244</v>
      </c>
      <c r="B95" s="560">
        <f t="shared" si="7"/>
        <v>431</v>
      </c>
      <c r="C95" s="81">
        <f t="shared" si="13"/>
        <v>1.8633003328866022</v>
      </c>
      <c r="D95" s="560"/>
      <c r="E95" s="977">
        <v>17</v>
      </c>
      <c r="F95" s="81">
        <f t="shared" si="8"/>
        <v>3.9443155452436192</v>
      </c>
      <c r="G95" s="977"/>
      <c r="H95" s="977">
        <v>31</v>
      </c>
      <c r="I95" s="81">
        <f t="shared" si="9"/>
        <v>7.192575406032482</v>
      </c>
      <c r="J95" s="977"/>
      <c r="K95" s="977">
        <v>42</v>
      </c>
      <c r="L95" s="81">
        <f t="shared" si="10"/>
        <v>9.7447795823665881</v>
      </c>
      <c r="M95" s="977"/>
      <c r="N95" s="977">
        <v>70</v>
      </c>
      <c r="O95" s="81">
        <f t="shared" si="11"/>
        <v>16.241299303944317</v>
      </c>
      <c r="P95" s="977"/>
      <c r="Q95" s="977">
        <v>271</v>
      </c>
      <c r="R95" s="81">
        <f t="shared" si="12"/>
        <v>62.877030162412993</v>
      </c>
      <c r="S95" s="95"/>
    </row>
    <row r="96" spans="1:20" ht="9" customHeight="1">
      <c r="B96" s="560" t="str">
        <f t="shared" si="7"/>
        <v/>
      </c>
      <c r="C96" s="81" t="str">
        <f t="shared" si="13"/>
        <v/>
      </c>
      <c r="D96" s="560"/>
      <c r="E96" s="560"/>
      <c r="F96" s="81" t="str">
        <f t="shared" si="8"/>
        <v/>
      </c>
      <c r="G96" s="560"/>
      <c r="H96" s="560"/>
      <c r="I96" s="81" t="str">
        <f t="shared" si="9"/>
        <v/>
      </c>
      <c r="J96" s="560"/>
      <c r="K96" s="560"/>
      <c r="L96" s="81" t="str">
        <f t="shared" si="10"/>
        <v/>
      </c>
      <c r="M96" s="560"/>
      <c r="N96" s="560"/>
      <c r="O96" s="81" t="str">
        <f t="shared" si="11"/>
        <v/>
      </c>
      <c r="P96" s="560"/>
      <c r="Q96" s="560"/>
      <c r="R96" s="81" t="str">
        <f t="shared" si="12"/>
        <v/>
      </c>
      <c r="S96" s="560"/>
    </row>
    <row r="97" spans="1:19" s="55" customFormat="1">
      <c r="A97" s="55" t="s">
        <v>423</v>
      </c>
      <c r="B97" s="626">
        <f t="shared" si="7"/>
        <v>7922</v>
      </c>
      <c r="C97" s="19">
        <f t="shared" si="13"/>
        <v>34.248411223034026</v>
      </c>
      <c r="D97" s="626"/>
      <c r="E97" s="626">
        <f>SUM(E98:E102)</f>
        <v>210</v>
      </c>
      <c r="F97" s="19">
        <f t="shared" si="8"/>
        <v>2.6508457460237311</v>
      </c>
      <c r="G97" s="626"/>
      <c r="H97" s="626">
        <f>SUM(H98:H102)</f>
        <v>248</v>
      </c>
      <c r="I97" s="19">
        <f t="shared" si="9"/>
        <v>3.1305225953042157</v>
      </c>
      <c r="J97" s="626"/>
      <c r="K97" s="626">
        <f>SUM(K98:K102)</f>
        <v>407</v>
      </c>
      <c r="L97" s="19">
        <f t="shared" si="10"/>
        <v>5.1375915172936129</v>
      </c>
      <c r="M97" s="626"/>
      <c r="N97" s="626">
        <f>SUM(N98:N102)</f>
        <v>668</v>
      </c>
      <c r="O97" s="19">
        <f t="shared" si="11"/>
        <v>8.4322140873516798</v>
      </c>
      <c r="P97" s="626"/>
      <c r="Q97" s="626">
        <f>SUM(Q98:Q102)</f>
        <v>6389</v>
      </c>
      <c r="R97" s="19">
        <f t="shared" si="12"/>
        <v>80.648826054026756</v>
      </c>
      <c r="S97" s="626"/>
    </row>
    <row r="98" spans="1:19">
      <c r="A98" s="95" t="s">
        <v>424</v>
      </c>
      <c r="B98" s="560">
        <f t="shared" si="7"/>
        <v>2347</v>
      </c>
      <c r="C98" s="81">
        <f t="shared" si="13"/>
        <v>10.146556569106394</v>
      </c>
      <c r="D98" s="560"/>
      <c r="E98" s="977">
        <v>64</v>
      </c>
      <c r="F98" s="81">
        <f t="shared" si="8"/>
        <v>2.7268853855986364</v>
      </c>
      <c r="G98" s="977"/>
      <c r="H98" s="977">
        <v>76</v>
      </c>
      <c r="I98" s="81">
        <f t="shared" si="9"/>
        <v>3.2381763953983809</v>
      </c>
      <c r="J98" s="977"/>
      <c r="K98" s="977">
        <v>136</v>
      </c>
      <c r="L98" s="81">
        <f t="shared" si="10"/>
        <v>5.794631444397103</v>
      </c>
      <c r="M98" s="977"/>
      <c r="N98" s="977">
        <v>210</v>
      </c>
      <c r="O98" s="81">
        <f t="shared" si="11"/>
        <v>8.9475926714955261</v>
      </c>
      <c r="P98" s="977"/>
      <c r="Q98" s="977">
        <v>1861</v>
      </c>
      <c r="R98" s="81">
        <f t="shared" si="12"/>
        <v>79.292714103110356</v>
      </c>
      <c r="S98" s="95"/>
    </row>
    <row r="99" spans="1:19">
      <c r="A99" s="95" t="s">
        <v>425</v>
      </c>
      <c r="B99" s="560">
        <f t="shared" si="7"/>
        <v>1657</v>
      </c>
      <c r="C99" s="81">
        <f t="shared" si="13"/>
        <v>7.1635467554364274</v>
      </c>
      <c r="D99" s="560"/>
      <c r="E99" s="977">
        <v>30</v>
      </c>
      <c r="F99" s="81">
        <f t="shared" si="8"/>
        <v>1.8105009052504526</v>
      </c>
      <c r="G99" s="977"/>
      <c r="H99" s="977">
        <v>46</v>
      </c>
      <c r="I99" s="81">
        <f t="shared" si="9"/>
        <v>2.776101388050694</v>
      </c>
      <c r="J99" s="977"/>
      <c r="K99" s="977">
        <v>99</v>
      </c>
      <c r="L99" s="81">
        <f t="shared" si="10"/>
        <v>5.9746529873264942</v>
      </c>
      <c r="M99" s="977"/>
      <c r="N99" s="977">
        <v>128</v>
      </c>
      <c r="O99" s="81">
        <f t="shared" si="11"/>
        <v>7.7248038624019317</v>
      </c>
      <c r="P99" s="977"/>
      <c r="Q99" s="977">
        <v>1354</v>
      </c>
      <c r="R99" s="81">
        <f t="shared" si="12"/>
        <v>81.713940856970424</v>
      </c>
      <c r="S99" s="95"/>
    </row>
    <row r="100" spans="1:19">
      <c r="A100" s="95" t="s">
        <v>426</v>
      </c>
      <c r="B100" s="560">
        <f t="shared" si="7"/>
        <v>1682</v>
      </c>
      <c r="C100" s="81">
        <f t="shared" si="13"/>
        <v>7.2716268211491073</v>
      </c>
      <c r="D100" s="560"/>
      <c r="E100" s="977">
        <v>50</v>
      </c>
      <c r="F100" s="81">
        <f t="shared" si="8"/>
        <v>2.9726516052318668</v>
      </c>
      <c r="G100" s="977"/>
      <c r="H100" s="977">
        <v>62</v>
      </c>
      <c r="I100" s="81">
        <f t="shared" si="9"/>
        <v>3.6860879904875148</v>
      </c>
      <c r="J100" s="977"/>
      <c r="K100" s="977">
        <v>79</v>
      </c>
      <c r="L100" s="81">
        <f t="shared" si="10"/>
        <v>4.6967895362663503</v>
      </c>
      <c r="M100" s="977"/>
      <c r="N100" s="977">
        <v>147</v>
      </c>
      <c r="O100" s="81">
        <f t="shared" si="11"/>
        <v>8.7395957193816898</v>
      </c>
      <c r="P100" s="977"/>
      <c r="Q100" s="977">
        <v>1344</v>
      </c>
      <c r="R100" s="81">
        <f t="shared" si="12"/>
        <v>79.904875148632584</v>
      </c>
      <c r="S100" s="95"/>
    </row>
    <row r="101" spans="1:19">
      <c r="A101" s="95" t="s">
        <v>427</v>
      </c>
      <c r="B101" s="560">
        <f t="shared" si="7"/>
        <v>1182</v>
      </c>
      <c r="C101" s="81">
        <f t="shared" si="13"/>
        <v>5.1100255068955081</v>
      </c>
      <c r="D101" s="560"/>
      <c r="E101" s="977">
        <v>28</v>
      </c>
      <c r="F101" s="81">
        <f t="shared" si="8"/>
        <v>2.3688663282571913</v>
      </c>
      <c r="G101" s="977"/>
      <c r="H101" s="977">
        <v>34</v>
      </c>
      <c r="I101" s="81">
        <f t="shared" si="9"/>
        <v>2.8764805414551606</v>
      </c>
      <c r="J101" s="977"/>
      <c r="K101" s="977">
        <v>42</v>
      </c>
      <c r="L101" s="81">
        <f t="shared" si="10"/>
        <v>3.5532994923857872</v>
      </c>
      <c r="M101" s="977"/>
      <c r="N101" s="977">
        <v>94</v>
      </c>
      <c r="O101" s="81">
        <f t="shared" si="11"/>
        <v>7.9526226734348562</v>
      </c>
      <c r="P101" s="977"/>
      <c r="Q101" s="977">
        <v>984</v>
      </c>
      <c r="R101" s="81">
        <f t="shared" si="12"/>
        <v>83.248730964467015</v>
      </c>
      <c r="S101" s="95"/>
    </row>
    <row r="102" spans="1:19">
      <c r="A102" s="95" t="s">
        <v>587</v>
      </c>
      <c r="B102" s="560">
        <f t="shared" si="7"/>
        <v>1054</v>
      </c>
      <c r="C102" s="81">
        <f t="shared" si="13"/>
        <v>4.556655570446587</v>
      </c>
      <c r="D102" s="560"/>
      <c r="E102" s="977">
        <v>38</v>
      </c>
      <c r="F102" s="81">
        <f t="shared" si="8"/>
        <v>3.6053130929791273</v>
      </c>
      <c r="G102" s="977"/>
      <c r="H102" s="977">
        <v>30</v>
      </c>
      <c r="I102" s="81">
        <f t="shared" si="9"/>
        <v>2.8462998102466792</v>
      </c>
      <c r="J102" s="977"/>
      <c r="K102" s="977">
        <v>51</v>
      </c>
      <c r="L102" s="81">
        <f t="shared" si="10"/>
        <v>4.838709677419355</v>
      </c>
      <c r="M102" s="977"/>
      <c r="N102" s="977">
        <v>89</v>
      </c>
      <c r="O102" s="81">
        <f t="shared" si="11"/>
        <v>8.4440227703984814</v>
      </c>
      <c r="P102" s="977"/>
      <c r="Q102" s="977">
        <v>846</v>
      </c>
      <c r="R102" s="81">
        <f t="shared" si="12"/>
        <v>80.265654648956357</v>
      </c>
      <c r="S102" s="95"/>
    </row>
    <row r="103" spans="1:19" ht="6.75" customHeight="1" thickBot="1"/>
    <row r="104" spans="1:19" ht="10.5" customHeight="1">
      <c r="A104" s="97"/>
      <c r="B104" s="186"/>
      <c r="C104" s="974"/>
      <c r="D104" s="67"/>
      <c r="E104" s="189"/>
      <c r="F104" s="66"/>
      <c r="G104" s="66"/>
      <c r="H104" s="189"/>
      <c r="I104" s="67"/>
      <c r="J104" s="67"/>
      <c r="K104" s="189"/>
      <c r="L104" s="67"/>
      <c r="M104" s="67"/>
      <c r="N104" s="189"/>
      <c r="O104" s="67"/>
      <c r="P104" s="67"/>
      <c r="Q104" s="189"/>
      <c r="R104" s="67"/>
      <c r="S104" s="67"/>
    </row>
    <row r="105" spans="1:19">
      <c r="A105" s="14" t="s">
        <v>2145</v>
      </c>
    </row>
    <row r="106" spans="1:19">
      <c r="A106" s="95" t="s">
        <v>1532</v>
      </c>
    </row>
    <row r="107" spans="1:19" ht="8.25" customHeight="1"/>
    <row r="108" spans="1:19">
      <c r="A108" s="95" t="s">
        <v>1533</v>
      </c>
    </row>
    <row r="109" spans="1:19">
      <c r="A109"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S58"/>
  <sheetViews>
    <sheetView topLeftCell="A2" workbookViewId="0">
      <selection activeCell="A3" sqref="A3"/>
    </sheetView>
  </sheetViews>
  <sheetFormatPr baseColWidth="10" defaultColWidth="9.1640625" defaultRowHeight="13"/>
  <cols>
    <col min="1" max="1" width="34.6640625" style="95" customWidth="1"/>
    <col min="2" max="2" width="5.6640625" style="166" customWidth="1"/>
    <col min="3" max="3" width="7.33203125" style="162" customWidth="1"/>
    <col min="4" max="4" width="2.6640625" style="162" customWidth="1"/>
    <col min="5" max="5" width="4.6640625" style="163" customWidth="1"/>
    <col min="6" max="6" width="7.33203125" style="162" customWidth="1"/>
    <col min="7" max="7" width="2.6640625" style="162" customWidth="1"/>
    <col min="8" max="8" width="4.6640625" style="163" customWidth="1"/>
    <col min="9" max="9" width="7.1640625" style="107" customWidth="1"/>
    <col min="10" max="10" width="2.6640625" style="107" customWidth="1"/>
    <col min="11" max="11" width="4.6640625" style="163" customWidth="1"/>
    <col min="12" max="12" width="6.33203125" style="107" customWidth="1"/>
    <col min="13" max="13" width="2.6640625" style="107" customWidth="1"/>
    <col min="14" max="14" width="4.6640625" style="166" customWidth="1"/>
    <col min="15" max="15" width="7.33203125" style="107" customWidth="1"/>
    <col min="16" max="16" width="2.6640625" style="107" customWidth="1"/>
    <col min="17" max="17" width="4.6640625" style="163" customWidth="1"/>
    <col min="18" max="18" width="6.6640625" style="107" customWidth="1"/>
    <col min="19" max="19" width="2.6640625" style="163" customWidth="1"/>
    <col min="20" max="256" width="9.1640625" style="95"/>
    <col min="257" max="257" width="34.6640625" style="95" customWidth="1"/>
    <col min="258" max="258" width="5.6640625" style="95" customWidth="1"/>
    <col min="259" max="259" width="7.33203125" style="95" customWidth="1"/>
    <col min="260" max="260" width="2.6640625" style="95" customWidth="1"/>
    <col min="261" max="261" width="4.6640625" style="95" customWidth="1"/>
    <col min="262" max="262" width="7.33203125" style="95" customWidth="1"/>
    <col min="263" max="263" width="2.6640625" style="95" customWidth="1"/>
    <col min="264" max="264" width="4.6640625" style="95" customWidth="1"/>
    <col min="265" max="265" width="7.1640625" style="95" customWidth="1"/>
    <col min="266" max="266" width="2.6640625" style="95" customWidth="1"/>
    <col min="267" max="267" width="4.6640625" style="95" customWidth="1"/>
    <col min="268" max="268" width="6.33203125" style="95" customWidth="1"/>
    <col min="269" max="269" width="2.6640625" style="95" customWidth="1"/>
    <col min="270" max="270" width="4.6640625" style="95" customWidth="1"/>
    <col min="271" max="271" width="7.33203125" style="95" customWidth="1"/>
    <col min="272" max="272" width="2.6640625" style="95" customWidth="1"/>
    <col min="273" max="273" width="4.6640625" style="95" customWidth="1"/>
    <col min="274" max="274" width="6.6640625" style="95" customWidth="1"/>
    <col min="275" max="275" width="2.6640625" style="95" customWidth="1"/>
    <col min="276" max="512" width="9.1640625" style="95"/>
    <col min="513" max="513" width="34.6640625" style="95" customWidth="1"/>
    <col min="514" max="514" width="5.6640625" style="95" customWidth="1"/>
    <col min="515" max="515" width="7.33203125" style="95" customWidth="1"/>
    <col min="516" max="516" width="2.6640625" style="95" customWidth="1"/>
    <col min="517" max="517" width="4.6640625" style="95" customWidth="1"/>
    <col min="518" max="518" width="7.33203125" style="95" customWidth="1"/>
    <col min="519" max="519" width="2.6640625" style="95" customWidth="1"/>
    <col min="520" max="520" width="4.6640625" style="95" customWidth="1"/>
    <col min="521" max="521" width="7.1640625" style="95" customWidth="1"/>
    <col min="522" max="522" width="2.6640625" style="95" customWidth="1"/>
    <col min="523" max="523" width="4.6640625" style="95" customWidth="1"/>
    <col min="524" max="524" width="6.33203125" style="95" customWidth="1"/>
    <col min="525" max="525" width="2.6640625" style="95" customWidth="1"/>
    <col min="526" max="526" width="4.6640625" style="95" customWidth="1"/>
    <col min="527" max="527" width="7.33203125" style="95" customWidth="1"/>
    <col min="528" max="528" width="2.6640625" style="95" customWidth="1"/>
    <col min="529" max="529" width="4.6640625" style="95" customWidth="1"/>
    <col min="530" max="530" width="6.6640625" style="95" customWidth="1"/>
    <col min="531" max="531" width="2.6640625" style="95" customWidth="1"/>
    <col min="532" max="768" width="9.1640625" style="95"/>
    <col min="769" max="769" width="34.6640625" style="95" customWidth="1"/>
    <col min="770" max="770" width="5.6640625" style="95" customWidth="1"/>
    <col min="771" max="771" width="7.33203125" style="95" customWidth="1"/>
    <col min="772" max="772" width="2.6640625" style="95" customWidth="1"/>
    <col min="773" max="773" width="4.6640625" style="95" customWidth="1"/>
    <col min="774" max="774" width="7.33203125" style="95" customWidth="1"/>
    <col min="775" max="775" width="2.6640625" style="95" customWidth="1"/>
    <col min="776" max="776" width="4.6640625" style="95" customWidth="1"/>
    <col min="777" max="777" width="7.1640625" style="95" customWidth="1"/>
    <col min="778" max="778" width="2.6640625" style="95" customWidth="1"/>
    <col min="779" max="779" width="4.6640625" style="95" customWidth="1"/>
    <col min="780" max="780" width="6.33203125" style="95" customWidth="1"/>
    <col min="781" max="781" width="2.6640625" style="95" customWidth="1"/>
    <col min="782" max="782" width="4.6640625" style="95" customWidth="1"/>
    <col min="783" max="783" width="7.33203125" style="95" customWidth="1"/>
    <col min="784" max="784" width="2.6640625" style="95" customWidth="1"/>
    <col min="785" max="785" width="4.6640625" style="95" customWidth="1"/>
    <col min="786" max="786" width="6.6640625" style="95" customWidth="1"/>
    <col min="787" max="787" width="2.6640625" style="95" customWidth="1"/>
    <col min="788" max="1024" width="9.1640625" style="95"/>
    <col min="1025" max="1025" width="34.6640625" style="95" customWidth="1"/>
    <col min="1026" max="1026" width="5.6640625" style="95" customWidth="1"/>
    <col min="1027" max="1027" width="7.33203125" style="95" customWidth="1"/>
    <col min="1028" max="1028" width="2.6640625" style="95" customWidth="1"/>
    <col min="1029" max="1029" width="4.6640625" style="95" customWidth="1"/>
    <col min="1030" max="1030" width="7.33203125" style="95" customWidth="1"/>
    <col min="1031" max="1031" width="2.6640625" style="95" customWidth="1"/>
    <col min="1032" max="1032" width="4.6640625" style="95" customWidth="1"/>
    <col min="1033" max="1033" width="7.1640625" style="95" customWidth="1"/>
    <col min="1034" max="1034" width="2.6640625" style="95" customWidth="1"/>
    <col min="1035" max="1035" width="4.6640625" style="95" customWidth="1"/>
    <col min="1036" max="1036" width="6.33203125" style="95" customWidth="1"/>
    <col min="1037" max="1037" width="2.6640625" style="95" customWidth="1"/>
    <col min="1038" max="1038" width="4.6640625" style="95" customWidth="1"/>
    <col min="1039" max="1039" width="7.33203125" style="95" customWidth="1"/>
    <col min="1040" max="1040" width="2.6640625" style="95" customWidth="1"/>
    <col min="1041" max="1041" width="4.6640625" style="95" customWidth="1"/>
    <col min="1042" max="1042" width="6.6640625" style="95" customWidth="1"/>
    <col min="1043" max="1043" width="2.6640625" style="95" customWidth="1"/>
    <col min="1044" max="1280" width="9.1640625" style="95"/>
    <col min="1281" max="1281" width="34.6640625" style="95" customWidth="1"/>
    <col min="1282" max="1282" width="5.6640625" style="95" customWidth="1"/>
    <col min="1283" max="1283" width="7.33203125" style="95" customWidth="1"/>
    <col min="1284" max="1284" width="2.6640625" style="95" customWidth="1"/>
    <col min="1285" max="1285" width="4.6640625" style="95" customWidth="1"/>
    <col min="1286" max="1286" width="7.33203125" style="95" customWidth="1"/>
    <col min="1287" max="1287" width="2.6640625" style="95" customWidth="1"/>
    <col min="1288" max="1288" width="4.6640625" style="95" customWidth="1"/>
    <col min="1289" max="1289" width="7.1640625" style="95" customWidth="1"/>
    <col min="1290" max="1290" width="2.6640625" style="95" customWidth="1"/>
    <col min="1291" max="1291" width="4.6640625" style="95" customWidth="1"/>
    <col min="1292" max="1292" width="6.33203125" style="95" customWidth="1"/>
    <col min="1293" max="1293" width="2.6640625" style="95" customWidth="1"/>
    <col min="1294" max="1294" width="4.6640625" style="95" customWidth="1"/>
    <col min="1295" max="1295" width="7.33203125" style="95" customWidth="1"/>
    <col min="1296" max="1296" width="2.6640625" style="95" customWidth="1"/>
    <col min="1297" max="1297" width="4.6640625" style="95" customWidth="1"/>
    <col min="1298" max="1298" width="6.6640625" style="95" customWidth="1"/>
    <col min="1299" max="1299" width="2.6640625" style="95" customWidth="1"/>
    <col min="1300" max="1536" width="9.1640625" style="95"/>
    <col min="1537" max="1537" width="34.6640625" style="95" customWidth="1"/>
    <col min="1538" max="1538" width="5.6640625" style="95" customWidth="1"/>
    <col min="1539" max="1539" width="7.33203125" style="95" customWidth="1"/>
    <col min="1540" max="1540" width="2.6640625" style="95" customWidth="1"/>
    <col min="1541" max="1541" width="4.6640625" style="95" customWidth="1"/>
    <col min="1542" max="1542" width="7.33203125" style="95" customWidth="1"/>
    <col min="1543" max="1543" width="2.6640625" style="95" customWidth="1"/>
    <col min="1544" max="1544" width="4.6640625" style="95" customWidth="1"/>
    <col min="1545" max="1545" width="7.1640625" style="95" customWidth="1"/>
    <col min="1546" max="1546" width="2.6640625" style="95" customWidth="1"/>
    <col min="1547" max="1547" width="4.6640625" style="95" customWidth="1"/>
    <col min="1548" max="1548" width="6.33203125" style="95" customWidth="1"/>
    <col min="1549" max="1549" width="2.6640625" style="95" customWidth="1"/>
    <col min="1550" max="1550" width="4.6640625" style="95" customWidth="1"/>
    <col min="1551" max="1551" width="7.33203125" style="95" customWidth="1"/>
    <col min="1552" max="1552" width="2.6640625" style="95" customWidth="1"/>
    <col min="1553" max="1553" width="4.6640625" style="95" customWidth="1"/>
    <col min="1554" max="1554" width="6.6640625" style="95" customWidth="1"/>
    <col min="1555" max="1555" width="2.6640625" style="95" customWidth="1"/>
    <col min="1556" max="1792" width="9.1640625" style="95"/>
    <col min="1793" max="1793" width="34.6640625" style="95" customWidth="1"/>
    <col min="1794" max="1794" width="5.6640625" style="95" customWidth="1"/>
    <col min="1795" max="1795" width="7.33203125" style="95" customWidth="1"/>
    <col min="1796" max="1796" width="2.6640625" style="95" customWidth="1"/>
    <col min="1797" max="1797" width="4.6640625" style="95" customWidth="1"/>
    <col min="1798" max="1798" width="7.33203125" style="95" customWidth="1"/>
    <col min="1799" max="1799" width="2.6640625" style="95" customWidth="1"/>
    <col min="1800" max="1800" width="4.6640625" style="95" customWidth="1"/>
    <col min="1801" max="1801" width="7.1640625" style="95" customWidth="1"/>
    <col min="1802" max="1802" width="2.6640625" style="95" customWidth="1"/>
    <col min="1803" max="1803" width="4.6640625" style="95" customWidth="1"/>
    <col min="1804" max="1804" width="6.33203125" style="95" customWidth="1"/>
    <col min="1805" max="1805" width="2.6640625" style="95" customWidth="1"/>
    <col min="1806" max="1806" width="4.6640625" style="95" customWidth="1"/>
    <col min="1807" max="1807" width="7.33203125" style="95" customWidth="1"/>
    <col min="1808" max="1808" width="2.6640625" style="95" customWidth="1"/>
    <col min="1809" max="1809" width="4.6640625" style="95" customWidth="1"/>
    <col min="1810" max="1810" width="6.6640625" style="95" customWidth="1"/>
    <col min="1811" max="1811" width="2.6640625" style="95" customWidth="1"/>
    <col min="1812" max="2048" width="9.1640625" style="95"/>
    <col min="2049" max="2049" width="34.6640625" style="95" customWidth="1"/>
    <col min="2050" max="2050" width="5.6640625" style="95" customWidth="1"/>
    <col min="2051" max="2051" width="7.33203125" style="95" customWidth="1"/>
    <col min="2052" max="2052" width="2.6640625" style="95" customWidth="1"/>
    <col min="2053" max="2053" width="4.6640625" style="95" customWidth="1"/>
    <col min="2054" max="2054" width="7.33203125" style="95" customWidth="1"/>
    <col min="2055" max="2055" width="2.6640625" style="95" customWidth="1"/>
    <col min="2056" max="2056" width="4.6640625" style="95" customWidth="1"/>
    <col min="2057" max="2057" width="7.1640625" style="95" customWidth="1"/>
    <col min="2058" max="2058" width="2.6640625" style="95" customWidth="1"/>
    <col min="2059" max="2059" width="4.6640625" style="95" customWidth="1"/>
    <col min="2060" max="2060" width="6.33203125" style="95" customWidth="1"/>
    <col min="2061" max="2061" width="2.6640625" style="95" customWidth="1"/>
    <col min="2062" max="2062" width="4.6640625" style="95" customWidth="1"/>
    <col min="2063" max="2063" width="7.33203125" style="95" customWidth="1"/>
    <col min="2064" max="2064" width="2.6640625" style="95" customWidth="1"/>
    <col min="2065" max="2065" width="4.6640625" style="95" customWidth="1"/>
    <col min="2066" max="2066" width="6.6640625" style="95" customWidth="1"/>
    <col min="2067" max="2067" width="2.6640625" style="95" customWidth="1"/>
    <col min="2068" max="2304" width="9.1640625" style="95"/>
    <col min="2305" max="2305" width="34.6640625" style="95" customWidth="1"/>
    <col min="2306" max="2306" width="5.6640625" style="95" customWidth="1"/>
    <col min="2307" max="2307" width="7.33203125" style="95" customWidth="1"/>
    <col min="2308" max="2308" width="2.6640625" style="95" customWidth="1"/>
    <col min="2309" max="2309" width="4.6640625" style="95" customWidth="1"/>
    <col min="2310" max="2310" width="7.33203125" style="95" customWidth="1"/>
    <col min="2311" max="2311" width="2.6640625" style="95" customWidth="1"/>
    <col min="2312" max="2312" width="4.6640625" style="95" customWidth="1"/>
    <col min="2313" max="2313" width="7.1640625" style="95" customWidth="1"/>
    <col min="2314" max="2314" width="2.6640625" style="95" customWidth="1"/>
    <col min="2315" max="2315" width="4.6640625" style="95" customWidth="1"/>
    <col min="2316" max="2316" width="6.33203125" style="95" customWidth="1"/>
    <col min="2317" max="2317" width="2.6640625" style="95" customWidth="1"/>
    <col min="2318" max="2318" width="4.6640625" style="95" customWidth="1"/>
    <col min="2319" max="2319" width="7.33203125" style="95" customWidth="1"/>
    <col min="2320" max="2320" width="2.6640625" style="95" customWidth="1"/>
    <col min="2321" max="2321" width="4.6640625" style="95" customWidth="1"/>
    <col min="2322" max="2322" width="6.6640625" style="95" customWidth="1"/>
    <col min="2323" max="2323" width="2.6640625" style="95" customWidth="1"/>
    <col min="2324" max="2560" width="9.1640625" style="95"/>
    <col min="2561" max="2561" width="34.6640625" style="95" customWidth="1"/>
    <col min="2562" max="2562" width="5.6640625" style="95" customWidth="1"/>
    <col min="2563" max="2563" width="7.33203125" style="95" customWidth="1"/>
    <col min="2564" max="2564" width="2.6640625" style="95" customWidth="1"/>
    <col min="2565" max="2565" width="4.6640625" style="95" customWidth="1"/>
    <col min="2566" max="2566" width="7.33203125" style="95" customWidth="1"/>
    <col min="2567" max="2567" width="2.6640625" style="95" customWidth="1"/>
    <col min="2568" max="2568" width="4.6640625" style="95" customWidth="1"/>
    <col min="2569" max="2569" width="7.1640625" style="95" customWidth="1"/>
    <col min="2570" max="2570" width="2.6640625" style="95" customWidth="1"/>
    <col min="2571" max="2571" width="4.6640625" style="95" customWidth="1"/>
    <col min="2572" max="2572" width="6.33203125" style="95" customWidth="1"/>
    <col min="2573" max="2573" width="2.6640625" style="95" customWidth="1"/>
    <col min="2574" max="2574" width="4.6640625" style="95" customWidth="1"/>
    <col min="2575" max="2575" width="7.33203125" style="95" customWidth="1"/>
    <col min="2576" max="2576" width="2.6640625" style="95" customWidth="1"/>
    <col min="2577" max="2577" width="4.6640625" style="95" customWidth="1"/>
    <col min="2578" max="2578" width="6.6640625" style="95" customWidth="1"/>
    <col min="2579" max="2579" width="2.6640625" style="95" customWidth="1"/>
    <col min="2580" max="2816" width="9.1640625" style="95"/>
    <col min="2817" max="2817" width="34.6640625" style="95" customWidth="1"/>
    <col min="2818" max="2818" width="5.6640625" style="95" customWidth="1"/>
    <col min="2819" max="2819" width="7.33203125" style="95" customWidth="1"/>
    <col min="2820" max="2820" width="2.6640625" style="95" customWidth="1"/>
    <col min="2821" max="2821" width="4.6640625" style="95" customWidth="1"/>
    <col min="2822" max="2822" width="7.33203125" style="95" customWidth="1"/>
    <col min="2823" max="2823" width="2.6640625" style="95" customWidth="1"/>
    <col min="2824" max="2824" width="4.6640625" style="95" customWidth="1"/>
    <col min="2825" max="2825" width="7.1640625" style="95" customWidth="1"/>
    <col min="2826" max="2826" width="2.6640625" style="95" customWidth="1"/>
    <col min="2827" max="2827" width="4.6640625" style="95" customWidth="1"/>
    <col min="2828" max="2828" width="6.33203125" style="95" customWidth="1"/>
    <col min="2829" max="2829" width="2.6640625" style="95" customWidth="1"/>
    <col min="2830" max="2830" width="4.6640625" style="95" customWidth="1"/>
    <col min="2831" max="2831" width="7.33203125" style="95" customWidth="1"/>
    <col min="2832" max="2832" width="2.6640625" style="95" customWidth="1"/>
    <col min="2833" max="2833" width="4.6640625" style="95" customWidth="1"/>
    <col min="2834" max="2834" width="6.6640625" style="95" customWidth="1"/>
    <col min="2835" max="2835" width="2.6640625" style="95" customWidth="1"/>
    <col min="2836" max="3072" width="9.1640625" style="95"/>
    <col min="3073" max="3073" width="34.6640625" style="95" customWidth="1"/>
    <col min="3074" max="3074" width="5.6640625" style="95" customWidth="1"/>
    <col min="3075" max="3075" width="7.33203125" style="95" customWidth="1"/>
    <col min="3076" max="3076" width="2.6640625" style="95" customWidth="1"/>
    <col min="3077" max="3077" width="4.6640625" style="95" customWidth="1"/>
    <col min="3078" max="3078" width="7.33203125" style="95" customWidth="1"/>
    <col min="3079" max="3079" width="2.6640625" style="95" customWidth="1"/>
    <col min="3080" max="3080" width="4.6640625" style="95" customWidth="1"/>
    <col min="3081" max="3081" width="7.1640625" style="95" customWidth="1"/>
    <col min="3082" max="3082" width="2.6640625" style="95" customWidth="1"/>
    <col min="3083" max="3083" width="4.6640625" style="95" customWidth="1"/>
    <col min="3084" max="3084" width="6.33203125" style="95" customWidth="1"/>
    <col min="3085" max="3085" width="2.6640625" style="95" customWidth="1"/>
    <col min="3086" max="3086" width="4.6640625" style="95" customWidth="1"/>
    <col min="3087" max="3087" width="7.33203125" style="95" customWidth="1"/>
    <col min="3088" max="3088" width="2.6640625" style="95" customWidth="1"/>
    <col min="3089" max="3089" width="4.6640625" style="95" customWidth="1"/>
    <col min="3090" max="3090" width="6.6640625" style="95" customWidth="1"/>
    <col min="3091" max="3091" width="2.6640625" style="95" customWidth="1"/>
    <col min="3092" max="3328" width="9.1640625" style="95"/>
    <col min="3329" max="3329" width="34.6640625" style="95" customWidth="1"/>
    <col min="3330" max="3330" width="5.6640625" style="95" customWidth="1"/>
    <col min="3331" max="3331" width="7.33203125" style="95" customWidth="1"/>
    <col min="3332" max="3332" width="2.6640625" style="95" customWidth="1"/>
    <col min="3333" max="3333" width="4.6640625" style="95" customWidth="1"/>
    <col min="3334" max="3334" width="7.33203125" style="95" customWidth="1"/>
    <col min="3335" max="3335" width="2.6640625" style="95" customWidth="1"/>
    <col min="3336" max="3336" width="4.6640625" style="95" customWidth="1"/>
    <col min="3337" max="3337" width="7.1640625" style="95" customWidth="1"/>
    <col min="3338" max="3338" width="2.6640625" style="95" customWidth="1"/>
    <col min="3339" max="3339" width="4.6640625" style="95" customWidth="1"/>
    <col min="3340" max="3340" width="6.33203125" style="95" customWidth="1"/>
    <col min="3341" max="3341" width="2.6640625" style="95" customWidth="1"/>
    <col min="3342" max="3342" width="4.6640625" style="95" customWidth="1"/>
    <col min="3343" max="3343" width="7.33203125" style="95" customWidth="1"/>
    <col min="3344" max="3344" width="2.6640625" style="95" customWidth="1"/>
    <col min="3345" max="3345" width="4.6640625" style="95" customWidth="1"/>
    <col min="3346" max="3346" width="6.6640625" style="95" customWidth="1"/>
    <col min="3347" max="3347" width="2.6640625" style="95" customWidth="1"/>
    <col min="3348" max="3584" width="9.1640625" style="95"/>
    <col min="3585" max="3585" width="34.6640625" style="95" customWidth="1"/>
    <col min="3586" max="3586" width="5.6640625" style="95" customWidth="1"/>
    <col min="3587" max="3587" width="7.33203125" style="95" customWidth="1"/>
    <col min="3588" max="3588" width="2.6640625" style="95" customWidth="1"/>
    <col min="3589" max="3589" width="4.6640625" style="95" customWidth="1"/>
    <col min="3590" max="3590" width="7.33203125" style="95" customWidth="1"/>
    <col min="3591" max="3591" width="2.6640625" style="95" customWidth="1"/>
    <col min="3592" max="3592" width="4.6640625" style="95" customWidth="1"/>
    <col min="3593" max="3593" width="7.1640625" style="95" customWidth="1"/>
    <col min="3594" max="3594" width="2.6640625" style="95" customWidth="1"/>
    <col min="3595" max="3595" width="4.6640625" style="95" customWidth="1"/>
    <col min="3596" max="3596" width="6.33203125" style="95" customWidth="1"/>
    <col min="3597" max="3597" width="2.6640625" style="95" customWidth="1"/>
    <col min="3598" max="3598" width="4.6640625" style="95" customWidth="1"/>
    <col min="3599" max="3599" width="7.33203125" style="95" customWidth="1"/>
    <col min="3600" max="3600" width="2.6640625" style="95" customWidth="1"/>
    <col min="3601" max="3601" width="4.6640625" style="95" customWidth="1"/>
    <col min="3602" max="3602" width="6.6640625" style="95" customWidth="1"/>
    <col min="3603" max="3603" width="2.6640625" style="95" customWidth="1"/>
    <col min="3604" max="3840" width="9.1640625" style="95"/>
    <col min="3841" max="3841" width="34.6640625" style="95" customWidth="1"/>
    <col min="3842" max="3842" width="5.6640625" style="95" customWidth="1"/>
    <col min="3843" max="3843" width="7.33203125" style="95" customWidth="1"/>
    <col min="3844" max="3844" width="2.6640625" style="95" customWidth="1"/>
    <col min="3845" max="3845" width="4.6640625" style="95" customWidth="1"/>
    <col min="3846" max="3846" width="7.33203125" style="95" customWidth="1"/>
    <col min="3847" max="3847" width="2.6640625" style="95" customWidth="1"/>
    <col min="3848" max="3848" width="4.6640625" style="95" customWidth="1"/>
    <col min="3849" max="3849" width="7.1640625" style="95" customWidth="1"/>
    <col min="3850" max="3850" width="2.6640625" style="95" customWidth="1"/>
    <col min="3851" max="3851" width="4.6640625" style="95" customWidth="1"/>
    <col min="3852" max="3852" width="6.33203125" style="95" customWidth="1"/>
    <col min="3853" max="3853" width="2.6640625" style="95" customWidth="1"/>
    <col min="3854" max="3854" width="4.6640625" style="95" customWidth="1"/>
    <col min="3855" max="3855" width="7.33203125" style="95" customWidth="1"/>
    <col min="3856" max="3856" width="2.6640625" style="95" customWidth="1"/>
    <col min="3857" max="3857" width="4.6640625" style="95" customWidth="1"/>
    <col min="3858" max="3858" width="6.6640625" style="95" customWidth="1"/>
    <col min="3859" max="3859" width="2.6640625" style="95" customWidth="1"/>
    <col min="3860" max="4096" width="9.1640625" style="95"/>
    <col min="4097" max="4097" width="34.6640625" style="95" customWidth="1"/>
    <col min="4098" max="4098" width="5.6640625" style="95" customWidth="1"/>
    <col min="4099" max="4099" width="7.33203125" style="95" customWidth="1"/>
    <col min="4100" max="4100" width="2.6640625" style="95" customWidth="1"/>
    <col min="4101" max="4101" width="4.6640625" style="95" customWidth="1"/>
    <col min="4102" max="4102" width="7.33203125" style="95" customWidth="1"/>
    <col min="4103" max="4103" width="2.6640625" style="95" customWidth="1"/>
    <col min="4104" max="4104" width="4.6640625" style="95" customWidth="1"/>
    <col min="4105" max="4105" width="7.1640625" style="95" customWidth="1"/>
    <col min="4106" max="4106" width="2.6640625" style="95" customWidth="1"/>
    <col min="4107" max="4107" width="4.6640625" style="95" customWidth="1"/>
    <col min="4108" max="4108" width="6.33203125" style="95" customWidth="1"/>
    <col min="4109" max="4109" width="2.6640625" style="95" customWidth="1"/>
    <col min="4110" max="4110" width="4.6640625" style="95" customWidth="1"/>
    <col min="4111" max="4111" width="7.33203125" style="95" customWidth="1"/>
    <col min="4112" max="4112" width="2.6640625" style="95" customWidth="1"/>
    <col min="4113" max="4113" width="4.6640625" style="95" customWidth="1"/>
    <col min="4114" max="4114" width="6.6640625" style="95" customWidth="1"/>
    <col min="4115" max="4115" width="2.6640625" style="95" customWidth="1"/>
    <col min="4116" max="4352" width="9.1640625" style="95"/>
    <col min="4353" max="4353" width="34.6640625" style="95" customWidth="1"/>
    <col min="4354" max="4354" width="5.6640625" style="95" customWidth="1"/>
    <col min="4355" max="4355" width="7.33203125" style="95" customWidth="1"/>
    <col min="4356" max="4356" width="2.6640625" style="95" customWidth="1"/>
    <col min="4357" max="4357" width="4.6640625" style="95" customWidth="1"/>
    <col min="4358" max="4358" width="7.33203125" style="95" customWidth="1"/>
    <col min="4359" max="4359" width="2.6640625" style="95" customWidth="1"/>
    <col min="4360" max="4360" width="4.6640625" style="95" customWidth="1"/>
    <col min="4361" max="4361" width="7.1640625" style="95" customWidth="1"/>
    <col min="4362" max="4362" width="2.6640625" style="95" customWidth="1"/>
    <col min="4363" max="4363" width="4.6640625" style="95" customWidth="1"/>
    <col min="4364" max="4364" width="6.33203125" style="95" customWidth="1"/>
    <col min="4365" max="4365" width="2.6640625" style="95" customWidth="1"/>
    <col min="4366" max="4366" width="4.6640625" style="95" customWidth="1"/>
    <col min="4367" max="4367" width="7.33203125" style="95" customWidth="1"/>
    <col min="4368" max="4368" width="2.6640625" style="95" customWidth="1"/>
    <col min="4369" max="4369" width="4.6640625" style="95" customWidth="1"/>
    <col min="4370" max="4370" width="6.6640625" style="95" customWidth="1"/>
    <col min="4371" max="4371" width="2.6640625" style="95" customWidth="1"/>
    <col min="4372" max="4608" width="9.1640625" style="95"/>
    <col min="4609" max="4609" width="34.6640625" style="95" customWidth="1"/>
    <col min="4610" max="4610" width="5.6640625" style="95" customWidth="1"/>
    <col min="4611" max="4611" width="7.33203125" style="95" customWidth="1"/>
    <col min="4612" max="4612" width="2.6640625" style="95" customWidth="1"/>
    <col min="4613" max="4613" width="4.6640625" style="95" customWidth="1"/>
    <col min="4614" max="4614" width="7.33203125" style="95" customWidth="1"/>
    <col min="4615" max="4615" width="2.6640625" style="95" customWidth="1"/>
    <col min="4616" max="4616" width="4.6640625" style="95" customWidth="1"/>
    <col min="4617" max="4617" width="7.1640625" style="95" customWidth="1"/>
    <col min="4618" max="4618" width="2.6640625" style="95" customWidth="1"/>
    <col min="4619" max="4619" width="4.6640625" style="95" customWidth="1"/>
    <col min="4620" max="4620" width="6.33203125" style="95" customWidth="1"/>
    <col min="4621" max="4621" width="2.6640625" style="95" customWidth="1"/>
    <col min="4622" max="4622" width="4.6640625" style="95" customWidth="1"/>
    <col min="4623" max="4623" width="7.33203125" style="95" customWidth="1"/>
    <col min="4624" max="4624" width="2.6640625" style="95" customWidth="1"/>
    <col min="4625" max="4625" width="4.6640625" style="95" customWidth="1"/>
    <col min="4626" max="4626" width="6.6640625" style="95" customWidth="1"/>
    <col min="4627" max="4627" width="2.6640625" style="95" customWidth="1"/>
    <col min="4628" max="4864" width="9.1640625" style="95"/>
    <col min="4865" max="4865" width="34.6640625" style="95" customWidth="1"/>
    <col min="4866" max="4866" width="5.6640625" style="95" customWidth="1"/>
    <col min="4867" max="4867" width="7.33203125" style="95" customWidth="1"/>
    <col min="4868" max="4868" width="2.6640625" style="95" customWidth="1"/>
    <col min="4869" max="4869" width="4.6640625" style="95" customWidth="1"/>
    <col min="4870" max="4870" width="7.33203125" style="95" customWidth="1"/>
    <col min="4871" max="4871" width="2.6640625" style="95" customWidth="1"/>
    <col min="4872" max="4872" width="4.6640625" style="95" customWidth="1"/>
    <col min="4873" max="4873" width="7.1640625" style="95" customWidth="1"/>
    <col min="4874" max="4874" width="2.6640625" style="95" customWidth="1"/>
    <col min="4875" max="4875" width="4.6640625" style="95" customWidth="1"/>
    <col min="4876" max="4876" width="6.33203125" style="95" customWidth="1"/>
    <col min="4877" max="4877" width="2.6640625" style="95" customWidth="1"/>
    <col min="4878" max="4878" width="4.6640625" style="95" customWidth="1"/>
    <col min="4879" max="4879" width="7.33203125" style="95" customWidth="1"/>
    <col min="4880" max="4880" width="2.6640625" style="95" customWidth="1"/>
    <col min="4881" max="4881" width="4.6640625" style="95" customWidth="1"/>
    <col min="4882" max="4882" width="6.6640625" style="95" customWidth="1"/>
    <col min="4883" max="4883" width="2.6640625" style="95" customWidth="1"/>
    <col min="4884" max="5120" width="9.1640625" style="95"/>
    <col min="5121" max="5121" width="34.6640625" style="95" customWidth="1"/>
    <col min="5122" max="5122" width="5.6640625" style="95" customWidth="1"/>
    <col min="5123" max="5123" width="7.33203125" style="95" customWidth="1"/>
    <col min="5124" max="5124" width="2.6640625" style="95" customWidth="1"/>
    <col min="5125" max="5125" width="4.6640625" style="95" customWidth="1"/>
    <col min="5126" max="5126" width="7.33203125" style="95" customWidth="1"/>
    <col min="5127" max="5127" width="2.6640625" style="95" customWidth="1"/>
    <col min="5128" max="5128" width="4.6640625" style="95" customWidth="1"/>
    <col min="5129" max="5129" width="7.1640625" style="95" customWidth="1"/>
    <col min="5130" max="5130" width="2.6640625" style="95" customWidth="1"/>
    <col min="5131" max="5131" width="4.6640625" style="95" customWidth="1"/>
    <col min="5132" max="5132" width="6.33203125" style="95" customWidth="1"/>
    <col min="5133" max="5133" width="2.6640625" style="95" customWidth="1"/>
    <col min="5134" max="5134" width="4.6640625" style="95" customWidth="1"/>
    <col min="5135" max="5135" width="7.33203125" style="95" customWidth="1"/>
    <col min="5136" max="5136" width="2.6640625" style="95" customWidth="1"/>
    <col min="5137" max="5137" width="4.6640625" style="95" customWidth="1"/>
    <col min="5138" max="5138" width="6.6640625" style="95" customWidth="1"/>
    <col min="5139" max="5139" width="2.6640625" style="95" customWidth="1"/>
    <col min="5140" max="5376" width="9.1640625" style="95"/>
    <col min="5377" max="5377" width="34.6640625" style="95" customWidth="1"/>
    <col min="5378" max="5378" width="5.6640625" style="95" customWidth="1"/>
    <col min="5379" max="5379" width="7.33203125" style="95" customWidth="1"/>
    <col min="5380" max="5380" width="2.6640625" style="95" customWidth="1"/>
    <col min="5381" max="5381" width="4.6640625" style="95" customWidth="1"/>
    <col min="5382" max="5382" width="7.33203125" style="95" customWidth="1"/>
    <col min="5383" max="5383" width="2.6640625" style="95" customWidth="1"/>
    <col min="5384" max="5384" width="4.6640625" style="95" customWidth="1"/>
    <col min="5385" max="5385" width="7.1640625" style="95" customWidth="1"/>
    <col min="5386" max="5386" width="2.6640625" style="95" customWidth="1"/>
    <col min="5387" max="5387" width="4.6640625" style="95" customWidth="1"/>
    <col min="5388" max="5388" width="6.33203125" style="95" customWidth="1"/>
    <col min="5389" max="5389" width="2.6640625" style="95" customWidth="1"/>
    <col min="5390" max="5390" width="4.6640625" style="95" customWidth="1"/>
    <col min="5391" max="5391" width="7.33203125" style="95" customWidth="1"/>
    <col min="5392" max="5392" width="2.6640625" style="95" customWidth="1"/>
    <col min="5393" max="5393" width="4.6640625" style="95" customWidth="1"/>
    <col min="5394" max="5394" width="6.6640625" style="95" customWidth="1"/>
    <col min="5395" max="5395" width="2.6640625" style="95" customWidth="1"/>
    <col min="5396" max="5632" width="9.1640625" style="95"/>
    <col min="5633" max="5633" width="34.6640625" style="95" customWidth="1"/>
    <col min="5634" max="5634" width="5.6640625" style="95" customWidth="1"/>
    <col min="5635" max="5635" width="7.33203125" style="95" customWidth="1"/>
    <col min="5636" max="5636" width="2.6640625" style="95" customWidth="1"/>
    <col min="5637" max="5637" width="4.6640625" style="95" customWidth="1"/>
    <col min="5638" max="5638" width="7.33203125" style="95" customWidth="1"/>
    <col min="5639" max="5639" width="2.6640625" style="95" customWidth="1"/>
    <col min="5640" max="5640" width="4.6640625" style="95" customWidth="1"/>
    <col min="5641" max="5641" width="7.1640625" style="95" customWidth="1"/>
    <col min="5642" max="5642" width="2.6640625" style="95" customWidth="1"/>
    <col min="5643" max="5643" width="4.6640625" style="95" customWidth="1"/>
    <col min="5644" max="5644" width="6.33203125" style="95" customWidth="1"/>
    <col min="5645" max="5645" width="2.6640625" style="95" customWidth="1"/>
    <col min="5646" max="5646" width="4.6640625" style="95" customWidth="1"/>
    <col min="5647" max="5647" width="7.33203125" style="95" customWidth="1"/>
    <col min="5648" max="5648" width="2.6640625" style="95" customWidth="1"/>
    <col min="5649" max="5649" width="4.6640625" style="95" customWidth="1"/>
    <col min="5650" max="5650" width="6.6640625" style="95" customWidth="1"/>
    <col min="5651" max="5651" width="2.6640625" style="95" customWidth="1"/>
    <col min="5652" max="5888" width="9.1640625" style="95"/>
    <col min="5889" max="5889" width="34.6640625" style="95" customWidth="1"/>
    <col min="5890" max="5890" width="5.6640625" style="95" customWidth="1"/>
    <col min="5891" max="5891" width="7.33203125" style="95" customWidth="1"/>
    <col min="5892" max="5892" width="2.6640625" style="95" customWidth="1"/>
    <col min="5893" max="5893" width="4.6640625" style="95" customWidth="1"/>
    <col min="5894" max="5894" width="7.33203125" style="95" customWidth="1"/>
    <col min="5895" max="5895" width="2.6640625" style="95" customWidth="1"/>
    <col min="5896" max="5896" width="4.6640625" style="95" customWidth="1"/>
    <col min="5897" max="5897" width="7.1640625" style="95" customWidth="1"/>
    <col min="5898" max="5898" width="2.6640625" style="95" customWidth="1"/>
    <col min="5899" max="5899" width="4.6640625" style="95" customWidth="1"/>
    <col min="5900" max="5900" width="6.33203125" style="95" customWidth="1"/>
    <col min="5901" max="5901" width="2.6640625" style="95" customWidth="1"/>
    <col min="5902" max="5902" width="4.6640625" style="95" customWidth="1"/>
    <col min="5903" max="5903" width="7.33203125" style="95" customWidth="1"/>
    <col min="5904" max="5904" width="2.6640625" style="95" customWidth="1"/>
    <col min="5905" max="5905" width="4.6640625" style="95" customWidth="1"/>
    <col min="5906" max="5906" width="6.6640625" style="95" customWidth="1"/>
    <col min="5907" max="5907" width="2.6640625" style="95" customWidth="1"/>
    <col min="5908" max="6144" width="9.1640625" style="95"/>
    <col min="6145" max="6145" width="34.6640625" style="95" customWidth="1"/>
    <col min="6146" max="6146" width="5.6640625" style="95" customWidth="1"/>
    <col min="6147" max="6147" width="7.33203125" style="95" customWidth="1"/>
    <col min="6148" max="6148" width="2.6640625" style="95" customWidth="1"/>
    <col min="6149" max="6149" width="4.6640625" style="95" customWidth="1"/>
    <col min="6150" max="6150" width="7.33203125" style="95" customWidth="1"/>
    <col min="6151" max="6151" width="2.6640625" style="95" customWidth="1"/>
    <col min="6152" max="6152" width="4.6640625" style="95" customWidth="1"/>
    <col min="6153" max="6153" width="7.1640625" style="95" customWidth="1"/>
    <col min="6154" max="6154" width="2.6640625" style="95" customWidth="1"/>
    <col min="6155" max="6155" width="4.6640625" style="95" customWidth="1"/>
    <col min="6156" max="6156" width="6.33203125" style="95" customWidth="1"/>
    <col min="6157" max="6157" width="2.6640625" style="95" customWidth="1"/>
    <col min="6158" max="6158" width="4.6640625" style="95" customWidth="1"/>
    <col min="6159" max="6159" width="7.33203125" style="95" customWidth="1"/>
    <col min="6160" max="6160" width="2.6640625" style="95" customWidth="1"/>
    <col min="6161" max="6161" width="4.6640625" style="95" customWidth="1"/>
    <col min="6162" max="6162" width="6.6640625" style="95" customWidth="1"/>
    <col min="6163" max="6163" width="2.6640625" style="95" customWidth="1"/>
    <col min="6164" max="6400" width="9.1640625" style="95"/>
    <col min="6401" max="6401" width="34.6640625" style="95" customWidth="1"/>
    <col min="6402" max="6402" width="5.6640625" style="95" customWidth="1"/>
    <col min="6403" max="6403" width="7.33203125" style="95" customWidth="1"/>
    <col min="6404" max="6404" width="2.6640625" style="95" customWidth="1"/>
    <col min="6405" max="6405" width="4.6640625" style="95" customWidth="1"/>
    <col min="6406" max="6406" width="7.33203125" style="95" customWidth="1"/>
    <col min="6407" max="6407" width="2.6640625" style="95" customWidth="1"/>
    <col min="6408" max="6408" width="4.6640625" style="95" customWidth="1"/>
    <col min="6409" max="6409" width="7.1640625" style="95" customWidth="1"/>
    <col min="6410" max="6410" width="2.6640625" style="95" customWidth="1"/>
    <col min="6411" max="6411" width="4.6640625" style="95" customWidth="1"/>
    <col min="6412" max="6412" width="6.33203125" style="95" customWidth="1"/>
    <col min="6413" max="6413" width="2.6640625" style="95" customWidth="1"/>
    <col min="6414" max="6414" width="4.6640625" style="95" customWidth="1"/>
    <col min="6415" max="6415" width="7.33203125" style="95" customWidth="1"/>
    <col min="6416" max="6416" width="2.6640625" style="95" customWidth="1"/>
    <col min="6417" max="6417" width="4.6640625" style="95" customWidth="1"/>
    <col min="6418" max="6418" width="6.6640625" style="95" customWidth="1"/>
    <col min="6419" max="6419" width="2.6640625" style="95" customWidth="1"/>
    <col min="6420" max="6656" width="9.1640625" style="95"/>
    <col min="6657" max="6657" width="34.6640625" style="95" customWidth="1"/>
    <col min="6658" max="6658" width="5.6640625" style="95" customWidth="1"/>
    <col min="6659" max="6659" width="7.33203125" style="95" customWidth="1"/>
    <col min="6660" max="6660" width="2.6640625" style="95" customWidth="1"/>
    <col min="6661" max="6661" width="4.6640625" style="95" customWidth="1"/>
    <col min="6662" max="6662" width="7.33203125" style="95" customWidth="1"/>
    <col min="6663" max="6663" width="2.6640625" style="95" customWidth="1"/>
    <col min="6664" max="6664" width="4.6640625" style="95" customWidth="1"/>
    <col min="6665" max="6665" width="7.1640625" style="95" customWidth="1"/>
    <col min="6666" max="6666" width="2.6640625" style="95" customWidth="1"/>
    <col min="6667" max="6667" width="4.6640625" style="95" customWidth="1"/>
    <col min="6668" max="6668" width="6.33203125" style="95" customWidth="1"/>
    <col min="6669" max="6669" width="2.6640625" style="95" customWidth="1"/>
    <col min="6670" max="6670" width="4.6640625" style="95" customWidth="1"/>
    <col min="6671" max="6671" width="7.33203125" style="95" customWidth="1"/>
    <col min="6672" max="6672" width="2.6640625" style="95" customWidth="1"/>
    <col min="6673" max="6673" width="4.6640625" style="95" customWidth="1"/>
    <col min="6674" max="6674" width="6.6640625" style="95" customWidth="1"/>
    <col min="6675" max="6675" width="2.6640625" style="95" customWidth="1"/>
    <col min="6676" max="6912" width="9.1640625" style="95"/>
    <col min="6913" max="6913" width="34.6640625" style="95" customWidth="1"/>
    <col min="6914" max="6914" width="5.6640625" style="95" customWidth="1"/>
    <col min="6915" max="6915" width="7.33203125" style="95" customWidth="1"/>
    <col min="6916" max="6916" width="2.6640625" style="95" customWidth="1"/>
    <col min="6917" max="6917" width="4.6640625" style="95" customWidth="1"/>
    <col min="6918" max="6918" width="7.33203125" style="95" customWidth="1"/>
    <col min="6919" max="6919" width="2.6640625" style="95" customWidth="1"/>
    <col min="6920" max="6920" width="4.6640625" style="95" customWidth="1"/>
    <col min="6921" max="6921" width="7.1640625" style="95" customWidth="1"/>
    <col min="6922" max="6922" width="2.6640625" style="95" customWidth="1"/>
    <col min="6923" max="6923" width="4.6640625" style="95" customWidth="1"/>
    <col min="6924" max="6924" width="6.33203125" style="95" customWidth="1"/>
    <col min="6925" max="6925" width="2.6640625" style="95" customWidth="1"/>
    <col min="6926" max="6926" width="4.6640625" style="95" customWidth="1"/>
    <col min="6927" max="6927" width="7.33203125" style="95" customWidth="1"/>
    <col min="6928" max="6928" width="2.6640625" style="95" customWidth="1"/>
    <col min="6929" max="6929" width="4.6640625" style="95" customWidth="1"/>
    <col min="6930" max="6930" width="6.6640625" style="95" customWidth="1"/>
    <col min="6931" max="6931" width="2.6640625" style="95" customWidth="1"/>
    <col min="6932" max="7168" width="9.1640625" style="95"/>
    <col min="7169" max="7169" width="34.6640625" style="95" customWidth="1"/>
    <col min="7170" max="7170" width="5.6640625" style="95" customWidth="1"/>
    <col min="7171" max="7171" width="7.33203125" style="95" customWidth="1"/>
    <col min="7172" max="7172" width="2.6640625" style="95" customWidth="1"/>
    <col min="7173" max="7173" width="4.6640625" style="95" customWidth="1"/>
    <col min="7174" max="7174" width="7.33203125" style="95" customWidth="1"/>
    <col min="7175" max="7175" width="2.6640625" style="95" customWidth="1"/>
    <col min="7176" max="7176" width="4.6640625" style="95" customWidth="1"/>
    <col min="7177" max="7177" width="7.1640625" style="95" customWidth="1"/>
    <col min="7178" max="7178" width="2.6640625" style="95" customWidth="1"/>
    <col min="7179" max="7179" width="4.6640625" style="95" customWidth="1"/>
    <col min="7180" max="7180" width="6.33203125" style="95" customWidth="1"/>
    <col min="7181" max="7181" width="2.6640625" style="95" customWidth="1"/>
    <col min="7182" max="7182" width="4.6640625" style="95" customWidth="1"/>
    <col min="7183" max="7183" width="7.33203125" style="95" customWidth="1"/>
    <col min="7184" max="7184" width="2.6640625" style="95" customWidth="1"/>
    <col min="7185" max="7185" width="4.6640625" style="95" customWidth="1"/>
    <col min="7186" max="7186" width="6.6640625" style="95" customWidth="1"/>
    <col min="7187" max="7187" width="2.6640625" style="95" customWidth="1"/>
    <col min="7188" max="7424" width="9.1640625" style="95"/>
    <col min="7425" max="7425" width="34.6640625" style="95" customWidth="1"/>
    <col min="7426" max="7426" width="5.6640625" style="95" customWidth="1"/>
    <col min="7427" max="7427" width="7.33203125" style="95" customWidth="1"/>
    <col min="7428" max="7428" width="2.6640625" style="95" customWidth="1"/>
    <col min="7429" max="7429" width="4.6640625" style="95" customWidth="1"/>
    <col min="7430" max="7430" width="7.33203125" style="95" customWidth="1"/>
    <col min="7431" max="7431" width="2.6640625" style="95" customWidth="1"/>
    <col min="7432" max="7432" width="4.6640625" style="95" customWidth="1"/>
    <col min="7433" max="7433" width="7.1640625" style="95" customWidth="1"/>
    <col min="7434" max="7434" width="2.6640625" style="95" customWidth="1"/>
    <col min="7435" max="7435" width="4.6640625" style="95" customWidth="1"/>
    <col min="7436" max="7436" width="6.33203125" style="95" customWidth="1"/>
    <col min="7437" max="7437" width="2.6640625" style="95" customWidth="1"/>
    <col min="7438" max="7438" width="4.6640625" style="95" customWidth="1"/>
    <col min="7439" max="7439" width="7.33203125" style="95" customWidth="1"/>
    <col min="7440" max="7440" width="2.6640625" style="95" customWidth="1"/>
    <col min="7441" max="7441" width="4.6640625" style="95" customWidth="1"/>
    <col min="7442" max="7442" width="6.6640625" style="95" customWidth="1"/>
    <col min="7443" max="7443" width="2.6640625" style="95" customWidth="1"/>
    <col min="7444" max="7680" width="9.1640625" style="95"/>
    <col min="7681" max="7681" width="34.6640625" style="95" customWidth="1"/>
    <col min="7682" max="7682" width="5.6640625" style="95" customWidth="1"/>
    <col min="7683" max="7683" width="7.33203125" style="95" customWidth="1"/>
    <col min="7684" max="7684" width="2.6640625" style="95" customWidth="1"/>
    <col min="7685" max="7685" width="4.6640625" style="95" customWidth="1"/>
    <col min="7686" max="7686" width="7.33203125" style="95" customWidth="1"/>
    <col min="7687" max="7687" width="2.6640625" style="95" customWidth="1"/>
    <col min="7688" max="7688" width="4.6640625" style="95" customWidth="1"/>
    <col min="7689" max="7689" width="7.1640625" style="95" customWidth="1"/>
    <col min="7690" max="7690" width="2.6640625" style="95" customWidth="1"/>
    <col min="7691" max="7691" width="4.6640625" style="95" customWidth="1"/>
    <col min="7692" max="7692" width="6.33203125" style="95" customWidth="1"/>
    <col min="7693" max="7693" width="2.6640625" style="95" customWidth="1"/>
    <col min="7694" max="7694" width="4.6640625" style="95" customWidth="1"/>
    <col min="7695" max="7695" width="7.33203125" style="95" customWidth="1"/>
    <col min="7696" max="7696" width="2.6640625" style="95" customWidth="1"/>
    <col min="7697" max="7697" width="4.6640625" style="95" customWidth="1"/>
    <col min="7698" max="7698" width="6.6640625" style="95" customWidth="1"/>
    <col min="7699" max="7699" width="2.6640625" style="95" customWidth="1"/>
    <col min="7700" max="7936" width="9.1640625" style="95"/>
    <col min="7937" max="7937" width="34.6640625" style="95" customWidth="1"/>
    <col min="7938" max="7938" width="5.6640625" style="95" customWidth="1"/>
    <col min="7939" max="7939" width="7.33203125" style="95" customWidth="1"/>
    <col min="7940" max="7940" width="2.6640625" style="95" customWidth="1"/>
    <col min="7941" max="7941" width="4.6640625" style="95" customWidth="1"/>
    <col min="7942" max="7942" width="7.33203125" style="95" customWidth="1"/>
    <col min="7943" max="7943" width="2.6640625" style="95" customWidth="1"/>
    <col min="7944" max="7944" width="4.6640625" style="95" customWidth="1"/>
    <col min="7945" max="7945" width="7.1640625" style="95" customWidth="1"/>
    <col min="7946" max="7946" width="2.6640625" style="95" customWidth="1"/>
    <col min="7947" max="7947" width="4.6640625" style="95" customWidth="1"/>
    <col min="7948" max="7948" width="6.33203125" style="95" customWidth="1"/>
    <col min="7949" max="7949" width="2.6640625" style="95" customWidth="1"/>
    <col min="7950" max="7950" width="4.6640625" style="95" customWidth="1"/>
    <col min="7951" max="7951" width="7.33203125" style="95" customWidth="1"/>
    <col min="7952" max="7952" width="2.6640625" style="95" customWidth="1"/>
    <col min="7953" max="7953" width="4.6640625" style="95" customWidth="1"/>
    <col min="7954" max="7954" width="6.6640625" style="95" customWidth="1"/>
    <col min="7955" max="7955" width="2.6640625" style="95" customWidth="1"/>
    <col min="7956" max="8192" width="9.1640625" style="95"/>
    <col min="8193" max="8193" width="34.6640625" style="95" customWidth="1"/>
    <col min="8194" max="8194" width="5.6640625" style="95" customWidth="1"/>
    <col min="8195" max="8195" width="7.33203125" style="95" customWidth="1"/>
    <col min="8196" max="8196" width="2.6640625" style="95" customWidth="1"/>
    <col min="8197" max="8197" width="4.6640625" style="95" customWidth="1"/>
    <col min="8198" max="8198" width="7.33203125" style="95" customWidth="1"/>
    <col min="8199" max="8199" width="2.6640625" style="95" customWidth="1"/>
    <col min="8200" max="8200" width="4.6640625" style="95" customWidth="1"/>
    <col min="8201" max="8201" width="7.1640625" style="95" customWidth="1"/>
    <col min="8202" max="8202" width="2.6640625" style="95" customWidth="1"/>
    <col min="8203" max="8203" width="4.6640625" style="95" customWidth="1"/>
    <col min="8204" max="8204" width="6.33203125" style="95" customWidth="1"/>
    <col min="8205" max="8205" width="2.6640625" style="95" customWidth="1"/>
    <col min="8206" max="8206" width="4.6640625" style="95" customWidth="1"/>
    <col min="8207" max="8207" width="7.33203125" style="95" customWidth="1"/>
    <col min="8208" max="8208" width="2.6640625" style="95" customWidth="1"/>
    <col min="8209" max="8209" width="4.6640625" style="95" customWidth="1"/>
    <col min="8210" max="8210" width="6.6640625" style="95" customWidth="1"/>
    <col min="8211" max="8211" width="2.6640625" style="95" customWidth="1"/>
    <col min="8212" max="8448" width="9.1640625" style="95"/>
    <col min="8449" max="8449" width="34.6640625" style="95" customWidth="1"/>
    <col min="8450" max="8450" width="5.6640625" style="95" customWidth="1"/>
    <col min="8451" max="8451" width="7.33203125" style="95" customWidth="1"/>
    <col min="8452" max="8452" width="2.6640625" style="95" customWidth="1"/>
    <col min="8453" max="8453" width="4.6640625" style="95" customWidth="1"/>
    <col min="8454" max="8454" width="7.33203125" style="95" customWidth="1"/>
    <col min="8455" max="8455" width="2.6640625" style="95" customWidth="1"/>
    <col min="8456" max="8456" width="4.6640625" style="95" customWidth="1"/>
    <col min="8457" max="8457" width="7.1640625" style="95" customWidth="1"/>
    <col min="8458" max="8458" width="2.6640625" style="95" customWidth="1"/>
    <col min="8459" max="8459" width="4.6640625" style="95" customWidth="1"/>
    <col min="8460" max="8460" width="6.33203125" style="95" customWidth="1"/>
    <col min="8461" max="8461" width="2.6640625" style="95" customWidth="1"/>
    <col min="8462" max="8462" width="4.6640625" style="95" customWidth="1"/>
    <col min="8463" max="8463" width="7.33203125" style="95" customWidth="1"/>
    <col min="8464" max="8464" width="2.6640625" style="95" customWidth="1"/>
    <col min="8465" max="8465" width="4.6640625" style="95" customWidth="1"/>
    <col min="8466" max="8466" width="6.6640625" style="95" customWidth="1"/>
    <col min="8467" max="8467" width="2.6640625" style="95" customWidth="1"/>
    <col min="8468" max="8704" width="9.1640625" style="95"/>
    <col min="8705" max="8705" width="34.6640625" style="95" customWidth="1"/>
    <col min="8706" max="8706" width="5.6640625" style="95" customWidth="1"/>
    <col min="8707" max="8707" width="7.33203125" style="95" customWidth="1"/>
    <col min="8708" max="8708" width="2.6640625" style="95" customWidth="1"/>
    <col min="8709" max="8709" width="4.6640625" style="95" customWidth="1"/>
    <col min="8710" max="8710" width="7.33203125" style="95" customWidth="1"/>
    <col min="8711" max="8711" width="2.6640625" style="95" customWidth="1"/>
    <col min="8712" max="8712" width="4.6640625" style="95" customWidth="1"/>
    <col min="8713" max="8713" width="7.1640625" style="95" customWidth="1"/>
    <col min="8714" max="8714" width="2.6640625" style="95" customWidth="1"/>
    <col min="8715" max="8715" width="4.6640625" style="95" customWidth="1"/>
    <col min="8716" max="8716" width="6.33203125" style="95" customWidth="1"/>
    <col min="8717" max="8717" width="2.6640625" style="95" customWidth="1"/>
    <col min="8718" max="8718" width="4.6640625" style="95" customWidth="1"/>
    <col min="8719" max="8719" width="7.33203125" style="95" customWidth="1"/>
    <col min="8720" max="8720" width="2.6640625" style="95" customWidth="1"/>
    <col min="8721" max="8721" width="4.6640625" style="95" customWidth="1"/>
    <col min="8722" max="8722" width="6.6640625" style="95" customWidth="1"/>
    <col min="8723" max="8723" width="2.6640625" style="95" customWidth="1"/>
    <col min="8724" max="8960" width="9.1640625" style="95"/>
    <col min="8961" max="8961" width="34.6640625" style="95" customWidth="1"/>
    <col min="8962" max="8962" width="5.6640625" style="95" customWidth="1"/>
    <col min="8963" max="8963" width="7.33203125" style="95" customWidth="1"/>
    <col min="8964" max="8964" width="2.6640625" style="95" customWidth="1"/>
    <col min="8965" max="8965" width="4.6640625" style="95" customWidth="1"/>
    <col min="8966" max="8966" width="7.33203125" style="95" customWidth="1"/>
    <col min="8967" max="8967" width="2.6640625" style="95" customWidth="1"/>
    <col min="8968" max="8968" width="4.6640625" style="95" customWidth="1"/>
    <col min="8969" max="8969" width="7.1640625" style="95" customWidth="1"/>
    <col min="8970" max="8970" width="2.6640625" style="95" customWidth="1"/>
    <col min="8971" max="8971" width="4.6640625" style="95" customWidth="1"/>
    <col min="8972" max="8972" width="6.33203125" style="95" customWidth="1"/>
    <col min="8973" max="8973" width="2.6640625" style="95" customWidth="1"/>
    <col min="8974" max="8974" width="4.6640625" style="95" customWidth="1"/>
    <col min="8975" max="8975" width="7.33203125" style="95" customWidth="1"/>
    <col min="8976" max="8976" width="2.6640625" style="95" customWidth="1"/>
    <col min="8977" max="8977" width="4.6640625" style="95" customWidth="1"/>
    <col min="8978" max="8978" width="6.6640625" style="95" customWidth="1"/>
    <col min="8979" max="8979" width="2.6640625" style="95" customWidth="1"/>
    <col min="8980" max="9216" width="9.1640625" style="95"/>
    <col min="9217" max="9217" width="34.6640625" style="95" customWidth="1"/>
    <col min="9218" max="9218" width="5.6640625" style="95" customWidth="1"/>
    <col min="9219" max="9219" width="7.33203125" style="95" customWidth="1"/>
    <col min="9220" max="9220" width="2.6640625" style="95" customWidth="1"/>
    <col min="9221" max="9221" width="4.6640625" style="95" customWidth="1"/>
    <col min="9222" max="9222" width="7.33203125" style="95" customWidth="1"/>
    <col min="9223" max="9223" width="2.6640625" style="95" customWidth="1"/>
    <col min="9224" max="9224" width="4.6640625" style="95" customWidth="1"/>
    <col min="9225" max="9225" width="7.1640625" style="95" customWidth="1"/>
    <col min="9226" max="9226" width="2.6640625" style="95" customWidth="1"/>
    <col min="9227" max="9227" width="4.6640625" style="95" customWidth="1"/>
    <col min="9228" max="9228" width="6.33203125" style="95" customWidth="1"/>
    <col min="9229" max="9229" width="2.6640625" style="95" customWidth="1"/>
    <col min="9230" max="9230" width="4.6640625" style="95" customWidth="1"/>
    <col min="9231" max="9231" width="7.33203125" style="95" customWidth="1"/>
    <col min="9232" max="9232" width="2.6640625" style="95" customWidth="1"/>
    <col min="9233" max="9233" width="4.6640625" style="95" customWidth="1"/>
    <col min="9234" max="9234" width="6.6640625" style="95" customWidth="1"/>
    <col min="9235" max="9235" width="2.6640625" style="95" customWidth="1"/>
    <col min="9236" max="9472" width="9.1640625" style="95"/>
    <col min="9473" max="9473" width="34.6640625" style="95" customWidth="1"/>
    <col min="9474" max="9474" width="5.6640625" style="95" customWidth="1"/>
    <col min="9475" max="9475" width="7.33203125" style="95" customWidth="1"/>
    <col min="9476" max="9476" width="2.6640625" style="95" customWidth="1"/>
    <col min="9477" max="9477" width="4.6640625" style="95" customWidth="1"/>
    <col min="9478" max="9478" width="7.33203125" style="95" customWidth="1"/>
    <col min="9479" max="9479" width="2.6640625" style="95" customWidth="1"/>
    <col min="9480" max="9480" width="4.6640625" style="95" customWidth="1"/>
    <col min="9481" max="9481" width="7.1640625" style="95" customWidth="1"/>
    <col min="9482" max="9482" width="2.6640625" style="95" customWidth="1"/>
    <col min="9483" max="9483" width="4.6640625" style="95" customWidth="1"/>
    <col min="9484" max="9484" width="6.33203125" style="95" customWidth="1"/>
    <col min="9485" max="9485" width="2.6640625" style="95" customWidth="1"/>
    <col min="9486" max="9486" width="4.6640625" style="95" customWidth="1"/>
    <col min="9487" max="9487" width="7.33203125" style="95" customWidth="1"/>
    <col min="9488" max="9488" width="2.6640625" style="95" customWidth="1"/>
    <col min="9489" max="9489" width="4.6640625" style="95" customWidth="1"/>
    <col min="9490" max="9490" width="6.6640625" style="95" customWidth="1"/>
    <col min="9491" max="9491" width="2.6640625" style="95" customWidth="1"/>
    <col min="9492" max="9728" width="9.1640625" style="95"/>
    <col min="9729" max="9729" width="34.6640625" style="95" customWidth="1"/>
    <col min="9730" max="9730" width="5.6640625" style="95" customWidth="1"/>
    <col min="9731" max="9731" width="7.33203125" style="95" customWidth="1"/>
    <col min="9732" max="9732" width="2.6640625" style="95" customWidth="1"/>
    <col min="9733" max="9733" width="4.6640625" style="95" customWidth="1"/>
    <col min="9734" max="9734" width="7.33203125" style="95" customWidth="1"/>
    <col min="9735" max="9735" width="2.6640625" style="95" customWidth="1"/>
    <col min="9736" max="9736" width="4.6640625" style="95" customWidth="1"/>
    <col min="9737" max="9737" width="7.1640625" style="95" customWidth="1"/>
    <col min="9738" max="9738" width="2.6640625" style="95" customWidth="1"/>
    <col min="9739" max="9739" width="4.6640625" style="95" customWidth="1"/>
    <col min="9740" max="9740" width="6.33203125" style="95" customWidth="1"/>
    <col min="9741" max="9741" width="2.6640625" style="95" customWidth="1"/>
    <col min="9742" max="9742" width="4.6640625" style="95" customWidth="1"/>
    <col min="9743" max="9743" width="7.33203125" style="95" customWidth="1"/>
    <col min="9744" max="9744" width="2.6640625" style="95" customWidth="1"/>
    <col min="9745" max="9745" width="4.6640625" style="95" customWidth="1"/>
    <col min="9746" max="9746" width="6.6640625" style="95" customWidth="1"/>
    <col min="9747" max="9747" width="2.6640625" style="95" customWidth="1"/>
    <col min="9748" max="9984" width="9.1640625" style="95"/>
    <col min="9985" max="9985" width="34.6640625" style="95" customWidth="1"/>
    <col min="9986" max="9986" width="5.6640625" style="95" customWidth="1"/>
    <col min="9987" max="9987" width="7.33203125" style="95" customWidth="1"/>
    <col min="9988" max="9988" width="2.6640625" style="95" customWidth="1"/>
    <col min="9989" max="9989" width="4.6640625" style="95" customWidth="1"/>
    <col min="9990" max="9990" width="7.33203125" style="95" customWidth="1"/>
    <col min="9991" max="9991" width="2.6640625" style="95" customWidth="1"/>
    <col min="9992" max="9992" width="4.6640625" style="95" customWidth="1"/>
    <col min="9993" max="9993" width="7.1640625" style="95" customWidth="1"/>
    <col min="9994" max="9994" width="2.6640625" style="95" customWidth="1"/>
    <col min="9995" max="9995" width="4.6640625" style="95" customWidth="1"/>
    <col min="9996" max="9996" width="6.33203125" style="95" customWidth="1"/>
    <col min="9997" max="9997" width="2.6640625" style="95" customWidth="1"/>
    <col min="9998" max="9998" width="4.6640625" style="95" customWidth="1"/>
    <col min="9999" max="9999" width="7.33203125" style="95" customWidth="1"/>
    <col min="10000" max="10000" width="2.6640625" style="95" customWidth="1"/>
    <col min="10001" max="10001" width="4.6640625" style="95" customWidth="1"/>
    <col min="10002" max="10002" width="6.6640625" style="95" customWidth="1"/>
    <col min="10003" max="10003" width="2.6640625" style="95" customWidth="1"/>
    <col min="10004" max="10240" width="9.1640625" style="95"/>
    <col min="10241" max="10241" width="34.6640625" style="95" customWidth="1"/>
    <col min="10242" max="10242" width="5.6640625" style="95" customWidth="1"/>
    <col min="10243" max="10243" width="7.33203125" style="95" customWidth="1"/>
    <col min="10244" max="10244" width="2.6640625" style="95" customWidth="1"/>
    <col min="10245" max="10245" width="4.6640625" style="95" customWidth="1"/>
    <col min="10246" max="10246" width="7.33203125" style="95" customWidth="1"/>
    <col min="10247" max="10247" width="2.6640625" style="95" customWidth="1"/>
    <col min="10248" max="10248" width="4.6640625" style="95" customWidth="1"/>
    <col min="10249" max="10249" width="7.1640625" style="95" customWidth="1"/>
    <col min="10250" max="10250" width="2.6640625" style="95" customWidth="1"/>
    <col min="10251" max="10251" width="4.6640625" style="95" customWidth="1"/>
    <col min="10252" max="10252" width="6.33203125" style="95" customWidth="1"/>
    <col min="10253" max="10253" width="2.6640625" style="95" customWidth="1"/>
    <col min="10254" max="10254" width="4.6640625" style="95" customWidth="1"/>
    <col min="10255" max="10255" width="7.33203125" style="95" customWidth="1"/>
    <col min="10256" max="10256" width="2.6640625" style="95" customWidth="1"/>
    <col min="10257" max="10257" width="4.6640625" style="95" customWidth="1"/>
    <col min="10258" max="10258" width="6.6640625" style="95" customWidth="1"/>
    <col min="10259" max="10259" width="2.6640625" style="95" customWidth="1"/>
    <col min="10260" max="10496" width="9.1640625" style="95"/>
    <col min="10497" max="10497" width="34.6640625" style="95" customWidth="1"/>
    <col min="10498" max="10498" width="5.6640625" style="95" customWidth="1"/>
    <col min="10499" max="10499" width="7.33203125" style="95" customWidth="1"/>
    <col min="10500" max="10500" width="2.6640625" style="95" customWidth="1"/>
    <col min="10501" max="10501" width="4.6640625" style="95" customWidth="1"/>
    <col min="10502" max="10502" width="7.33203125" style="95" customWidth="1"/>
    <col min="10503" max="10503" width="2.6640625" style="95" customWidth="1"/>
    <col min="10504" max="10504" width="4.6640625" style="95" customWidth="1"/>
    <col min="10505" max="10505" width="7.1640625" style="95" customWidth="1"/>
    <col min="10506" max="10506" width="2.6640625" style="95" customWidth="1"/>
    <col min="10507" max="10507" width="4.6640625" style="95" customWidth="1"/>
    <col min="10508" max="10508" width="6.33203125" style="95" customWidth="1"/>
    <col min="10509" max="10509" width="2.6640625" style="95" customWidth="1"/>
    <col min="10510" max="10510" width="4.6640625" style="95" customWidth="1"/>
    <col min="10511" max="10511" width="7.33203125" style="95" customWidth="1"/>
    <col min="10512" max="10512" width="2.6640625" style="95" customWidth="1"/>
    <col min="10513" max="10513" width="4.6640625" style="95" customWidth="1"/>
    <col min="10514" max="10514" width="6.6640625" style="95" customWidth="1"/>
    <col min="10515" max="10515" width="2.6640625" style="95" customWidth="1"/>
    <col min="10516" max="10752" width="9.1640625" style="95"/>
    <col min="10753" max="10753" width="34.6640625" style="95" customWidth="1"/>
    <col min="10754" max="10754" width="5.6640625" style="95" customWidth="1"/>
    <col min="10755" max="10755" width="7.33203125" style="95" customWidth="1"/>
    <col min="10756" max="10756" width="2.6640625" style="95" customWidth="1"/>
    <col min="10757" max="10757" width="4.6640625" style="95" customWidth="1"/>
    <col min="10758" max="10758" width="7.33203125" style="95" customWidth="1"/>
    <col min="10759" max="10759" width="2.6640625" style="95" customWidth="1"/>
    <col min="10760" max="10760" width="4.6640625" style="95" customWidth="1"/>
    <col min="10761" max="10761" width="7.1640625" style="95" customWidth="1"/>
    <col min="10762" max="10762" width="2.6640625" style="95" customWidth="1"/>
    <col min="10763" max="10763" width="4.6640625" style="95" customWidth="1"/>
    <col min="10764" max="10764" width="6.33203125" style="95" customWidth="1"/>
    <col min="10765" max="10765" width="2.6640625" style="95" customWidth="1"/>
    <col min="10766" max="10766" width="4.6640625" style="95" customWidth="1"/>
    <col min="10767" max="10767" width="7.33203125" style="95" customWidth="1"/>
    <col min="10768" max="10768" width="2.6640625" style="95" customWidth="1"/>
    <col min="10769" max="10769" width="4.6640625" style="95" customWidth="1"/>
    <col min="10770" max="10770" width="6.6640625" style="95" customWidth="1"/>
    <col min="10771" max="10771" width="2.6640625" style="95" customWidth="1"/>
    <col min="10772" max="11008" width="9.1640625" style="95"/>
    <col min="11009" max="11009" width="34.6640625" style="95" customWidth="1"/>
    <col min="11010" max="11010" width="5.6640625" style="95" customWidth="1"/>
    <col min="11011" max="11011" width="7.33203125" style="95" customWidth="1"/>
    <col min="11012" max="11012" width="2.6640625" style="95" customWidth="1"/>
    <col min="11013" max="11013" width="4.6640625" style="95" customWidth="1"/>
    <col min="11014" max="11014" width="7.33203125" style="95" customWidth="1"/>
    <col min="11015" max="11015" width="2.6640625" style="95" customWidth="1"/>
    <col min="11016" max="11016" width="4.6640625" style="95" customWidth="1"/>
    <col min="11017" max="11017" width="7.1640625" style="95" customWidth="1"/>
    <col min="11018" max="11018" width="2.6640625" style="95" customWidth="1"/>
    <col min="11019" max="11019" width="4.6640625" style="95" customWidth="1"/>
    <col min="11020" max="11020" width="6.33203125" style="95" customWidth="1"/>
    <col min="11021" max="11021" width="2.6640625" style="95" customWidth="1"/>
    <col min="11022" max="11022" width="4.6640625" style="95" customWidth="1"/>
    <col min="11023" max="11023" width="7.33203125" style="95" customWidth="1"/>
    <col min="11024" max="11024" width="2.6640625" style="95" customWidth="1"/>
    <col min="11025" max="11025" width="4.6640625" style="95" customWidth="1"/>
    <col min="11026" max="11026" width="6.6640625" style="95" customWidth="1"/>
    <col min="11027" max="11027" width="2.6640625" style="95" customWidth="1"/>
    <col min="11028" max="11264" width="9.1640625" style="95"/>
    <col min="11265" max="11265" width="34.6640625" style="95" customWidth="1"/>
    <col min="11266" max="11266" width="5.6640625" style="95" customWidth="1"/>
    <col min="11267" max="11267" width="7.33203125" style="95" customWidth="1"/>
    <col min="11268" max="11268" width="2.6640625" style="95" customWidth="1"/>
    <col min="11269" max="11269" width="4.6640625" style="95" customWidth="1"/>
    <col min="11270" max="11270" width="7.33203125" style="95" customWidth="1"/>
    <col min="11271" max="11271" width="2.6640625" style="95" customWidth="1"/>
    <col min="11272" max="11272" width="4.6640625" style="95" customWidth="1"/>
    <col min="11273" max="11273" width="7.1640625" style="95" customWidth="1"/>
    <col min="11274" max="11274" width="2.6640625" style="95" customWidth="1"/>
    <col min="11275" max="11275" width="4.6640625" style="95" customWidth="1"/>
    <col min="11276" max="11276" width="6.33203125" style="95" customWidth="1"/>
    <col min="11277" max="11277" width="2.6640625" style="95" customWidth="1"/>
    <col min="11278" max="11278" width="4.6640625" style="95" customWidth="1"/>
    <col min="11279" max="11279" width="7.33203125" style="95" customWidth="1"/>
    <col min="11280" max="11280" width="2.6640625" style="95" customWidth="1"/>
    <col min="11281" max="11281" width="4.6640625" style="95" customWidth="1"/>
    <col min="11282" max="11282" width="6.6640625" style="95" customWidth="1"/>
    <col min="11283" max="11283" width="2.6640625" style="95" customWidth="1"/>
    <col min="11284" max="11520" width="9.1640625" style="95"/>
    <col min="11521" max="11521" width="34.6640625" style="95" customWidth="1"/>
    <col min="11522" max="11522" width="5.6640625" style="95" customWidth="1"/>
    <col min="11523" max="11523" width="7.33203125" style="95" customWidth="1"/>
    <col min="11524" max="11524" width="2.6640625" style="95" customWidth="1"/>
    <col min="11525" max="11525" width="4.6640625" style="95" customWidth="1"/>
    <col min="11526" max="11526" width="7.33203125" style="95" customWidth="1"/>
    <col min="11527" max="11527" width="2.6640625" style="95" customWidth="1"/>
    <col min="11528" max="11528" width="4.6640625" style="95" customWidth="1"/>
    <col min="11529" max="11529" width="7.1640625" style="95" customWidth="1"/>
    <col min="11530" max="11530" width="2.6640625" style="95" customWidth="1"/>
    <col min="11531" max="11531" width="4.6640625" style="95" customWidth="1"/>
    <col min="11532" max="11532" width="6.33203125" style="95" customWidth="1"/>
    <col min="11533" max="11533" width="2.6640625" style="95" customWidth="1"/>
    <col min="11534" max="11534" width="4.6640625" style="95" customWidth="1"/>
    <col min="11535" max="11535" width="7.33203125" style="95" customWidth="1"/>
    <col min="11536" max="11536" width="2.6640625" style="95" customWidth="1"/>
    <col min="11537" max="11537" width="4.6640625" style="95" customWidth="1"/>
    <col min="11538" max="11538" width="6.6640625" style="95" customWidth="1"/>
    <col min="11539" max="11539" width="2.6640625" style="95" customWidth="1"/>
    <col min="11540" max="11776" width="9.1640625" style="95"/>
    <col min="11777" max="11777" width="34.6640625" style="95" customWidth="1"/>
    <col min="11778" max="11778" width="5.6640625" style="95" customWidth="1"/>
    <col min="11779" max="11779" width="7.33203125" style="95" customWidth="1"/>
    <col min="11780" max="11780" width="2.6640625" style="95" customWidth="1"/>
    <col min="11781" max="11781" width="4.6640625" style="95" customWidth="1"/>
    <col min="11782" max="11782" width="7.33203125" style="95" customWidth="1"/>
    <col min="11783" max="11783" width="2.6640625" style="95" customWidth="1"/>
    <col min="11784" max="11784" width="4.6640625" style="95" customWidth="1"/>
    <col min="11785" max="11785" width="7.1640625" style="95" customWidth="1"/>
    <col min="11786" max="11786" width="2.6640625" style="95" customWidth="1"/>
    <col min="11787" max="11787" width="4.6640625" style="95" customWidth="1"/>
    <col min="11788" max="11788" width="6.33203125" style="95" customWidth="1"/>
    <col min="11789" max="11789" width="2.6640625" style="95" customWidth="1"/>
    <col min="11790" max="11790" width="4.6640625" style="95" customWidth="1"/>
    <col min="11791" max="11791" width="7.33203125" style="95" customWidth="1"/>
    <col min="11792" max="11792" width="2.6640625" style="95" customWidth="1"/>
    <col min="11793" max="11793" width="4.6640625" style="95" customWidth="1"/>
    <col min="11794" max="11794" width="6.6640625" style="95" customWidth="1"/>
    <col min="11795" max="11795" width="2.6640625" style="95" customWidth="1"/>
    <col min="11796" max="12032" width="9.1640625" style="95"/>
    <col min="12033" max="12033" width="34.6640625" style="95" customWidth="1"/>
    <col min="12034" max="12034" width="5.6640625" style="95" customWidth="1"/>
    <col min="12035" max="12035" width="7.33203125" style="95" customWidth="1"/>
    <col min="12036" max="12036" width="2.6640625" style="95" customWidth="1"/>
    <col min="12037" max="12037" width="4.6640625" style="95" customWidth="1"/>
    <col min="12038" max="12038" width="7.33203125" style="95" customWidth="1"/>
    <col min="12039" max="12039" width="2.6640625" style="95" customWidth="1"/>
    <col min="12040" max="12040" width="4.6640625" style="95" customWidth="1"/>
    <col min="12041" max="12041" width="7.1640625" style="95" customWidth="1"/>
    <col min="12042" max="12042" width="2.6640625" style="95" customWidth="1"/>
    <col min="12043" max="12043" width="4.6640625" style="95" customWidth="1"/>
    <col min="12044" max="12044" width="6.33203125" style="95" customWidth="1"/>
    <col min="12045" max="12045" width="2.6640625" style="95" customWidth="1"/>
    <col min="12046" max="12046" width="4.6640625" style="95" customWidth="1"/>
    <col min="12047" max="12047" width="7.33203125" style="95" customWidth="1"/>
    <col min="12048" max="12048" width="2.6640625" style="95" customWidth="1"/>
    <col min="12049" max="12049" width="4.6640625" style="95" customWidth="1"/>
    <col min="12050" max="12050" width="6.6640625" style="95" customWidth="1"/>
    <col min="12051" max="12051" width="2.6640625" style="95" customWidth="1"/>
    <col min="12052" max="12288" width="9.1640625" style="95"/>
    <col min="12289" max="12289" width="34.6640625" style="95" customWidth="1"/>
    <col min="12290" max="12290" width="5.6640625" style="95" customWidth="1"/>
    <col min="12291" max="12291" width="7.33203125" style="95" customWidth="1"/>
    <col min="12292" max="12292" width="2.6640625" style="95" customWidth="1"/>
    <col min="12293" max="12293" width="4.6640625" style="95" customWidth="1"/>
    <col min="12294" max="12294" width="7.33203125" style="95" customWidth="1"/>
    <col min="12295" max="12295" width="2.6640625" style="95" customWidth="1"/>
    <col min="12296" max="12296" width="4.6640625" style="95" customWidth="1"/>
    <col min="12297" max="12297" width="7.1640625" style="95" customWidth="1"/>
    <col min="12298" max="12298" width="2.6640625" style="95" customWidth="1"/>
    <col min="12299" max="12299" width="4.6640625" style="95" customWidth="1"/>
    <col min="12300" max="12300" width="6.33203125" style="95" customWidth="1"/>
    <col min="12301" max="12301" width="2.6640625" style="95" customWidth="1"/>
    <col min="12302" max="12302" width="4.6640625" style="95" customWidth="1"/>
    <col min="12303" max="12303" width="7.33203125" style="95" customWidth="1"/>
    <col min="12304" max="12304" width="2.6640625" style="95" customWidth="1"/>
    <col min="12305" max="12305" width="4.6640625" style="95" customWidth="1"/>
    <col min="12306" max="12306" width="6.6640625" style="95" customWidth="1"/>
    <col min="12307" max="12307" width="2.6640625" style="95" customWidth="1"/>
    <col min="12308" max="12544" width="9.1640625" style="95"/>
    <col min="12545" max="12545" width="34.6640625" style="95" customWidth="1"/>
    <col min="12546" max="12546" width="5.6640625" style="95" customWidth="1"/>
    <col min="12547" max="12547" width="7.33203125" style="95" customWidth="1"/>
    <col min="12548" max="12548" width="2.6640625" style="95" customWidth="1"/>
    <col min="12549" max="12549" width="4.6640625" style="95" customWidth="1"/>
    <col min="12550" max="12550" width="7.33203125" style="95" customWidth="1"/>
    <col min="12551" max="12551" width="2.6640625" style="95" customWidth="1"/>
    <col min="12552" max="12552" width="4.6640625" style="95" customWidth="1"/>
    <col min="12553" max="12553" width="7.1640625" style="95" customWidth="1"/>
    <col min="12554" max="12554" width="2.6640625" style="95" customWidth="1"/>
    <col min="12555" max="12555" width="4.6640625" style="95" customWidth="1"/>
    <col min="12556" max="12556" width="6.33203125" style="95" customWidth="1"/>
    <col min="12557" max="12557" width="2.6640625" style="95" customWidth="1"/>
    <col min="12558" max="12558" width="4.6640625" style="95" customWidth="1"/>
    <col min="12559" max="12559" width="7.33203125" style="95" customWidth="1"/>
    <col min="12560" max="12560" width="2.6640625" style="95" customWidth="1"/>
    <col min="12561" max="12561" width="4.6640625" style="95" customWidth="1"/>
    <col min="12562" max="12562" width="6.6640625" style="95" customWidth="1"/>
    <col min="12563" max="12563" width="2.6640625" style="95" customWidth="1"/>
    <col min="12564" max="12800" width="9.1640625" style="95"/>
    <col min="12801" max="12801" width="34.6640625" style="95" customWidth="1"/>
    <col min="12802" max="12802" width="5.6640625" style="95" customWidth="1"/>
    <col min="12803" max="12803" width="7.33203125" style="95" customWidth="1"/>
    <col min="12804" max="12804" width="2.6640625" style="95" customWidth="1"/>
    <col min="12805" max="12805" width="4.6640625" style="95" customWidth="1"/>
    <col min="12806" max="12806" width="7.33203125" style="95" customWidth="1"/>
    <col min="12807" max="12807" width="2.6640625" style="95" customWidth="1"/>
    <col min="12808" max="12808" width="4.6640625" style="95" customWidth="1"/>
    <col min="12809" max="12809" width="7.1640625" style="95" customWidth="1"/>
    <col min="12810" max="12810" width="2.6640625" style="95" customWidth="1"/>
    <col min="12811" max="12811" width="4.6640625" style="95" customWidth="1"/>
    <col min="12812" max="12812" width="6.33203125" style="95" customWidth="1"/>
    <col min="12813" max="12813" width="2.6640625" style="95" customWidth="1"/>
    <col min="12814" max="12814" width="4.6640625" style="95" customWidth="1"/>
    <col min="12815" max="12815" width="7.33203125" style="95" customWidth="1"/>
    <col min="12816" max="12816" width="2.6640625" style="95" customWidth="1"/>
    <col min="12817" max="12817" width="4.6640625" style="95" customWidth="1"/>
    <col min="12818" max="12818" width="6.6640625" style="95" customWidth="1"/>
    <col min="12819" max="12819" width="2.6640625" style="95" customWidth="1"/>
    <col min="12820" max="13056" width="9.1640625" style="95"/>
    <col min="13057" max="13057" width="34.6640625" style="95" customWidth="1"/>
    <col min="13058" max="13058" width="5.6640625" style="95" customWidth="1"/>
    <col min="13059" max="13059" width="7.33203125" style="95" customWidth="1"/>
    <col min="13060" max="13060" width="2.6640625" style="95" customWidth="1"/>
    <col min="13061" max="13061" width="4.6640625" style="95" customWidth="1"/>
    <col min="13062" max="13062" width="7.33203125" style="95" customWidth="1"/>
    <col min="13063" max="13063" width="2.6640625" style="95" customWidth="1"/>
    <col min="13064" max="13064" width="4.6640625" style="95" customWidth="1"/>
    <col min="13065" max="13065" width="7.1640625" style="95" customWidth="1"/>
    <col min="13066" max="13066" width="2.6640625" style="95" customWidth="1"/>
    <col min="13067" max="13067" width="4.6640625" style="95" customWidth="1"/>
    <col min="13068" max="13068" width="6.33203125" style="95" customWidth="1"/>
    <col min="13069" max="13069" width="2.6640625" style="95" customWidth="1"/>
    <col min="13070" max="13070" width="4.6640625" style="95" customWidth="1"/>
    <col min="13071" max="13071" width="7.33203125" style="95" customWidth="1"/>
    <col min="13072" max="13072" width="2.6640625" style="95" customWidth="1"/>
    <col min="13073" max="13073" width="4.6640625" style="95" customWidth="1"/>
    <col min="13074" max="13074" width="6.6640625" style="95" customWidth="1"/>
    <col min="13075" max="13075" width="2.6640625" style="95" customWidth="1"/>
    <col min="13076" max="13312" width="9.1640625" style="95"/>
    <col min="13313" max="13313" width="34.6640625" style="95" customWidth="1"/>
    <col min="13314" max="13314" width="5.6640625" style="95" customWidth="1"/>
    <col min="13315" max="13315" width="7.33203125" style="95" customWidth="1"/>
    <col min="13316" max="13316" width="2.6640625" style="95" customWidth="1"/>
    <col min="13317" max="13317" width="4.6640625" style="95" customWidth="1"/>
    <col min="13318" max="13318" width="7.33203125" style="95" customWidth="1"/>
    <col min="13319" max="13319" width="2.6640625" style="95" customWidth="1"/>
    <col min="13320" max="13320" width="4.6640625" style="95" customWidth="1"/>
    <col min="13321" max="13321" width="7.1640625" style="95" customWidth="1"/>
    <col min="13322" max="13322" width="2.6640625" style="95" customWidth="1"/>
    <col min="13323" max="13323" width="4.6640625" style="95" customWidth="1"/>
    <col min="13324" max="13324" width="6.33203125" style="95" customWidth="1"/>
    <col min="13325" max="13325" width="2.6640625" style="95" customWidth="1"/>
    <col min="13326" max="13326" width="4.6640625" style="95" customWidth="1"/>
    <col min="13327" max="13327" width="7.33203125" style="95" customWidth="1"/>
    <col min="13328" max="13328" width="2.6640625" style="95" customWidth="1"/>
    <col min="13329" max="13329" width="4.6640625" style="95" customWidth="1"/>
    <col min="13330" max="13330" width="6.6640625" style="95" customWidth="1"/>
    <col min="13331" max="13331" width="2.6640625" style="95" customWidth="1"/>
    <col min="13332" max="13568" width="9.1640625" style="95"/>
    <col min="13569" max="13569" width="34.6640625" style="95" customWidth="1"/>
    <col min="13570" max="13570" width="5.6640625" style="95" customWidth="1"/>
    <col min="13571" max="13571" width="7.33203125" style="95" customWidth="1"/>
    <col min="13572" max="13572" width="2.6640625" style="95" customWidth="1"/>
    <col min="13573" max="13573" width="4.6640625" style="95" customWidth="1"/>
    <col min="13574" max="13574" width="7.33203125" style="95" customWidth="1"/>
    <col min="13575" max="13575" width="2.6640625" style="95" customWidth="1"/>
    <col min="13576" max="13576" width="4.6640625" style="95" customWidth="1"/>
    <col min="13577" max="13577" width="7.1640625" style="95" customWidth="1"/>
    <col min="13578" max="13578" width="2.6640625" style="95" customWidth="1"/>
    <col min="13579" max="13579" width="4.6640625" style="95" customWidth="1"/>
    <col min="13580" max="13580" width="6.33203125" style="95" customWidth="1"/>
    <col min="13581" max="13581" width="2.6640625" style="95" customWidth="1"/>
    <col min="13582" max="13582" width="4.6640625" style="95" customWidth="1"/>
    <col min="13583" max="13583" width="7.33203125" style="95" customWidth="1"/>
    <col min="13584" max="13584" width="2.6640625" style="95" customWidth="1"/>
    <col min="13585" max="13585" width="4.6640625" style="95" customWidth="1"/>
    <col min="13586" max="13586" width="6.6640625" style="95" customWidth="1"/>
    <col min="13587" max="13587" width="2.6640625" style="95" customWidth="1"/>
    <col min="13588" max="13824" width="9.1640625" style="95"/>
    <col min="13825" max="13825" width="34.6640625" style="95" customWidth="1"/>
    <col min="13826" max="13826" width="5.6640625" style="95" customWidth="1"/>
    <col min="13827" max="13827" width="7.33203125" style="95" customWidth="1"/>
    <col min="13828" max="13828" width="2.6640625" style="95" customWidth="1"/>
    <col min="13829" max="13829" width="4.6640625" style="95" customWidth="1"/>
    <col min="13830" max="13830" width="7.33203125" style="95" customWidth="1"/>
    <col min="13831" max="13831" width="2.6640625" style="95" customWidth="1"/>
    <col min="13832" max="13832" width="4.6640625" style="95" customWidth="1"/>
    <col min="13833" max="13833" width="7.1640625" style="95" customWidth="1"/>
    <col min="13834" max="13834" width="2.6640625" style="95" customWidth="1"/>
    <col min="13835" max="13835" width="4.6640625" style="95" customWidth="1"/>
    <col min="13836" max="13836" width="6.33203125" style="95" customWidth="1"/>
    <col min="13837" max="13837" width="2.6640625" style="95" customWidth="1"/>
    <col min="13838" max="13838" width="4.6640625" style="95" customWidth="1"/>
    <col min="13839" max="13839" width="7.33203125" style="95" customWidth="1"/>
    <col min="13840" max="13840" width="2.6640625" style="95" customWidth="1"/>
    <col min="13841" max="13841" width="4.6640625" style="95" customWidth="1"/>
    <col min="13842" max="13842" width="6.6640625" style="95" customWidth="1"/>
    <col min="13843" max="13843" width="2.6640625" style="95" customWidth="1"/>
    <col min="13844" max="14080" width="9.1640625" style="95"/>
    <col min="14081" max="14081" width="34.6640625" style="95" customWidth="1"/>
    <col min="14082" max="14082" width="5.6640625" style="95" customWidth="1"/>
    <col min="14083" max="14083" width="7.33203125" style="95" customWidth="1"/>
    <col min="14084" max="14084" width="2.6640625" style="95" customWidth="1"/>
    <col min="14085" max="14085" width="4.6640625" style="95" customWidth="1"/>
    <col min="14086" max="14086" width="7.33203125" style="95" customWidth="1"/>
    <col min="14087" max="14087" width="2.6640625" style="95" customWidth="1"/>
    <col min="14088" max="14088" width="4.6640625" style="95" customWidth="1"/>
    <col min="14089" max="14089" width="7.1640625" style="95" customWidth="1"/>
    <col min="14090" max="14090" width="2.6640625" style="95" customWidth="1"/>
    <col min="14091" max="14091" width="4.6640625" style="95" customWidth="1"/>
    <col min="14092" max="14092" width="6.33203125" style="95" customWidth="1"/>
    <col min="14093" max="14093" width="2.6640625" style="95" customWidth="1"/>
    <col min="14094" max="14094" width="4.6640625" style="95" customWidth="1"/>
    <col min="14095" max="14095" width="7.33203125" style="95" customWidth="1"/>
    <col min="14096" max="14096" width="2.6640625" style="95" customWidth="1"/>
    <col min="14097" max="14097" width="4.6640625" style="95" customWidth="1"/>
    <col min="14098" max="14098" width="6.6640625" style="95" customWidth="1"/>
    <col min="14099" max="14099" width="2.6640625" style="95" customWidth="1"/>
    <col min="14100" max="14336" width="9.1640625" style="95"/>
    <col min="14337" max="14337" width="34.6640625" style="95" customWidth="1"/>
    <col min="14338" max="14338" width="5.6640625" style="95" customWidth="1"/>
    <col min="14339" max="14339" width="7.33203125" style="95" customWidth="1"/>
    <col min="14340" max="14340" width="2.6640625" style="95" customWidth="1"/>
    <col min="14341" max="14341" width="4.6640625" style="95" customWidth="1"/>
    <col min="14342" max="14342" width="7.33203125" style="95" customWidth="1"/>
    <col min="14343" max="14343" width="2.6640625" style="95" customWidth="1"/>
    <col min="14344" max="14344" width="4.6640625" style="95" customWidth="1"/>
    <col min="14345" max="14345" width="7.1640625" style="95" customWidth="1"/>
    <col min="14346" max="14346" width="2.6640625" style="95" customWidth="1"/>
    <col min="14347" max="14347" width="4.6640625" style="95" customWidth="1"/>
    <col min="14348" max="14348" width="6.33203125" style="95" customWidth="1"/>
    <col min="14349" max="14349" width="2.6640625" style="95" customWidth="1"/>
    <col min="14350" max="14350" width="4.6640625" style="95" customWidth="1"/>
    <col min="14351" max="14351" width="7.33203125" style="95" customWidth="1"/>
    <col min="14352" max="14352" width="2.6640625" style="95" customWidth="1"/>
    <col min="14353" max="14353" width="4.6640625" style="95" customWidth="1"/>
    <col min="14354" max="14354" width="6.6640625" style="95" customWidth="1"/>
    <col min="14355" max="14355" width="2.6640625" style="95" customWidth="1"/>
    <col min="14356" max="14592" width="9.1640625" style="95"/>
    <col min="14593" max="14593" width="34.6640625" style="95" customWidth="1"/>
    <col min="14594" max="14594" width="5.6640625" style="95" customWidth="1"/>
    <col min="14595" max="14595" width="7.33203125" style="95" customWidth="1"/>
    <col min="14596" max="14596" width="2.6640625" style="95" customWidth="1"/>
    <col min="14597" max="14597" width="4.6640625" style="95" customWidth="1"/>
    <col min="14598" max="14598" width="7.33203125" style="95" customWidth="1"/>
    <col min="14599" max="14599" width="2.6640625" style="95" customWidth="1"/>
    <col min="14600" max="14600" width="4.6640625" style="95" customWidth="1"/>
    <col min="14601" max="14601" width="7.1640625" style="95" customWidth="1"/>
    <col min="14602" max="14602" width="2.6640625" style="95" customWidth="1"/>
    <col min="14603" max="14603" width="4.6640625" style="95" customWidth="1"/>
    <col min="14604" max="14604" width="6.33203125" style="95" customWidth="1"/>
    <col min="14605" max="14605" width="2.6640625" style="95" customWidth="1"/>
    <col min="14606" max="14606" width="4.6640625" style="95" customWidth="1"/>
    <col min="14607" max="14607" width="7.33203125" style="95" customWidth="1"/>
    <col min="14608" max="14608" width="2.6640625" style="95" customWidth="1"/>
    <col min="14609" max="14609" width="4.6640625" style="95" customWidth="1"/>
    <col min="14610" max="14610" width="6.6640625" style="95" customWidth="1"/>
    <col min="14611" max="14611" width="2.6640625" style="95" customWidth="1"/>
    <col min="14612" max="14848" width="9.1640625" style="95"/>
    <col min="14849" max="14849" width="34.6640625" style="95" customWidth="1"/>
    <col min="14850" max="14850" width="5.6640625" style="95" customWidth="1"/>
    <col min="14851" max="14851" width="7.33203125" style="95" customWidth="1"/>
    <col min="14852" max="14852" width="2.6640625" style="95" customWidth="1"/>
    <col min="14853" max="14853" width="4.6640625" style="95" customWidth="1"/>
    <col min="14854" max="14854" width="7.33203125" style="95" customWidth="1"/>
    <col min="14855" max="14855" width="2.6640625" style="95" customWidth="1"/>
    <col min="14856" max="14856" width="4.6640625" style="95" customWidth="1"/>
    <col min="14857" max="14857" width="7.1640625" style="95" customWidth="1"/>
    <col min="14858" max="14858" width="2.6640625" style="95" customWidth="1"/>
    <col min="14859" max="14859" width="4.6640625" style="95" customWidth="1"/>
    <col min="14860" max="14860" width="6.33203125" style="95" customWidth="1"/>
    <col min="14861" max="14861" width="2.6640625" style="95" customWidth="1"/>
    <col min="14862" max="14862" width="4.6640625" style="95" customWidth="1"/>
    <col min="14863" max="14863" width="7.33203125" style="95" customWidth="1"/>
    <col min="14864" max="14864" width="2.6640625" style="95" customWidth="1"/>
    <col min="14865" max="14865" width="4.6640625" style="95" customWidth="1"/>
    <col min="14866" max="14866" width="6.6640625" style="95" customWidth="1"/>
    <col min="14867" max="14867" width="2.6640625" style="95" customWidth="1"/>
    <col min="14868" max="15104" width="9.1640625" style="95"/>
    <col min="15105" max="15105" width="34.6640625" style="95" customWidth="1"/>
    <col min="15106" max="15106" width="5.6640625" style="95" customWidth="1"/>
    <col min="15107" max="15107" width="7.33203125" style="95" customWidth="1"/>
    <col min="15108" max="15108" width="2.6640625" style="95" customWidth="1"/>
    <col min="15109" max="15109" width="4.6640625" style="95" customWidth="1"/>
    <col min="15110" max="15110" width="7.33203125" style="95" customWidth="1"/>
    <col min="15111" max="15111" width="2.6640625" style="95" customWidth="1"/>
    <col min="15112" max="15112" width="4.6640625" style="95" customWidth="1"/>
    <col min="15113" max="15113" width="7.1640625" style="95" customWidth="1"/>
    <col min="15114" max="15114" width="2.6640625" style="95" customWidth="1"/>
    <col min="15115" max="15115" width="4.6640625" style="95" customWidth="1"/>
    <col min="15116" max="15116" width="6.33203125" style="95" customWidth="1"/>
    <col min="15117" max="15117" width="2.6640625" style="95" customWidth="1"/>
    <col min="15118" max="15118" width="4.6640625" style="95" customWidth="1"/>
    <col min="15119" max="15119" width="7.33203125" style="95" customWidth="1"/>
    <col min="15120" max="15120" width="2.6640625" style="95" customWidth="1"/>
    <col min="15121" max="15121" width="4.6640625" style="95" customWidth="1"/>
    <col min="15122" max="15122" width="6.6640625" style="95" customWidth="1"/>
    <col min="15123" max="15123" width="2.6640625" style="95" customWidth="1"/>
    <col min="15124" max="15360" width="9.1640625" style="95"/>
    <col min="15361" max="15361" width="34.6640625" style="95" customWidth="1"/>
    <col min="15362" max="15362" width="5.6640625" style="95" customWidth="1"/>
    <col min="15363" max="15363" width="7.33203125" style="95" customWidth="1"/>
    <col min="15364" max="15364" width="2.6640625" style="95" customWidth="1"/>
    <col min="15365" max="15365" width="4.6640625" style="95" customWidth="1"/>
    <col min="15366" max="15366" width="7.33203125" style="95" customWidth="1"/>
    <col min="15367" max="15367" width="2.6640625" style="95" customWidth="1"/>
    <col min="15368" max="15368" width="4.6640625" style="95" customWidth="1"/>
    <col min="15369" max="15369" width="7.1640625" style="95" customWidth="1"/>
    <col min="15370" max="15370" width="2.6640625" style="95" customWidth="1"/>
    <col min="15371" max="15371" width="4.6640625" style="95" customWidth="1"/>
    <col min="15372" max="15372" width="6.33203125" style="95" customWidth="1"/>
    <col min="15373" max="15373" width="2.6640625" style="95" customWidth="1"/>
    <col min="15374" max="15374" width="4.6640625" style="95" customWidth="1"/>
    <col min="15375" max="15375" width="7.33203125" style="95" customWidth="1"/>
    <col min="15376" max="15376" width="2.6640625" style="95" customWidth="1"/>
    <col min="15377" max="15377" width="4.6640625" style="95" customWidth="1"/>
    <col min="15378" max="15378" width="6.6640625" style="95" customWidth="1"/>
    <col min="15379" max="15379" width="2.6640625" style="95" customWidth="1"/>
    <col min="15380" max="15616" width="9.1640625" style="95"/>
    <col min="15617" max="15617" width="34.6640625" style="95" customWidth="1"/>
    <col min="15618" max="15618" width="5.6640625" style="95" customWidth="1"/>
    <col min="15619" max="15619" width="7.33203125" style="95" customWidth="1"/>
    <col min="15620" max="15620" width="2.6640625" style="95" customWidth="1"/>
    <col min="15621" max="15621" width="4.6640625" style="95" customWidth="1"/>
    <col min="15622" max="15622" width="7.33203125" style="95" customWidth="1"/>
    <col min="15623" max="15623" width="2.6640625" style="95" customWidth="1"/>
    <col min="15624" max="15624" width="4.6640625" style="95" customWidth="1"/>
    <col min="15625" max="15625" width="7.1640625" style="95" customWidth="1"/>
    <col min="15626" max="15626" width="2.6640625" style="95" customWidth="1"/>
    <col min="15627" max="15627" width="4.6640625" style="95" customWidth="1"/>
    <col min="15628" max="15628" width="6.33203125" style="95" customWidth="1"/>
    <col min="15629" max="15629" width="2.6640625" style="95" customWidth="1"/>
    <col min="15630" max="15630" width="4.6640625" style="95" customWidth="1"/>
    <col min="15631" max="15631" width="7.33203125" style="95" customWidth="1"/>
    <col min="15632" max="15632" width="2.6640625" style="95" customWidth="1"/>
    <col min="15633" max="15633" width="4.6640625" style="95" customWidth="1"/>
    <col min="15634" max="15634" width="6.6640625" style="95" customWidth="1"/>
    <col min="15635" max="15635" width="2.6640625" style="95" customWidth="1"/>
    <col min="15636" max="15872" width="9.1640625" style="95"/>
    <col min="15873" max="15873" width="34.6640625" style="95" customWidth="1"/>
    <col min="15874" max="15874" width="5.6640625" style="95" customWidth="1"/>
    <col min="15875" max="15875" width="7.33203125" style="95" customWidth="1"/>
    <col min="15876" max="15876" width="2.6640625" style="95" customWidth="1"/>
    <col min="15877" max="15877" width="4.6640625" style="95" customWidth="1"/>
    <col min="15878" max="15878" width="7.33203125" style="95" customWidth="1"/>
    <col min="15879" max="15879" width="2.6640625" style="95" customWidth="1"/>
    <col min="15880" max="15880" width="4.6640625" style="95" customWidth="1"/>
    <col min="15881" max="15881" width="7.1640625" style="95" customWidth="1"/>
    <col min="15882" max="15882" width="2.6640625" style="95" customWidth="1"/>
    <col min="15883" max="15883" width="4.6640625" style="95" customWidth="1"/>
    <col min="15884" max="15884" width="6.33203125" style="95" customWidth="1"/>
    <col min="15885" max="15885" width="2.6640625" style="95" customWidth="1"/>
    <col min="15886" max="15886" width="4.6640625" style="95" customWidth="1"/>
    <col min="15887" max="15887" width="7.33203125" style="95" customWidth="1"/>
    <col min="15888" max="15888" width="2.6640625" style="95" customWidth="1"/>
    <col min="15889" max="15889" width="4.6640625" style="95" customWidth="1"/>
    <col min="15890" max="15890" width="6.6640625" style="95" customWidth="1"/>
    <col min="15891" max="15891" width="2.6640625" style="95" customWidth="1"/>
    <col min="15892" max="16128" width="9.1640625" style="95"/>
    <col min="16129" max="16129" width="34.6640625" style="95" customWidth="1"/>
    <col min="16130" max="16130" width="5.6640625" style="95" customWidth="1"/>
    <col min="16131" max="16131" width="7.33203125" style="95" customWidth="1"/>
    <col min="16132" max="16132" width="2.6640625" style="95" customWidth="1"/>
    <col min="16133" max="16133" width="4.6640625" style="95" customWidth="1"/>
    <col min="16134" max="16134" width="7.33203125" style="95" customWidth="1"/>
    <col min="16135" max="16135" width="2.6640625" style="95" customWidth="1"/>
    <col min="16136" max="16136" width="4.6640625" style="95" customWidth="1"/>
    <col min="16137" max="16137" width="7.1640625" style="95" customWidth="1"/>
    <col min="16138" max="16138" width="2.6640625" style="95" customWidth="1"/>
    <col min="16139" max="16139" width="4.6640625" style="95" customWidth="1"/>
    <col min="16140" max="16140" width="6.33203125" style="95" customWidth="1"/>
    <col min="16141" max="16141" width="2.6640625" style="95" customWidth="1"/>
    <col min="16142" max="16142" width="4.6640625" style="95" customWidth="1"/>
    <col min="16143" max="16143" width="7.33203125" style="95" customWidth="1"/>
    <col min="16144" max="16144" width="2.6640625" style="95" customWidth="1"/>
    <col min="16145" max="16145" width="4.6640625" style="95" customWidth="1"/>
    <col min="16146" max="16146" width="6.6640625" style="95" customWidth="1"/>
    <col min="16147" max="16147" width="2.6640625" style="95" customWidth="1"/>
    <col min="16148" max="16384" width="9.1640625" style="95"/>
  </cols>
  <sheetData>
    <row r="1" spans="1:19" ht="12.75" hidden="1" customHeight="1">
      <c r="A1" s="628">
        <f ca="1">TODAY()</f>
        <v>44084</v>
      </c>
      <c r="B1" s="390" t="s">
        <v>1594</v>
      </c>
    </row>
    <row r="2" spans="1:19">
      <c r="A2" s="95" t="s">
        <v>453</v>
      </c>
    </row>
    <row r="3" spans="1:19">
      <c r="A3" s="95" t="s">
        <v>454</v>
      </c>
      <c r="L3" s="107" t="s">
        <v>128</v>
      </c>
    </row>
    <row r="5" spans="1:19" ht="15" customHeight="1">
      <c r="A5" s="33" t="s">
        <v>2245</v>
      </c>
    </row>
    <row r="6" spans="1:19" ht="11.25" customHeight="1" thickBot="1">
      <c r="I6" s="162"/>
      <c r="J6" s="162"/>
      <c r="L6" s="162"/>
      <c r="M6" s="162"/>
      <c r="O6" s="162"/>
      <c r="P6" s="162"/>
      <c r="R6" s="162"/>
    </row>
    <row r="7" spans="1:19" ht="12" customHeight="1">
      <c r="A7" s="97"/>
      <c r="B7" s="630"/>
      <c r="C7" s="631"/>
      <c r="D7" s="631"/>
      <c r="E7" s="582"/>
      <c r="F7" s="580"/>
      <c r="G7" s="580"/>
      <c r="H7" s="582"/>
      <c r="I7" s="580"/>
      <c r="J7" s="580"/>
      <c r="K7" s="582"/>
      <c r="L7" s="580"/>
      <c r="M7" s="580"/>
      <c r="N7" s="630"/>
      <c r="O7" s="580"/>
      <c r="P7" s="580"/>
      <c r="Q7" s="582"/>
      <c r="R7" s="580"/>
      <c r="S7" s="582"/>
    </row>
    <row r="8" spans="1:19" ht="15" customHeight="1">
      <c r="A8" s="116" t="s">
        <v>1595</v>
      </c>
      <c r="B8" s="1068" t="s">
        <v>1565</v>
      </c>
      <c r="C8" s="1068"/>
      <c r="D8" s="632"/>
      <c r="E8" s="1019">
        <v>1</v>
      </c>
      <c r="F8" s="1019"/>
      <c r="G8" s="632"/>
      <c r="H8" s="1019">
        <v>2</v>
      </c>
      <c r="I8" s="1019"/>
      <c r="J8" s="938"/>
      <c r="K8" s="1019">
        <v>3</v>
      </c>
      <c r="L8" s="1019"/>
      <c r="M8" s="938"/>
      <c r="N8" s="1019">
        <v>4</v>
      </c>
      <c r="O8" s="1019"/>
      <c r="P8" s="938"/>
      <c r="Q8" s="1019">
        <v>5</v>
      </c>
      <c r="R8" s="1019"/>
      <c r="S8" s="938"/>
    </row>
    <row r="9" spans="1:19" ht="15" customHeight="1">
      <c r="A9" s="95" t="s">
        <v>1596</v>
      </c>
      <c r="B9" s="294" t="s">
        <v>1172</v>
      </c>
      <c r="C9" s="148" t="s">
        <v>401</v>
      </c>
      <c r="D9" s="170"/>
      <c r="E9" s="149" t="s">
        <v>1475</v>
      </c>
      <c r="F9" s="101" t="s">
        <v>401</v>
      </c>
      <c r="G9" s="150"/>
      <c r="H9" s="149" t="s">
        <v>1475</v>
      </c>
      <c r="I9" s="101" t="s">
        <v>401</v>
      </c>
      <c r="J9" s="150"/>
      <c r="K9" s="149" t="s">
        <v>1475</v>
      </c>
      <c r="L9" s="101" t="s">
        <v>401</v>
      </c>
      <c r="M9" s="150"/>
      <c r="N9" s="294" t="s">
        <v>1475</v>
      </c>
      <c r="O9" s="101" t="s">
        <v>401</v>
      </c>
      <c r="P9" s="150"/>
      <c r="Q9" s="149" t="s">
        <v>1475</v>
      </c>
      <c r="R9" s="101" t="s">
        <v>401</v>
      </c>
      <c r="S9" s="938"/>
    </row>
    <row r="10" spans="1:19" ht="12.75" customHeight="1" thickBot="1">
      <c r="A10" s="102"/>
      <c r="B10" s="633"/>
      <c r="C10" s="634"/>
      <c r="D10" s="634"/>
      <c r="E10" s="586"/>
      <c r="F10" s="585"/>
      <c r="G10" s="585"/>
      <c r="H10" s="586"/>
      <c r="I10" s="585"/>
      <c r="J10" s="585"/>
      <c r="K10" s="586"/>
      <c r="L10" s="585"/>
      <c r="M10" s="585"/>
      <c r="N10" s="633"/>
      <c r="O10" s="585"/>
      <c r="P10" s="585"/>
      <c r="Q10" s="586"/>
      <c r="R10" s="585"/>
      <c r="S10" s="586"/>
    </row>
    <row r="11" spans="1:19" ht="11.25" customHeight="1">
      <c r="A11" s="116"/>
      <c r="B11" s="632"/>
      <c r="C11" s="170"/>
      <c r="D11" s="170"/>
      <c r="E11" s="938"/>
      <c r="F11" s="150"/>
      <c r="G11" s="150"/>
      <c r="H11" s="938"/>
      <c r="I11" s="150"/>
      <c r="J11" s="150"/>
      <c r="K11" s="938"/>
      <c r="L11" s="150"/>
      <c r="M11" s="150"/>
      <c r="N11" s="632"/>
      <c r="O11" s="150"/>
      <c r="P11" s="150"/>
      <c r="Q11" s="938"/>
      <c r="R11" s="150"/>
      <c r="S11" s="938"/>
    </row>
    <row r="12" spans="1:19" ht="15" customHeight="1">
      <c r="A12" s="55" t="s">
        <v>290</v>
      </c>
      <c r="B12" s="626">
        <f>E12+H12+K12+N12+Q12+S12</f>
        <v>164</v>
      </c>
      <c r="C12" s="753">
        <f>SUM(C13:C45)</f>
        <v>78.658536585365837</v>
      </c>
      <c r="D12" s="753"/>
      <c r="E12" s="619">
        <f>SUM(E13:E51)</f>
        <v>12</v>
      </c>
      <c r="F12" s="571">
        <f t="shared" ref="F12:F51" si="0">IF(A12&lt;&gt;0,E12/B12*100,"")</f>
        <v>7.3170731707317067</v>
      </c>
      <c r="G12" s="754"/>
      <c r="H12" s="619">
        <f>SUM(H13:H51)</f>
        <v>6</v>
      </c>
      <c r="I12" s="571">
        <f t="shared" ref="I12:I51" si="1">IF(A12&lt;&gt;0,H12/B12*100,"")</f>
        <v>3.6585365853658534</v>
      </c>
      <c r="J12" s="571"/>
      <c r="K12" s="619">
        <f>SUM(K13:K51)</f>
        <v>24</v>
      </c>
      <c r="L12" s="571">
        <f t="shared" ref="L12:L51" si="2">IF(A12&lt;&gt;0,K12/B12*100,"")</f>
        <v>14.634146341463413</v>
      </c>
      <c r="M12" s="571"/>
      <c r="N12" s="619">
        <f>SUM(N13:N51)</f>
        <v>20</v>
      </c>
      <c r="O12" s="571">
        <f t="shared" ref="O12:O51" si="3">IF(A12&lt;&gt;0,N12/B12*100,"")</f>
        <v>12.195121951219512</v>
      </c>
      <c r="P12" s="571"/>
      <c r="Q12" s="619">
        <f>SUM(Q13:Q51)</f>
        <v>102</v>
      </c>
      <c r="R12" s="571">
        <f t="shared" ref="R12:R51" si="4">IF(A12&lt;&gt;0,Q12/B12*100,"")</f>
        <v>62.195121951219512</v>
      </c>
      <c r="S12" s="978">
        <f>SUM(S13:S45)</f>
        <v>0</v>
      </c>
    </row>
    <row r="13" spans="1:19" ht="12" customHeight="1">
      <c r="A13" s="55"/>
      <c r="B13" s="626">
        <f t="shared" ref="B13:B51" si="5">E13+H13+K13+N13+Q13+S13</f>
        <v>0</v>
      </c>
      <c r="C13" s="979" t="str">
        <f t="shared" ref="C13:C51" si="6">IF(A13&lt;&gt;0,B13/$B$12*100,"")</f>
        <v/>
      </c>
      <c r="D13" s="979"/>
      <c r="E13" s="288"/>
      <c r="F13" s="571" t="str">
        <f t="shared" si="0"/>
        <v/>
      </c>
      <c r="G13" s="754"/>
      <c r="H13" s="379"/>
      <c r="I13" s="571" t="str">
        <f t="shared" si="1"/>
        <v/>
      </c>
      <c r="J13" s="571"/>
      <c r="K13" s="228">
        <v>0</v>
      </c>
      <c r="L13" s="571" t="str">
        <f t="shared" si="2"/>
        <v/>
      </c>
      <c r="M13" s="571"/>
      <c r="N13" s="290"/>
      <c r="O13" s="571" t="str">
        <f t="shared" si="3"/>
        <v/>
      </c>
      <c r="P13" s="571"/>
      <c r="Q13" s="288"/>
      <c r="R13" s="571" t="str">
        <f t="shared" si="4"/>
        <v/>
      </c>
      <c r="S13" s="217"/>
    </row>
    <row r="14" spans="1:19" ht="13" customHeight="1">
      <c r="A14" s="405" t="s">
        <v>715</v>
      </c>
      <c r="B14" s="560">
        <f t="shared" si="5"/>
        <v>3</v>
      </c>
      <c r="C14" s="578">
        <f t="shared" si="6"/>
        <v>1.8292682926829267</v>
      </c>
      <c r="D14" s="379"/>
      <c r="E14" s="980">
        <v>0</v>
      </c>
      <c r="F14" s="571">
        <f t="shared" si="0"/>
        <v>0</v>
      </c>
      <c r="G14" s="379"/>
      <c r="H14" s="980">
        <v>0</v>
      </c>
      <c r="I14" s="606">
        <f t="shared" si="1"/>
        <v>0</v>
      </c>
      <c r="J14" s="379"/>
      <c r="K14" s="980">
        <v>1</v>
      </c>
      <c r="L14" s="606">
        <f t="shared" si="2"/>
        <v>33.333333333333329</v>
      </c>
      <c r="M14" s="379"/>
      <c r="N14" s="980">
        <v>0</v>
      </c>
      <c r="O14" s="606">
        <f t="shared" si="3"/>
        <v>0</v>
      </c>
      <c r="P14" s="379"/>
      <c r="Q14" s="980">
        <v>2</v>
      </c>
      <c r="R14" s="606">
        <f t="shared" si="4"/>
        <v>66.666666666666657</v>
      </c>
      <c r="S14" s="982">
        <v>0</v>
      </c>
    </row>
    <row r="15" spans="1:19" ht="13" customHeight="1">
      <c r="A15" s="925" t="s">
        <v>716</v>
      </c>
      <c r="B15" s="560">
        <f t="shared" si="5"/>
        <v>1</v>
      </c>
      <c r="C15" s="578">
        <f t="shared" si="6"/>
        <v>0.6097560975609756</v>
      </c>
      <c r="D15" s="379"/>
      <c r="E15" s="980">
        <v>0</v>
      </c>
      <c r="F15" s="571">
        <f t="shared" si="0"/>
        <v>0</v>
      </c>
      <c r="G15" s="379"/>
      <c r="H15" s="980">
        <v>0</v>
      </c>
      <c r="I15" s="606">
        <f t="shared" si="1"/>
        <v>0</v>
      </c>
      <c r="J15" s="379"/>
      <c r="K15" s="980">
        <v>1</v>
      </c>
      <c r="L15" s="606">
        <f t="shared" si="2"/>
        <v>100</v>
      </c>
      <c r="M15" s="379"/>
      <c r="N15" s="980">
        <v>0</v>
      </c>
      <c r="O15" s="606">
        <f t="shared" si="3"/>
        <v>0</v>
      </c>
      <c r="P15" s="379"/>
      <c r="Q15" s="980">
        <v>0</v>
      </c>
      <c r="R15" s="606">
        <f t="shared" si="4"/>
        <v>0</v>
      </c>
      <c r="S15" s="983"/>
    </row>
    <row r="16" spans="1:19" ht="13" customHeight="1">
      <c r="A16" s="405" t="s">
        <v>1536</v>
      </c>
      <c r="B16" s="560">
        <f t="shared" si="5"/>
        <v>1</v>
      </c>
      <c r="C16" s="578">
        <f t="shared" si="6"/>
        <v>0.6097560975609756</v>
      </c>
      <c r="D16" s="379"/>
      <c r="E16" s="980">
        <v>0</v>
      </c>
      <c r="F16" s="571">
        <f t="shared" si="0"/>
        <v>0</v>
      </c>
      <c r="G16" s="379"/>
      <c r="H16" s="980">
        <v>0</v>
      </c>
      <c r="I16" s="606">
        <f t="shared" si="1"/>
        <v>0</v>
      </c>
      <c r="J16" s="379"/>
      <c r="K16" s="980">
        <v>0</v>
      </c>
      <c r="L16" s="606">
        <f t="shared" si="2"/>
        <v>0</v>
      </c>
      <c r="M16" s="379"/>
      <c r="N16" s="980">
        <v>0</v>
      </c>
      <c r="O16" s="606">
        <f t="shared" si="3"/>
        <v>0</v>
      </c>
      <c r="P16" s="379"/>
      <c r="Q16" s="980">
        <v>1</v>
      </c>
      <c r="R16" s="606">
        <f t="shared" si="4"/>
        <v>100</v>
      </c>
      <c r="S16" s="983"/>
    </row>
    <row r="17" spans="1:19" ht="13" customHeight="1">
      <c r="A17" s="405" t="s">
        <v>718</v>
      </c>
      <c r="B17" s="560">
        <f t="shared" si="5"/>
        <v>13</v>
      </c>
      <c r="C17" s="578">
        <f>IF(A17&lt;&gt;0,B17/$B$12*100,"")</f>
        <v>7.9268292682926829</v>
      </c>
      <c r="D17" s="379"/>
      <c r="E17" s="980">
        <v>0</v>
      </c>
      <c r="F17" s="571">
        <f t="shared" si="0"/>
        <v>0</v>
      </c>
      <c r="G17" s="379"/>
      <c r="H17" s="980">
        <v>0</v>
      </c>
      <c r="I17" s="606">
        <f t="shared" si="1"/>
        <v>0</v>
      </c>
      <c r="J17" s="379"/>
      <c r="K17" s="980">
        <v>3</v>
      </c>
      <c r="L17" s="606">
        <f t="shared" si="2"/>
        <v>23.076923076923077</v>
      </c>
      <c r="M17" s="379"/>
      <c r="N17" s="980">
        <v>2</v>
      </c>
      <c r="O17" s="606">
        <f t="shared" si="3"/>
        <v>15.384615384615385</v>
      </c>
      <c r="P17" s="379"/>
      <c r="Q17" s="980">
        <v>8</v>
      </c>
      <c r="R17" s="606">
        <f t="shared" si="4"/>
        <v>61.53846153846154</v>
      </c>
      <c r="S17" s="983"/>
    </row>
    <row r="18" spans="1:19" ht="13" customHeight="1">
      <c r="A18" s="405" t="s">
        <v>720</v>
      </c>
      <c r="B18" s="560">
        <f t="shared" si="5"/>
        <v>3</v>
      </c>
      <c r="C18" s="289">
        <f t="shared" si="6"/>
        <v>1.8292682926829267</v>
      </c>
      <c r="D18" s="379"/>
      <c r="E18" s="980">
        <v>1</v>
      </c>
      <c r="F18" s="606">
        <f t="shared" si="0"/>
        <v>33.333333333333329</v>
      </c>
      <c r="G18" s="379"/>
      <c r="H18" s="980">
        <v>0</v>
      </c>
      <c r="I18" s="606">
        <f t="shared" si="1"/>
        <v>0</v>
      </c>
      <c r="J18" s="379"/>
      <c r="K18" s="980">
        <v>1</v>
      </c>
      <c r="L18" s="606">
        <f t="shared" si="2"/>
        <v>33.333333333333329</v>
      </c>
      <c r="M18" s="379"/>
      <c r="N18" s="980">
        <v>1</v>
      </c>
      <c r="O18" s="606">
        <f t="shared" si="3"/>
        <v>33.333333333333329</v>
      </c>
      <c r="P18" s="379"/>
      <c r="Q18" s="980">
        <v>0</v>
      </c>
      <c r="R18" s="606">
        <f t="shared" si="4"/>
        <v>0</v>
      </c>
      <c r="S18" s="983"/>
    </row>
    <row r="19" spans="1:19" ht="13" customHeight="1">
      <c r="A19" s="405" t="s">
        <v>722</v>
      </c>
      <c r="B19" s="560">
        <f t="shared" si="5"/>
        <v>12</v>
      </c>
      <c r="C19" s="289">
        <f t="shared" si="6"/>
        <v>7.3170731707317067</v>
      </c>
      <c r="D19" s="379"/>
      <c r="E19" s="980">
        <v>1</v>
      </c>
      <c r="F19" s="606">
        <f t="shared" si="0"/>
        <v>8.3333333333333321</v>
      </c>
      <c r="G19" s="379"/>
      <c r="H19" s="980">
        <v>0</v>
      </c>
      <c r="I19" s="606">
        <f t="shared" si="1"/>
        <v>0</v>
      </c>
      <c r="J19" s="379"/>
      <c r="K19" s="980">
        <v>0</v>
      </c>
      <c r="L19" s="606">
        <f t="shared" si="2"/>
        <v>0</v>
      </c>
      <c r="M19" s="379"/>
      <c r="N19" s="980">
        <v>1</v>
      </c>
      <c r="O19" s="606">
        <f t="shared" si="3"/>
        <v>8.3333333333333321</v>
      </c>
      <c r="P19" s="379"/>
      <c r="Q19" s="980">
        <v>10</v>
      </c>
      <c r="R19" s="606">
        <f t="shared" si="4"/>
        <v>83.333333333333343</v>
      </c>
      <c r="S19" s="983"/>
    </row>
    <row r="20" spans="1:19" ht="13" customHeight="1">
      <c r="A20" s="405" t="s">
        <v>1537</v>
      </c>
      <c r="B20" s="560">
        <f t="shared" si="5"/>
        <v>6</v>
      </c>
      <c r="C20" s="289">
        <f>IF(A20&lt;&gt;0,B20/$B$12*100,"")</f>
        <v>3.6585365853658534</v>
      </c>
      <c r="D20" s="379"/>
      <c r="E20" s="980">
        <v>1</v>
      </c>
      <c r="F20" s="606">
        <f t="shared" si="0"/>
        <v>16.666666666666664</v>
      </c>
      <c r="G20" s="379"/>
      <c r="H20" s="980">
        <v>1</v>
      </c>
      <c r="I20" s="606">
        <f t="shared" si="1"/>
        <v>16.666666666666664</v>
      </c>
      <c r="J20" s="379"/>
      <c r="K20" s="980">
        <v>0</v>
      </c>
      <c r="L20" s="606">
        <f t="shared" si="2"/>
        <v>0</v>
      </c>
      <c r="M20" s="379"/>
      <c r="N20" s="980">
        <v>0</v>
      </c>
      <c r="O20" s="606">
        <f t="shared" si="3"/>
        <v>0</v>
      </c>
      <c r="P20" s="379"/>
      <c r="Q20" s="980">
        <v>4</v>
      </c>
      <c r="R20" s="606">
        <f t="shared" si="4"/>
        <v>66.666666666666657</v>
      </c>
      <c r="S20" s="983"/>
    </row>
    <row r="21" spans="1:19" ht="13" customHeight="1">
      <c r="A21" s="405" t="s">
        <v>726</v>
      </c>
      <c r="B21" s="560">
        <f t="shared" si="5"/>
        <v>1</v>
      </c>
      <c r="C21" s="289">
        <f t="shared" si="6"/>
        <v>0.6097560975609756</v>
      </c>
      <c r="D21" s="379"/>
      <c r="E21" s="980">
        <v>0</v>
      </c>
      <c r="F21" s="571">
        <f t="shared" si="0"/>
        <v>0</v>
      </c>
      <c r="G21" s="379"/>
      <c r="H21" s="980">
        <v>0</v>
      </c>
      <c r="I21" s="606">
        <f t="shared" si="1"/>
        <v>0</v>
      </c>
      <c r="J21" s="379"/>
      <c r="K21" s="980">
        <v>1</v>
      </c>
      <c r="L21" s="606">
        <f t="shared" si="2"/>
        <v>100</v>
      </c>
      <c r="M21" s="379"/>
      <c r="N21" s="980">
        <v>0</v>
      </c>
      <c r="O21" s="606">
        <f t="shared" si="3"/>
        <v>0</v>
      </c>
      <c r="P21" s="379"/>
      <c r="Q21" s="980">
        <v>0</v>
      </c>
      <c r="R21" s="606">
        <f t="shared" si="4"/>
        <v>0</v>
      </c>
      <c r="S21" s="983"/>
    </row>
    <row r="22" spans="1:19" ht="13" customHeight="1">
      <c r="A22" s="405" t="s">
        <v>727</v>
      </c>
      <c r="B22" s="560">
        <f t="shared" si="5"/>
        <v>2</v>
      </c>
      <c r="C22" s="289">
        <f t="shared" si="6"/>
        <v>1.2195121951219512</v>
      </c>
      <c r="D22" s="379"/>
      <c r="E22" s="980">
        <v>0</v>
      </c>
      <c r="F22" s="571">
        <f t="shared" si="0"/>
        <v>0</v>
      </c>
      <c r="G22" s="379"/>
      <c r="H22" s="980">
        <v>0</v>
      </c>
      <c r="I22" s="606">
        <f t="shared" si="1"/>
        <v>0</v>
      </c>
      <c r="J22" s="379"/>
      <c r="K22" s="980">
        <v>1</v>
      </c>
      <c r="L22" s="606">
        <f t="shared" si="2"/>
        <v>50</v>
      </c>
      <c r="M22" s="379"/>
      <c r="N22" s="980">
        <v>0</v>
      </c>
      <c r="O22" s="606">
        <f t="shared" si="3"/>
        <v>0</v>
      </c>
      <c r="P22" s="379"/>
      <c r="Q22" s="980">
        <v>1</v>
      </c>
      <c r="R22" s="606">
        <f t="shared" si="4"/>
        <v>50</v>
      </c>
      <c r="S22" s="983"/>
    </row>
    <row r="23" spans="1:19" ht="13" customHeight="1">
      <c r="A23" s="932" t="s">
        <v>728</v>
      </c>
      <c r="B23" s="560">
        <f t="shared" si="5"/>
        <v>1</v>
      </c>
      <c r="C23" s="289">
        <f t="shared" si="6"/>
        <v>0.6097560975609756</v>
      </c>
      <c r="D23" s="379"/>
      <c r="E23" s="980">
        <v>0</v>
      </c>
      <c r="F23" s="606">
        <f t="shared" si="0"/>
        <v>0</v>
      </c>
      <c r="G23" s="379"/>
      <c r="H23" s="980">
        <v>0</v>
      </c>
      <c r="I23" s="606">
        <f t="shared" si="1"/>
        <v>0</v>
      </c>
      <c r="J23" s="379"/>
      <c r="K23" s="980">
        <v>0</v>
      </c>
      <c r="L23" s="606">
        <f t="shared" si="2"/>
        <v>0</v>
      </c>
      <c r="M23" s="379"/>
      <c r="N23" s="980">
        <v>1</v>
      </c>
      <c r="O23" s="606">
        <f t="shared" si="3"/>
        <v>100</v>
      </c>
      <c r="P23" s="379"/>
      <c r="Q23" s="980">
        <v>0</v>
      </c>
      <c r="R23" s="606">
        <f t="shared" si="4"/>
        <v>0</v>
      </c>
      <c r="S23" s="983"/>
    </row>
    <row r="24" spans="1:19" ht="13" customHeight="1">
      <c r="A24" s="405" t="s">
        <v>1538</v>
      </c>
      <c r="B24" s="560">
        <f t="shared" si="5"/>
        <v>9</v>
      </c>
      <c r="C24" s="289">
        <f t="shared" si="6"/>
        <v>5.4878048780487809</v>
      </c>
      <c r="D24" s="379"/>
      <c r="E24" s="980">
        <v>0</v>
      </c>
      <c r="F24" s="571">
        <f t="shared" si="0"/>
        <v>0</v>
      </c>
      <c r="G24" s="379"/>
      <c r="H24" s="980">
        <v>1</v>
      </c>
      <c r="I24" s="606">
        <f t="shared" si="1"/>
        <v>11.111111111111111</v>
      </c>
      <c r="J24" s="379"/>
      <c r="K24" s="980">
        <v>5</v>
      </c>
      <c r="L24" s="606">
        <f t="shared" si="2"/>
        <v>55.555555555555557</v>
      </c>
      <c r="M24" s="379"/>
      <c r="N24" s="980">
        <v>0</v>
      </c>
      <c r="O24" s="606">
        <f t="shared" si="3"/>
        <v>0</v>
      </c>
      <c r="P24" s="379"/>
      <c r="Q24" s="980">
        <v>3</v>
      </c>
      <c r="R24" s="606">
        <f t="shared" si="4"/>
        <v>33.333333333333329</v>
      </c>
      <c r="S24" s="983"/>
    </row>
    <row r="25" spans="1:19" ht="13" customHeight="1">
      <c r="A25" s="405" t="s">
        <v>730</v>
      </c>
      <c r="B25" s="560">
        <f t="shared" si="5"/>
        <v>3</v>
      </c>
      <c r="C25" s="289">
        <f t="shared" si="6"/>
        <v>1.8292682926829267</v>
      </c>
      <c r="D25" s="379"/>
      <c r="E25" s="980">
        <v>0</v>
      </c>
      <c r="F25" s="606">
        <f t="shared" si="0"/>
        <v>0</v>
      </c>
      <c r="G25" s="379"/>
      <c r="H25" s="980">
        <v>0</v>
      </c>
      <c r="I25" s="606">
        <f t="shared" si="1"/>
        <v>0</v>
      </c>
      <c r="J25" s="379"/>
      <c r="K25" s="980">
        <v>1</v>
      </c>
      <c r="L25" s="606">
        <f t="shared" si="2"/>
        <v>33.333333333333329</v>
      </c>
      <c r="M25" s="379"/>
      <c r="N25" s="980">
        <v>1</v>
      </c>
      <c r="O25" s="606">
        <f t="shared" si="3"/>
        <v>33.333333333333329</v>
      </c>
      <c r="P25" s="379"/>
      <c r="Q25" s="980">
        <v>1</v>
      </c>
      <c r="R25" s="606">
        <f t="shared" si="4"/>
        <v>33.333333333333329</v>
      </c>
      <c r="S25" s="983"/>
    </row>
    <row r="26" spans="1:19" ht="13" customHeight="1">
      <c r="A26" s="405" t="s">
        <v>731</v>
      </c>
      <c r="B26" s="560">
        <f t="shared" si="5"/>
        <v>4</v>
      </c>
      <c r="C26" s="289">
        <f t="shared" si="6"/>
        <v>2.4390243902439024</v>
      </c>
      <c r="D26" s="379"/>
      <c r="E26" s="980">
        <v>0</v>
      </c>
      <c r="F26" s="606">
        <f t="shared" si="0"/>
        <v>0</v>
      </c>
      <c r="G26" s="379"/>
      <c r="H26" s="980">
        <v>0</v>
      </c>
      <c r="I26" s="606">
        <f t="shared" si="1"/>
        <v>0</v>
      </c>
      <c r="J26" s="379"/>
      <c r="K26" s="980">
        <v>1</v>
      </c>
      <c r="L26" s="606">
        <f t="shared" si="2"/>
        <v>25</v>
      </c>
      <c r="M26" s="379"/>
      <c r="N26" s="980">
        <v>0</v>
      </c>
      <c r="O26" s="606">
        <f t="shared" si="3"/>
        <v>0</v>
      </c>
      <c r="P26" s="379"/>
      <c r="Q26" s="980">
        <v>3</v>
      </c>
      <c r="R26" s="606">
        <f t="shared" si="4"/>
        <v>75</v>
      </c>
      <c r="S26" s="982"/>
    </row>
    <row r="27" spans="1:19" ht="13" customHeight="1">
      <c r="A27" s="405" t="s">
        <v>732</v>
      </c>
      <c r="B27" s="560">
        <f t="shared" si="5"/>
        <v>3</v>
      </c>
      <c r="C27" s="289">
        <f t="shared" si="6"/>
        <v>1.8292682926829267</v>
      </c>
      <c r="D27" s="379"/>
      <c r="E27" s="980">
        <v>0</v>
      </c>
      <c r="F27" s="606">
        <f t="shared" si="0"/>
        <v>0</v>
      </c>
      <c r="G27" s="379"/>
      <c r="H27" s="980">
        <v>0</v>
      </c>
      <c r="I27" s="606">
        <f t="shared" si="1"/>
        <v>0</v>
      </c>
      <c r="J27" s="379"/>
      <c r="K27" s="980">
        <v>1</v>
      </c>
      <c r="L27" s="606">
        <f t="shared" si="2"/>
        <v>33.333333333333329</v>
      </c>
      <c r="M27" s="379"/>
      <c r="N27" s="980">
        <v>0</v>
      </c>
      <c r="O27" s="606">
        <f t="shared" si="3"/>
        <v>0</v>
      </c>
      <c r="P27" s="379"/>
      <c r="Q27" s="980">
        <v>2</v>
      </c>
      <c r="R27" s="606">
        <f t="shared" si="4"/>
        <v>66.666666666666657</v>
      </c>
      <c r="S27" s="983"/>
    </row>
    <row r="28" spans="1:19" ht="13" customHeight="1">
      <c r="A28" s="925" t="s">
        <v>2140</v>
      </c>
      <c r="B28" s="560">
        <f t="shared" si="5"/>
        <v>1</v>
      </c>
      <c r="C28" s="289">
        <f t="shared" si="6"/>
        <v>0.6097560975609756</v>
      </c>
      <c r="D28" s="379"/>
      <c r="E28" s="980">
        <v>1</v>
      </c>
      <c r="F28" s="606">
        <f t="shared" si="0"/>
        <v>100</v>
      </c>
      <c r="G28" s="379"/>
      <c r="H28" s="980">
        <v>0</v>
      </c>
      <c r="I28" s="606">
        <f t="shared" si="1"/>
        <v>0</v>
      </c>
      <c r="J28" s="379"/>
      <c r="K28" s="980">
        <v>0</v>
      </c>
      <c r="L28" s="606">
        <f t="shared" si="2"/>
        <v>0</v>
      </c>
      <c r="M28" s="379"/>
      <c r="N28" s="980">
        <v>0</v>
      </c>
      <c r="O28" s="606">
        <f t="shared" si="3"/>
        <v>0</v>
      </c>
      <c r="P28" s="379"/>
      <c r="Q28" s="980">
        <v>0</v>
      </c>
      <c r="R28" s="606">
        <f t="shared" si="4"/>
        <v>0</v>
      </c>
      <c r="S28" s="982"/>
    </row>
    <row r="29" spans="1:19" ht="13" customHeight="1">
      <c r="A29" s="925" t="s">
        <v>2141</v>
      </c>
      <c r="B29" s="560">
        <f t="shared" si="5"/>
        <v>2</v>
      </c>
      <c r="C29" s="289">
        <f t="shared" si="6"/>
        <v>1.2195121951219512</v>
      </c>
      <c r="D29" s="379"/>
      <c r="E29" s="980">
        <v>0</v>
      </c>
      <c r="F29" s="606">
        <f t="shared" si="0"/>
        <v>0</v>
      </c>
      <c r="G29" s="288"/>
      <c r="H29" s="980">
        <v>0</v>
      </c>
      <c r="I29" s="606">
        <f t="shared" si="1"/>
        <v>0</v>
      </c>
      <c r="J29" s="288"/>
      <c r="K29" s="980">
        <v>0</v>
      </c>
      <c r="L29" s="606">
        <f t="shared" si="2"/>
        <v>0</v>
      </c>
      <c r="M29" s="288"/>
      <c r="N29" s="980">
        <v>0</v>
      </c>
      <c r="O29" s="606">
        <f t="shared" si="3"/>
        <v>0</v>
      </c>
      <c r="P29" s="379"/>
      <c r="Q29" s="980">
        <v>2</v>
      </c>
      <c r="R29" s="606">
        <f t="shared" si="4"/>
        <v>100</v>
      </c>
      <c r="S29" s="982"/>
    </row>
    <row r="30" spans="1:19" ht="13" customHeight="1">
      <c r="A30" s="405" t="s">
        <v>1539</v>
      </c>
      <c r="B30" s="560">
        <f t="shared" si="5"/>
        <v>4</v>
      </c>
      <c r="C30" s="289">
        <f t="shared" si="6"/>
        <v>2.4390243902439024</v>
      </c>
      <c r="D30" s="379"/>
      <c r="E30" s="980">
        <v>0</v>
      </c>
      <c r="F30" s="606">
        <f t="shared" si="0"/>
        <v>0</v>
      </c>
      <c r="G30" s="288"/>
      <c r="H30" s="980">
        <v>0</v>
      </c>
      <c r="I30" s="606">
        <f t="shared" si="1"/>
        <v>0</v>
      </c>
      <c r="J30" s="288"/>
      <c r="K30" s="980">
        <v>0</v>
      </c>
      <c r="L30" s="606">
        <f t="shared" si="2"/>
        <v>0</v>
      </c>
      <c r="M30" s="288"/>
      <c r="N30" s="980">
        <v>0</v>
      </c>
      <c r="O30" s="606">
        <f t="shared" si="3"/>
        <v>0</v>
      </c>
      <c r="P30" s="379"/>
      <c r="Q30" s="980">
        <v>4</v>
      </c>
      <c r="R30" s="606">
        <f t="shared" si="4"/>
        <v>100</v>
      </c>
      <c r="S30" s="983"/>
    </row>
    <row r="31" spans="1:19" ht="13" customHeight="1">
      <c r="A31" s="405" t="s">
        <v>736</v>
      </c>
      <c r="B31" s="560">
        <f>E31+H31+K31+N31+Q31+S31</f>
        <v>2</v>
      </c>
      <c r="C31" s="289">
        <f>IF(A31&lt;&gt;0,B31/$B$12*100,"")</f>
        <v>1.2195121951219512</v>
      </c>
      <c r="D31" s="379"/>
      <c r="E31" s="980">
        <v>0</v>
      </c>
      <c r="F31" s="606"/>
      <c r="G31" s="288"/>
      <c r="H31" s="980">
        <v>0</v>
      </c>
      <c r="I31" s="606">
        <f t="shared" si="1"/>
        <v>0</v>
      </c>
      <c r="J31" s="288"/>
      <c r="K31" s="980">
        <v>0</v>
      </c>
      <c r="L31" s="606"/>
      <c r="M31" s="288"/>
      <c r="N31" s="980">
        <v>0</v>
      </c>
      <c r="O31" s="606"/>
      <c r="P31" s="379"/>
      <c r="Q31" s="980">
        <v>2</v>
      </c>
      <c r="R31" s="606">
        <f t="shared" si="4"/>
        <v>100</v>
      </c>
      <c r="S31" s="983"/>
    </row>
    <row r="32" spans="1:19" ht="13" customHeight="1">
      <c r="A32" s="405" t="s">
        <v>1540</v>
      </c>
      <c r="B32" s="560">
        <f t="shared" si="5"/>
        <v>7</v>
      </c>
      <c r="C32" s="289">
        <f t="shared" si="6"/>
        <v>4.2682926829268295</v>
      </c>
      <c r="D32" s="289"/>
      <c r="E32" s="980">
        <v>0</v>
      </c>
      <c r="F32" s="606">
        <f t="shared" si="0"/>
        <v>0</v>
      </c>
      <c r="G32" s="288"/>
      <c r="H32" s="980">
        <v>2</v>
      </c>
      <c r="I32" s="606">
        <f t="shared" si="1"/>
        <v>28.571428571428569</v>
      </c>
      <c r="J32" s="288"/>
      <c r="K32" s="980">
        <v>0</v>
      </c>
      <c r="L32" s="606">
        <f t="shared" si="2"/>
        <v>0</v>
      </c>
      <c r="M32" s="288"/>
      <c r="N32" s="980">
        <v>0</v>
      </c>
      <c r="O32" s="606">
        <f t="shared" si="3"/>
        <v>0</v>
      </c>
      <c r="P32" s="379"/>
      <c r="Q32" s="980">
        <v>5</v>
      </c>
      <c r="R32" s="606">
        <f t="shared" si="4"/>
        <v>71.428571428571431</v>
      </c>
      <c r="S32" s="983"/>
    </row>
    <row r="33" spans="1:19" ht="13" customHeight="1">
      <c r="A33" s="405" t="s">
        <v>739</v>
      </c>
      <c r="B33" s="560">
        <f t="shared" si="5"/>
        <v>2</v>
      </c>
      <c r="C33" s="289">
        <f t="shared" si="6"/>
        <v>1.2195121951219512</v>
      </c>
      <c r="D33" s="289"/>
      <c r="E33" s="980">
        <v>0</v>
      </c>
      <c r="F33" s="606">
        <f t="shared" si="0"/>
        <v>0</v>
      </c>
      <c r="G33" s="288"/>
      <c r="H33" s="980">
        <v>0</v>
      </c>
      <c r="I33" s="606">
        <f t="shared" si="1"/>
        <v>0</v>
      </c>
      <c r="J33" s="288"/>
      <c r="K33" s="980">
        <v>0</v>
      </c>
      <c r="L33" s="606">
        <f t="shared" si="2"/>
        <v>0</v>
      </c>
      <c r="M33" s="288"/>
      <c r="N33" s="980">
        <v>0</v>
      </c>
      <c r="O33" s="606">
        <f t="shared" si="3"/>
        <v>0</v>
      </c>
      <c r="P33" s="379"/>
      <c r="Q33" s="980">
        <v>2</v>
      </c>
      <c r="R33" s="606">
        <f t="shared" si="4"/>
        <v>100</v>
      </c>
      <c r="S33" s="982"/>
    </row>
    <row r="34" spans="1:19" ht="13" customHeight="1">
      <c r="A34" s="405" t="s">
        <v>740</v>
      </c>
      <c r="B34" s="560">
        <f t="shared" si="5"/>
        <v>6</v>
      </c>
      <c r="C34" s="289">
        <f t="shared" si="6"/>
        <v>3.6585365853658534</v>
      </c>
      <c r="D34" s="289"/>
      <c r="E34" s="980">
        <v>0</v>
      </c>
      <c r="F34" s="606">
        <f t="shared" si="0"/>
        <v>0</v>
      </c>
      <c r="G34" s="288"/>
      <c r="H34" s="980">
        <v>0</v>
      </c>
      <c r="I34" s="606">
        <f t="shared" si="1"/>
        <v>0</v>
      </c>
      <c r="J34" s="288"/>
      <c r="K34" s="980">
        <v>1</v>
      </c>
      <c r="L34" s="606">
        <f t="shared" si="2"/>
        <v>16.666666666666664</v>
      </c>
      <c r="M34" s="288"/>
      <c r="N34" s="980">
        <v>0</v>
      </c>
      <c r="O34" s="606">
        <f t="shared" si="3"/>
        <v>0</v>
      </c>
      <c r="P34" s="379"/>
      <c r="Q34" s="980">
        <v>5</v>
      </c>
      <c r="R34" s="606">
        <f t="shared" si="4"/>
        <v>83.333333333333343</v>
      </c>
      <c r="S34" s="983"/>
    </row>
    <row r="35" spans="1:19" ht="13" customHeight="1">
      <c r="A35" s="932" t="s">
        <v>2142</v>
      </c>
      <c r="B35" s="560">
        <f t="shared" si="5"/>
        <v>7</v>
      </c>
      <c r="C35" s="289">
        <f t="shared" si="6"/>
        <v>4.2682926829268295</v>
      </c>
      <c r="D35" s="289"/>
      <c r="E35" s="980">
        <v>0</v>
      </c>
      <c r="F35" s="606">
        <f t="shared" si="0"/>
        <v>0</v>
      </c>
      <c r="G35" s="288"/>
      <c r="H35" s="980">
        <v>0</v>
      </c>
      <c r="I35" s="606">
        <f t="shared" si="1"/>
        <v>0</v>
      </c>
      <c r="J35" s="288"/>
      <c r="K35" s="980">
        <v>0</v>
      </c>
      <c r="L35" s="606">
        <f t="shared" si="2"/>
        <v>0</v>
      </c>
      <c r="M35" s="288"/>
      <c r="N35" s="980">
        <v>1</v>
      </c>
      <c r="O35" s="606">
        <f t="shared" si="3"/>
        <v>14.285714285714285</v>
      </c>
      <c r="P35" s="379"/>
      <c r="Q35" s="980">
        <v>6</v>
      </c>
      <c r="R35" s="606">
        <f t="shared" si="4"/>
        <v>85.714285714285708</v>
      </c>
      <c r="S35" s="983"/>
    </row>
    <row r="36" spans="1:19" ht="13" customHeight="1">
      <c r="A36" s="925" t="s">
        <v>2143</v>
      </c>
      <c r="B36" s="560">
        <f t="shared" si="5"/>
        <v>2</v>
      </c>
      <c r="C36" s="289">
        <f t="shared" si="6"/>
        <v>1.2195121951219512</v>
      </c>
      <c r="D36" s="289"/>
      <c r="E36" s="980">
        <v>1</v>
      </c>
      <c r="F36" s="606">
        <f t="shared" si="0"/>
        <v>50</v>
      </c>
      <c r="G36" s="288"/>
      <c r="H36" s="980">
        <v>0</v>
      </c>
      <c r="I36" s="606">
        <f t="shared" si="1"/>
        <v>0</v>
      </c>
      <c r="J36" s="288"/>
      <c r="K36" s="980">
        <v>0</v>
      </c>
      <c r="L36" s="606">
        <f t="shared" si="2"/>
        <v>0</v>
      </c>
      <c r="M36" s="288"/>
      <c r="N36" s="980">
        <v>0</v>
      </c>
      <c r="O36" s="606">
        <f t="shared" si="3"/>
        <v>0</v>
      </c>
      <c r="P36" s="379"/>
      <c r="Q36" s="980">
        <v>1</v>
      </c>
      <c r="R36" s="606">
        <f t="shared" si="4"/>
        <v>50</v>
      </c>
      <c r="S36" s="983"/>
    </row>
    <row r="37" spans="1:19" ht="13" customHeight="1">
      <c r="A37" s="405" t="s">
        <v>746</v>
      </c>
      <c r="B37" s="560">
        <f>E37+H37+K37+N37+Q37+S37</f>
        <v>11</v>
      </c>
      <c r="C37" s="289">
        <f>IF(A37&lt;&gt;0,B37/$B$12*100,"")</f>
        <v>6.7073170731707323</v>
      </c>
      <c r="D37" s="289"/>
      <c r="E37" s="980">
        <v>0</v>
      </c>
      <c r="F37" s="606"/>
      <c r="G37" s="288"/>
      <c r="H37" s="980">
        <v>1</v>
      </c>
      <c r="I37" s="606">
        <f t="shared" si="1"/>
        <v>9.0909090909090917</v>
      </c>
      <c r="J37" s="288"/>
      <c r="K37" s="980">
        <v>1</v>
      </c>
      <c r="L37" s="606"/>
      <c r="M37" s="288"/>
      <c r="N37" s="980">
        <v>1</v>
      </c>
      <c r="O37" s="606"/>
      <c r="P37" s="379"/>
      <c r="Q37" s="980">
        <v>8</v>
      </c>
      <c r="R37" s="606">
        <f t="shared" si="4"/>
        <v>72.727272727272734</v>
      </c>
      <c r="S37" s="983"/>
    </row>
    <row r="38" spans="1:19" ht="13" customHeight="1">
      <c r="A38" s="405" t="s">
        <v>747</v>
      </c>
      <c r="B38" s="560">
        <f t="shared" si="5"/>
        <v>2</v>
      </c>
      <c r="C38" s="289">
        <f t="shared" si="6"/>
        <v>1.2195121951219512</v>
      </c>
      <c r="D38" s="289"/>
      <c r="E38" s="980">
        <v>1</v>
      </c>
      <c r="F38" s="606">
        <f t="shared" si="0"/>
        <v>50</v>
      </c>
      <c r="G38" s="288"/>
      <c r="H38" s="980">
        <v>0</v>
      </c>
      <c r="I38" s="606">
        <f t="shared" si="1"/>
        <v>0</v>
      </c>
      <c r="J38" s="288"/>
      <c r="K38" s="980">
        <v>0</v>
      </c>
      <c r="L38" s="606">
        <f t="shared" si="2"/>
        <v>0</v>
      </c>
      <c r="M38" s="288"/>
      <c r="N38" s="980">
        <v>0</v>
      </c>
      <c r="O38" s="606">
        <f t="shared" si="3"/>
        <v>0</v>
      </c>
      <c r="P38" s="379"/>
      <c r="Q38" s="980">
        <v>1</v>
      </c>
      <c r="R38" s="606">
        <f t="shared" si="4"/>
        <v>50</v>
      </c>
      <c r="S38" s="983"/>
    </row>
    <row r="39" spans="1:19" ht="13" customHeight="1">
      <c r="A39" s="405" t="s">
        <v>748</v>
      </c>
      <c r="B39" s="560">
        <f t="shared" si="5"/>
        <v>4</v>
      </c>
      <c r="C39" s="289">
        <f t="shared" si="6"/>
        <v>2.4390243902439024</v>
      </c>
      <c r="D39" s="289"/>
      <c r="E39" s="980">
        <v>0</v>
      </c>
      <c r="F39" s="606">
        <f t="shared" si="0"/>
        <v>0</v>
      </c>
      <c r="G39" s="288"/>
      <c r="H39" s="980">
        <v>0</v>
      </c>
      <c r="I39" s="606">
        <f t="shared" si="1"/>
        <v>0</v>
      </c>
      <c r="J39" s="288"/>
      <c r="K39" s="980">
        <v>0</v>
      </c>
      <c r="L39" s="606">
        <f t="shared" si="2"/>
        <v>0</v>
      </c>
      <c r="M39" s="288"/>
      <c r="N39" s="980">
        <v>1</v>
      </c>
      <c r="O39" s="606">
        <f t="shared" si="3"/>
        <v>25</v>
      </c>
      <c r="P39" s="379"/>
      <c r="Q39" s="980">
        <v>3</v>
      </c>
      <c r="R39" s="606">
        <f t="shared" si="4"/>
        <v>75</v>
      </c>
      <c r="S39" s="983"/>
    </row>
    <row r="40" spans="1:19" ht="13" customHeight="1">
      <c r="A40" s="405" t="s">
        <v>749</v>
      </c>
      <c r="B40" s="560">
        <f t="shared" si="5"/>
        <v>1</v>
      </c>
      <c r="C40" s="289">
        <f t="shared" si="6"/>
        <v>0.6097560975609756</v>
      </c>
      <c r="D40" s="289"/>
      <c r="E40" s="980">
        <v>1</v>
      </c>
      <c r="F40" s="606">
        <f t="shared" si="0"/>
        <v>100</v>
      </c>
      <c r="G40" s="288"/>
      <c r="H40" s="980">
        <v>0</v>
      </c>
      <c r="I40" s="606">
        <f t="shared" si="1"/>
        <v>0</v>
      </c>
      <c r="J40" s="288"/>
      <c r="K40" s="980">
        <v>0</v>
      </c>
      <c r="L40" s="606">
        <f t="shared" si="2"/>
        <v>0</v>
      </c>
      <c r="M40" s="288"/>
      <c r="N40" s="980">
        <v>0</v>
      </c>
      <c r="O40" s="606">
        <f t="shared" si="3"/>
        <v>0</v>
      </c>
      <c r="P40" s="379"/>
      <c r="Q40" s="980">
        <v>0</v>
      </c>
      <c r="R40" s="606">
        <f t="shared" si="4"/>
        <v>0</v>
      </c>
      <c r="S40" s="983"/>
    </row>
    <row r="41" spans="1:19" ht="12.75" customHeight="1">
      <c r="A41" s="932" t="s">
        <v>751</v>
      </c>
      <c r="B41" s="560">
        <f t="shared" si="5"/>
        <v>3</v>
      </c>
      <c r="C41" s="289">
        <f t="shared" si="6"/>
        <v>1.8292682926829267</v>
      </c>
      <c r="D41" s="289"/>
      <c r="E41" s="980">
        <v>0</v>
      </c>
      <c r="F41" s="606">
        <f t="shared" si="0"/>
        <v>0</v>
      </c>
      <c r="G41" s="288"/>
      <c r="H41" s="980">
        <v>0</v>
      </c>
      <c r="I41" s="606">
        <f t="shared" si="1"/>
        <v>0</v>
      </c>
      <c r="J41" s="288"/>
      <c r="K41" s="980">
        <v>1</v>
      </c>
      <c r="L41" s="606">
        <f t="shared" si="2"/>
        <v>33.333333333333329</v>
      </c>
      <c r="M41" s="288"/>
      <c r="N41" s="980">
        <v>0</v>
      </c>
      <c r="O41" s="606">
        <f t="shared" si="3"/>
        <v>0</v>
      </c>
      <c r="P41" s="379"/>
      <c r="Q41" s="980">
        <v>2</v>
      </c>
      <c r="R41" s="606">
        <f t="shared" si="4"/>
        <v>66.666666666666657</v>
      </c>
      <c r="S41" s="983"/>
    </row>
    <row r="42" spans="1:19" ht="13" customHeight="1">
      <c r="A42" s="405" t="s">
        <v>752</v>
      </c>
      <c r="B42" s="560">
        <f t="shared" si="5"/>
        <v>1</v>
      </c>
      <c r="C42" s="289">
        <f>IF(A42&lt;&gt;0,B42/$B$12*100,"")</f>
        <v>0.6097560975609756</v>
      </c>
      <c r="D42" s="289"/>
      <c r="E42" s="980">
        <v>0</v>
      </c>
      <c r="F42" s="606">
        <f t="shared" si="0"/>
        <v>0</v>
      </c>
      <c r="G42" s="288"/>
      <c r="H42" s="980">
        <v>0</v>
      </c>
      <c r="I42" s="606">
        <f t="shared" si="1"/>
        <v>0</v>
      </c>
      <c r="J42" s="288"/>
      <c r="K42" s="980">
        <v>0</v>
      </c>
      <c r="L42" s="606">
        <f t="shared" si="2"/>
        <v>0</v>
      </c>
      <c r="M42" s="288"/>
      <c r="N42" s="980">
        <v>0</v>
      </c>
      <c r="O42" s="606">
        <f t="shared" si="3"/>
        <v>0</v>
      </c>
      <c r="P42" s="379"/>
      <c r="Q42" s="980">
        <v>1</v>
      </c>
      <c r="R42" s="606">
        <f t="shared" si="4"/>
        <v>100</v>
      </c>
      <c r="S42" s="983"/>
    </row>
    <row r="43" spans="1:19" ht="13" customHeight="1">
      <c r="A43" s="405" t="s">
        <v>755</v>
      </c>
      <c r="B43" s="560">
        <f t="shared" si="5"/>
        <v>8</v>
      </c>
      <c r="C43" s="289">
        <f>IF(A43&lt;&gt;0,B43/$B$12*100,"")</f>
        <v>4.8780487804878048</v>
      </c>
      <c r="D43" s="289"/>
      <c r="E43" s="980">
        <v>1</v>
      </c>
      <c r="F43" s="606">
        <f t="shared" si="0"/>
        <v>12.5</v>
      </c>
      <c r="G43" s="288"/>
      <c r="H43" s="980">
        <v>1</v>
      </c>
      <c r="I43" s="606">
        <f t="shared" si="1"/>
        <v>12.5</v>
      </c>
      <c r="J43" s="288"/>
      <c r="K43" s="980">
        <v>2</v>
      </c>
      <c r="L43" s="606">
        <f t="shared" si="2"/>
        <v>25</v>
      </c>
      <c r="M43" s="288"/>
      <c r="N43" s="980">
        <v>1</v>
      </c>
      <c r="O43" s="606">
        <f t="shared" si="3"/>
        <v>12.5</v>
      </c>
      <c r="P43" s="379"/>
      <c r="Q43" s="980">
        <v>3</v>
      </c>
      <c r="R43" s="606">
        <f t="shared" si="4"/>
        <v>37.5</v>
      </c>
      <c r="S43" s="983"/>
    </row>
    <row r="44" spans="1:19" ht="13" customHeight="1">
      <c r="A44" s="405" t="s">
        <v>757</v>
      </c>
      <c r="B44" s="560">
        <f t="shared" si="5"/>
        <v>3</v>
      </c>
      <c r="C44" s="289">
        <f t="shared" si="6"/>
        <v>1.8292682926829267</v>
      </c>
      <c r="D44" s="289"/>
      <c r="E44" s="980">
        <v>1</v>
      </c>
      <c r="F44" s="606">
        <f t="shared" si="0"/>
        <v>33.333333333333329</v>
      </c>
      <c r="G44" s="288"/>
      <c r="H44" s="980">
        <v>0</v>
      </c>
      <c r="I44" s="606">
        <f t="shared" si="1"/>
        <v>0</v>
      </c>
      <c r="J44" s="288"/>
      <c r="K44" s="980">
        <v>0</v>
      </c>
      <c r="L44" s="606">
        <f t="shared" si="2"/>
        <v>0</v>
      </c>
      <c r="M44" s="288"/>
      <c r="N44" s="980">
        <v>1</v>
      </c>
      <c r="O44" s="606">
        <f t="shared" si="3"/>
        <v>33.333333333333329</v>
      </c>
      <c r="P44" s="379"/>
      <c r="Q44" s="980">
        <v>1</v>
      </c>
      <c r="R44" s="606">
        <f t="shared" si="4"/>
        <v>33.333333333333329</v>
      </c>
      <c r="S44" s="982"/>
    </row>
    <row r="45" spans="1:19" ht="13" customHeight="1">
      <c r="A45" s="932" t="s">
        <v>2144</v>
      </c>
      <c r="B45" s="560">
        <f t="shared" si="5"/>
        <v>1</v>
      </c>
      <c r="C45" s="289">
        <f t="shared" si="6"/>
        <v>0.6097560975609756</v>
      </c>
      <c r="D45" s="289"/>
      <c r="E45" s="980">
        <v>0</v>
      </c>
      <c r="F45" s="606">
        <f t="shared" si="0"/>
        <v>0</v>
      </c>
      <c r="G45" s="288"/>
      <c r="H45" s="980">
        <v>0</v>
      </c>
      <c r="I45" s="606">
        <f t="shared" si="1"/>
        <v>0</v>
      </c>
      <c r="J45" s="288"/>
      <c r="K45" s="980">
        <v>0</v>
      </c>
      <c r="L45" s="606">
        <f t="shared" si="2"/>
        <v>0</v>
      </c>
      <c r="M45" s="288"/>
      <c r="N45" s="980">
        <v>0</v>
      </c>
      <c r="O45" s="606">
        <f t="shared" si="3"/>
        <v>0</v>
      </c>
      <c r="P45" s="379"/>
      <c r="Q45" s="980">
        <v>1</v>
      </c>
      <c r="R45" s="606">
        <f t="shared" si="4"/>
        <v>100</v>
      </c>
      <c r="S45" s="982"/>
    </row>
    <row r="46" spans="1:19" ht="13" customHeight="1">
      <c r="A46" s="405" t="s">
        <v>761</v>
      </c>
      <c r="B46" s="560">
        <f t="shared" si="5"/>
        <v>10</v>
      </c>
      <c r="C46" s="289">
        <f t="shared" si="6"/>
        <v>6.0975609756097562</v>
      </c>
      <c r="D46" s="289"/>
      <c r="E46" s="980">
        <v>0</v>
      </c>
      <c r="F46" s="606">
        <f t="shared" si="0"/>
        <v>0</v>
      </c>
      <c r="G46" s="288"/>
      <c r="H46" s="980">
        <v>0</v>
      </c>
      <c r="I46" s="606">
        <f t="shared" si="1"/>
        <v>0</v>
      </c>
      <c r="J46" s="288"/>
      <c r="K46" s="980">
        <v>1</v>
      </c>
      <c r="L46" s="606">
        <f t="shared" si="2"/>
        <v>10</v>
      </c>
      <c r="M46" s="288"/>
      <c r="N46" s="980">
        <v>4</v>
      </c>
      <c r="O46" s="606">
        <f t="shared" si="3"/>
        <v>40</v>
      </c>
      <c r="P46" s="379"/>
      <c r="Q46" s="980">
        <v>5</v>
      </c>
      <c r="R46" s="606">
        <f t="shared" si="4"/>
        <v>50</v>
      </c>
      <c r="S46" s="982"/>
    </row>
    <row r="47" spans="1:19" ht="13" customHeight="1">
      <c r="A47" s="405" t="s">
        <v>762</v>
      </c>
      <c r="B47" s="560">
        <f t="shared" si="5"/>
        <v>14</v>
      </c>
      <c r="C47" s="289">
        <f t="shared" si="6"/>
        <v>8.536585365853659</v>
      </c>
      <c r="D47" s="289"/>
      <c r="E47" s="980">
        <v>2</v>
      </c>
      <c r="F47" s="606">
        <f t="shared" si="0"/>
        <v>14.285714285714285</v>
      </c>
      <c r="G47" s="288"/>
      <c r="H47" s="980">
        <v>0</v>
      </c>
      <c r="I47" s="606">
        <f t="shared" si="1"/>
        <v>0</v>
      </c>
      <c r="J47" s="288"/>
      <c r="K47" s="980">
        <v>1</v>
      </c>
      <c r="L47" s="606">
        <f t="shared" si="2"/>
        <v>7.1428571428571423</v>
      </c>
      <c r="M47" s="288"/>
      <c r="N47" s="980">
        <v>3</v>
      </c>
      <c r="O47" s="606">
        <f t="shared" si="3"/>
        <v>21.428571428571427</v>
      </c>
      <c r="P47" s="379"/>
      <c r="Q47" s="980">
        <v>8</v>
      </c>
      <c r="R47" s="606">
        <f t="shared" si="4"/>
        <v>57.142857142857139</v>
      </c>
      <c r="S47" s="982"/>
    </row>
    <row r="48" spans="1:19" ht="13" customHeight="1">
      <c r="A48" s="405" t="s">
        <v>763</v>
      </c>
      <c r="B48" s="560">
        <f t="shared" si="5"/>
        <v>3</v>
      </c>
      <c r="C48" s="289">
        <f t="shared" si="6"/>
        <v>1.8292682926829267</v>
      </c>
      <c r="D48" s="289"/>
      <c r="E48" s="980">
        <v>1</v>
      </c>
      <c r="F48" s="606">
        <f t="shared" si="0"/>
        <v>33.333333333333329</v>
      </c>
      <c r="G48" s="288"/>
      <c r="H48" s="980">
        <v>0</v>
      </c>
      <c r="I48" s="606">
        <f t="shared" si="1"/>
        <v>0</v>
      </c>
      <c r="J48" s="288"/>
      <c r="K48" s="980">
        <v>0</v>
      </c>
      <c r="L48" s="606">
        <f t="shared" si="2"/>
        <v>0</v>
      </c>
      <c r="M48" s="288"/>
      <c r="N48" s="980">
        <v>0</v>
      </c>
      <c r="O48" s="606">
        <f t="shared" si="3"/>
        <v>0</v>
      </c>
      <c r="P48" s="379"/>
      <c r="Q48" s="980">
        <v>2</v>
      </c>
      <c r="R48" s="606">
        <f t="shared" si="4"/>
        <v>66.666666666666657</v>
      </c>
      <c r="S48" s="982"/>
    </row>
    <row r="49" spans="1:19" ht="13" customHeight="1">
      <c r="A49" s="925" t="s">
        <v>768</v>
      </c>
      <c r="B49" s="560">
        <f t="shared" si="5"/>
        <v>3</v>
      </c>
      <c r="C49" s="289">
        <f t="shared" si="6"/>
        <v>1.8292682926829267</v>
      </c>
      <c r="D49" s="289"/>
      <c r="E49" s="980">
        <v>0</v>
      </c>
      <c r="F49" s="606">
        <f t="shared" si="0"/>
        <v>0</v>
      </c>
      <c r="G49" s="288"/>
      <c r="H49" s="980">
        <v>0</v>
      </c>
      <c r="I49" s="606">
        <f t="shared" si="1"/>
        <v>0</v>
      </c>
      <c r="J49" s="288"/>
      <c r="K49" s="980">
        <v>0</v>
      </c>
      <c r="L49" s="606">
        <f t="shared" si="2"/>
        <v>0</v>
      </c>
      <c r="M49" s="288"/>
      <c r="N49" s="980">
        <v>1</v>
      </c>
      <c r="O49" s="606">
        <f t="shared" si="3"/>
        <v>33.333333333333329</v>
      </c>
      <c r="P49" s="379"/>
      <c r="Q49" s="980">
        <v>2</v>
      </c>
      <c r="R49" s="606">
        <f t="shared" si="4"/>
        <v>66.666666666666657</v>
      </c>
      <c r="S49" s="982"/>
    </row>
    <row r="50" spans="1:19" ht="13" customHeight="1">
      <c r="A50" s="405" t="s">
        <v>769</v>
      </c>
      <c r="B50" s="560">
        <f>E50+H50+K50+N50+Q50+S50</f>
        <v>2</v>
      </c>
      <c r="C50" s="289">
        <f>IF(A50&lt;&gt;0,B50/$B$12*100,"")</f>
        <v>1.2195121951219512</v>
      </c>
      <c r="D50" s="289"/>
      <c r="E50" s="980">
        <v>0</v>
      </c>
      <c r="F50" s="606">
        <f t="shared" si="0"/>
        <v>0</v>
      </c>
      <c r="G50" s="288"/>
      <c r="H50" s="980">
        <v>0</v>
      </c>
      <c r="I50" s="606">
        <f t="shared" si="1"/>
        <v>0</v>
      </c>
      <c r="J50" s="288"/>
      <c r="K50" s="980">
        <v>0</v>
      </c>
      <c r="L50" s="606">
        <f t="shared" si="2"/>
        <v>0</v>
      </c>
      <c r="M50" s="288"/>
      <c r="N50" s="980">
        <v>0</v>
      </c>
      <c r="O50" s="606">
        <f t="shared" si="3"/>
        <v>0</v>
      </c>
      <c r="P50" s="379"/>
      <c r="Q50" s="980">
        <v>2</v>
      </c>
      <c r="R50" s="606">
        <f t="shared" si="4"/>
        <v>100</v>
      </c>
      <c r="S50" s="982"/>
    </row>
    <row r="51" spans="1:19" ht="13" customHeight="1">
      <c r="A51" s="405" t="s">
        <v>771</v>
      </c>
      <c r="B51" s="560">
        <f t="shared" si="5"/>
        <v>3</v>
      </c>
      <c r="C51" s="162">
        <f t="shared" si="6"/>
        <v>1.8292682926829267</v>
      </c>
      <c r="E51" s="984">
        <v>0</v>
      </c>
      <c r="F51" s="981">
        <f t="shared" si="0"/>
        <v>0</v>
      </c>
      <c r="G51" s="163"/>
      <c r="H51" s="984">
        <v>0</v>
      </c>
      <c r="I51" s="981">
        <f t="shared" si="1"/>
        <v>0</v>
      </c>
      <c r="J51" s="163"/>
      <c r="K51" s="980">
        <v>1</v>
      </c>
      <c r="L51" s="981">
        <f t="shared" si="2"/>
        <v>33.333333333333329</v>
      </c>
      <c r="M51" s="163"/>
      <c r="N51" s="980">
        <v>1</v>
      </c>
      <c r="O51" s="981">
        <f t="shared" si="3"/>
        <v>33.333333333333329</v>
      </c>
      <c r="P51" s="938"/>
      <c r="Q51" s="980">
        <v>1</v>
      </c>
      <c r="R51" s="981">
        <f t="shared" si="4"/>
        <v>33.333333333333329</v>
      </c>
      <c r="S51" s="982"/>
    </row>
    <row r="52" spans="1:19" ht="9" customHeight="1" thickBot="1">
      <c r="E52" s="629">
        <v>0</v>
      </c>
      <c r="H52" s="629">
        <v>0</v>
      </c>
      <c r="I52" s="162"/>
      <c r="J52" s="162"/>
      <c r="K52" s="629">
        <v>0</v>
      </c>
      <c r="L52" s="985"/>
      <c r="M52" s="985"/>
      <c r="N52" s="629"/>
      <c r="O52" s="162"/>
      <c r="P52" s="162"/>
      <c r="Q52" s="629">
        <v>0</v>
      </c>
      <c r="R52" s="162"/>
      <c r="S52" s="109"/>
    </row>
    <row r="53" spans="1:19" ht="9.75" customHeight="1">
      <c r="A53" s="97"/>
      <c r="B53" s="630"/>
      <c r="C53" s="580"/>
      <c r="D53" s="580"/>
      <c r="E53" s="582"/>
      <c r="F53" s="580"/>
      <c r="G53" s="580"/>
      <c r="H53" s="582"/>
      <c r="I53" s="580"/>
      <c r="J53" s="580"/>
      <c r="K53" s="582"/>
      <c r="L53" s="580"/>
      <c r="M53" s="580"/>
      <c r="N53" s="630"/>
      <c r="O53" s="580"/>
      <c r="P53" s="580"/>
      <c r="Q53" s="582"/>
      <c r="R53" s="580"/>
      <c r="S53" s="582"/>
    </row>
    <row r="54" spans="1:19" ht="13.25" customHeight="1">
      <c r="A54" s="33" t="s">
        <v>2145</v>
      </c>
      <c r="B54" s="632"/>
      <c r="C54" s="150"/>
      <c r="D54" s="150"/>
      <c r="E54" s="938"/>
      <c r="F54" s="150"/>
      <c r="G54" s="150"/>
      <c r="H54" s="938"/>
      <c r="I54" s="150"/>
      <c r="J54" s="150"/>
      <c r="K54" s="938"/>
      <c r="L54" s="150"/>
      <c r="M54" s="150"/>
      <c r="N54" s="632"/>
      <c r="O54" s="150"/>
      <c r="P54" s="150"/>
      <c r="Q54" s="938"/>
      <c r="R54" s="150"/>
    </row>
    <row r="55" spans="1:19" ht="12" customHeight="1">
      <c r="A55" s="95" t="s">
        <v>1532</v>
      </c>
      <c r="B55" s="632"/>
      <c r="C55" s="150"/>
      <c r="D55" s="150"/>
      <c r="E55" s="938"/>
      <c r="F55" s="150"/>
      <c r="G55" s="150"/>
      <c r="H55" s="938"/>
      <c r="I55" s="150"/>
      <c r="J55" s="150"/>
      <c r="K55" s="938"/>
      <c r="L55" s="150"/>
      <c r="M55" s="150"/>
      <c r="N55" s="632"/>
      <c r="O55" s="150"/>
      <c r="P55" s="150"/>
      <c r="Q55" s="938"/>
      <c r="R55" s="150"/>
    </row>
    <row r="56" spans="1:19" ht="7.5" customHeight="1"/>
    <row r="57" spans="1:19">
      <c r="A57" s="95" t="s">
        <v>1533</v>
      </c>
    </row>
    <row r="58" spans="1:19">
      <c r="A58" s="95" t="s">
        <v>1534</v>
      </c>
    </row>
  </sheetData>
  <mergeCells count="6">
    <mergeCell ref="Q8:R8"/>
    <mergeCell ref="B8:C8"/>
    <mergeCell ref="E8:F8"/>
    <mergeCell ref="H8:I8"/>
    <mergeCell ref="K8:L8"/>
    <mergeCell ref="N8:O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20"/>
  <sheetViews>
    <sheetView topLeftCell="A67" workbookViewId="0"/>
  </sheetViews>
  <sheetFormatPr baseColWidth="10" defaultColWidth="9.1640625" defaultRowHeight="13"/>
  <cols>
    <col min="1" max="1" width="36" style="95" customWidth="1"/>
    <col min="2" max="2" width="7.5" style="141" customWidth="1"/>
    <col min="3" max="3" width="7.5" style="139" customWidth="1"/>
    <col min="4" max="4" width="2.5" style="95" customWidth="1"/>
    <col min="5" max="5" width="6.5" style="140" customWidth="1"/>
    <col min="6" max="6" width="6.5" style="105" customWidth="1"/>
    <col min="7" max="7" width="2.5" style="95" customWidth="1"/>
    <col min="8" max="8" width="7" style="140" customWidth="1"/>
    <col min="9" max="9" width="7" style="105" customWidth="1"/>
    <col min="10" max="10" width="2.5" style="105" customWidth="1"/>
    <col min="11" max="11" width="6.83203125" style="140" customWidth="1"/>
    <col min="12" max="12" width="6.83203125" style="105" customWidth="1"/>
    <col min="13" max="13" width="2.5" style="95" customWidth="1"/>
    <col min="14" max="14" width="6.5" style="140" customWidth="1"/>
    <col min="15" max="15" width="6.5" style="95" customWidth="1"/>
    <col min="16" max="16" width="2.6640625" style="95" customWidth="1"/>
    <col min="17" max="17" width="7.83203125" style="116" customWidth="1"/>
    <col min="18" max="18" width="7.83203125" style="95" customWidth="1"/>
    <col min="19" max="19" width="2" style="95" customWidth="1"/>
    <col min="20" max="256" width="9.1640625" style="95"/>
    <col min="257" max="257" width="36" style="95" customWidth="1"/>
    <col min="258" max="259" width="7.5" style="95" customWidth="1"/>
    <col min="260" max="260" width="2.5" style="95" customWidth="1"/>
    <col min="261" max="262" width="6.5" style="95" customWidth="1"/>
    <col min="263" max="263" width="2.5" style="95" customWidth="1"/>
    <col min="264" max="265" width="7" style="95" customWidth="1"/>
    <col min="266" max="266" width="2.5" style="95" customWidth="1"/>
    <col min="267" max="268" width="6.83203125" style="95" customWidth="1"/>
    <col min="269" max="269" width="2.5" style="95" customWidth="1"/>
    <col min="270" max="271" width="6.5" style="95" customWidth="1"/>
    <col min="272" max="272" width="2.6640625" style="95" customWidth="1"/>
    <col min="273" max="274" width="7.83203125" style="95" customWidth="1"/>
    <col min="275" max="275" width="2" style="95" customWidth="1"/>
    <col min="276" max="512" width="9.1640625" style="95"/>
    <col min="513" max="513" width="36" style="95" customWidth="1"/>
    <col min="514" max="515" width="7.5" style="95" customWidth="1"/>
    <col min="516" max="516" width="2.5" style="95" customWidth="1"/>
    <col min="517" max="518" width="6.5" style="95" customWidth="1"/>
    <col min="519" max="519" width="2.5" style="95" customWidth="1"/>
    <col min="520" max="521" width="7" style="95" customWidth="1"/>
    <col min="522" max="522" width="2.5" style="95" customWidth="1"/>
    <col min="523" max="524" width="6.83203125" style="95" customWidth="1"/>
    <col min="525" max="525" width="2.5" style="95" customWidth="1"/>
    <col min="526" max="527" width="6.5" style="95" customWidth="1"/>
    <col min="528" max="528" width="2.6640625" style="95" customWidth="1"/>
    <col min="529" max="530" width="7.83203125" style="95" customWidth="1"/>
    <col min="531" max="531" width="2" style="95" customWidth="1"/>
    <col min="532" max="768" width="9.1640625" style="95"/>
    <col min="769" max="769" width="36" style="95" customWidth="1"/>
    <col min="770" max="771" width="7.5" style="95" customWidth="1"/>
    <col min="772" max="772" width="2.5" style="95" customWidth="1"/>
    <col min="773" max="774" width="6.5" style="95" customWidth="1"/>
    <col min="775" max="775" width="2.5" style="95" customWidth="1"/>
    <col min="776" max="777" width="7" style="95" customWidth="1"/>
    <col min="778" max="778" width="2.5" style="95" customWidth="1"/>
    <col min="779" max="780" width="6.83203125" style="95" customWidth="1"/>
    <col min="781" max="781" width="2.5" style="95" customWidth="1"/>
    <col min="782" max="783" width="6.5" style="95" customWidth="1"/>
    <col min="784" max="784" width="2.6640625" style="95" customWidth="1"/>
    <col min="785" max="786" width="7.83203125" style="95" customWidth="1"/>
    <col min="787" max="787" width="2" style="95" customWidth="1"/>
    <col min="788" max="1024" width="9.1640625" style="95"/>
    <col min="1025" max="1025" width="36" style="95" customWidth="1"/>
    <col min="1026" max="1027" width="7.5" style="95" customWidth="1"/>
    <col min="1028" max="1028" width="2.5" style="95" customWidth="1"/>
    <col min="1029" max="1030" width="6.5" style="95" customWidth="1"/>
    <col min="1031" max="1031" width="2.5" style="95" customWidth="1"/>
    <col min="1032" max="1033" width="7" style="95" customWidth="1"/>
    <col min="1034" max="1034" width="2.5" style="95" customWidth="1"/>
    <col min="1035" max="1036" width="6.83203125" style="95" customWidth="1"/>
    <col min="1037" max="1037" width="2.5" style="95" customWidth="1"/>
    <col min="1038" max="1039" width="6.5" style="95" customWidth="1"/>
    <col min="1040" max="1040" width="2.6640625" style="95" customWidth="1"/>
    <col min="1041" max="1042" width="7.83203125" style="95" customWidth="1"/>
    <col min="1043" max="1043" width="2" style="95" customWidth="1"/>
    <col min="1044" max="1280" width="9.1640625" style="95"/>
    <col min="1281" max="1281" width="36" style="95" customWidth="1"/>
    <col min="1282" max="1283" width="7.5" style="95" customWidth="1"/>
    <col min="1284" max="1284" width="2.5" style="95" customWidth="1"/>
    <col min="1285" max="1286" width="6.5" style="95" customWidth="1"/>
    <col min="1287" max="1287" width="2.5" style="95" customWidth="1"/>
    <col min="1288" max="1289" width="7" style="95" customWidth="1"/>
    <col min="1290" max="1290" width="2.5" style="95" customWidth="1"/>
    <col min="1291" max="1292" width="6.83203125" style="95" customWidth="1"/>
    <col min="1293" max="1293" width="2.5" style="95" customWidth="1"/>
    <col min="1294" max="1295" width="6.5" style="95" customWidth="1"/>
    <col min="1296" max="1296" width="2.6640625" style="95" customWidth="1"/>
    <col min="1297" max="1298" width="7.83203125" style="95" customWidth="1"/>
    <col min="1299" max="1299" width="2" style="95" customWidth="1"/>
    <col min="1300" max="1536" width="9.1640625" style="95"/>
    <col min="1537" max="1537" width="36" style="95" customWidth="1"/>
    <col min="1538" max="1539" width="7.5" style="95" customWidth="1"/>
    <col min="1540" max="1540" width="2.5" style="95" customWidth="1"/>
    <col min="1541" max="1542" width="6.5" style="95" customWidth="1"/>
    <col min="1543" max="1543" width="2.5" style="95" customWidth="1"/>
    <col min="1544" max="1545" width="7" style="95" customWidth="1"/>
    <col min="1546" max="1546" width="2.5" style="95" customWidth="1"/>
    <col min="1547" max="1548" width="6.83203125" style="95" customWidth="1"/>
    <col min="1549" max="1549" width="2.5" style="95" customWidth="1"/>
    <col min="1550" max="1551" width="6.5" style="95" customWidth="1"/>
    <col min="1552" max="1552" width="2.6640625" style="95" customWidth="1"/>
    <col min="1553" max="1554" width="7.83203125" style="95" customWidth="1"/>
    <col min="1555" max="1555" width="2" style="95" customWidth="1"/>
    <col min="1556" max="1792" width="9.1640625" style="95"/>
    <col min="1793" max="1793" width="36" style="95" customWidth="1"/>
    <col min="1794" max="1795" width="7.5" style="95" customWidth="1"/>
    <col min="1796" max="1796" width="2.5" style="95" customWidth="1"/>
    <col min="1797" max="1798" width="6.5" style="95" customWidth="1"/>
    <col min="1799" max="1799" width="2.5" style="95" customWidth="1"/>
    <col min="1800" max="1801" width="7" style="95" customWidth="1"/>
    <col min="1802" max="1802" width="2.5" style="95" customWidth="1"/>
    <col min="1803" max="1804" width="6.83203125" style="95" customWidth="1"/>
    <col min="1805" max="1805" width="2.5" style="95" customWidth="1"/>
    <col min="1806" max="1807" width="6.5" style="95" customWidth="1"/>
    <col min="1808" max="1808" width="2.6640625" style="95" customWidth="1"/>
    <col min="1809" max="1810" width="7.83203125" style="95" customWidth="1"/>
    <col min="1811" max="1811" width="2" style="95" customWidth="1"/>
    <col min="1812" max="2048" width="9.1640625" style="95"/>
    <col min="2049" max="2049" width="36" style="95" customWidth="1"/>
    <col min="2050" max="2051" width="7.5" style="95" customWidth="1"/>
    <col min="2052" max="2052" width="2.5" style="95" customWidth="1"/>
    <col min="2053" max="2054" width="6.5" style="95" customWidth="1"/>
    <col min="2055" max="2055" width="2.5" style="95" customWidth="1"/>
    <col min="2056" max="2057" width="7" style="95" customWidth="1"/>
    <col min="2058" max="2058" width="2.5" style="95" customWidth="1"/>
    <col min="2059" max="2060" width="6.83203125" style="95" customWidth="1"/>
    <col min="2061" max="2061" width="2.5" style="95" customWidth="1"/>
    <col min="2062" max="2063" width="6.5" style="95" customWidth="1"/>
    <col min="2064" max="2064" width="2.6640625" style="95" customWidth="1"/>
    <col min="2065" max="2066" width="7.83203125" style="95" customWidth="1"/>
    <col min="2067" max="2067" width="2" style="95" customWidth="1"/>
    <col min="2068" max="2304" width="9.1640625" style="95"/>
    <col min="2305" max="2305" width="36" style="95" customWidth="1"/>
    <col min="2306" max="2307" width="7.5" style="95" customWidth="1"/>
    <col min="2308" max="2308" width="2.5" style="95" customWidth="1"/>
    <col min="2309" max="2310" width="6.5" style="95" customWidth="1"/>
    <col min="2311" max="2311" width="2.5" style="95" customWidth="1"/>
    <col min="2312" max="2313" width="7" style="95" customWidth="1"/>
    <col min="2314" max="2314" width="2.5" style="95" customWidth="1"/>
    <col min="2315" max="2316" width="6.83203125" style="95" customWidth="1"/>
    <col min="2317" max="2317" width="2.5" style="95" customWidth="1"/>
    <col min="2318" max="2319" width="6.5" style="95" customWidth="1"/>
    <col min="2320" max="2320" width="2.6640625" style="95" customWidth="1"/>
    <col min="2321" max="2322" width="7.83203125" style="95" customWidth="1"/>
    <col min="2323" max="2323" width="2" style="95" customWidth="1"/>
    <col min="2324" max="2560" width="9.1640625" style="95"/>
    <col min="2561" max="2561" width="36" style="95" customWidth="1"/>
    <col min="2562" max="2563" width="7.5" style="95" customWidth="1"/>
    <col min="2564" max="2564" width="2.5" style="95" customWidth="1"/>
    <col min="2565" max="2566" width="6.5" style="95" customWidth="1"/>
    <col min="2567" max="2567" width="2.5" style="95" customWidth="1"/>
    <col min="2568" max="2569" width="7" style="95" customWidth="1"/>
    <col min="2570" max="2570" width="2.5" style="95" customWidth="1"/>
    <col min="2571" max="2572" width="6.83203125" style="95" customWidth="1"/>
    <col min="2573" max="2573" width="2.5" style="95" customWidth="1"/>
    <col min="2574" max="2575" width="6.5" style="95" customWidth="1"/>
    <col min="2576" max="2576" width="2.6640625" style="95" customWidth="1"/>
    <col min="2577" max="2578" width="7.83203125" style="95" customWidth="1"/>
    <col min="2579" max="2579" width="2" style="95" customWidth="1"/>
    <col min="2580" max="2816" width="9.1640625" style="95"/>
    <col min="2817" max="2817" width="36" style="95" customWidth="1"/>
    <col min="2818" max="2819" width="7.5" style="95" customWidth="1"/>
    <col min="2820" max="2820" width="2.5" style="95" customWidth="1"/>
    <col min="2821" max="2822" width="6.5" style="95" customWidth="1"/>
    <col min="2823" max="2823" width="2.5" style="95" customWidth="1"/>
    <col min="2824" max="2825" width="7" style="95" customWidth="1"/>
    <col min="2826" max="2826" width="2.5" style="95" customWidth="1"/>
    <col min="2827" max="2828" width="6.83203125" style="95" customWidth="1"/>
    <col min="2829" max="2829" width="2.5" style="95" customWidth="1"/>
    <col min="2830" max="2831" width="6.5" style="95" customWidth="1"/>
    <col min="2832" max="2832" width="2.6640625" style="95" customWidth="1"/>
    <col min="2833" max="2834" width="7.83203125" style="95" customWidth="1"/>
    <col min="2835" max="2835" width="2" style="95" customWidth="1"/>
    <col min="2836" max="3072" width="9.1640625" style="95"/>
    <col min="3073" max="3073" width="36" style="95" customWidth="1"/>
    <col min="3074" max="3075" width="7.5" style="95" customWidth="1"/>
    <col min="3076" max="3076" width="2.5" style="95" customWidth="1"/>
    <col min="3077" max="3078" width="6.5" style="95" customWidth="1"/>
    <col min="3079" max="3079" width="2.5" style="95" customWidth="1"/>
    <col min="3080" max="3081" width="7" style="95" customWidth="1"/>
    <col min="3082" max="3082" width="2.5" style="95" customWidth="1"/>
    <col min="3083" max="3084" width="6.83203125" style="95" customWidth="1"/>
    <col min="3085" max="3085" width="2.5" style="95" customWidth="1"/>
    <col min="3086" max="3087" width="6.5" style="95" customWidth="1"/>
    <col min="3088" max="3088" width="2.6640625" style="95" customWidth="1"/>
    <col min="3089" max="3090" width="7.83203125" style="95" customWidth="1"/>
    <col min="3091" max="3091" width="2" style="95" customWidth="1"/>
    <col min="3092" max="3328" width="9.1640625" style="95"/>
    <col min="3329" max="3329" width="36" style="95" customWidth="1"/>
    <col min="3330" max="3331" width="7.5" style="95" customWidth="1"/>
    <col min="3332" max="3332" width="2.5" style="95" customWidth="1"/>
    <col min="3333" max="3334" width="6.5" style="95" customWidth="1"/>
    <col min="3335" max="3335" width="2.5" style="95" customWidth="1"/>
    <col min="3336" max="3337" width="7" style="95" customWidth="1"/>
    <col min="3338" max="3338" width="2.5" style="95" customWidth="1"/>
    <col min="3339" max="3340" width="6.83203125" style="95" customWidth="1"/>
    <col min="3341" max="3341" width="2.5" style="95" customWidth="1"/>
    <col min="3342" max="3343" width="6.5" style="95" customWidth="1"/>
    <col min="3344" max="3344" width="2.6640625" style="95" customWidth="1"/>
    <col min="3345" max="3346" width="7.83203125" style="95" customWidth="1"/>
    <col min="3347" max="3347" width="2" style="95" customWidth="1"/>
    <col min="3348" max="3584" width="9.1640625" style="95"/>
    <col min="3585" max="3585" width="36" style="95" customWidth="1"/>
    <col min="3586" max="3587" width="7.5" style="95" customWidth="1"/>
    <col min="3588" max="3588" width="2.5" style="95" customWidth="1"/>
    <col min="3589" max="3590" width="6.5" style="95" customWidth="1"/>
    <col min="3591" max="3591" width="2.5" style="95" customWidth="1"/>
    <col min="3592" max="3593" width="7" style="95" customWidth="1"/>
    <col min="3594" max="3594" width="2.5" style="95" customWidth="1"/>
    <col min="3595" max="3596" width="6.83203125" style="95" customWidth="1"/>
    <col min="3597" max="3597" width="2.5" style="95" customWidth="1"/>
    <col min="3598" max="3599" width="6.5" style="95" customWidth="1"/>
    <col min="3600" max="3600" width="2.6640625" style="95" customWidth="1"/>
    <col min="3601" max="3602" width="7.83203125" style="95" customWidth="1"/>
    <col min="3603" max="3603" width="2" style="95" customWidth="1"/>
    <col min="3604" max="3840" width="9.1640625" style="95"/>
    <col min="3841" max="3841" width="36" style="95" customWidth="1"/>
    <col min="3842" max="3843" width="7.5" style="95" customWidth="1"/>
    <col min="3844" max="3844" width="2.5" style="95" customWidth="1"/>
    <col min="3845" max="3846" width="6.5" style="95" customWidth="1"/>
    <col min="3847" max="3847" width="2.5" style="95" customWidth="1"/>
    <col min="3848" max="3849" width="7" style="95" customWidth="1"/>
    <col min="3850" max="3850" width="2.5" style="95" customWidth="1"/>
    <col min="3851" max="3852" width="6.83203125" style="95" customWidth="1"/>
    <col min="3853" max="3853" width="2.5" style="95" customWidth="1"/>
    <col min="3854" max="3855" width="6.5" style="95" customWidth="1"/>
    <col min="3856" max="3856" width="2.6640625" style="95" customWidth="1"/>
    <col min="3857" max="3858" width="7.83203125" style="95" customWidth="1"/>
    <col min="3859" max="3859" width="2" style="95" customWidth="1"/>
    <col min="3860" max="4096" width="9.1640625" style="95"/>
    <col min="4097" max="4097" width="36" style="95" customWidth="1"/>
    <col min="4098" max="4099" width="7.5" style="95" customWidth="1"/>
    <col min="4100" max="4100" width="2.5" style="95" customWidth="1"/>
    <col min="4101" max="4102" width="6.5" style="95" customWidth="1"/>
    <col min="4103" max="4103" width="2.5" style="95" customWidth="1"/>
    <col min="4104" max="4105" width="7" style="95" customWidth="1"/>
    <col min="4106" max="4106" width="2.5" style="95" customWidth="1"/>
    <col min="4107" max="4108" width="6.83203125" style="95" customWidth="1"/>
    <col min="4109" max="4109" width="2.5" style="95" customWidth="1"/>
    <col min="4110" max="4111" width="6.5" style="95" customWidth="1"/>
    <col min="4112" max="4112" width="2.6640625" style="95" customWidth="1"/>
    <col min="4113" max="4114" width="7.83203125" style="95" customWidth="1"/>
    <col min="4115" max="4115" width="2" style="95" customWidth="1"/>
    <col min="4116" max="4352" width="9.1640625" style="95"/>
    <col min="4353" max="4353" width="36" style="95" customWidth="1"/>
    <col min="4354" max="4355" width="7.5" style="95" customWidth="1"/>
    <col min="4356" max="4356" width="2.5" style="95" customWidth="1"/>
    <col min="4357" max="4358" width="6.5" style="95" customWidth="1"/>
    <col min="4359" max="4359" width="2.5" style="95" customWidth="1"/>
    <col min="4360" max="4361" width="7" style="95" customWidth="1"/>
    <col min="4362" max="4362" width="2.5" style="95" customWidth="1"/>
    <col min="4363" max="4364" width="6.83203125" style="95" customWidth="1"/>
    <col min="4365" max="4365" width="2.5" style="95" customWidth="1"/>
    <col min="4366" max="4367" width="6.5" style="95" customWidth="1"/>
    <col min="4368" max="4368" width="2.6640625" style="95" customWidth="1"/>
    <col min="4369" max="4370" width="7.83203125" style="95" customWidth="1"/>
    <col min="4371" max="4371" width="2" style="95" customWidth="1"/>
    <col min="4372" max="4608" width="9.1640625" style="95"/>
    <col min="4609" max="4609" width="36" style="95" customWidth="1"/>
    <col min="4610" max="4611" width="7.5" style="95" customWidth="1"/>
    <col min="4612" max="4612" width="2.5" style="95" customWidth="1"/>
    <col min="4613" max="4614" width="6.5" style="95" customWidth="1"/>
    <col min="4615" max="4615" width="2.5" style="95" customWidth="1"/>
    <col min="4616" max="4617" width="7" style="95" customWidth="1"/>
    <col min="4618" max="4618" width="2.5" style="95" customWidth="1"/>
    <col min="4619" max="4620" width="6.83203125" style="95" customWidth="1"/>
    <col min="4621" max="4621" width="2.5" style="95" customWidth="1"/>
    <col min="4622" max="4623" width="6.5" style="95" customWidth="1"/>
    <col min="4624" max="4624" width="2.6640625" style="95" customWidth="1"/>
    <col min="4625" max="4626" width="7.83203125" style="95" customWidth="1"/>
    <col min="4627" max="4627" width="2" style="95" customWidth="1"/>
    <col min="4628" max="4864" width="9.1640625" style="95"/>
    <col min="4865" max="4865" width="36" style="95" customWidth="1"/>
    <col min="4866" max="4867" width="7.5" style="95" customWidth="1"/>
    <col min="4868" max="4868" width="2.5" style="95" customWidth="1"/>
    <col min="4869" max="4870" width="6.5" style="95" customWidth="1"/>
    <col min="4871" max="4871" width="2.5" style="95" customWidth="1"/>
    <col min="4872" max="4873" width="7" style="95" customWidth="1"/>
    <col min="4874" max="4874" width="2.5" style="95" customWidth="1"/>
    <col min="4875" max="4876" width="6.83203125" style="95" customWidth="1"/>
    <col min="4877" max="4877" width="2.5" style="95" customWidth="1"/>
    <col min="4878" max="4879" width="6.5" style="95" customWidth="1"/>
    <col min="4880" max="4880" width="2.6640625" style="95" customWidth="1"/>
    <col min="4881" max="4882" width="7.83203125" style="95" customWidth="1"/>
    <col min="4883" max="4883" width="2" style="95" customWidth="1"/>
    <col min="4884" max="5120" width="9.1640625" style="95"/>
    <col min="5121" max="5121" width="36" style="95" customWidth="1"/>
    <col min="5122" max="5123" width="7.5" style="95" customWidth="1"/>
    <col min="5124" max="5124" width="2.5" style="95" customWidth="1"/>
    <col min="5125" max="5126" width="6.5" style="95" customWidth="1"/>
    <col min="5127" max="5127" width="2.5" style="95" customWidth="1"/>
    <col min="5128" max="5129" width="7" style="95" customWidth="1"/>
    <col min="5130" max="5130" width="2.5" style="95" customWidth="1"/>
    <col min="5131" max="5132" width="6.83203125" style="95" customWidth="1"/>
    <col min="5133" max="5133" width="2.5" style="95" customWidth="1"/>
    <col min="5134" max="5135" width="6.5" style="95" customWidth="1"/>
    <col min="5136" max="5136" width="2.6640625" style="95" customWidth="1"/>
    <col min="5137" max="5138" width="7.83203125" style="95" customWidth="1"/>
    <col min="5139" max="5139" width="2" style="95" customWidth="1"/>
    <col min="5140" max="5376" width="9.1640625" style="95"/>
    <col min="5377" max="5377" width="36" style="95" customWidth="1"/>
    <col min="5378" max="5379" width="7.5" style="95" customWidth="1"/>
    <col min="5380" max="5380" width="2.5" style="95" customWidth="1"/>
    <col min="5381" max="5382" width="6.5" style="95" customWidth="1"/>
    <col min="5383" max="5383" width="2.5" style="95" customWidth="1"/>
    <col min="5384" max="5385" width="7" style="95" customWidth="1"/>
    <col min="5386" max="5386" width="2.5" style="95" customWidth="1"/>
    <col min="5387" max="5388" width="6.83203125" style="95" customWidth="1"/>
    <col min="5389" max="5389" width="2.5" style="95" customWidth="1"/>
    <col min="5390" max="5391" width="6.5" style="95" customWidth="1"/>
    <col min="5392" max="5392" width="2.6640625" style="95" customWidth="1"/>
    <col min="5393" max="5394" width="7.83203125" style="95" customWidth="1"/>
    <col min="5395" max="5395" width="2" style="95" customWidth="1"/>
    <col min="5396" max="5632" width="9.1640625" style="95"/>
    <col min="5633" max="5633" width="36" style="95" customWidth="1"/>
    <col min="5634" max="5635" width="7.5" style="95" customWidth="1"/>
    <col min="5636" max="5636" width="2.5" style="95" customWidth="1"/>
    <col min="5637" max="5638" width="6.5" style="95" customWidth="1"/>
    <col min="5639" max="5639" width="2.5" style="95" customWidth="1"/>
    <col min="5640" max="5641" width="7" style="95" customWidth="1"/>
    <col min="5642" max="5642" width="2.5" style="95" customWidth="1"/>
    <col min="5643" max="5644" width="6.83203125" style="95" customWidth="1"/>
    <col min="5645" max="5645" width="2.5" style="95" customWidth="1"/>
    <col min="5646" max="5647" width="6.5" style="95" customWidth="1"/>
    <col min="5648" max="5648" width="2.6640625" style="95" customWidth="1"/>
    <col min="5649" max="5650" width="7.83203125" style="95" customWidth="1"/>
    <col min="5651" max="5651" width="2" style="95" customWidth="1"/>
    <col min="5652" max="5888" width="9.1640625" style="95"/>
    <col min="5889" max="5889" width="36" style="95" customWidth="1"/>
    <col min="5890" max="5891" width="7.5" style="95" customWidth="1"/>
    <col min="5892" max="5892" width="2.5" style="95" customWidth="1"/>
    <col min="5893" max="5894" width="6.5" style="95" customWidth="1"/>
    <col min="5895" max="5895" width="2.5" style="95" customWidth="1"/>
    <col min="5896" max="5897" width="7" style="95" customWidth="1"/>
    <col min="5898" max="5898" width="2.5" style="95" customWidth="1"/>
    <col min="5899" max="5900" width="6.83203125" style="95" customWidth="1"/>
    <col min="5901" max="5901" width="2.5" style="95" customWidth="1"/>
    <col min="5902" max="5903" width="6.5" style="95" customWidth="1"/>
    <col min="5904" max="5904" width="2.6640625" style="95" customWidth="1"/>
    <col min="5905" max="5906" width="7.83203125" style="95" customWidth="1"/>
    <col min="5907" max="5907" width="2" style="95" customWidth="1"/>
    <col min="5908" max="6144" width="9.1640625" style="95"/>
    <col min="6145" max="6145" width="36" style="95" customWidth="1"/>
    <col min="6146" max="6147" width="7.5" style="95" customWidth="1"/>
    <col min="6148" max="6148" width="2.5" style="95" customWidth="1"/>
    <col min="6149" max="6150" width="6.5" style="95" customWidth="1"/>
    <col min="6151" max="6151" width="2.5" style="95" customWidth="1"/>
    <col min="6152" max="6153" width="7" style="95" customWidth="1"/>
    <col min="6154" max="6154" width="2.5" style="95" customWidth="1"/>
    <col min="6155" max="6156" width="6.83203125" style="95" customWidth="1"/>
    <col min="6157" max="6157" width="2.5" style="95" customWidth="1"/>
    <col min="6158" max="6159" width="6.5" style="95" customWidth="1"/>
    <col min="6160" max="6160" width="2.6640625" style="95" customWidth="1"/>
    <col min="6161" max="6162" width="7.83203125" style="95" customWidth="1"/>
    <col min="6163" max="6163" width="2" style="95" customWidth="1"/>
    <col min="6164" max="6400" width="9.1640625" style="95"/>
    <col min="6401" max="6401" width="36" style="95" customWidth="1"/>
    <col min="6402" max="6403" width="7.5" style="95" customWidth="1"/>
    <col min="6404" max="6404" width="2.5" style="95" customWidth="1"/>
    <col min="6405" max="6406" width="6.5" style="95" customWidth="1"/>
    <col min="6407" max="6407" width="2.5" style="95" customWidth="1"/>
    <col min="6408" max="6409" width="7" style="95" customWidth="1"/>
    <col min="6410" max="6410" width="2.5" style="95" customWidth="1"/>
    <col min="6411" max="6412" width="6.83203125" style="95" customWidth="1"/>
    <col min="6413" max="6413" width="2.5" style="95" customWidth="1"/>
    <col min="6414" max="6415" width="6.5" style="95" customWidth="1"/>
    <col min="6416" max="6416" width="2.6640625" style="95" customWidth="1"/>
    <col min="6417" max="6418" width="7.83203125" style="95" customWidth="1"/>
    <col min="6419" max="6419" width="2" style="95" customWidth="1"/>
    <col min="6420" max="6656" width="9.1640625" style="95"/>
    <col min="6657" max="6657" width="36" style="95" customWidth="1"/>
    <col min="6658" max="6659" width="7.5" style="95" customWidth="1"/>
    <col min="6660" max="6660" width="2.5" style="95" customWidth="1"/>
    <col min="6661" max="6662" width="6.5" style="95" customWidth="1"/>
    <col min="6663" max="6663" width="2.5" style="95" customWidth="1"/>
    <col min="6664" max="6665" width="7" style="95" customWidth="1"/>
    <col min="6666" max="6666" width="2.5" style="95" customWidth="1"/>
    <col min="6667" max="6668" width="6.83203125" style="95" customWidth="1"/>
    <col min="6669" max="6669" width="2.5" style="95" customWidth="1"/>
    <col min="6670" max="6671" width="6.5" style="95" customWidth="1"/>
    <col min="6672" max="6672" width="2.6640625" style="95" customWidth="1"/>
    <col min="6673" max="6674" width="7.83203125" style="95" customWidth="1"/>
    <col min="6675" max="6675" width="2" style="95" customWidth="1"/>
    <col min="6676" max="6912" width="9.1640625" style="95"/>
    <col min="6913" max="6913" width="36" style="95" customWidth="1"/>
    <col min="6914" max="6915" width="7.5" style="95" customWidth="1"/>
    <col min="6916" max="6916" width="2.5" style="95" customWidth="1"/>
    <col min="6917" max="6918" width="6.5" style="95" customWidth="1"/>
    <col min="6919" max="6919" width="2.5" style="95" customWidth="1"/>
    <col min="6920" max="6921" width="7" style="95" customWidth="1"/>
    <col min="6922" max="6922" width="2.5" style="95" customWidth="1"/>
    <col min="6923" max="6924" width="6.83203125" style="95" customWidth="1"/>
    <col min="6925" max="6925" width="2.5" style="95" customWidth="1"/>
    <col min="6926" max="6927" width="6.5" style="95" customWidth="1"/>
    <col min="6928" max="6928" width="2.6640625" style="95" customWidth="1"/>
    <col min="6929" max="6930" width="7.83203125" style="95" customWidth="1"/>
    <col min="6931" max="6931" width="2" style="95" customWidth="1"/>
    <col min="6932" max="7168" width="9.1640625" style="95"/>
    <col min="7169" max="7169" width="36" style="95" customWidth="1"/>
    <col min="7170" max="7171" width="7.5" style="95" customWidth="1"/>
    <col min="7172" max="7172" width="2.5" style="95" customWidth="1"/>
    <col min="7173" max="7174" width="6.5" style="95" customWidth="1"/>
    <col min="7175" max="7175" width="2.5" style="95" customWidth="1"/>
    <col min="7176" max="7177" width="7" style="95" customWidth="1"/>
    <col min="7178" max="7178" width="2.5" style="95" customWidth="1"/>
    <col min="7179" max="7180" width="6.83203125" style="95" customWidth="1"/>
    <col min="7181" max="7181" width="2.5" style="95" customWidth="1"/>
    <col min="7182" max="7183" width="6.5" style="95" customWidth="1"/>
    <col min="7184" max="7184" width="2.6640625" style="95" customWidth="1"/>
    <col min="7185" max="7186" width="7.83203125" style="95" customWidth="1"/>
    <col min="7187" max="7187" width="2" style="95" customWidth="1"/>
    <col min="7188" max="7424" width="9.1640625" style="95"/>
    <col min="7425" max="7425" width="36" style="95" customWidth="1"/>
    <col min="7426" max="7427" width="7.5" style="95" customWidth="1"/>
    <col min="7428" max="7428" width="2.5" style="95" customWidth="1"/>
    <col min="7429" max="7430" width="6.5" style="95" customWidth="1"/>
    <col min="7431" max="7431" width="2.5" style="95" customWidth="1"/>
    <col min="7432" max="7433" width="7" style="95" customWidth="1"/>
    <col min="7434" max="7434" width="2.5" style="95" customWidth="1"/>
    <col min="7435" max="7436" width="6.83203125" style="95" customWidth="1"/>
    <col min="7437" max="7437" width="2.5" style="95" customWidth="1"/>
    <col min="7438" max="7439" width="6.5" style="95" customWidth="1"/>
    <col min="7440" max="7440" width="2.6640625" style="95" customWidth="1"/>
    <col min="7441" max="7442" width="7.83203125" style="95" customWidth="1"/>
    <col min="7443" max="7443" width="2" style="95" customWidth="1"/>
    <col min="7444" max="7680" width="9.1640625" style="95"/>
    <col min="7681" max="7681" width="36" style="95" customWidth="1"/>
    <col min="7682" max="7683" width="7.5" style="95" customWidth="1"/>
    <col min="7684" max="7684" width="2.5" style="95" customWidth="1"/>
    <col min="7685" max="7686" width="6.5" style="95" customWidth="1"/>
    <col min="7687" max="7687" width="2.5" style="95" customWidth="1"/>
    <col min="7688" max="7689" width="7" style="95" customWidth="1"/>
    <col min="7690" max="7690" width="2.5" style="95" customWidth="1"/>
    <col min="7691" max="7692" width="6.83203125" style="95" customWidth="1"/>
    <col min="7693" max="7693" width="2.5" style="95" customWidth="1"/>
    <col min="7694" max="7695" width="6.5" style="95" customWidth="1"/>
    <col min="7696" max="7696" width="2.6640625" style="95" customWidth="1"/>
    <col min="7697" max="7698" width="7.83203125" style="95" customWidth="1"/>
    <col min="7699" max="7699" width="2" style="95" customWidth="1"/>
    <col min="7700" max="7936" width="9.1640625" style="95"/>
    <col min="7937" max="7937" width="36" style="95" customWidth="1"/>
    <col min="7938" max="7939" width="7.5" style="95" customWidth="1"/>
    <col min="7940" max="7940" width="2.5" style="95" customWidth="1"/>
    <col min="7941" max="7942" width="6.5" style="95" customWidth="1"/>
    <col min="7943" max="7943" width="2.5" style="95" customWidth="1"/>
    <col min="7944" max="7945" width="7" style="95" customWidth="1"/>
    <col min="7946" max="7946" width="2.5" style="95" customWidth="1"/>
    <col min="7947" max="7948" width="6.83203125" style="95" customWidth="1"/>
    <col min="7949" max="7949" width="2.5" style="95" customWidth="1"/>
    <col min="7950" max="7951" width="6.5" style="95" customWidth="1"/>
    <col min="7952" max="7952" width="2.6640625" style="95" customWidth="1"/>
    <col min="7953" max="7954" width="7.83203125" style="95" customWidth="1"/>
    <col min="7955" max="7955" width="2" style="95" customWidth="1"/>
    <col min="7956" max="8192" width="9.1640625" style="95"/>
    <col min="8193" max="8193" width="36" style="95" customWidth="1"/>
    <col min="8194" max="8195" width="7.5" style="95" customWidth="1"/>
    <col min="8196" max="8196" width="2.5" style="95" customWidth="1"/>
    <col min="8197" max="8198" width="6.5" style="95" customWidth="1"/>
    <col min="8199" max="8199" width="2.5" style="95" customWidth="1"/>
    <col min="8200" max="8201" width="7" style="95" customWidth="1"/>
    <col min="8202" max="8202" width="2.5" style="95" customWidth="1"/>
    <col min="8203" max="8204" width="6.83203125" style="95" customWidth="1"/>
    <col min="8205" max="8205" width="2.5" style="95" customWidth="1"/>
    <col min="8206" max="8207" width="6.5" style="95" customWidth="1"/>
    <col min="8208" max="8208" width="2.6640625" style="95" customWidth="1"/>
    <col min="8209" max="8210" width="7.83203125" style="95" customWidth="1"/>
    <col min="8211" max="8211" width="2" style="95" customWidth="1"/>
    <col min="8212" max="8448" width="9.1640625" style="95"/>
    <col min="8449" max="8449" width="36" style="95" customWidth="1"/>
    <col min="8450" max="8451" width="7.5" style="95" customWidth="1"/>
    <col min="8452" max="8452" width="2.5" style="95" customWidth="1"/>
    <col min="8453" max="8454" width="6.5" style="95" customWidth="1"/>
    <col min="8455" max="8455" width="2.5" style="95" customWidth="1"/>
    <col min="8456" max="8457" width="7" style="95" customWidth="1"/>
    <col min="8458" max="8458" width="2.5" style="95" customWidth="1"/>
    <col min="8459" max="8460" width="6.83203125" style="95" customWidth="1"/>
    <col min="8461" max="8461" width="2.5" style="95" customWidth="1"/>
    <col min="8462" max="8463" width="6.5" style="95" customWidth="1"/>
    <col min="8464" max="8464" width="2.6640625" style="95" customWidth="1"/>
    <col min="8465" max="8466" width="7.83203125" style="95" customWidth="1"/>
    <col min="8467" max="8467" width="2" style="95" customWidth="1"/>
    <col min="8468" max="8704" width="9.1640625" style="95"/>
    <col min="8705" max="8705" width="36" style="95" customWidth="1"/>
    <col min="8706" max="8707" width="7.5" style="95" customWidth="1"/>
    <col min="8708" max="8708" width="2.5" style="95" customWidth="1"/>
    <col min="8709" max="8710" width="6.5" style="95" customWidth="1"/>
    <col min="8711" max="8711" width="2.5" style="95" customWidth="1"/>
    <col min="8712" max="8713" width="7" style="95" customWidth="1"/>
    <col min="8714" max="8714" width="2.5" style="95" customWidth="1"/>
    <col min="8715" max="8716" width="6.83203125" style="95" customWidth="1"/>
    <col min="8717" max="8717" width="2.5" style="95" customWidth="1"/>
    <col min="8718" max="8719" width="6.5" style="95" customWidth="1"/>
    <col min="8720" max="8720" width="2.6640625" style="95" customWidth="1"/>
    <col min="8721" max="8722" width="7.83203125" style="95" customWidth="1"/>
    <col min="8723" max="8723" width="2" style="95" customWidth="1"/>
    <col min="8724" max="8960" width="9.1640625" style="95"/>
    <col min="8961" max="8961" width="36" style="95" customWidth="1"/>
    <col min="8962" max="8963" width="7.5" style="95" customWidth="1"/>
    <col min="8964" max="8964" width="2.5" style="95" customWidth="1"/>
    <col min="8965" max="8966" width="6.5" style="95" customWidth="1"/>
    <col min="8967" max="8967" width="2.5" style="95" customWidth="1"/>
    <col min="8968" max="8969" width="7" style="95" customWidth="1"/>
    <col min="8970" max="8970" width="2.5" style="95" customWidth="1"/>
    <col min="8971" max="8972" width="6.83203125" style="95" customWidth="1"/>
    <col min="8973" max="8973" width="2.5" style="95" customWidth="1"/>
    <col min="8974" max="8975" width="6.5" style="95" customWidth="1"/>
    <col min="8976" max="8976" width="2.6640625" style="95" customWidth="1"/>
    <col min="8977" max="8978" width="7.83203125" style="95" customWidth="1"/>
    <col min="8979" max="8979" width="2" style="95" customWidth="1"/>
    <col min="8980" max="9216" width="9.1640625" style="95"/>
    <col min="9217" max="9217" width="36" style="95" customWidth="1"/>
    <col min="9218" max="9219" width="7.5" style="95" customWidth="1"/>
    <col min="9220" max="9220" width="2.5" style="95" customWidth="1"/>
    <col min="9221" max="9222" width="6.5" style="95" customWidth="1"/>
    <col min="9223" max="9223" width="2.5" style="95" customWidth="1"/>
    <col min="9224" max="9225" width="7" style="95" customWidth="1"/>
    <col min="9226" max="9226" width="2.5" style="95" customWidth="1"/>
    <col min="9227" max="9228" width="6.83203125" style="95" customWidth="1"/>
    <col min="9229" max="9229" width="2.5" style="95" customWidth="1"/>
    <col min="9230" max="9231" width="6.5" style="95" customWidth="1"/>
    <col min="9232" max="9232" width="2.6640625" style="95" customWidth="1"/>
    <col min="9233" max="9234" width="7.83203125" style="95" customWidth="1"/>
    <col min="9235" max="9235" width="2" style="95" customWidth="1"/>
    <col min="9236" max="9472" width="9.1640625" style="95"/>
    <col min="9473" max="9473" width="36" style="95" customWidth="1"/>
    <col min="9474" max="9475" width="7.5" style="95" customWidth="1"/>
    <col min="9476" max="9476" width="2.5" style="95" customWidth="1"/>
    <col min="9477" max="9478" width="6.5" style="95" customWidth="1"/>
    <col min="9479" max="9479" width="2.5" style="95" customWidth="1"/>
    <col min="9480" max="9481" width="7" style="95" customWidth="1"/>
    <col min="9482" max="9482" width="2.5" style="95" customWidth="1"/>
    <col min="9483" max="9484" width="6.83203125" style="95" customWidth="1"/>
    <col min="9485" max="9485" width="2.5" style="95" customWidth="1"/>
    <col min="9486" max="9487" width="6.5" style="95" customWidth="1"/>
    <col min="9488" max="9488" width="2.6640625" style="95" customWidth="1"/>
    <col min="9489" max="9490" width="7.83203125" style="95" customWidth="1"/>
    <col min="9491" max="9491" width="2" style="95" customWidth="1"/>
    <col min="9492" max="9728" width="9.1640625" style="95"/>
    <col min="9729" max="9729" width="36" style="95" customWidth="1"/>
    <col min="9730" max="9731" width="7.5" style="95" customWidth="1"/>
    <col min="9732" max="9732" width="2.5" style="95" customWidth="1"/>
    <col min="9733" max="9734" width="6.5" style="95" customWidth="1"/>
    <col min="9735" max="9735" width="2.5" style="95" customWidth="1"/>
    <col min="9736" max="9737" width="7" style="95" customWidth="1"/>
    <col min="9738" max="9738" width="2.5" style="95" customWidth="1"/>
    <col min="9739" max="9740" width="6.83203125" style="95" customWidth="1"/>
    <col min="9741" max="9741" width="2.5" style="95" customWidth="1"/>
    <col min="9742" max="9743" width="6.5" style="95" customWidth="1"/>
    <col min="9744" max="9744" width="2.6640625" style="95" customWidth="1"/>
    <col min="9745" max="9746" width="7.83203125" style="95" customWidth="1"/>
    <col min="9747" max="9747" width="2" style="95" customWidth="1"/>
    <col min="9748" max="9984" width="9.1640625" style="95"/>
    <col min="9985" max="9985" width="36" style="95" customWidth="1"/>
    <col min="9986" max="9987" width="7.5" style="95" customWidth="1"/>
    <col min="9988" max="9988" width="2.5" style="95" customWidth="1"/>
    <col min="9989" max="9990" width="6.5" style="95" customWidth="1"/>
    <col min="9991" max="9991" width="2.5" style="95" customWidth="1"/>
    <col min="9992" max="9993" width="7" style="95" customWidth="1"/>
    <col min="9994" max="9994" width="2.5" style="95" customWidth="1"/>
    <col min="9995" max="9996" width="6.83203125" style="95" customWidth="1"/>
    <col min="9997" max="9997" width="2.5" style="95" customWidth="1"/>
    <col min="9998" max="9999" width="6.5" style="95" customWidth="1"/>
    <col min="10000" max="10000" width="2.6640625" style="95" customWidth="1"/>
    <col min="10001" max="10002" width="7.83203125" style="95" customWidth="1"/>
    <col min="10003" max="10003" width="2" style="95" customWidth="1"/>
    <col min="10004" max="10240" width="9.1640625" style="95"/>
    <col min="10241" max="10241" width="36" style="95" customWidth="1"/>
    <col min="10242" max="10243" width="7.5" style="95" customWidth="1"/>
    <col min="10244" max="10244" width="2.5" style="95" customWidth="1"/>
    <col min="10245" max="10246" width="6.5" style="95" customWidth="1"/>
    <col min="10247" max="10247" width="2.5" style="95" customWidth="1"/>
    <col min="10248" max="10249" width="7" style="95" customWidth="1"/>
    <col min="10250" max="10250" width="2.5" style="95" customWidth="1"/>
    <col min="10251" max="10252" width="6.83203125" style="95" customWidth="1"/>
    <col min="10253" max="10253" width="2.5" style="95" customWidth="1"/>
    <col min="10254" max="10255" width="6.5" style="95" customWidth="1"/>
    <col min="10256" max="10256" width="2.6640625" style="95" customWidth="1"/>
    <col min="10257" max="10258" width="7.83203125" style="95" customWidth="1"/>
    <col min="10259" max="10259" width="2" style="95" customWidth="1"/>
    <col min="10260" max="10496" width="9.1640625" style="95"/>
    <col min="10497" max="10497" width="36" style="95" customWidth="1"/>
    <col min="10498" max="10499" width="7.5" style="95" customWidth="1"/>
    <col min="10500" max="10500" width="2.5" style="95" customWidth="1"/>
    <col min="10501" max="10502" width="6.5" style="95" customWidth="1"/>
    <col min="10503" max="10503" width="2.5" style="95" customWidth="1"/>
    <col min="10504" max="10505" width="7" style="95" customWidth="1"/>
    <col min="10506" max="10506" width="2.5" style="95" customWidth="1"/>
    <col min="10507" max="10508" width="6.83203125" style="95" customWidth="1"/>
    <col min="10509" max="10509" width="2.5" style="95" customWidth="1"/>
    <col min="10510" max="10511" width="6.5" style="95" customWidth="1"/>
    <col min="10512" max="10512" width="2.6640625" style="95" customWidth="1"/>
    <col min="10513" max="10514" width="7.83203125" style="95" customWidth="1"/>
    <col min="10515" max="10515" width="2" style="95" customWidth="1"/>
    <col min="10516" max="10752" width="9.1640625" style="95"/>
    <col min="10753" max="10753" width="36" style="95" customWidth="1"/>
    <col min="10754" max="10755" width="7.5" style="95" customWidth="1"/>
    <col min="10756" max="10756" width="2.5" style="95" customWidth="1"/>
    <col min="10757" max="10758" width="6.5" style="95" customWidth="1"/>
    <col min="10759" max="10759" width="2.5" style="95" customWidth="1"/>
    <col min="10760" max="10761" width="7" style="95" customWidth="1"/>
    <col min="10762" max="10762" width="2.5" style="95" customWidth="1"/>
    <col min="10763" max="10764" width="6.83203125" style="95" customWidth="1"/>
    <col min="10765" max="10765" width="2.5" style="95" customWidth="1"/>
    <col min="10766" max="10767" width="6.5" style="95" customWidth="1"/>
    <col min="10768" max="10768" width="2.6640625" style="95" customWidth="1"/>
    <col min="10769" max="10770" width="7.83203125" style="95" customWidth="1"/>
    <col min="10771" max="10771" width="2" style="95" customWidth="1"/>
    <col min="10772" max="11008" width="9.1640625" style="95"/>
    <col min="11009" max="11009" width="36" style="95" customWidth="1"/>
    <col min="11010" max="11011" width="7.5" style="95" customWidth="1"/>
    <col min="11012" max="11012" width="2.5" style="95" customWidth="1"/>
    <col min="11013" max="11014" width="6.5" style="95" customWidth="1"/>
    <col min="11015" max="11015" width="2.5" style="95" customWidth="1"/>
    <col min="11016" max="11017" width="7" style="95" customWidth="1"/>
    <col min="11018" max="11018" width="2.5" style="95" customWidth="1"/>
    <col min="11019" max="11020" width="6.83203125" style="95" customWidth="1"/>
    <col min="11021" max="11021" width="2.5" style="95" customWidth="1"/>
    <col min="11022" max="11023" width="6.5" style="95" customWidth="1"/>
    <col min="11024" max="11024" width="2.6640625" style="95" customWidth="1"/>
    <col min="11025" max="11026" width="7.83203125" style="95" customWidth="1"/>
    <col min="11027" max="11027" width="2" style="95" customWidth="1"/>
    <col min="11028" max="11264" width="9.1640625" style="95"/>
    <col min="11265" max="11265" width="36" style="95" customWidth="1"/>
    <col min="11266" max="11267" width="7.5" style="95" customWidth="1"/>
    <col min="11268" max="11268" width="2.5" style="95" customWidth="1"/>
    <col min="11269" max="11270" width="6.5" style="95" customWidth="1"/>
    <col min="11271" max="11271" width="2.5" style="95" customWidth="1"/>
    <col min="11272" max="11273" width="7" style="95" customWidth="1"/>
    <col min="11274" max="11274" width="2.5" style="95" customWidth="1"/>
    <col min="11275" max="11276" width="6.83203125" style="95" customWidth="1"/>
    <col min="11277" max="11277" width="2.5" style="95" customWidth="1"/>
    <col min="11278" max="11279" width="6.5" style="95" customWidth="1"/>
    <col min="11280" max="11280" width="2.6640625" style="95" customWidth="1"/>
    <col min="11281" max="11282" width="7.83203125" style="95" customWidth="1"/>
    <col min="11283" max="11283" width="2" style="95" customWidth="1"/>
    <col min="11284" max="11520" width="9.1640625" style="95"/>
    <col min="11521" max="11521" width="36" style="95" customWidth="1"/>
    <col min="11522" max="11523" width="7.5" style="95" customWidth="1"/>
    <col min="11524" max="11524" width="2.5" style="95" customWidth="1"/>
    <col min="11525" max="11526" width="6.5" style="95" customWidth="1"/>
    <col min="11527" max="11527" width="2.5" style="95" customWidth="1"/>
    <col min="11528" max="11529" width="7" style="95" customWidth="1"/>
    <col min="11530" max="11530" width="2.5" style="95" customWidth="1"/>
    <col min="11531" max="11532" width="6.83203125" style="95" customWidth="1"/>
    <col min="11533" max="11533" width="2.5" style="95" customWidth="1"/>
    <col min="11534" max="11535" width="6.5" style="95" customWidth="1"/>
    <col min="11536" max="11536" width="2.6640625" style="95" customWidth="1"/>
    <col min="11537" max="11538" width="7.83203125" style="95" customWidth="1"/>
    <col min="11539" max="11539" width="2" style="95" customWidth="1"/>
    <col min="11540" max="11776" width="9.1640625" style="95"/>
    <col min="11777" max="11777" width="36" style="95" customWidth="1"/>
    <col min="11778" max="11779" width="7.5" style="95" customWidth="1"/>
    <col min="11780" max="11780" width="2.5" style="95" customWidth="1"/>
    <col min="11781" max="11782" width="6.5" style="95" customWidth="1"/>
    <col min="11783" max="11783" width="2.5" style="95" customWidth="1"/>
    <col min="11784" max="11785" width="7" style="95" customWidth="1"/>
    <col min="11786" max="11786" width="2.5" style="95" customWidth="1"/>
    <col min="11787" max="11788" width="6.83203125" style="95" customWidth="1"/>
    <col min="11789" max="11789" width="2.5" style="95" customWidth="1"/>
    <col min="11790" max="11791" width="6.5" style="95" customWidth="1"/>
    <col min="11792" max="11792" width="2.6640625" style="95" customWidth="1"/>
    <col min="11793" max="11794" width="7.83203125" style="95" customWidth="1"/>
    <col min="11795" max="11795" width="2" style="95" customWidth="1"/>
    <col min="11796" max="12032" width="9.1640625" style="95"/>
    <col min="12033" max="12033" width="36" style="95" customWidth="1"/>
    <col min="12034" max="12035" width="7.5" style="95" customWidth="1"/>
    <col min="12036" max="12036" width="2.5" style="95" customWidth="1"/>
    <col min="12037" max="12038" width="6.5" style="95" customWidth="1"/>
    <col min="12039" max="12039" width="2.5" style="95" customWidth="1"/>
    <col min="12040" max="12041" width="7" style="95" customWidth="1"/>
    <col min="12042" max="12042" width="2.5" style="95" customWidth="1"/>
    <col min="12043" max="12044" width="6.83203125" style="95" customWidth="1"/>
    <col min="12045" max="12045" width="2.5" style="95" customWidth="1"/>
    <col min="12046" max="12047" width="6.5" style="95" customWidth="1"/>
    <col min="12048" max="12048" width="2.6640625" style="95" customWidth="1"/>
    <col min="12049" max="12050" width="7.83203125" style="95" customWidth="1"/>
    <col min="12051" max="12051" width="2" style="95" customWidth="1"/>
    <col min="12052" max="12288" width="9.1640625" style="95"/>
    <col min="12289" max="12289" width="36" style="95" customWidth="1"/>
    <col min="12290" max="12291" width="7.5" style="95" customWidth="1"/>
    <col min="12292" max="12292" width="2.5" style="95" customWidth="1"/>
    <col min="12293" max="12294" width="6.5" style="95" customWidth="1"/>
    <col min="12295" max="12295" width="2.5" style="95" customWidth="1"/>
    <col min="12296" max="12297" width="7" style="95" customWidth="1"/>
    <col min="12298" max="12298" width="2.5" style="95" customWidth="1"/>
    <col min="12299" max="12300" width="6.83203125" style="95" customWidth="1"/>
    <col min="12301" max="12301" width="2.5" style="95" customWidth="1"/>
    <col min="12302" max="12303" width="6.5" style="95" customWidth="1"/>
    <col min="12304" max="12304" width="2.6640625" style="95" customWidth="1"/>
    <col min="12305" max="12306" width="7.83203125" style="95" customWidth="1"/>
    <col min="12307" max="12307" width="2" style="95" customWidth="1"/>
    <col min="12308" max="12544" width="9.1640625" style="95"/>
    <col min="12545" max="12545" width="36" style="95" customWidth="1"/>
    <col min="12546" max="12547" width="7.5" style="95" customWidth="1"/>
    <col min="12548" max="12548" width="2.5" style="95" customWidth="1"/>
    <col min="12549" max="12550" width="6.5" style="95" customWidth="1"/>
    <col min="12551" max="12551" width="2.5" style="95" customWidth="1"/>
    <col min="12552" max="12553" width="7" style="95" customWidth="1"/>
    <col min="12554" max="12554" width="2.5" style="95" customWidth="1"/>
    <col min="12555" max="12556" width="6.83203125" style="95" customWidth="1"/>
    <col min="12557" max="12557" width="2.5" style="95" customWidth="1"/>
    <col min="12558" max="12559" width="6.5" style="95" customWidth="1"/>
    <col min="12560" max="12560" width="2.6640625" style="95" customWidth="1"/>
    <col min="12561" max="12562" width="7.83203125" style="95" customWidth="1"/>
    <col min="12563" max="12563" width="2" style="95" customWidth="1"/>
    <col min="12564" max="12800" width="9.1640625" style="95"/>
    <col min="12801" max="12801" width="36" style="95" customWidth="1"/>
    <col min="12802" max="12803" width="7.5" style="95" customWidth="1"/>
    <col min="12804" max="12804" width="2.5" style="95" customWidth="1"/>
    <col min="12805" max="12806" width="6.5" style="95" customWidth="1"/>
    <col min="12807" max="12807" width="2.5" style="95" customWidth="1"/>
    <col min="12808" max="12809" width="7" style="95" customWidth="1"/>
    <col min="12810" max="12810" width="2.5" style="95" customWidth="1"/>
    <col min="12811" max="12812" width="6.83203125" style="95" customWidth="1"/>
    <col min="12813" max="12813" width="2.5" style="95" customWidth="1"/>
    <col min="12814" max="12815" width="6.5" style="95" customWidth="1"/>
    <col min="12816" max="12816" width="2.6640625" style="95" customWidth="1"/>
    <col min="12817" max="12818" width="7.83203125" style="95" customWidth="1"/>
    <col min="12819" max="12819" width="2" style="95" customWidth="1"/>
    <col min="12820" max="13056" width="9.1640625" style="95"/>
    <col min="13057" max="13057" width="36" style="95" customWidth="1"/>
    <col min="13058" max="13059" width="7.5" style="95" customWidth="1"/>
    <col min="13060" max="13060" width="2.5" style="95" customWidth="1"/>
    <col min="13061" max="13062" width="6.5" style="95" customWidth="1"/>
    <col min="13063" max="13063" width="2.5" style="95" customWidth="1"/>
    <col min="13064" max="13065" width="7" style="95" customWidth="1"/>
    <col min="13066" max="13066" width="2.5" style="95" customWidth="1"/>
    <col min="13067" max="13068" width="6.83203125" style="95" customWidth="1"/>
    <col min="13069" max="13069" width="2.5" style="95" customWidth="1"/>
    <col min="13070" max="13071" width="6.5" style="95" customWidth="1"/>
    <col min="13072" max="13072" width="2.6640625" style="95" customWidth="1"/>
    <col min="13073" max="13074" width="7.83203125" style="95" customWidth="1"/>
    <col min="13075" max="13075" width="2" style="95" customWidth="1"/>
    <col min="13076" max="13312" width="9.1640625" style="95"/>
    <col min="13313" max="13313" width="36" style="95" customWidth="1"/>
    <col min="13314" max="13315" width="7.5" style="95" customWidth="1"/>
    <col min="13316" max="13316" width="2.5" style="95" customWidth="1"/>
    <col min="13317" max="13318" width="6.5" style="95" customWidth="1"/>
    <col min="13319" max="13319" width="2.5" style="95" customWidth="1"/>
    <col min="13320" max="13321" width="7" style="95" customWidth="1"/>
    <col min="13322" max="13322" width="2.5" style="95" customWidth="1"/>
    <col min="13323" max="13324" width="6.83203125" style="95" customWidth="1"/>
    <col min="13325" max="13325" width="2.5" style="95" customWidth="1"/>
    <col min="13326" max="13327" width="6.5" style="95" customWidth="1"/>
    <col min="13328" max="13328" width="2.6640625" style="95" customWidth="1"/>
    <col min="13329" max="13330" width="7.83203125" style="95" customWidth="1"/>
    <col min="13331" max="13331" width="2" style="95" customWidth="1"/>
    <col min="13332" max="13568" width="9.1640625" style="95"/>
    <col min="13569" max="13569" width="36" style="95" customWidth="1"/>
    <col min="13570" max="13571" width="7.5" style="95" customWidth="1"/>
    <col min="13572" max="13572" width="2.5" style="95" customWidth="1"/>
    <col min="13573" max="13574" width="6.5" style="95" customWidth="1"/>
    <col min="13575" max="13575" width="2.5" style="95" customWidth="1"/>
    <col min="13576" max="13577" width="7" style="95" customWidth="1"/>
    <col min="13578" max="13578" width="2.5" style="95" customWidth="1"/>
    <col min="13579" max="13580" width="6.83203125" style="95" customWidth="1"/>
    <col min="13581" max="13581" width="2.5" style="95" customWidth="1"/>
    <col min="13582" max="13583" width="6.5" style="95" customWidth="1"/>
    <col min="13584" max="13584" width="2.6640625" style="95" customWidth="1"/>
    <col min="13585" max="13586" width="7.83203125" style="95" customWidth="1"/>
    <col min="13587" max="13587" width="2" style="95" customWidth="1"/>
    <col min="13588" max="13824" width="9.1640625" style="95"/>
    <col min="13825" max="13825" width="36" style="95" customWidth="1"/>
    <col min="13826" max="13827" width="7.5" style="95" customWidth="1"/>
    <col min="13828" max="13828" width="2.5" style="95" customWidth="1"/>
    <col min="13829" max="13830" width="6.5" style="95" customWidth="1"/>
    <col min="13831" max="13831" width="2.5" style="95" customWidth="1"/>
    <col min="13832" max="13833" width="7" style="95" customWidth="1"/>
    <col min="13834" max="13834" width="2.5" style="95" customWidth="1"/>
    <col min="13835" max="13836" width="6.83203125" style="95" customWidth="1"/>
    <col min="13837" max="13837" width="2.5" style="95" customWidth="1"/>
    <col min="13838" max="13839" width="6.5" style="95" customWidth="1"/>
    <col min="13840" max="13840" width="2.6640625" style="95" customWidth="1"/>
    <col min="13841" max="13842" width="7.83203125" style="95" customWidth="1"/>
    <col min="13843" max="13843" width="2" style="95" customWidth="1"/>
    <col min="13844" max="14080" width="9.1640625" style="95"/>
    <col min="14081" max="14081" width="36" style="95" customWidth="1"/>
    <col min="14082" max="14083" width="7.5" style="95" customWidth="1"/>
    <col min="14084" max="14084" width="2.5" style="95" customWidth="1"/>
    <col min="14085" max="14086" width="6.5" style="95" customWidth="1"/>
    <col min="14087" max="14087" width="2.5" style="95" customWidth="1"/>
    <col min="14088" max="14089" width="7" style="95" customWidth="1"/>
    <col min="14090" max="14090" width="2.5" style="95" customWidth="1"/>
    <col min="14091" max="14092" width="6.83203125" style="95" customWidth="1"/>
    <col min="14093" max="14093" width="2.5" style="95" customWidth="1"/>
    <col min="14094" max="14095" width="6.5" style="95" customWidth="1"/>
    <col min="14096" max="14096" width="2.6640625" style="95" customWidth="1"/>
    <col min="14097" max="14098" width="7.83203125" style="95" customWidth="1"/>
    <col min="14099" max="14099" width="2" style="95" customWidth="1"/>
    <col min="14100" max="14336" width="9.1640625" style="95"/>
    <col min="14337" max="14337" width="36" style="95" customWidth="1"/>
    <col min="14338" max="14339" width="7.5" style="95" customWidth="1"/>
    <col min="14340" max="14340" width="2.5" style="95" customWidth="1"/>
    <col min="14341" max="14342" width="6.5" style="95" customWidth="1"/>
    <col min="14343" max="14343" width="2.5" style="95" customWidth="1"/>
    <col min="14344" max="14345" width="7" style="95" customWidth="1"/>
    <col min="14346" max="14346" width="2.5" style="95" customWidth="1"/>
    <col min="14347" max="14348" width="6.83203125" style="95" customWidth="1"/>
    <col min="14349" max="14349" width="2.5" style="95" customWidth="1"/>
    <col min="14350" max="14351" width="6.5" style="95" customWidth="1"/>
    <col min="14352" max="14352" width="2.6640625" style="95" customWidth="1"/>
    <col min="14353" max="14354" width="7.83203125" style="95" customWidth="1"/>
    <col min="14355" max="14355" width="2" style="95" customWidth="1"/>
    <col min="14356" max="14592" width="9.1640625" style="95"/>
    <col min="14593" max="14593" width="36" style="95" customWidth="1"/>
    <col min="14594" max="14595" width="7.5" style="95" customWidth="1"/>
    <col min="14596" max="14596" width="2.5" style="95" customWidth="1"/>
    <col min="14597" max="14598" width="6.5" style="95" customWidth="1"/>
    <col min="14599" max="14599" width="2.5" style="95" customWidth="1"/>
    <col min="14600" max="14601" width="7" style="95" customWidth="1"/>
    <col min="14602" max="14602" width="2.5" style="95" customWidth="1"/>
    <col min="14603" max="14604" width="6.83203125" style="95" customWidth="1"/>
    <col min="14605" max="14605" width="2.5" style="95" customWidth="1"/>
    <col min="14606" max="14607" width="6.5" style="95" customWidth="1"/>
    <col min="14608" max="14608" width="2.6640625" style="95" customWidth="1"/>
    <col min="14609" max="14610" width="7.83203125" style="95" customWidth="1"/>
    <col min="14611" max="14611" width="2" style="95" customWidth="1"/>
    <col min="14612" max="14848" width="9.1640625" style="95"/>
    <col min="14849" max="14849" width="36" style="95" customWidth="1"/>
    <col min="14850" max="14851" width="7.5" style="95" customWidth="1"/>
    <col min="14852" max="14852" width="2.5" style="95" customWidth="1"/>
    <col min="14853" max="14854" width="6.5" style="95" customWidth="1"/>
    <col min="14855" max="14855" width="2.5" style="95" customWidth="1"/>
    <col min="14856" max="14857" width="7" style="95" customWidth="1"/>
    <col min="14858" max="14858" width="2.5" style="95" customWidth="1"/>
    <col min="14859" max="14860" width="6.83203125" style="95" customWidth="1"/>
    <col min="14861" max="14861" width="2.5" style="95" customWidth="1"/>
    <col min="14862" max="14863" width="6.5" style="95" customWidth="1"/>
    <col min="14864" max="14864" width="2.6640625" style="95" customWidth="1"/>
    <col min="14865" max="14866" width="7.83203125" style="95" customWidth="1"/>
    <col min="14867" max="14867" width="2" style="95" customWidth="1"/>
    <col min="14868" max="15104" width="9.1640625" style="95"/>
    <col min="15105" max="15105" width="36" style="95" customWidth="1"/>
    <col min="15106" max="15107" width="7.5" style="95" customWidth="1"/>
    <col min="15108" max="15108" width="2.5" style="95" customWidth="1"/>
    <col min="15109" max="15110" width="6.5" style="95" customWidth="1"/>
    <col min="15111" max="15111" width="2.5" style="95" customWidth="1"/>
    <col min="15112" max="15113" width="7" style="95" customWidth="1"/>
    <col min="15114" max="15114" width="2.5" style="95" customWidth="1"/>
    <col min="15115" max="15116" width="6.83203125" style="95" customWidth="1"/>
    <col min="15117" max="15117" width="2.5" style="95" customWidth="1"/>
    <col min="15118" max="15119" width="6.5" style="95" customWidth="1"/>
    <col min="15120" max="15120" width="2.6640625" style="95" customWidth="1"/>
    <col min="15121" max="15122" width="7.83203125" style="95" customWidth="1"/>
    <col min="15123" max="15123" width="2" style="95" customWidth="1"/>
    <col min="15124" max="15360" width="9.1640625" style="95"/>
    <col min="15361" max="15361" width="36" style="95" customWidth="1"/>
    <col min="15362" max="15363" width="7.5" style="95" customWidth="1"/>
    <col min="15364" max="15364" width="2.5" style="95" customWidth="1"/>
    <col min="15365" max="15366" width="6.5" style="95" customWidth="1"/>
    <col min="15367" max="15367" width="2.5" style="95" customWidth="1"/>
    <col min="15368" max="15369" width="7" style="95" customWidth="1"/>
    <col min="15370" max="15370" width="2.5" style="95" customWidth="1"/>
    <col min="15371" max="15372" width="6.83203125" style="95" customWidth="1"/>
    <col min="15373" max="15373" width="2.5" style="95" customWidth="1"/>
    <col min="15374" max="15375" width="6.5" style="95" customWidth="1"/>
    <col min="15376" max="15376" width="2.6640625" style="95" customWidth="1"/>
    <col min="15377" max="15378" width="7.83203125" style="95" customWidth="1"/>
    <col min="15379" max="15379" width="2" style="95" customWidth="1"/>
    <col min="15380" max="15616" width="9.1640625" style="95"/>
    <col min="15617" max="15617" width="36" style="95" customWidth="1"/>
    <col min="15618" max="15619" width="7.5" style="95" customWidth="1"/>
    <col min="15620" max="15620" width="2.5" style="95" customWidth="1"/>
    <col min="15621" max="15622" width="6.5" style="95" customWidth="1"/>
    <col min="15623" max="15623" width="2.5" style="95" customWidth="1"/>
    <col min="15624" max="15625" width="7" style="95" customWidth="1"/>
    <col min="15626" max="15626" width="2.5" style="95" customWidth="1"/>
    <col min="15627" max="15628" width="6.83203125" style="95" customWidth="1"/>
    <col min="15629" max="15629" width="2.5" style="95" customWidth="1"/>
    <col min="15630" max="15631" width="6.5" style="95" customWidth="1"/>
    <col min="15632" max="15632" width="2.6640625" style="95" customWidth="1"/>
    <col min="15633" max="15634" width="7.83203125" style="95" customWidth="1"/>
    <col min="15635" max="15635" width="2" style="95" customWidth="1"/>
    <col min="15636" max="15872" width="9.1640625" style="95"/>
    <col min="15873" max="15873" width="36" style="95" customWidth="1"/>
    <col min="15874" max="15875" width="7.5" style="95" customWidth="1"/>
    <col min="15876" max="15876" width="2.5" style="95" customWidth="1"/>
    <col min="15877" max="15878" width="6.5" style="95" customWidth="1"/>
    <col min="15879" max="15879" width="2.5" style="95" customWidth="1"/>
    <col min="15880" max="15881" width="7" style="95" customWidth="1"/>
    <col min="15882" max="15882" width="2.5" style="95" customWidth="1"/>
    <col min="15883" max="15884" width="6.83203125" style="95" customWidth="1"/>
    <col min="15885" max="15885" width="2.5" style="95" customWidth="1"/>
    <col min="15886" max="15887" width="6.5" style="95" customWidth="1"/>
    <col min="15888" max="15888" width="2.6640625" style="95" customWidth="1"/>
    <col min="15889" max="15890" width="7.83203125" style="95" customWidth="1"/>
    <col min="15891" max="15891" width="2" style="95" customWidth="1"/>
    <col min="15892" max="16128" width="9.1640625" style="95"/>
    <col min="16129" max="16129" width="36" style="95" customWidth="1"/>
    <col min="16130" max="16131" width="7.5" style="95" customWidth="1"/>
    <col min="16132" max="16132" width="2.5" style="95" customWidth="1"/>
    <col min="16133" max="16134" width="6.5" style="95" customWidth="1"/>
    <col min="16135" max="16135" width="2.5" style="95" customWidth="1"/>
    <col min="16136" max="16137" width="7" style="95" customWidth="1"/>
    <col min="16138" max="16138" width="2.5" style="95" customWidth="1"/>
    <col min="16139" max="16140" width="6.83203125" style="95" customWidth="1"/>
    <col min="16141" max="16141" width="2.5" style="95" customWidth="1"/>
    <col min="16142" max="16143" width="6.5" style="95" customWidth="1"/>
    <col min="16144" max="16144" width="2.6640625" style="95" customWidth="1"/>
    <col min="16145" max="16146" width="7.83203125" style="95" customWidth="1"/>
    <col min="16147" max="16147" width="2" style="95" customWidth="1"/>
    <col min="16148" max="16384" width="9.1640625" style="95"/>
  </cols>
  <sheetData>
    <row r="1" spans="1:19">
      <c r="A1" s="95" t="s">
        <v>453</v>
      </c>
    </row>
    <row r="2" spans="1:19">
      <c r="A2" s="95" t="s">
        <v>454</v>
      </c>
    </row>
    <row r="3" spans="1:19" ht="10" customHeight="1"/>
    <row r="4" spans="1:19">
      <c r="A4" s="14" t="s">
        <v>1851</v>
      </c>
      <c r="L4" s="141"/>
      <c r="O4" s="141"/>
    </row>
    <row r="5" spans="1:19" ht="10" customHeight="1" thickBot="1">
      <c r="O5" s="105"/>
      <c r="Q5" s="140"/>
      <c r="R5" s="105"/>
    </row>
    <row r="6" spans="1:19" ht="10" customHeight="1">
      <c r="A6" s="97" t="s">
        <v>472</v>
      </c>
      <c r="B6" s="171"/>
      <c r="C6" s="143"/>
      <c r="D6" s="97"/>
      <c r="E6" s="144"/>
      <c r="F6" s="99"/>
      <c r="G6" s="97"/>
      <c r="H6" s="144"/>
      <c r="I6" s="99"/>
      <c r="J6" s="99"/>
      <c r="K6" s="144"/>
      <c r="L6" s="99"/>
      <c r="M6" s="97"/>
      <c r="N6" s="144"/>
      <c r="O6" s="99"/>
      <c r="P6" s="99"/>
      <c r="Q6" s="144"/>
      <c r="R6" s="99"/>
      <c r="S6" s="99"/>
    </row>
    <row r="7" spans="1:19" ht="15" customHeight="1">
      <c r="A7" s="116" t="s">
        <v>473</v>
      </c>
      <c r="B7" s="172" t="s">
        <v>457</v>
      </c>
      <c r="C7" s="146"/>
      <c r="D7" s="116"/>
      <c r="E7" s="763" t="s">
        <v>474</v>
      </c>
      <c r="F7" s="135"/>
      <c r="G7" s="116"/>
      <c r="H7" s="154" t="s">
        <v>475</v>
      </c>
      <c r="I7" s="135"/>
      <c r="J7" s="135"/>
      <c r="K7" s="763" t="s">
        <v>476</v>
      </c>
      <c r="L7" s="135"/>
      <c r="M7" s="116"/>
      <c r="N7" s="1021" t="s">
        <v>477</v>
      </c>
      <c r="O7" s="1021"/>
      <c r="Q7" s="1021" t="s">
        <v>478</v>
      </c>
      <c r="R7" s="1021"/>
    </row>
    <row r="8" spans="1:19" ht="15" customHeight="1">
      <c r="A8" s="95" t="s">
        <v>479</v>
      </c>
      <c r="B8" s="173"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74"/>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75">
        <f>IF($A11&lt;&gt;"",E11+H11+K11+N11+Q11,"")</f>
        <v>1878</v>
      </c>
      <c r="C11" s="139">
        <f>SUM(C13+C107)</f>
        <v>100</v>
      </c>
      <c r="E11" s="140">
        <f>E13+E107</f>
        <v>662</v>
      </c>
      <c r="F11" s="105">
        <f t="shared" ref="F11:F74" si="0">IF($A11&lt;&gt;0,E11/$B11*100,"")</f>
        <v>35.250266240681576</v>
      </c>
      <c r="H11" s="140">
        <f>H13+H107</f>
        <v>1060</v>
      </c>
      <c r="I11" s="105">
        <f t="shared" ref="I11:I74" si="1">IF($A11&lt;&gt;0,H11/$B11*100,"")</f>
        <v>56.443024494142705</v>
      </c>
      <c r="K11" s="140">
        <f>K13+K107</f>
        <v>145</v>
      </c>
      <c r="L11" s="105">
        <f t="shared" ref="L11:L74" si="2">IF($A11&lt;&gt;0,K11/$B11*100,"")</f>
        <v>7.7209797657081998</v>
      </c>
      <c r="M11" s="116"/>
      <c r="N11" s="140">
        <f>N13+N107</f>
        <v>3</v>
      </c>
      <c r="O11" s="105">
        <f t="shared" ref="O11:O74" si="3">IF($A11&lt;&gt;0,N11/$B11*100,"")</f>
        <v>0.15974440894568689</v>
      </c>
      <c r="P11" s="135"/>
      <c r="Q11" s="140">
        <f>Q13+Q107</f>
        <v>8</v>
      </c>
      <c r="R11" s="105">
        <f t="shared" ref="R11:R74" si="4">IF($A11&lt;&gt;0,Q11/$B11*100,"")</f>
        <v>0.42598509052183176</v>
      </c>
      <c r="S11" s="135"/>
    </row>
    <row r="12" spans="1:19" ht="10" customHeight="1">
      <c r="B12" s="175" t="str">
        <f t="shared" ref="B12:B75"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75">
        <f t="shared" si="5"/>
        <v>1680</v>
      </c>
      <c r="C13" s="139">
        <f t="shared" ref="C13:C76" si="6">IF(A13&lt;&gt;0,B13/$B$11*100,"")</f>
        <v>89.456869009584665</v>
      </c>
      <c r="E13" s="140">
        <f>E15+E99</f>
        <v>618</v>
      </c>
      <c r="F13" s="105">
        <f t="shared" si="0"/>
        <v>36.785714285714292</v>
      </c>
      <c r="H13" s="140">
        <f>H15+H99</f>
        <v>922</v>
      </c>
      <c r="I13" s="105">
        <f t="shared" si="1"/>
        <v>54.880952380952387</v>
      </c>
      <c r="K13" s="140">
        <f>K15+K99</f>
        <v>129</v>
      </c>
      <c r="L13" s="105">
        <f t="shared" si="2"/>
        <v>7.6785714285714288</v>
      </c>
      <c r="M13" s="116"/>
      <c r="N13" s="140">
        <f>N15+N99</f>
        <v>3</v>
      </c>
      <c r="O13" s="105">
        <f t="shared" si="3"/>
        <v>0.17857142857142858</v>
      </c>
      <c r="P13" s="135"/>
      <c r="Q13" s="140">
        <f>Q15+Q99</f>
        <v>8</v>
      </c>
      <c r="R13" s="105">
        <f t="shared" si="4"/>
        <v>0.47619047619047622</v>
      </c>
      <c r="S13" s="135"/>
    </row>
    <row r="14" spans="1:19" ht="8.25" customHeight="1">
      <c r="A14" s="55"/>
      <c r="B14" s="175" t="str">
        <f t="shared" si="5"/>
        <v/>
      </c>
      <c r="C14" s="139" t="str">
        <f t="shared" si="6"/>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75">
        <f t="shared" si="5"/>
        <v>1544</v>
      </c>
      <c r="C15" s="139">
        <f t="shared" si="6"/>
        <v>82.215122470713524</v>
      </c>
      <c r="E15" s="140">
        <f>E17+E28+E36+E62+E76+E83+E95+E96+E97</f>
        <v>513</v>
      </c>
      <c r="F15" s="105">
        <f t="shared" si="0"/>
        <v>33.225388601036272</v>
      </c>
      <c r="H15" s="140">
        <f>H17+H28+H36+H62+H76+H83+H95+H96+H97</f>
        <v>895</v>
      </c>
      <c r="I15" s="105">
        <f t="shared" si="1"/>
        <v>57.966321243523311</v>
      </c>
      <c r="K15" s="140">
        <f>K17+K28+K36+K62+K76+K83+K95+K96+K97</f>
        <v>125</v>
      </c>
      <c r="L15" s="105">
        <f t="shared" si="2"/>
        <v>8.0958549222797931</v>
      </c>
      <c r="M15" s="116"/>
      <c r="N15" s="140">
        <f>N17+N28+N36+N62+N76+N83+N95+N96+N97</f>
        <v>3</v>
      </c>
      <c r="O15" s="105">
        <f t="shared" si="3"/>
        <v>0.19430051813471502</v>
      </c>
      <c r="P15" s="135"/>
      <c r="Q15" s="140">
        <f>Q17+Q28+Q36+Q62+Q76+Q83+Q95+Q96+Q97</f>
        <v>8</v>
      </c>
      <c r="R15" s="105">
        <f t="shared" si="4"/>
        <v>0.5181347150259068</v>
      </c>
      <c r="S15" s="135"/>
    </row>
    <row r="16" spans="1:19" ht="10" customHeight="1">
      <c r="B16" s="175" t="str">
        <f t="shared" si="5"/>
        <v/>
      </c>
      <c r="C16" s="139" t="str">
        <f t="shared" si="6"/>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75">
        <f t="shared" si="5"/>
        <v>151</v>
      </c>
      <c r="C17" s="139">
        <f t="shared" si="6"/>
        <v>8.0404685835995728</v>
      </c>
      <c r="E17" s="140">
        <f>E18+E23</f>
        <v>48</v>
      </c>
      <c r="F17" s="105">
        <f t="shared" si="0"/>
        <v>31.788079470198678</v>
      </c>
      <c r="H17" s="140">
        <f>H18+H23</f>
        <v>97</v>
      </c>
      <c r="I17" s="105">
        <f t="shared" si="1"/>
        <v>64.238410596026483</v>
      </c>
      <c r="K17" s="140">
        <f>K18+K23</f>
        <v>5</v>
      </c>
      <c r="L17" s="105">
        <f t="shared" si="2"/>
        <v>3.3112582781456954</v>
      </c>
      <c r="M17" s="116"/>
      <c r="N17" s="140">
        <f>N18+N23</f>
        <v>1</v>
      </c>
      <c r="O17" s="105">
        <f t="shared" si="3"/>
        <v>0.66225165562913912</v>
      </c>
      <c r="P17" s="135"/>
      <c r="Q17" s="140">
        <f>Q18+Q23</f>
        <v>0</v>
      </c>
      <c r="R17" s="105">
        <f t="shared" si="4"/>
        <v>0</v>
      </c>
      <c r="S17" s="135"/>
    </row>
    <row r="18" spans="1:19" ht="13.25" customHeight="1">
      <c r="A18" s="95" t="s">
        <v>162</v>
      </c>
      <c r="B18" s="175">
        <f t="shared" si="5"/>
        <v>58</v>
      </c>
      <c r="C18" s="139">
        <f t="shared" si="6"/>
        <v>3.0883919062832801</v>
      </c>
      <c r="E18" s="140">
        <f>SUM(E19:E21)</f>
        <v>16</v>
      </c>
      <c r="F18" s="105">
        <f t="shared" si="0"/>
        <v>27.586206896551722</v>
      </c>
      <c r="H18" s="140">
        <f>SUM(H19:H21)</f>
        <v>41</v>
      </c>
      <c r="I18" s="105">
        <f t="shared" si="1"/>
        <v>70.689655172413794</v>
      </c>
      <c r="K18" s="140">
        <f>SUM(K19:K21)</f>
        <v>1</v>
      </c>
      <c r="L18" s="105">
        <f t="shared" si="2"/>
        <v>1.7241379310344827</v>
      </c>
      <c r="M18" s="116"/>
      <c r="N18" s="140">
        <f>SUM(N19:N21)</f>
        <v>0</v>
      </c>
      <c r="O18" s="105">
        <f t="shared" si="3"/>
        <v>0</v>
      </c>
      <c r="P18" s="135"/>
      <c r="Q18" s="140">
        <f>SUM(Q19:Q21)</f>
        <v>0</v>
      </c>
      <c r="R18" s="105">
        <f t="shared" si="4"/>
        <v>0</v>
      </c>
      <c r="S18" s="135"/>
    </row>
    <row r="19" spans="1:19" ht="13.25" customHeight="1">
      <c r="A19" s="95" t="s">
        <v>163</v>
      </c>
      <c r="B19" s="175">
        <f t="shared" si="5"/>
        <v>6</v>
      </c>
      <c r="C19" s="139">
        <f t="shared" si="6"/>
        <v>0.31948881789137379</v>
      </c>
      <c r="E19" s="768">
        <v>2</v>
      </c>
      <c r="F19" s="105">
        <f t="shared" si="0"/>
        <v>33.333333333333329</v>
      </c>
      <c r="G19" s="768"/>
      <c r="H19" s="768">
        <v>4</v>
      </c>
      <c r="I19" s="105">
        <f t="shared" si="1"/>
        <v>66.666666666666657</v>
      </c>
      <c r="J19" s="768"/>
      <c r="K19" s="768">
        <v>0</v>
      </c>
      <c r="L19" s="105">
        <f t="shared" si="2"/>
        <v>0</v>
      </c>
      <c r="M19" s="768"/>
      <c r="N19" s="768">
        <v>0</v>
      </c>
      <c r="O19" s="105">
        <f t="shared" si="3"/>
        <v>0</v>
      </c>
      <c r="P19" s="768"/>
      <c r="Q19" s="768">
        <v>0</v>
      </c>
      <c r="R19" s="105">
        <f t="shared" si="4"/>
        <v>0</v>
      </c>
      <c r="S19" s="121"/>
    </row>
    <row r="20" spans="1:19" ht="13.25" customHeight="1">
      <c r="A20" s="95" t="s">
        <v>164</v>
      </c>
      <c r="B20" s="175">
        <f t="shared" si="5"/>
        <v>35</v>
      </c>
      <c r="C20" s="139">
        <f t="shared" si="6"/>
        <v>1.863684771033014</v>
      </c>
      <c r="E20" s="768">
        <v>11</v>
      </c>
      <c r="F20" s="105">
        <f t="shared" si="0"/>
        <v>31.428571428571427</v>
      </c>
      <c r="G20" s="768"/>
      <c r="H20" s="768">
        <v>23</v>
      </c>
      <c r="I20" s="105">
        <f t="shared" si="1"/>
        <v>65.714285714285708</v>
      </c>
      <c r="J20" s="768"/>
      <c r="K20" s="768">
        <v>1</v>
      </c>
      <c r="L20" s="105">
        <f t="shared" si="2"/>
        <v>2.8571428571428572</v>
      </c>
      <c r="M20" s="768"/>
      <c r="N20" s="768">
        <v>0</v>
      </c>
      <c r="O20" s="105">
        <f t="shared" si="3"/>
        <v>0</v>
      </c>
      <c r="P20" s="768"/>
      <c r="Q20" s="768">
        <v>0</v>
      </c>
      <c r="R20" s="105">
        <f t="shared" si="4"/>
        <v>0</v>
      </c>
      <c r="S20" s="121"/>
    </row>
    <row r="21" spans="1:19" ht="12" customHeight="1">
      <c r="A21" s="95" t="s">
        <v>165</v>
      </c>
      <c r="B21" s="175">
        <f t="shared" si="5"/>
        <v>17</v>
      </c>
      <c r="C21" s="139">
        <f t="shared" si="6"/>
        <v>0.90521831735889247</v>
      </c>
      <c r="E21" s="768">
        <v>3</v>
      </c>
      <c r="F21" s="105">
        <f t="shared" si="0"/>
        <v>17.647058823529413</v>
      </c>
      <c r="G21" s="768"/>
      <c r="H21" s="768">
        <v>14</v>
      </c>
      <c r="I21" s="105">
        <f t="shared" si="1"/>
        <v>82.35294117647058</v>
      </c>
      <c r="J21" s="768"/>
      <c r="K21" s="768">
        <v>0</v>
      </c>
      <c r="L21" s="105">
        <f t="shared" si="2"/>
        <v>0</v>
      </c>
      <c r="M21" s="768"/>
      <c r="N21" s="768">
        <v>0</v>
      </c>
      <c r="O21" s="105">
        <f t="shared" si="3"/>
        <v>0</v>
      </c>
      <c r="P21" s="768"/>
      <c r="Q21" s="768">
        <v>0</v>
      </c>
      <c r="R21" s="105">
        <f t="shared" si="4"/>
        <v>0</v>
      </c>
      <c r="S21" s="121"/>
    </row>
    <row r="22" spans="1:19" ht="10" customHeight="1">
      <c r="B22" s="175"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75">
        <f t="shared" si="5"/>
        <v>93</v>
      </c>
      <c r="C23" s="139">
        <f t="shared" si="6"/>
        <v>4.9520766773162936</v>
      </c>
      <c r="E23" s="140">
        <f>SUM(E24:E26)</f>
        <v>32</v>
      </c>
      <c r="F23" s="105">
        <f t="shared" si="0"/>
        <v>34.408602150537639</v>
      </c>
      <c r="H23" s="140">
        <f>SUM(H24:H26)</f>
        <v>56</v>
      </c>
      <c r="I23" s="105">
        <f t="shared" si="1"/>
        <v>60.215053763440864</v>
      </c>
      <c r="K23" s="140">
        <f>SUM(K24:K26)</f>
        <v>4</v>
      </c>
      <c r="L23" s="105">
        <f t="shared" si="2"/>
        <v>4.3010752688172049</v>
      </c>
      <c r="M23" s="116"/>
      <c r="N23" s="140">
        <f>SUM(N24:N26)</f>
        <v>1</v>
      </c>
      <c r="O23" s="105">
        <f t="shared" si="3"/>
        <v>1.0752688172043012</v>
      </c>
      <c r="P23" s="135"/>
      <c r="Q23" s="140">
        <f>SUM(Q24:Q26)</f>
        <v>0</v>
      </c>
      <c r="R23" s="105">
        <f t="shared" si="4"/>
        <v>0</v>
      </c>
      <c r="S23" s="135"/>
    </row>
    <row r="24" spans="1:19" ht="13.25" customHeight="1">
      <c r="A24" s="95" t="s">
        <v>167</v>
      </c>
      <c r="B24" s="175">
        <f t="shared" si="5"/>
        <v>24</v>
      </c>
      <c r="C24" s="139">
        <f t="shared" si="6"/>
        <v>1.2779552715654952</v>
      </c>
      <c r="E24" s="768">
        <v>9</v>
      </c>
      <c r="F24" s="105">
        <f t="shared" si="0"/>
        <v>37.5</v>
      </c>
      <c r="G24" s="768"/>
      <c r="H24" s="768">
        <v>13</v>
      </c>
      <c r="I24" s="105">
        <f t="shared" si="1"/>
        <v>54.166666666666664</v>
      </c>
      <c r="J24" s="768"/>
      <c r="K24" s="768">
        <v>1</v>
      </c>
      <c r="L24" s="105">
        <f t="shared" si="2"/>
        <v>4.1666666666666661</v>
      </c>
      <c r="M24" s="768"/>
      <c r="N24" s="768">
        <v>1</v>
      </c>
      <c r="O24" s="105">
        <f t="shared" si="3"/>
        <v>4.1666666666666661</v>
      </c>
      <c r="P24" s="768"/>
      <c r="Q24" s="768">
        <v>0</v>
      </c>
      <c r="R24" s="105">
        <f t="shared" si="4"/>
        <v>0</v>
      </c>
      <c r="S24" s="135"/>
    </row>
    <row r="25" spans="1:19" ht="13.25" customHeight="1">
      <c r="A25" s="95" t="s">
        <v>168</v>
      </c>
      <c r="B25" s="175">
        <f t="shared" si="5"/>
        <v>22</v>
      </c>
      <c r="C25" s="139">
        <f t="shared" si="6"/>
        <v>1.1714589989350372</v>
      </c>
      <c r="E25" s="768">
        <v>13</v>
      </c>
      <c r="F25" s="105">
        <f t="shared" si="0"/>
        <v>59.090909090909093</v>
      </c>
      <c r="G25" s="768"/>
      <c r="H25" s="768">
        <v>7</v>
      </c>
      <c r="I25" s="105">
        <f t="shared" si="1"/>
        <v>31.818181818181817</v>
      </c>
      <c r="J25" s="768"/>
      <c r="K25" s="768">
        <v>2</v>
      </c>
      <c r="L25" s="105">
        <f t="shared" si="2"/>
        <v>9.0909090909090917</v>
      </c>
      <c r="M25" s="768"/>
      <c r="N25" s="768">
        <v>0</v>
      </c>
      <c r="O25" s="105">
        <f t="shared" si="3"/>
        <v>0</v>
      </c>
      <c r="P25" s="768"/>
      <c r="Q25" s="768">
        <v>0</v>
      </c>
      <c r="R25" s="105">
        <f t="shared" si="4"/>
        <v>0</v>
      </c>
      <c r="S25" s="135"/>
    </row>
    <row r="26" spans="1:19" ht="12" customHeight="1">
      <c r="A26" s="95" t="s">
        <v>169</v>
      </c>
      <c r="B26" s="175">
        <f t="shared" si="5"/>
        <v>47</v>
      </c>
      <c r="C26" s="139">
        <f t="shared" si="6"/>
        <v>2.5026624068157615</v>
      </c>
      <c r="E26" s="768">
        <v>10</v>
      </c>
      <c r="F26" s="105">
        <f t="shared" si="0"/>
        <v>21.276595744680851</v>
      </c>
      <c r="G26" s="768"/>
      <c r="H26" s="768">
        <v>36</v>
      </c>
      <c r="I26" s="105">
        <f t="shared" si="1"/>
        <v>76.59574468085107</v>
      </c>
      <c r="J26" s="768"/>
      <c r="K26" s="768">
        <v>1</v>
      </c>
      <c r="L26" s="105">
        <f t="shared" si="2"/>
        <v>2.1276595744680851</v>
      </c>
      <c r="M26" s="768"/>
      <c r="N26" s="768">
        <v>0</v>
      </c>
      <c r="O26" s="105">
        <f t="shared" si="3"/>
        <v>0</v>
      </c>
      <c r="P26" s="768"/>
      <c r="Q26" s="768">
        <v>0</v>
      </c>
      <c r="R26" s="105">
        <f t="shared" si="4"/>
        <v>0</v>
      </c>
      <c r="S26" s="135"/>
    </row>
    <row r="27" spans="1:19" ht="10" customHeight="1">
      <c r="B27" s="175" t="str">
        <f t="shared" si="5"/>
        <v/>
      </c>
      <c r="C27" s="139" t="str">
        <f t="shared" si="6"/>
        <v/>
      </c>
      <c r="F27" s="105" t="str">
        <f t="shared" si="0"/>
        <v/>
      </c>
      <c r="I27" s="105" t="str">
        <f t="shared" si="1"/>
        <v/>
      </c>
      <c r="K27" s="140">
        <v>0</v>
      </c>
      <c r="L27" s="105" t="str">
        <f t="shared" si="2"/>
        <v/>
      </c>
      <c r="M27" s="116"/>
      <c r="O27" s="105" t="str">
        <f t="shared" si="3"/>
        <v/>
      </c>
      <c r="P27" s="135"/>
      <c r="Q27" s="140"/>
      <c r="R27" s="105" t="str">
        <f t="shared" si="4"/>
        <v/>
      </c>
      <c r="S27" s="135"/>
    </row>
    <row r="28" spans="1:19" ht="13.25" customHeight="1">
      <c r="A28" s="55" t="s">
        <v>464</v>
      </c>
      <c r="B28" s="175">
        <f t="shared" si="5"/>
        <v>135</v>
      </c>
      <c r="C28" s="139">
        <f t="shared" si="6"/>
        <v>7.1884984025559113</v>
      </c>
      <c r="E28" s="140">
        <f>SUM(E30:E34)</f>
        <v>105</v>
      </c>
      <c r="F28" s="105">
        <f t="shared" si="0"/>
        <v>77.777777777777786</v>
      </c>
      <c r="H28" s="140">
        <f>SUM(H30:H34)</f>
        <v>27</v>
      </c>
      <c r="I28" s="105">
        <f t="shared" si="1"/>
        <v>20</v>
      </c>
      <c r="K28" s="140">
        <f>SUM(K30:K34)</f>
        <v>3</v>
      </c>
      <c r="L28" s="105">
        <f t="shared" si="2"/>
        <v>2.2222222222222223</v>
      </c>
      <c r="M28" s="116"/>
      <c r="N28" s="140">
        <f>SUM(N30:N34)</f>
        <v>0</v>
      </c>
      <c r="O28" s="105">
        <f t="shared" si="3"/>
        <v>0</v>
      </c>
      <c r="P28" s="135"/>
      <c r="Q28" s="140">
        <f>SUM(Q30:Q34)</f>
        <v>0</v>
      </c>
      <c r="R28" s="105">
        <f t="shared" si="4"/>
        <v>0</v>
      </c>
      <c r="S28" s="135"/>
    </row>
    <row r="29" spans="1:19" ht="13.25" customHeight="1">
      <c r="A29" s="95" t="s">
        <v>171</v>
      </c>
      <c r="B29" s="175">
        <f t="shared" si="5"/>
        <v>135</v>
      </c>
      <c r="C29" s="139">
        <f t="shared" si="6"/>
        <v>7.1884984025559113</v>
      </c>
      <c r="E29" s="140">
        <f>SUM(E30:E34)</f>
        <v>105</v>
      </c>
      <c r="F29" s="105">
        <f t="shared" si="0"/>
        <v>77.777777777777786</v>
      </c>
      <c r="H29" s="140">
        <f>SUM(H30:H34)</f>
        <v>27</v>
      </c>
      <c r="I29" s="105">
        <f t="shared" si="1"/>
        <v>20</v>
      </c>
      <c r="K29" s="140">
        <f>SUM(K30:K34)</f>
        <v>3</v>
      </c>
      <c r="L29" s="105">
        <f t="shared" si="2"/>
        <v>2.2222222222222223</v>
      </c>
      <c r="M29" s="116"/>
      <c r="N29" s="140">
        <f>SUM(N30:N34)</f>
        <v>0</v>
      </c>
      <c r="O29" s="105">
        <f t="shared" si="3"/>
        <v>0</v>
      </c>
      <c r="P29" s="135"/>
      <c r="Q29" s="140">
        <f>SUM(Q30:Q34)</f>
        <v>0</v>
      </c>
      <c r="R29" s="105">
        <f t="shared" si="4"/>
        <v>0</v>
      </c>
      <c r="S29" s="135"/>
    </row>
    <row r="30" spans="1:19" ht="13.25" customHeight="1">
      <c r="A30" s="95" t="s">
        <v>172</v>
      </c>
      <c r="B30" s="175">
        <f t="shared" si="5"/>
        <v>39</v>
      </c>
      <c r="C30" s="139">
        <f t="shared" si="6"/>
        <v>2.0766773162939298</v>
      </c>
      <c r="E30" s="768">
        <v>31</v>
      </c>
      <c r="F30" s="105">
        <f t="shared" si="0"/>
        <v>79.487179487179489</v>
      </c>
      <c r="G30" s="768"/>
      <c r="H30" s="768">
        <v>8</v>
      </c>
      <c r="I30" s="105">
        <f t="shared" si="1"/>
        <v>20.512820512820511</v>
      </c>
      <c r="J30" s="768"/>
      <c r="K30" s="768">
        <v>0</v>
      </c>
      <c r="L30" s="105">
        <f t="shared" si="2"/>
        <v>0</v>
      </c>
      <c r="M30" s="768"/>
      <c r="N30" s="768">
        <v>0</v>
      </c>
      <c r="O30" s="105">
        <f t="shared" si="3"/>
        <v>0</v>
      </c>
      <c r="P30" s="768"/>
      <c r="Q30" s="768">
        <v>0</v>
      </c>
      <c r="R30" s="105">
        <f t="shared" si="4"/>
        <v>0</v>
      </c>
      <c r="S30" s="135"/>
    </row>
    <row r="31" spans="1:19" ht="13.25" customHeight="1">
      <c r="A31" s="95" t="s">
        <v>173</v>
      </c>
      <c r="B31" s="175">
        <f t="shared" si="5"/>
        <v>25</v>
      </c>
      <c r="C31" s="139">
        <f t="shared" si="6"/>
        <v>1.3312034078807242</v>
      </c>
      <c r="E31" s="768">
        <v>25</v>
      </c>
      <c r="F31" s="105">
        <f t="shared" si="0"/>
        <v>100</v>
      </c>
      <c r="G31" s="768"/>
      <c r="H31" s="768">
        <v>0</v>
      </c>
      <c r="I31" s="105">
        <f t="shared" si="1"/>
        <v>0</v>
      </c>
      <c r="J31" s="768"/>
      <c r="K31" s="768">
        <v>0</v>
      </c>
      <c r="L31" s="105">
        <f t="shared" si="2"/>
        <v>0</v>
      </c>
      <c r="M31" s="768"/>
      <c r="N31" s="768">
        <v>0</v>
      </c>
      <c r="O31" s="105">
        <f t="shared" si="3"/>
        <v>0</v>
      </c>
      <c r="P31" s="768"/>
      <c r="Q31" s="768">
        <v>0</v>
      </c>
      <c r="R31" s="105">
        <f t="shared" si="4"/>
        <v>0</v>
      </c>
      <c r="S31" s="135"/>
    </row>
    <row r="32" spans="1:19" ht="13.25" customHeight="1">
      <c r="A32" s="95" t="s">
        <v>174</v>
      </c>
      <c r="B32" s="175">
        <f t="shared" si="5"/>
        <v>17</v>
      </c>
      <c r="C32" s="139">
        <f t="shared" si="6"/>
        <v>0.90521831735889247</v>
      </c>
      <c r="E32" s="768">
        <v>10</v>
      </c>
      <c r="F32" s="105">
        <f t="shared" si="0"/>
        <v>58.82352941176471</v>
      </c>
      <c r="G32" s="768"/>
      <c r="H32" s="768">
        <v>7</v>
      </c>
      <c r="I32" s="105">
        <f t="shared" si="1"/>
        <v>41.17647058823529</v>
      </c>
      <c r="J32" s="768"/>
      <c r="K32" s="768">
        <v>0</v>
      </c>
      <c r="L32" s="105">
        <f t="shared" si="2"/>
        <v>0</v>
      </c>
      <c r="M32" s="768"/>
      <c r="N32" s="768">
        <v>0</v>
      </c>
      <c r="O32" s="105">
        <f t="shared" si="3"/>
        <v>0</v>
      </c>
      <c r="P32" s="768"/>
      <c r="Q32" s="768">
        <v>0</v>
      </c>
      <c r="R32" s="105">
        <f t="shared" si="4"/>
        <v>0</v>
      </c>
      <c r="S32" s="135"/>
    </row>
    <row r="33" spans="1:19" ht="13.25" customHeight="1">
      <c r="A33" s="95" t="s">
        <v>175</v>
      </c>
      <c r="B33" s="175">
        <f t="shared" si="5"/>
        <v>22</v>
      </c>
      <c r="C33" s="139">
        <f t="shared" si="6"/>
        <v>1.1714589989350372</v>
      </c>
      <c r="E33" s="768">
        <v>18</v>
      </c>
      <c r="F33" s="105">
        <f t="shared" si="0"/>
        <v>81.818181818181827</v>
      </c>
      <c r="G33" s="768"/>
      <c r="H33" s="768">
        <v>3</v>
      </c>
      <c r="I33" s="105">
        <f t="shared" si="1"/>
        <v>13.636363636363635</v>
      </c>
      <c r="J33" s="768"/>
      <c r="K33" s="768">
        <v>1</v>
      </c>
      <c r="L33" s="105">
        <f t="shared" si="2"/>
        <v>4.5454545454545459</v>
      </c>
      <c r="M33" s="768"/>
      <c r="N33" s="768">
        <v>0</v>
      </c>
      <c r="O33" s="105">
        <f t="shared" si="3"/>
        <v>0</v>
      </c>
      <c r="P33" s="768"/>
      <c r="Q33" s="768">
        <v>0</v>
      </c>
      <c r="R33" s="105">
        <f t="shared" si="4"/>
        <v>0</v>
      </c>
      <c r="S33" s="135"/>
    </row>
    <row r="34" spans="1:19" ht="12" customHeight="1">
      <c r="A34" s="95" t="s">
        <v>176</v>
      </c>
      <c r="B34" s="175">
        <f t="shared" si="5"/>
        <v>32</v>
      </c>
      <c r="C34" s="139">
        <f t="shared" si="6"/>
        <v>1.703940362087327</v>
      </c>
      <c r="E34" s="768">
        <v>21</v>
      </c>
      <c r="F34" s="105">
        <f t="shared" si="0"/>
        <v>65.625</v>
      </c>
      <c r="G34" s="768"/>
      <c r="H34" s="768">
        <v>9</v>
      </c>
      <c r="I34" s="105">
        <f t="shared" si="1"/>
        <v>28.125</v>
      </c>
      <c r="J34" s="768"/>
      <c r="K34" s="768">
        <v>2</v>
      </c>
      <c r="L34" s="105">
        <f t="shared" si="2"/>
        <v>6.25</v>
      </c>
      <c r="M34" s="768"/>
      <c r="N34" s="768">
        <v>0</v>
      </c>
      <c r="O34" s="105">
        <f t="shared" si="3"/>
        <v>0</v>
      </c>
      <c r="P34" s="768"/>
      <c r="Q34" s="768">
        <v>0</v>
      </c>
      <c r="R34" s="105">
        <f t="shared" si="4"/>
        <v>0</v>
      </c>
      <c r="S34" s="135"/>
    </row>
    <row r="35" spans="1:19" ht="10" customHeight="1">
      <c r="B35" s="175"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75">
        <f t="shared" si="5"/>
        <v>432</v>
      </c>
      <c r="C36" s="139">
        <f t="shared" si="6"/>
        <v>23.003194888178914</v>
      </c>
      <c r="E36" s="140">
        <f>E37+E43+E53+E55</f>
        <v>189</v>
      </c>
      <c r="F36" s="105">
        <f t="shared" si="0"/>
        <v>43.75</v>
      </c>
      <c r="H36" s="140">
        <f>H37+H43+H53+H55</f>
        <v>205</v>
      </c>
      <c r="I36" s="105">
        <f t="shared" si="1"/>
        <v>47.453703703703702</v>
      </c>
      <c r="K36" s="140">
        <f>K37+K43+K53+K55</f>
        <v>35</v>
      </c>
      <c r="L36" s="105">
        <f t="shared" si="2"/>
        <v>8.1018518518518512</v>
      </c>
      <c r="M36" s="116"/>
      <c r="N36" s="140">
        <f>N37+N43+N53+N55</f>
        <v>1</v>
      </c>
      <c r="O36" s="105">
        <f t="shared" si="3"/>
        <v>0.23148148148148145</v>
      </c>
      <c r="P36" s="135"/>
      <c r="Q36" s="140">
        <f>Q37+Q43+Q53+Q55</f>
        <v>2</v>
      </c>
      <c r="R36" s="105">
        <f t="shared" si="4"/>
        <v>0.46296296296296291</v>
      </c>
      <c r="S36" s="135"/>
    </row>
    <row r="37" spans="1:19" ht="13.25" customHeight="1">
      <c r="A37" s="95" t="s">
        <v>178</v>
      </c>
      <c r="B37" s="175">
        <f t="shared" si="5"/>
        <v>104</v>
      </c>
      <c r="C37" s="139">
        <f t="shared" si="6"/>
        <v>5.5378061767838123</v>
      </c>
      <c r="E37" s="140">
        <f>SUM(E38:E41)</f>
        <v>27</v>
      </c>
      <c r="F37" s="105">
        <f t="shared" si="0"/>
        <v>25.961538461538463</v>
      </c>
      <c r="H37" s="140">
        <f>SUM(H38:H41)</f>
        <v>68</v>
      </c>
      <c r="I37" s="105">
        <f t="shared" si="1"/>
        <v>65.384615384615387</v>
      </c>
      <c r="K37" s="140">
        <f>SUM(K38:K41)</f>
        <v>9</v>
      </c>
      <c r="L37" s="105">
        <f t="shared" si="2"/>
        <v>8.6538461538461533</v>
      </c>
      <c r="M37" s="116"/>
      <c r="N37" s="140">
        <f>SUM(N38:N41)</f>
        <v>0</v>
      </c>
      <c r="O37" s="105">
        <f t="shared" si="3"/>
        <v>0</v>
      </c>
      <c r="P37" s="135"/>
      <c r="Q37" s="140">
        <f>SUM(Q38:Q41)</f>
        <v>0</v>
      </c>
      <c r="R37" s="105">
        <f t="shared" si="4"/>
        <v>0</v>
      </c>
      <c r="S37" s="135"/>
    </row>
    <row r="38" spans="1:19" ht="13.25" customHeight="1">
      <c r="A38" s="95" t="s">
        <v>179</v>
      </c>
      <c r="B38" s="175">
        <f t="shared" si="5"/>
        <v>45</v>
      </c>
      <c r="C38" s="139">
        <f t="shared" si="6"/>
        <v>2.3961661341853033</v>
      </c>
      <c r="E38" s="768">
        <v>1</v>
      </c>
      <c r="F38" s="105">
        <f t="shared" si="0"/>
        <v>2.2222222222222223</v>
      </c>
      <c r="G38" s="768"/>
      <c r="H38" s="768">
        <v>39</v>
      </c>
      <c r="I38" s="105">
        <f t="shared" si="1"/>
        <v>86.666666666666671</v>
      </c>
      <c r="J38" s="768"/>
      <c r="K38" s="768">
        <v>5</v>
      </c>
      <c r="L38" s="105">
        <f t="shared" si="2"/>
        <v>11.111111111111111</v>
      </c>
      <c r="M38" s="768"/>
      <c r="N38" s="768">
        <v>0</v>
      </c>
      <c r="O38" s="105">
        <f t="shared" si="3"/>
        <v>0</v>
      </c>
      <c r="P38" s="768"/>
      <c r="Q38" s="768">
        <v>0</v>
      </c>
      <c r="R38" s="105">
        <f t="shared" si="4"/>
        <v>0</v>
      </c>
      <c r="S38" s="135"/>
    </row>
    <row r="39" spans="1:19" ht="13.25" customHeight="1">
      <c r="A39" s="95" t="s">
        <v>180</v>
      </c>
      <c r="B39" s="175">
        <f t="shared" si="5"/>
        <v>28</v>
      </c>
      <c r="C39" s="139">
        <f t="shared" si="6"/>
        <v>1.4909478168264112</v>
      </c>
      <c r="E39" s="768">
        <v>7</v>
      </c>
      <c r="F39" s="105">
        <f t="shared" si="0"/>
        <v>25</v>
      </c>
      <c r="G39" s="768"/>
      <c r="H39" s="768">
        <v>19</v>
      </c>
      <c r="I39" s="105">
        <f t="shared" si="1"/>
        <v>67.857142857142861</v>
      </c>
      <c r="J39" s="768"/>
      <c r="K39" s="768">
        <v>2</v>
      </c>
      <c r="L39" s="105">
        <f t="shared" si="2"/>
        <v>7.1428571428571423</v>
      </c>
      <c r="M39" s="768"/>
      <c r="N39" s="768">
        <v>0</v>
      </c>
      <c r="O39" s="105">
        <f t="shared" si="3"/>
        <v>0</v>
      </c>
      <c r="P39" s="768"/>
      <c r="Q39" s="768">
        <v>0</v>
      </c>
      <c r="R39" s="105">
        <f t="shared" si="4"/>
        <v>0</v>
      </c>
      <c r="S39" s="135"/>
    </row>
    <row r="40" spans="1:19" ht="13.25" customHeight="1">
      <c r="A40" s="95" t="s">
        <v>181</v>
      </c>
      <c r="B40" s="175">
        <f t="shared" si="5"/>
        <v>18</v>
      </c>
      <c r="C40" s="139">
        <f t="shared" si="6"/>
        <v>0.95846645367412142</v>
      </c>
      <c r="E40" s="768">
        <v>13</v>
      </c>
      <c r="F40" s="105">
        <f t="shared" si="0"/>
        <v>72.222222222222214</v>
      </c>
      <c r="G40" s="768"/>
      <c r="H40" s="768">
        <v>4</v>
      </c>
      <c r="I40" s="105">
        <f t="shared" si="1"/>
        <v>22.222222222222221</v>
      </c>
      <c r="J40" s="768"/>
      <c r="K40" s="768">
        <v>1</v>
      </c>
      <c r="L40" s="105">
        <f t="shared" si="2"/>
        <v>5.5555555555555554</v>
      </c>
      <c r="M40" s="768"/>
      <c r="N40" s="768">
        <v>0</v>
      </c>
      <c r="O40" s="105">
        <f t="shared" si="3"/>
        <v>0</v>
      </c>
      <c r="P40" s="768"/>
      <c r="Q40" s="768">
        <v>0</v>
      </c>
      <c r="R40" s="105">
        <f t="shared" si="4"/>
        <v>0</v>
      </c>
      <c r="S40" s="135"/>
    </row>
    <row r="41" spans="1:19" ht="12" customHeight="1">
      <c r="A41" s="95" t="s">
        <v>182</v>
      </c>
      <c r="B41" s="175">
        <f t="shared" si="5"/>
        <v>13</v>
      </c>
      <c r="C41" s="139">
        <f t="shared" si="6"/>
        <v>0.69222577209797653</v>
      </c>
      <c r="E41" s="768">
        <v>6</v>
      </c>
      <c r="F41" s="105">
        <f t="shared" si="0"/>
        <v>46.153846153846153</v>
      </c>
      <c r="G41" s="768"/>
      <c r="H41" s="768">
        <v>6</v>
      </c>
      <c r="I41" s="105">
        <f t="shared" si="1"/>
        <v>46.153846153846153</v>
      </c>
      <c r="J41" s="768"/>
      <c r="K41" s="768">
        <v>1</v>
      </c>
      <c r="L41" s="105">
        <f t="shared" si="2"/>
        <v>7.6923076923076925</v>
      </c>
      <c r="M41" s="768"/>
      <c r="N41" s="768">
        <v>0</v>
      </c>
      <c r="O41" s="105">
        <f t="shared" si="3"/>
        <v>0</v>
      </c>
      <c r="P41" s="768"/>
      <c r="Q41" s="768">
        <v>0</v>
      </c>
      <c r="R41" s="105">
        <f t="shared" si="4"/>
        <v>0</v>
      </c>
      <c r="S41" s="135"/>
    </row>
    <row r="42" spans="1:19" ht="10" customHeight="1">
      <c r="B42" s="175"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75">
        <f t="shared" si="5"/>
        <v>193</v>
      </c>
      <c r="C43" s="139">
        <f t="shared" si="6"/>
        <v>10.276890308839191</v>
      </c>
      <c r="E43" s="140">
        <f>SUM(E44:E51)</f>
        <v>101</v>
      </c>
      <c r="F43" s="105">
        <f t="shared" si="0"/>
        <v>52.331606217616574</v>
      </c>
      <c r="H43" s="140">
        <f>SUM(H44:H51)</f>
        <v>79</v>
      </c>
      <c r="I43" s="105">
        <f t="shared" si="1"/>
        <v>40.932642487046635</v>
      </c>
      <c r="K43" s="140">
        <f>SUM(K44:K51)</f>
        <v>10</v>
      </c>
      <c r="L43" s="105">
        <f t="shared" si="2"/>
        <v>5.1813471502590671</v>
      </c>
      <c r="M43" s="116"/>
      <c r="N43" s="140">
        <f>SUM(N44:N51)</f>
        <v>1</v>
      </c>
      <c r="O43" s="105">
        <f t="shared" si="3"/>
        <v>0.5181347150259068</v>
      </c>
      <c r="P43" s="135"/>
      <c r="Q43" s="140">
        <f>SUM(Q44:Q51)</f>
        <v>2</v>
      </c>
      <c r="R43" s="105">
        <f t="shared" si="4"/>
        <v>1.0362694300518136</v>
      </c>
      <c r="S43" s="135"/>
    </row>
    <row r="44" spans="1:19" ht="13.25" customHeight="1">
      <c r="A44" s="95" t="s">
        <v>191</v>
      </c>
      <c r="B44" s="175">
        <f t="shared" si="5"/>
        <v>20</v>
      </c>
      <c r="C44" s="139">
        <f t="shared" si="6"/>
        <v>1.0649627263045793</v>
      </c>
      <c r="E44" s="768">
        <v>15</v>
      </c>
      <c r="F44" s="105">
        <f t="shared" si="0"/>
        <v>75</v>
      </c>
      <c r="G44" s="768"/>
      <c r="H44" s="768">
        <v>5</v>
      </c>
      <c r="I44" s="105">
        <f t="shared" si="1"/>
        <v>25</v>
      </c>
      <c r="J44" s="768"/>
      <c r="K44" s="768">
        <v>0</v>
      </c>
      <c r="L44" s="105">
        <f t="shared" si="2"/>
        <v>0</v>
      </c>
      <c r="M44" s="768"/>
      <c r="N44" s="768">
        <v>0</v>
      </c>
      <c r="O44" s="105">
        <f t="shared" si="3"/>
        <v>0</v>
      </c>
      <c r="P44" s="768"/>
      <c r="Q44" s="768">
        <v>0</v>
      </c>
      <c r="R44" s="105">
        <f t="shared" si="4"/>
        <v>0</v>
      </c>
      <c r="S44" s="135"/>
    </row>
    <row r="45" spans="1:19" ht="13.25" customHeight="1">
      <c r="A45" s="95" t="s">
        <v>184</v>
      </c>
      <c r="B45" s="175">
        <f t="shared" si="5"/>
        <v>22</v>
      </c>
      <c r="C45" s="139">
        <f t="shared" si="6"/>
        <v>1.1714589989350372</v>
      </c>
      <c r="E45" s="768">
        <v>16</v>
      </c>
      <c r="F45" s="105">
        <f t="shared" si="0"/>
        <v>72.727272727272734</v>
      </c>
      <c r="G45" s="768"/>
      <c r="H45" s="768">
        <v>5</v>
      </c>
      <c r="I45" s="105">
        <f t="shared" si="1"/>
        <v>22.727272727272727</v>
      </c>
      <c r="J45" s="768"/>
      <c r="K45" s="768">
        <v>0</v>
      </c>
      <c r="L45" s="105">
        <f t="shared" si="2"/>
        <v>0</v>
      </c>
      <c r="M45" s="768"/>
      <c r="N45" s="768">
        <v>1</v>
      </c>
      <c r="O45" s="105">
        <f t="shared" si="3"/>
        <v>4.5454545454545459</v>
      </c>
      <c r="P45" s="768"/>
      <c r="Q45" s="768">
        <v>0</v>
      </c>
      <c r="R45" s="105">
        <f t="shared" si="4"/>
        <v>0</v>
      </c>
      <c r="S45" s="135"/>
    </row>
    <row r="46" spans="1:19" ht="13.25" customHeight="1">
      <c r="A46" s="95" t="s">
        <v>185</v>
      </c>
      <c r="B46" s="175">
        <f t="shared" si="5"/>
        <v>33</v>
      </c>
      <c r="C46" s="139">
        <f t="shared" si="6"/>
        <v>1.7571884984025559</v>
      </c>
      <c r="E46" s="768">
        <v>8</v>
      </c>
      <c r="F46" s="105">
        <f t="shared" si="0"/>
        <v>24.242424242424242</v>
      </c>
      <c r="G46" s="768"/>
      <c r="H46" s="768">
        <v>21</v>
      </c>
      <c r="I46" s="105">
        <f t="shared" si="1"/>
        <v>63.636363636363633</v>
      </c>
      <c r="J46" s="768"/>
      <c r="K46" s="768">
        <v>4</v>
      </c>
      <c r="L46" s="105">
        <f t="shared" si="2"/>
        <v>12.121212121212121</v>
      </c>
      <c r="M46" s="768"/>
      <c r="N46" s="768">
        <v>0</v>
      </c>
      <c r="O46" s="105">
        <f t="shared" si="3"/>
        <v>0</v>
      </c>
      <c r="P46" s="768"/>
      <c r="Q46" s="768">
        <v>0</v>
      </c>
      <c r="R46" s="105">
        <f t="shared" si="4"/>
        <v>0</v>
      </c>
      <c r="S46" s="135"/>
    </row>
    <row r="47" spans="1:19" ht="13.25" customHeight="1">
      <c r="A47" s="95" t="s">
        <v>186</v>
      </c>
      <c r="B47" s="175">
        <f t="shared" si="5"/>
        <v>20</v>
      </c>
      <c r="C47" s="139">
        <f t="shared" si="6"/>
        <v>1.0649627263045793</v>
      </c>
      <c r="E47" s="768">
        <v>12</v>
      </c>
      <c r="F47" s="105">
        <f t="shared" si="0"/>
        <v>60</v>
      </c>
      <c r="G47" s="768"/>
      <c r="H47" s="768">
        <v>8</v>
      </c>
      <c r="I47" s="105">
        <f t="shared" si="1"/>
        <v>40</v>
      </c>
      <c r="J47" s="768"/>
      <c r="K47" s="768">
        <v>0</v>
      </c>
      <c r="L47" s="105">
        <f t="shared" si="2"/>
        <v>0</v>
      </c>
      <c r="M47" s="768"/>
      <c r="N47" s="768">
        <v>0</v>
      </c>
      <c r="O47" s="105">
        <f t="shared" si="3"/>
        <v>0</v>
      </c>
      <c r="P47" s="768"/>
      <c r="Q47" s="768">
        <v>0</v>
      </c>
      <c r="R47" s="105">
        <f t="shared" si="4"/>
        <v>0</v>
      </c>
      <c r="S47" s="135"/>
    </row>
    <row r="48" spans="1:19" ht="13.25" customHeight="1">
      <c r="A48" s="95" t="s">
        <v>408</v>
      </c>
      <c r="B48" s="175">
        <f t="shared" si="5"/>
        <v>24</v>
      </c>
      <c r="C48" s="139">
        <f t="shared" si="6"/>
        <v>1.2779552715654952</v>
      </c>
      <c r="E48" s="768">
        <v>18</v>
      </c>
      <c r="F48" s="105">
        <f t="shared" si="0"/>
        <v>75</v>
      </c>
      <c r="G48" s="768"/>
      <c r="H48" s="768">
        <v>2</v>
      </c>
      <c r="I48" s="105">
        <f t="shared" si="1"/>
        <v>8.3333333333333321</v>
      </c>
      <c r="J48" s="768"/>
      <c r="K48" s="768">
        <v>2</v>
      </c>
      <c r="L48" s="105">
        <f t="shared" si="2"/>
        <v>8.3333333333333321</v>
      </c>
      <c r="M48" s="768"/>
      <c r="N48" s="768">
        <v>0</v>
      </c>
      <c r="O48" s="105">
        <f t="shared" si="3"/>
        <v>0</v>
      </c>
      <c r="P48" s="768"/>
      <c r="Q48" s="768">
        <v>2</v>
      </c>
      <c r="R48" s="105">
        <f t="shared" si="4"/>
        <v>8.3333333333333321</v>
      </c>
      <c r="S48" s="135"/>
    </row>
    <row r="49" spans="1:19" ht="13.25" customHeight="1">
      <c r="A49" s="95" t="s">
        <v>190</v>
      </c>
      <c r="B49" s="175">
        <f t="shared" si="5"/>
        <v>15</v>
      </c>
      <c r="C49" s="139">
        <f t="shared" si="6"/>
        <v>0.79872204472843444</v>
      </c>
      <c r="E49" s="768">
        <v>7</v>
      </c>
      <c r="F49" s="105">
        <f t="shared" si="0"/>
        <v>46.666666666666664</v>
      </c>
      <c r="G49" s="768"/>
      <c r="H49" s="768">
        <v>8</v>
      </c>
      <c r="I49" s="105">
        <f t="shared" si="1"/>
        <v>53.333333333333336</v>
      </c>
      <c r="J49" s="768"/>
      <c r="K49" s="768">
        <v>0</v>
      </c>
      <c r="L49" s="105">
        <f t="shared" si="2"/>
        <v>0</v>
      </c>
      <c r="M49" s="768"/>
      <c r="N49" s="768">
        <v>0</v>
      </c>
      <c r="O49" s="105">
        <f t="shared" si="3"/>
        <v>0</v>
      </c>
      <c r="P49" s="768"/>
      <c r="Q49" s="768">
        <v>0</v>
      </c>
      <c r="R49" s="105">
        <f t="shared" si="4"/>
        <v>0</v>
      </c>
      <c r="S49" s="135"/>
    </row>
    <row r="50" spans="1:19" ht="13.25" customHeight="1">
      <c r="A50" s="95" t="s">
        <v>189</v>
      </c>
      <c r="B50" s="175">
        <f t="shared" si="5"/>
        <v>41</v>
      </c>
      <c r="C50" s="139">
        <f t="shared" si="6"/>
        <v>2.183173588924388</v>
      </c>
      <c r="E50" s="768">
        <v>22</v>
      </c>
      <c r="F50" s="105">
        <f t="shared" si="0"/>
        <v>53.658536585365859</v>
      </c>
      <c r="G50" s="768"/>
      <c r="H50" s="768">
        <v>17</v>
      </c>
      <c r="I50" s="105">
        <f t="shared" si="1"/>
        <v>41.463414634146339</v>
      </c>
      <c r="J50" s="768"/>
      <c r="K50" s="768">
        <v>2</v>
      </c>
      <c r="L50" s="105">
        <f t="shared" si="2"/>
        <v>4.8780487804878048</v>
      </c>
      <c r="M50" s="768"/>
      <c r="N50" s="768">
        <v>0</v>
      </c>
      <c r="O50" s="105">
        <f t="shared" si="3"/>
        <v>0</v>
      </c>
      <c r="P50" s="768"/>
      <c r="Q50" s="768">
        <v>0</v>
      </c>
      <c r="R50" s="105">
        <f t="shared" si="4"/>
        <v>0</v>
      </c>
      <c r="S50" s="135"/>
    </row>
    <row r="51" spans="1:19" ht="12" customHeight="1">
      <c r="A51" s="95" t="s">
        <v>188</v>
      </c>
      <c r="B51" s="175">
        <f t="shared" si="5"/>
        <v>18</v>
      </c>
      <c r="C51" s="139">
        <f t="shared" si="6"/>
        <v>0.95846645367412142</v>
      </c>
      <c r="E51" s="768">
        <v>3</v>
      </c>
      <c r="F51" s="105">
        <f t="shared" si="0"/>
        <v>16.666666666666664</v>
      </c>
      <c r="G51" s="768"/>
      <c r="H51" s="768">
        <v>13</v>
      </c>
      <c r="I51" s="105">
        <f t="shared" si="1"/>
        <v>72.222222222222214</v>
      </c>
      <c r="J51" s="768"/>
      <c r="K51" s="768">
        <v>2</v>
      </c>
      <c r="L51" s="105">
        <f t="shared" si="2"/>
        <v>11.111111111111111</v>
      </c>
      <c r="M51" s="768"/>
      <c r="N51" s="768">
        <v>0</v>
      </c>
      <c r="O51" s="105">
        <f t="shared" si="3"/>
        <v>0</v>
      </c>
      <c r="P51" s="768"/>
      <c r="Q51" s="768">
        <v>0</v>
      </c>
      <c r="R51" s="105">
        <f t="shared" si="4"/>
        <v>0</v>
      </c>
      <c r="S51" s="135"/>
    </row>
    <row r="52" spans="1:19" ht="10" customHeight="1">
      <c r="B52" s="175" t="str">
        <f t="shared" si="5"/>
        <v/>
      </c>
      <c r="C52" s="139" t="str">
        <f t="shared" si="6"/>
        <v/>
      </c>
      <c r="E52" s="121"/>
      <c r="F52" s="105" t="str">
        <f t="shared" si="0"/>
        <v/>
      </c>
      <c r="G52" s="121"/>
      <c r="H52" s="121"/>
      <c r="I52" s="105" t="str">
        <f t="shared" si="1"/>
        <v/>
      </c>
      <c r="J52" s="121"/>
      <c r="K52" s="121"/>
      <c r="L52" s="105" t="str">
        <f t="shared" si="2"/>
        <v/>
      </c>
      <c r="M52" s="121"/>
      <c r="N52" s="121"/>
      <c r="O52" s="105" t="str">
        <f t="shared" si="3"/>
        <v/>
      </c>
      <c r="P52" s="121"/>
      <c r="Q52" s="121"/>
      <c r="R52" s="105" t="str">
        <f t="shared" si="4"/>
        <v/>
      </c>
      <c r="S52" s="135"/>
    </row>
    <row r="53" spans="1:19" ht="12" customHeight="1">
      <c r="A53" s="95" t="s">
        <v>192</v>
      </c>
      <c r="B53" s="175">
        <f t="shared" si="5"/>
        <v>53</v>
      </c>
      <c r="C53" s="139">
        <f t="shared" si="6"/>
        <v>2.8221512247071354</v>
      </c>
      <c r="E53" s="768">
        <v>30</v>
      </c>
      <c r="F53" s="105">
        <f t="shared" si="0"/>
        <v>56.60377358490566</v>
      </c>
      <c r="G53" s="768"/>
      <c r="H53" s="768">
        <v>12</v>
      </c>
      <c r="I53" s="105">
        <f t="shared" si="1"/>
        <v>22.641509433962266</v>
      </c>
      <c r="J53" s="768"/>
      <c r="K53" s="768">
        <v>11</v>
      </c>
      <c r="L53" s="105">
        <f t="shared" si="2"/>
        <v>20.754716981132077</v>
      </c>
      <c r="M53" s="768"/>
      <c r="N53" s="768">
        <v>0</v>
      </c>
      <c r="O53" s="105">
        <f t="shared" si="3"/>
        <v>0</v>
      </c>
      <c r="P53" s="768"/>
      <c r="Q53" s="768">
        <v>0</v>
      </c>
      <c r="R53" s="105">
        <f t="shared" si="4"/>
        <v>0</v>
      </c>
      <c r="S53" s="135"/>
    </row>
    <row r="54" spans="1:19" ht="10" customHeight="1">
      <c r="B54" s="175"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75">
        <f t="shared" si="5"/>
        <v>82</v>
      </c>
      <c r="C55" s="139">
        <f t="shared" si="6"/>
        <v>4.3663471778487759</v>
      </c>
      <c r="E55" s="140">
        <f>SUM(E56:E60)</f>
        <v>31</v>
      </c>
      <c r="F55" s="105">
        <f t="shared" si="0"/>
        <v>37.804878048780488</v>
      </c>
      <c r="H55" s="140">
        <f>SUM(H56:H60)</f>
        <v>46</v>
      </c>
      <c r="I55" s="105">
        <f t="shared" si="1"/>
        <v>56.09756097560976</v>
      </c>
      <c r="K55" s="140">
        <f>SUM(K56:K60)</f>
        <v>5</v>
      </c>
      <c r="L55" s="105">
        <f t="shared" si="2"/>
        <v>6.0975609756097562</v>
      </c>
      <c r="M55" s="116"/>
      <c r="N55" s="140">
        <f>SUM(N56:N60)</f>
        <v>0</v>
      </c>
      <c r="O55" s="105">
        <f t="shared" si="3"/>
        <v>0</v>
      </c>
      <c r="P55" s="135"/>
      <c r="Q55" s="140">
        <f>SUM(Q56:Q60)</f>
        <v>0</v>
      </c>
      <c r="R55" s="105">
        <f t="shared" si="4"/>
        <v>0</v>
      </c>
      <c r="S55" s="135"/>
    </row>
    <row r="56" spans="1:19" ht="13.25" customHeight="1">
      <c r="A56" s="95" t="s">
        <v>194</v>
      </c>
      <c r="B56" s="175">
        <f t="shared" si="5"/>
        <v>12</v>
      </c>
      <c r="C56" s="139">
        <f t="shared" si="6"/>
        <v>0.63897763578274758</v>
      </c>
      <c r="E56" s="768">
        <v>6</v>
      </c>
      <c r="F56" s="105">
        <f t="shared" si="0"/>
        <v>50</v>
      </c>
      <c r="G56" s="768"/>
      <c r="H56" s="768">
        <v>5</v>
      </c>
      <c r="I56" s="105">
        <f t="shared" si="1"/>
        <v>41.666666666666671</v>
      </c>
      <c r="J56" s="768"/>
      <c r="K56" s="768">
        <v>1</v>
      </c>
      <c r="L56" s="105">
        <f t="shared" si="2"/>
        <v>8.3333333333333321</v>
      </c>
      <c r="M56" s="768"/>
      <c r="N56" s="768">
        <v>0</v>
      </c>
      <c r="O56" s="105">
        <f t="shared" si="3"/>
        <v>0</v>
      </c>
      <c r="P56" s="768"/>
      <c r="Q56" s="768">
        <v>0</v>
      </c>
      <c r="R56" s="105">
        <f t="shared" si="4"/>
        <v>0</v>
      </c>
      <c r="S56" s="135"/>
    </row>
    <row r="57" spans="1:19" ht="13.25" customHeight="1">
      <c r="A57" s="95" t="s">
        <v>195</v>
      </c>
      <c r="B57" s="175">
        <f t="shared" si="5"/>
        <v>23</v>
      </c>
      <c r="C57" s="139">
        <f t="shared" si="6"/>
        <v>1.2247071352502663</v>
      </c>
      <c r="E57" s="768">
        <v>7</v>
      </c>
      <c r="F57" s="105">
        <f t="shared" si="0"/>
        <v>30.434782608695656</v>
      </c>
      <c r="G57" s="768"/>
      <c r="H57" s="768">
        <v>15</v>
      </c>
      <c r="I57" s="105">
        <f t="shared" si="1"/>
        <v>65.217391304347828</v>
      </c>
      <c r="J57" s="768"/>
      <c r="K57" s="768">
        <v>1</v>
      </c>
      <c r="L57" s="105">
        <f t="shared" si="2"/>
        <v>4.3478260869565215</v>
      </c>
      <c r="M57" s="768"/>
      <c r="N57" s="768">
        <v>0</v>
      </c>
      <c r="O57" s="105">
        <f t="shared" si="3"/>
        <v>0</v>
      </c>
      <c r="P57" s="768"/>
      <c r="Q57" s="768">
        <v>0</v>
      </c>
      <c r="R57" s="105">
        <f t="shared" si="4"/>
        <v>0</v>
      </c>
      <c r="S57" s="135"/>
    </row>
    <row r="58" spans="1:19" ht="13.25" customHeight="1">
      <c r="A58" s="95" t="s">
        <v>196</v>
      </c>
      <c r="B58" s="175">
        <f t="shared" si="5"/>
        <v>19</v>
      </c>
      <c r="C58" s="139">
        <f t="shared" si="6"/>
        <v>1.0117145899893505</v>
      </c>
      <c r="E58" s="768">
        <v>6</v>
      </c>
      <c r="F58" s="105">
        <f t="shared" si="0"/>
        <v>31.578947368421051</v>
      </c>
      <c r="G58" s="768"/>
      <c r="H58" s="768">
        <v>11</v>
      </c>
      <c r="I58" s="105">
        <f t="shared" si="1"/>
        <v>57.894736842105267</v>
      </c>
      <c r="J58" s="768"/>
      <c r="K58" s="768">
        <v>2</v>
      </c>
      <c r="L58" s="105">
        <f t="shared" si="2"/>
        <v>10.526315789473683</v>
      </c>
      <c r="M58" s="768"/>
      <c r="N58" s="768">
        <v>0</v>
      </c>
      <c r="O58" s="105">
        <f t="shared" si="3"/>
        <v>0</v>
      </c>
      <c r="P58" s="768"/>
      <c r="Q58" s="768">
        <v>0</v>
      </c>
      <c r="R58" s="105">
        <f t="shared" si="4"/>
        <v>0</v>
      </c>
      <c r="S58" s="135"/>
    </row>
    <row r="59" spans="1:19" ht="13.25" customHeight="1">
      <c r="A59" s="95" t="s">
        <v>409</v>
      </c>
      <c r="B59" s="175">
        <f t="shared" si="5"/>
        <v>12</v>
      </c>
      <c r="C59" s="139">
        <f t="shared" si="6"/>
        <v>0.63897763578274758</v>
      </c>
      <c r="E59" s="768">
        <v>2</v>
      </c>
      <c r="F59" s="105">
        <f t="shared" si="0"/>
        <v>16.666666666666664</v>
      </c>
      <c r="G59" s="768"/>
      <c r="H59" s="768">
        <v>10</v>
      </c>
      <c r="I59" s="105">
        <f t="shared" si="1"/>
        <v>83.333333333333343</v>
      </c>
      <c r="J59" s="768"/>
      <c r="K59" s="768">
        <v>0</v>
      </c>
      <c r="L59" s="105">
        <f t="shared" si="2"/>
        <v>0</v>
      </c>
      <c r="M59" s="768"/>
      <c r="N59" s="768">
        <v>0</v>
      </c>
      <c r="O59" s="105">
        <f t="shared" si="3"/>
        <v>0</v>
      </c>
      <c r="P59" s="768"/>
      <c r="Q59" s="768">
        <v>0</v>
      </c>
      <c r="R59" s="105">
        <f t="shared" si="4"/>
        <v>0</v>
      </c>
      <c r="S59" s="135"/>
    </row>
    <row r="60" spans="1:19" ht="12" customHeight="1">
      <c r="A60" s="95" t="s">
        <v>198</v>
      </c>
      <c r="B60" s="175">
        <f t="shared" si="5"/>
        <v>16</v>
      </c>
      <c r="C60" s="139">
        <f t="shared" si="6"/>
        <v>0.85197018104366351</v>
      </c>
      <c r="E60" s="768">
        <v>10</v>
      </c>
      <c r="F60" s="105">
        <f t="shared" si="0"/>
        <v>62.5</v>
      </c>
      <c r="G60" s="768"/>
      <c r="H60" s="768">
        <v>5</v>
      </c>
      <c r="I60" s="105">
        <f t="shared" si="1"/>
        <v>31.25</v>
      </c>
      <c r="J60" s="768"/>
      <c r="K60" s="768">
        <v>1</v>
      </c>
      <c r="L60" s="105">
        <f t="shared" si="2"/>
        <v>6.25</v>
      </c>
      <c r="M60" s="768"/>
      <c r="N60" s="768">
        <v>0</v>
      </c>
      <c r="O60" s="105">
        <f t="shared" si="3"/>
        <v>0</v>
      </c>
      <c r="P60" s="768"/>
      <c r="Q60" s="768">
        <v>0</v>
      </c>
      <c r="R60" s="105">
        <f t="shared" si="4"/>
        <v>0</v>
      </c>
      <c r="S60" s="135"/>
    </row>
    <row r="61" spans="1:19" ht="10" customHeight="1">
      <c r="B61" s="175"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75">
        <f t="shared" si="5"/>
        <v>513</v>
      </c>
      <c r="C62" s="139">
        <f t="shared" si="6"/>
        <v>27.316293929712458</v>
      </c>
      <c r="E62" s="140">
        <f>E63+E65+E72+E74</f>
        <v>52</v>
      </c>
      <c r="F62" s="105">
        <f t="shared" si="0"/>
        <v>10.1364522417154</v>
      </c>
      <c r="H62" s="140">
        <f>H63+H65+H72+H74</f>
        <v>422</v>
      </c>
      <c r="I62" s="105">
        <f t="shared" si="1"/>
        <v>82.261208576998044</v>
      </c>
      <c r="J62" s="95"/>
      <c r="K62" s="140">
        <f>K63+K65+K72+K74</f>
        <v>33</v>
      </c>
      <c r="L62" s="105">
        <f t="shared" si="2"/>
        <v>6.4327485380116958</v>
      </c>
      <c r="M62" s="116"/>
      <c r="N62" s="140">
        <f>N63+N65+N72+N74</f>
        <v>0</v>
      </c>
      <c r="O62" s="105">
        <f t="shared" si="3"/>
        <v>0</v>
      </c>
      <c r="P62" s="135"/>
      <c r="Q62" s="140">
        <f>Q63+Q65+Q72+Q74</f>
        <v>6</v>
      </c>
      <c r="R62" s="105">
        <f t="shared" si="4"/>
        <v>1.1695906432748537</v>
      </c>
      <c r="S62" s="135"/>
    </row>
    <row r="63" spans="1:19" ht="12" customHeight="1">
      <c r="A63" s="95" t="s">
        <v>411</v>
      </c>
      <c r="B63" s="175">
        <f t="shared" si="5"/>
        <v>25</v>
      </c>
      <c r="C63" s="139">
        <f t="shared" si="6"/>
        <v>1.3312034078807242</v>
      </c>
      <c r="E63" s="768">
        <v>4</v>
      </c>
      <c r="F63" s="105">
        <f t="shared" si="0"/>
        <v>16</v>
      </c>
      <c r="G63" s="768"/>
      <c r="H63" s="768">
        <v>19</v>
      </c>
      <c r="I63" s="105">
        <f t="shared" si="1"/>
        <v>76</v>
      </c>
      <c r="J63" s="768"/>
      <c r="K63" s="768">
        <v>2</v>
      </c>
      <c r="L63" s="105">
        <f t="shared" si="2"/>
        <v>8</v>
      </c>
      <c r="M63" s="768"/>
      <c r="N63" s="768">
        <v>0</v>
      </c>
      <c r="O63" s="105">
        <f t="shared" si="3"/>
        <v>0</v>
      </c>
      <c r="P63" s="768"/>
      <c r="Q63" s="768">
        <v>0</v>
      </c>
      <c r="R63" s="105">
        <f t="shared" si="4"/>
        <v>0</v>
      </c>
      <c r="S63" s="135"/>
    </row>
    <row r="64" spans="1:19" ht="10" customHeight="1">
      <c r="B64" s="175"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75">
        <f t="shared" si="5"/>
        <v>384</v>
      </c>
      <c r="C65" s="139">
        <f t="shared" si="6"/>
        <v>20.447284345047922</v>
      </c>
      <c r="E65" s="140">
        <f>SUM(E66:E70)</f>
        <v>27</v>
      </c>
      <c r="F65" s="105">
        <f t="shared" si="0"/>
        <v>7.03125</v>
      </c>
      <c r="H65" s="140">
        <f>SUM(H66:H70)</f>
        <v>327</v>
      </c>
      <c r="I65" s="105">
        <f t="shared" si="1"/>
        <v>85.15625</v>
      </c>
      <c r="K65" s="140">
        <f>SUM(K66:K70)</f>
        <v>24</v>
      </c>
      <c r="L65" s="105">
        <f t="shared" si="2"/>
        <v>6.25</v>
      </c>
      <c r="M65" s="116"/>
      <c r="N65" s="140">
        <f>SUM(N66:N70)</f>
        <v>0</v>
      </c>
      <c r="O65" s="105">
        <f t="shared" si="3"/>
        <v>0</v>
      </c>
      <c r="P65" s="135"/>
      <c r="Q65" s="140">
        <f>SUM(Q66:Q70)</f>
        <v>6</v>
      </c>
      <c r="R65" s="105">
        <f t="shared" si="4"/>
        <v>1.5625</v>
      </c>
      <c r="S65" s="135"/>
    </row>
    <row r="66" spans="1:19" ht="13.25" customHeight="1">
      <c r="A66" s="95" t="s">
        <v>482</v>
      </c>
      <c r="B66" s="175">
        <f t="shared" si="5"/>
        <v>304</v>
      </c>
      <c r="C66" s="139">
        <f t="shared" si="6"/>
        <v>16.187433439829608</v>
      </c>
      <c r="E66" s="768">
        <v>15</v>
      </c>
      <c r="F66" s="105">
        <f t="shared" si="0"/>
        <v>4.9342105263157894</v>
      </c>
      <c r="G66" s="768"/>
      <c r="H66" s="768">
        <v>264</v>
      </c>
      <c r="I66" s="105">
        <f t="shared" si="1"/>
        <v>86.842105263157904</v>
      </c>
      <c r="J66" s="768"/>
      <c r="K66" s="768">
        <v>19</v>
      </c>
      <c r="L66" s="105">
        <f t="shared" si="2"/>
        <v>6.25</v>
      </c>
      <c r="M66" s="768"/>
      <c r="N66" s="768">
        <v>0</v>
      </c>
      <c r="O66" s="105">
        <f t="shared" si="3"/>
        <v>0</v>
      </c>
      <c r="P66" s="768"/>
      <c r="Q66" s="768">
        <v>6</v>
      </c>
      <c r="R66" s="105">
        <f t="shared" si="4"/>
        <v>1.9736842105263157</v>
      </c>
      <c r="S66" s="135"/>
    </row>
    <row r="67" spans="1:19" ht="13.25" customHeight="1">
      <c r="A67" s="95" t="s">
        <v>204</v>
      </c>
      <c r="B67" s="175">
        <f t="shared" si="5"/>
        <v>38</v>
      </c>
      <c r="C67" s="139">
        <f t="shared" si="6"/>
        <v>2.023429179978701</v>
      </c>
      <c r="E67" s="768">
        <v>5</v>
      </c>
      <c r="F67" s="105">
        <f t="shared" si="0"/>
        <v>13.157894736842104</v>
      </c>
      <c r="G67" s="768"/>
      <c r="H67" s="768">
        <v>32</v>
      </c>
      <c r="I67" s="105">
        <f t="shared" si="1"/>
        <v>84.210526315789465</v>
      </c>
      <c r="J67" s="768"/>
      <c r="K67" s="768">
        <v>1</v>
      </c>
      <c r="L67" s="105">
        <f t="shared" si="2"/>
        <v>2.6315789473684208</v>
      </c>
      <c r="M67" s="768"/>
      <c r="N67" s="768">
        <v>0</v>
      </c>
      <c r="O67" s="105">
        <f t="shared" si="3"/>
        <v>0</v>
      </c>
      <c r="P67" s="768"/>
      <c r="Q67" s="768">
        <v>0</v>
      </c>
      <c r="R67" s="105">
        <f t="shared" si="4"/>
        <v>0</v>
      </c>
      <c r="S67" s="135"/>
    </row>
    <row r="68" spans="1:19" ht="13.25" customHeight="1">
      <c r="A68" s="95" t="s">
        <v>206</v>
      </c>
      <c r="B68" s="175">
        <f t="shared" si="5"/>
        <v>19</v>
      </c>
      <c r="C68" s="139">
        <f t="shared" si="6"/>
        <v>1.0117145899893505</v>
      </c>
      <c r="E68" s="768">
        <v>5</v>
      </c>
      <c r="F68" s="105">
        <f t="shared" si="0"/>
        <v>26.315789473684209</v>
      </c>
      <c r="G68" s="768"/>
      <c r="H68" s="768">
        <v>12</v>
      </c>
      <c r="I68" s="105">
        <f t="shared" si="1"/>
        <v>63.157894736842103</v>
      </c>
      <c r="J68" s="768"/>
      <c r="K68" s="768">
        <v>2</v>
      </c>
      <c r="L68" s="105">
        <f t="shared" si="2"/>
        <v>10.526315789473683</v>
      </c>
      <c r="M68" s="768"/>
      <c r="N68" s="768">
        <v>0</v>
      </c>
      <c r="O68" s="105">
        <f t="shared" si="3"/>
        <v>0</v>
      </c>
      <c r="P68" s="768"/>
      <c r="Q68" s="768">
        <v>0</v>
      </c>
      <c r="R68" s="105">
        <f t="shared" si="4"/>
        <v>0</v>
      </c>
      <c r="S68" s="135"/>
    </row>
    <row r="69" spans="1:19" ht="13.25" customHeight="1">
      <c r="A69" s="95" t="s">
        <v>207</v>
      </c>
      <c r="B69" s="175">
        <f t="shared" si="5"/>
        <v>12</v>
      </c>
      <c r="C69" s="139">
        <f t="shared" si="6"/>
        <v>0.63897763578274758</v>
      </c>
      <c r="E69" s="768">
        <v>1</v>
      </c>
      <c r="F69" s="105">
        <f t="shared" si="0"/>
        <v>8.3333333333333321</v>
      </c>
      <c r="G69" s="768"/>
      <c r="H69" s="768">
        <v>9</v>
      </c>
      <c r="I69" s="105">
        <f t="shared" si="1"/>
        <v>75</v>
      </c>
      <c r="J69" s="768"/>
      <c r="K69" s="768">
        <v>2</v>
      </c>
      <c r="L69" s="105">
        <f t="shared" si="2"/>
        <v>16.666666666666664</v>
      </c>
      <c r="M69" s="768"/>
      <c r="N69" s="768">
        <v>0</v>
      </c>
      <c r="O69" s="105">
        <f t="shared" si="3"/>
        <v>0</v>
      </c>
      <c r="P69" s="768"/>
      <c r="Q69" s="768">
        <v>0</v>
      </c>
      <c r="R69" s="105">
        <f t="shared" si="4"/>
        <v>0</v>
      </c>
      <c r="S69" s="135"/>
    </row>
    <row r="70" spans="1:19" ht="12" customHeight="1">
      <c r="A70" s="95" t="s">
        <v>205</v>
      </c>
      <c r="B70" s="175">
        <f t="shared" si="5"/>
        <v>11</v>
      </c>
      <c r="C70" s="139">
        <f t="shared" si="6"/>
        <v>0.58572949946751862</v>
      </c>
      <c r="E70" s="768">
        <v>1</v>
      </c>
      <c r="F70" s="105">
        <f t="shared" si="0"/>
        <v>9.0909090909090917</v>
      </c>
      <c r="G70" s="768"/>
      <c r="H70" s="768">
        <v>10</v>
      </c>
      <c r="I70" s="105">
        <f t="shared" si="1"/>
        <v>90.909090909090907</v>
      </c>
      <c r="J70" s="768"/>
      <c r="K70" s="768">
        <v>0</v>
      </c>
      <c r="L70" s="105">
        <f t="shared" si="2"/>
        <v>0</v>
      </c>
      <c r="M70" s="768"/>
      <c r="N70" s="768">
        <v>0</v>
      </c>
      <c r="O70" s="105">
        <f t="shared" si="3"/>
        <v>0</v>
      </c>
      <c r="P70" s="768"/>
      <c r="Q70" s="768">
        <v>0</v>
      </c>
      <c r="R70" s="105">
        <f t="shared" si="4"/>
        <v>0</v>
      </c>
      <c r="S70" s="135"/>
    </row>
    <row r="71" spans="1:19" ht="10" customHeight="1">
      <c r="B71" s="175" t="str">
        <f t="shared" si="5"/>
        <v/>
      </c>
      <c r="C71" s="139" t="str">
        <f t="shared" si="6"/>
        <v/>
      </c>
      <c r="E71" s="121"/>
      <c r="F71" s="105" t="str">
        <f t="shared" si="0"/>
        <v/>
      </c>
      <c r="G71" s="121"/>
      <c r="H71" s="121"/>
      <c r="I71" s="105" t="str">
        <f t="shared" si="1"/>
        <v/>
      </c>
      <c r="J71" s="121"/>
      <c r="K71" s="121"/>
      <c r="L71" s="105" t="str">
        <f t="shared" si="2"/>
        <v/>
      </c>
      <c r="M71" s="121"/>
      <c r="N71" s="121"/>
      <c r="O71" s="105" t="str">
        <f t="shared" si="3"/>
        <v/>
      </c>
      <c r="P71" s="121"/>
      <c r="Q71" s="121"/>
      <c r="R71" s="105" t="str">
        <f t="shared" si="4"/>
        <v/>
      </c>
      <c r="S71" s="135"/>
    </row>
    <row r="72" spans="1:19" ht="13.25" customHeight="1">
      <c r="A72" s="95" t="s">
        <v>208</v>
      </c>
      <c r="B72" s="175">
        <f t="shared" si="5"/>
        <v>25</v>
      </c>
      <c r="C72" s="139">
        <f t="shared" si="6"/>
        <v>1.3312034078807242</v>
      </c>
      <c r="E72" s="768">
        <v>15</v>
      </c>
      <c r="F72" s="105">
        <f t="shared" si="0"/>
        <v>60</v>
      </c>
      <c r="G72" s="768"/>
      <c r="H72" s="768">
        <v>10</v>
      </c>
      <c r="I72" s="105">
        <f t="shared" si="1"/>
        <v>40</v>
      </c>
      <c r="J72" s="768"/>
      <c r="K72" s="768">
        <v>0</v>
      </c>
      <c r="L72" s="105">
        <f t="shared" si="2"/>
        <v>0</v>
      </c>
      <c r="M72" s="768"/>
      <c r="N72" s="768">
        <v>0</v>
      </c>
      <c r="O72" s="105">
        <f t="shared" si="3"/>
        <v>0</v>
      </c>
      <c r="P72" s="768"/>
      <c r="Q72" s="768">
        <v>0</v>
      </c>
      <c r="R72" s="105">
        <f t="shared" si="4"/>
        <v>0</v>
      </c>
      <c r="S72" s="135"/>
    </row>
    <row r="73" spans="1:19" ht="10" customHeight="1">
      <c r="B73" s="175" t="str">
        <f t="shared" si="5"/>
        <v/>
      </c>
      <c r="C73" s="139" t="str">
        <f t="shared" si="6"/>
        <v/>
      </c>
      <c r="E73" s="121"/>
      <c r="F73" s="105" t="str">
        <f t="shared" si="0"/>
        <v/>
      </c>
      <c r="G73" s="121"/>
      <c r="H73" s="121"/>
      <c r="I73" s="105" t="str">
        <f t="shared" si="1"/>
        <v/>
      </c>
      <c r="J73" s="121"/>
      <c r="K73" s="121"/>
      <c r="L73" s="105" t="str">
        <f t="shared" si="2"/>
        <v/>
      </c>
      <c r="M73" s="121"/>
      <c r="N73" s="121"/>
      <c r="O73" s="105" t="str">
        <f t="shared" si="3"/>
        <v/>
      </c>
      <c r="P73" s="121"/>
      <c r="Q73" s="121"/>
      <c r="R73" s="105" t="str">
        <f t="shared" si="4"/>
        <v/>
      </c>
      <c r="S73" s="135"/>
    </row>
    <row r="74" spans="1:19" ht="13.25" customHeight="1">
      <c r="A74" s="95" t="s">
        <v>209</v>
      </c>
      <c r="B74" s="175">
        <f t="shared" si="5"/>
        <v>79</v>
      </c>
      <c r="C74" s="139">
        <f t="shared" si="6"/>
        <v>4.2066027689030889</v>
      </c>
      <c r="E74" s="768">
        <v>6</v>
      </c>
      <c r="F74" s="105">
        <f t="shared" si="0"/>
        <v>7.59493670886076</v>
      </c>
      <c r="G74" s="768"/>
      <c r="H74" s="768">
        <v>66</v>
      </c>
      <c r="I74" s="105">
        <f t="shared" si="1"/>
        <v>83.544303797468359</v>
      </c>
      <c r="J74" s="768"/>
      <c r="K74" s="768">
        <v>7</v>
      </c>
      <c r="L74" s="105">
        <f t="shared" si="2"/>
        <v>8.8607594936708853</v>
      </c>
      <c r="M74" s="768"/>
      <c r="N74" s="768">
        <v>0</v>
      </c>
      <c r="O74" s="105">
        <f t="shared" si="3"/>
        <v>0</v>
      </c>
      <c r="P74" s="768"/>
      <c r="Q74" s="768">
        <v>0</v>
      </c>
      <c r="R74" s="105">
        <f t="shared" si="4"/>
        <v>0</v>
      </c>
      <c r="S74" s="135"/>
    </row>
    <row r="75" spans="1:19" ht="10" customHeight="1">
      <c r="B75" s="175" t="str">
        <f t="shared" si="5"/>
        <v/>
      </c>
      <c r="C75" s="139" t="str">
        <f t="shared" si="6"/>
        <v/>
      </c>
      <c r="F75" s="105" t="str">
        <f t="shared" ref="F75:F112" si="7">IF($A75&lt;&gt;0,E75/$B75*100,"")</f>
        <v/>
      </c>
      <c r="I75" s="105" t="str">
        <f t="shared" ref="I75:I112" si="8">IF($A75&lt;&gt;0,H75/$B75*100,"")</f>
        <v/>
      </c>
      <c r="K75" s="154"/>
      <c r="L75" s="105" t="str">
        <f t="shared" ref="L75:L112" si="9">IF($A75&lt;&gt;0,K75/$B75*100,"")</f>
        <v/>
      </c>
      <c r="M75" s="116"/>
      <c r="N75" s="154"/>
      <c r="O75" s="105" t="str">
        <f t="shared" ref="O75:O112" si="10">IF($A75&lt;&gt;0,N75/$B75*100,"")</f>
        <v/>
      </c>
      <c r="P75" s="135"/>
      <c r="Q75" s="154"/>
      <c r="R75" s="105" t="str">
        <f t="shared" ref="R75:R112" si="11">IF($A75&lt;&gt;0,Q75/$B75*100,"")</f>
        <v/>
      </c>
      <c r="S75" s="135"/>
    </row>
    <row r="76" spans="1:19" ht="13.25" customHeight="1">
      <c r="A76" s="55" t="s">
        <v>413</v>
      </c>
      <c r="B76" s="175">
        <f t="shared" ref="B76:B112" si="12">IF($A76&lt;&gt;"",E76+H76+K76+N76+Q76,"")</f>
        <v>59</v>
      </c>
      <c r="C76" s="139">
        <f t="shared" si="6"/>
        <v>3.1416400425985094</v>
      </c>
      <c r="E76" s="140">
        <f>SUM(E77)</f>
        <v>23</v>
      </c>
      <c r="F76" s="105">
        <f t="shared" si="7"/>
        <v>38.983050847457626</v>
      </c>
      <c r="H76" s="140">
        <f>SUM(H77)</f>
        <v>34</v>
      </c>
      <c r="I76" s="105">
        <f t="shared" si="8"/>
        <v>57.627118644067799</v>
      </c>
      <c r="K76" s="154">
        <f>SUM(K77)</f>
        <v>2</v>
      </c>
      <c r="L76" s="105">
        <f t="shared" si="9"/>
        <v>3.3898305084745761</v>
      </c>
      <c r="M76" s="116"/>
      <c r="N76" s="154">
        <f>SUM(N77)</f>
        <v>0</v>
      </c>
      <c r="O76" s="105">
        <f t="shared" si="10"/>
        <v>0</v>
      </c>
      <c r="P76" s="135"/>
      <c r="Q76" s="154">
        <f>SUM(Q77)</f>
        <v>0</v>
      </c>
      <c r="R76" s="105">
        <f t="shared" si="11"/>
        <v>0</v>
      </c>
      <c r="S76" s="135"/>
    </row>
    <row r="77" spans="1:19" ht="13.25" customHeight="1">
      <c r="A77" s="95" t="s">
        <v>414</v>
      </c>
      <c r="B77" s="175">
        <f t="shared" si="12"/>
        <v>59</v>
      </c>
      <c r="C77" s="139">
        <f t="shared" ref="C77:C95" si="13">IF(A77&lt;&gt;0,B77/$B$11*100,"")</f>
        <v>3.1416400425985094</v>
      </c>
      <c r="E77" s="140">
        <f>SUM(E78:E81)</f>
        <v>23</v>
      </c>
      <c r="F77" s="105">
        <f t="shared" si="7"/>
        <v>38.983050847457626</v>
      </c>
      <c r="H77" s="140">
        <f>SUM(H78:H81)</f>
        <v>34</v>
      </c>
      <c r="I77" s="105">
        <f t="shared" si="8"/>
        <v>57.627118644067799</v>
      </c>
      <c r="K77" s="140">
        <f>SUM(K78:K81)</f>
        <v>2</v>
      </c>
      <c r="L77" s="105">
        <f t="shared" si="9"/>
        <v>3.3898305084745761</v>
      </c>
      <c r="M77" s="116"/>
      <c r="N77" s="140">
        <f>SUM(N78:N81)</f>
        <v>0</v>
      </c>
      <c r="O77" s="105">
        <f t="shared" si="10"/>
        <v>0</v>
      </c>
      <c r="P77" s="135"/>
      <c r="Q77" s="140">
        <f>SUM(Q78:Q81)</f>
        <v>0</v>
      </c>
      <c r="R77" s="105">
        <f t="shared" si="11"/>
        <v>0</v>
      </c>
      <c r="S77" s="135"/>
    </row>
    <row r="78" spans="1:19" ht="13.25" customHeight="1">
      <c r="A78" s="95" t="s">
        <v>212</v>
      </c>
      <c r="B78" s="175">
        <f t="shared" si="12"/>
        <v>13</v>
      </c>
      <c r="C78" s="139">
        <f t="shared" si="13"/>
        <v>0.69222577209797653</v>
      </c>
      <c r="E78" s="768">
        <v>3</v>
      </c>
      <c r="F78" s="105">
        <f t="shared" si="7"/>
        <v>23.076923076923077</v>
      </c>
      <c r="G78" s="768"/>
      <c r="H78" s="768">
        <v>10</v>
      </c>
      <c r="I78" s="105">
        <f t="shared" si="8"/>
        <v>76.923076923076934</v>
      </c>
      <c r="J78" s="768"/>
      <c r="K78" s="768">
        <v>0</v>
      </c>
      <c r="L78" s="105">
        <f t="shared" si="9"/>
        <v>0</v>
      </c>
      <c r="M78" s="768"/>
      <c r="N78" s="768">
        <v>0</v>
      </c>
      <c r="O78" s="105">
        <f t="shared" si="10"/>
        <v>0</v>
      </c>
      <c r="P78" s="768"/>
      <c r="Q78" s="768">
        <v>0</v>
      </c>
      <c r="R78" s="105">
        <f t="shared" si="11"/>
        <v>0</v>
      </c>
      <c r="S78" s="135"/>
    </row>
    <row r="79" spans="1:19" ht="13.25" customHeight="1">
      <c r="A79" s="95" t="s">
        <v>213</v>
      </c>
      <c r="B79" s="175">
        <f t="shared" si="12"/>
        <v>24</v>
      </c>
      <c r="C79" s="139">
        <f t="shared" si="13"/>
        <v>1.2779552715654952</v>
      </c>
      <c r="E79" s="768">
        <v>12</v>
      </c>
      <c r="F79" s="105">
        <f t="shared" si="7"/>
        <v>50</v>
      </c>
      <c r="G79" s="768"/>
      <c r="H79" s="768">
        <v>10</v>
      </c>
      <c r="I79" s="105">
        <f t="shared" si="8"/>
        <v>41.666666666666671</v>
      </c>
      <c r="J79" s="768"/>
      <c r="K79" s="768">
        <v>2</v>
      </c>
      <c r="L79" s="105">
        <f t="shared" si="9"/>
        <v>8.3333333333333321</v>
      </c>
      <c r="M79" s="768"/>
      <c r="N79" s="768">
        <v>0</v>
      </c>
      <c r="O79" s="105">
        <f t="shared" si="10"/>
        <v>0</v>
      </c>
      <c r="P79" s="768"/>
      <c r="Q79" s="768">
        <v>0</v>
      </c>
      <c r="R79" s="105">
        <f t="shared" si="11"/>
        <v>0</v>
      </c>
      <c r="S79" s="135"/>
    </row>
    <row r="80" spans="1:19" ht="12" customHeight="1">
      <c r="A80" s="95" t="s">
        <v>214</v>
      </c>
      <c r="B80" s="175">
        <f t="shared" si="12"/>
        <v>9</v>
      </c>
      <c r="C80" s="139">
        <f t="shared" si="13"/>
        <v>0.47923322683706071</v>
      </c>
      <c r="E80" s="768">
        <v>3</v>
      </c>
      <c r="F80" s="105">
        <f t="shared" si="7"/>
        <v>33.333333333333329</v>
      </c>
      <c r="G80" s="768"/>
      <c r="H80" s="768">
        <v>6</v>
      </c>
      <c r="I80" s="105">
        <f t="shared" si="8"/>
        <v>66.666666666666657</v>
      </c>
      <c r="J80" s="768"/>
      <c r="K80" s="768">
        <v>0</v>
      </c>
      <c r="L80" s="105">
        <f t="shared" si="9"/>
        <v>0</v>
      </c>
      <c r="M80" s="768"/>
      <c r="N80" s="768">
        <v>0</v>
      </c>
      <c r="O80" s="105">
        <f t="shared" si="10"/>
        <v>0</v>
      </c>
      <c r="P80" s="768"/>
      <c r="Q80" s="768">
        <v>0</v>
      </c>
      <c r="R80" s="105">
        <f t="shared" si="11"/>
        <v>0</v>
      </c>
      <c r="S80" s="135"/>
    </row>
    <row r="81" spans="1:19" ht="13.25" customHeight="1">
      <c r="A81" s="95" t="s">
        <v>215</v>
      </c>
      <c r="B81" s="175">
        <f t="shared" si="12"/>
        <v>13</v>
      </c>
      <c r="C81" s="139">
        <f t="shared" si="13"/>
        <v>0.69222577209797653</v>
      </c>
      <c r="E81" s="768">
        <v>5</v>
      </c>
      <c r="F81" s="105">
        <f t="shared" si="7"/>
        <v>38.461538461538467</v>
      </c>
      <c r="G81" s="768"/>
      <c r="H81" s="768">
        <v>8</v>
      </c>
      <c r="I81" s="105">
        <f t="shared" si="8"/>
        <v>61.53846153846154</v>
      </c>
      <c r="J81" s="768"/>
      <c r="K81" s="768">
        <v>0</v>
      </c>
      <c r="L81" s="105">
        <f t="shared" si="9"/>
        <v>0</v>
      </c>
      <c r="M81" s="768"/>
      <c r="N81" s="768">
        <v>0</v>
      </c>
      <c r="O81" s="105">
        <f t="shared" si="10"/>
        <v>0</v>
      </c>
      <c r="P81" s="768"/>
      <c r="Q81" s="768">
        <v>0</v>
      </c>
      <c r="R81" s="105">
        <f t="shared" si="11"/>
        <v>0</v>
      </c>
      <c r="S81" s="135"/>
    </row>
    <row r="82" spans="1:19" ht="8.25" customHeight="1">
      <c r="B82" s="175" t="str">
        <f t="shared" si="12"/>
        <v/>
      </c>
      <c r="C82" s="139" t="str">
        <f t="shared" si="13"/>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75">
        <f t="shared" si="12"/>
        <v>157</v>
      </c>
      <c r="C83" s="139">
        <f t="shared" si="13"/>
        <v>8.3599574014909468</v>
      </c>
      <c r="E83" s="72">
        <f>SUM(E84)</f>
        <v>60</v>
      </c>
      <c r="F83" s="105">
        <f t="shared" si="7"/>
        <v>38.216560509554142</v>
      </c>
      <c r="G83" s="33"/>
      <c r="H83" s="72">
        <f>SUM(H84)</f>
        <v>63</v>
      </c>
      <c r="I83" s="105">
        <f t="shared" si="8"/>
        <v>40.127388535031848</v>
      </c>
      <c r="J83" s="73"/>
      <c r="K83" s="72">
        <f>SUM(K84)</f>
        <v>33</v>
      </c>
      <c r="L83" s="105">
        <f t="shared" si="9"/>
        <v>21.019108280254777</v>
      </c>
      <c r="M83" s="57"/>
      <c r="N83" s="72">
        <f>SUM(N84)</f>
        <v>1</v>
      </c>
      <c r="O83" s="105">
        <f t="shared" si="10"/>
        <v>0.63694267515923575</v>
      </c>
      <c r="P83" s="74"/>
      <c r="Q83" s="72">
        <f>SUM(Q84)</f>
        <v>0</v>
      </c>
      <c r="R83" s="105">
        <f t="shared" si="11"/>
        <v>0</v>
      </c>
      <c r="S83" s="74"/>
    </row>
    <row r="84" spans="1:19" ht="13.25" customHeight="1">
      <c r="A84" s="95" t="s">
        <v>217</v>
      </c>
      <c r="B84" s="175">
        <f t="shared" si="12"/>
        <v>157</v>
      </c>
      <c r="C84" s="139">
        <f t="shared" si="13"/>
        <v>8.3599574014909468</v>
      </c>
      <c r="E84" s="140">
        <f>SUM(E85:E93)</f>
        <v>60</v>
      </c>
      <c r="F84" s="105">
        <f t="shared" si="7"/>
        <v>38.216560509554142</v>
      </c>
      <c r="H84" s="140">
        <f>SUM(H85:H93)</f>
        <v>63</v>
      </c>
      <c r="I84" s="105">
        <f t="shared" si="8"/>
        <v>40.127388535031848</v>
      </c>
      <c r="K84" s="140">
        <f>SUM(K85:K93)</f>
        <v>33</v>
      </c>
      <c r="L84" s="105">
        <f t="shared" si="9"/>
        <v>21.019108280254777</v>
      </c>
      <c r="M84" s="116"/>
      <c r="N84" s="140">
        <f>SUM(N85:N93)</f>
        <v>1</v>
      </c>
      <c r="O84" s="105">
        <f t="shared" si="10"/>
        <v>0.63694267515923575</v>
      </c>
      <c r="P84" s="135"/>
      <c r="Q84" s="140">
        <f>SUM(Q85:Q93)</f>
        <v>0</v>
      </c>
      <c r="R84" s="105">
        <f t="shared" si="11"/>
        <v>0</v>
      </c>
      <c r="S84" s="135"/>
    </row>
    <row r="85" spans="1:19" ht="13.25" customHeight="1">
      <c r="A85" s="95" t="s">
        <v>415</v>
      </c>
      <c r="B85" s="175">
        <f t="shared" si="12"/>
        <v>10</v>
      </c>
      <c r="C85" s="139">
        <f t="shared" si="13"/>
        <v>0.53248136315228967</v>
      </c>
      <c r="E85" s="768">
        <v>6</v>
      </c>
      <c r="F85" s="105">
        <f t="shared" si="7"/>
        <v>60</v>
      </c>
      <c r="G85" s="768"/>
      <c r="H85" s="768">
        <v>3</v>
      </c>
      <c r="I85" s="105">
        <f t="shared" si="8"/>
        <v>30</v>
      </c>
      <c r="J85" s="768"/>
      <c r="K85" s="768">
        <v>1</v>
      </c>
      <c r="L85" s="105">
        <f t="shared" si="9"/>
        <v>10</v>
      </c>
      <c r="M85" s="768"/>
      <c r="N85" s="768">
        <v>0</v>
      </c>
      <c r="O85" s="105">
        <f t="shared" si="10"/>
        <v>0</v>
      </c>
      <c r="P85" s="768"/>
      <c r="Q85" s="768">
        <v>0</v>
      </c>
      <c r="R85" s="105">
        <f t="shared" si="11"/>
        <v>0</v>
      </c>
      <c r="S85" s="135"/>
    </row>
    <row r="86" spans="1:19" ht="13.25" customHeight="1">
      <c r="A86" s="95" t="s">
        <v>218</v>
      </c>
      <c r="B86" s="175">
        <f t="shared" si="12"/>
        <v>27</v>
      </c>
      <c r="C86" s="139">
        <f t="shared" si="13"/>
        <v>1.4376996805111821</v>
      </c>
      <c r="E86" s="768">
        <v>12</v>
      </c>
      <c r="F86" s="105">
        <f t="shared" si="7"/>
        <v>44.444444444444443</v>
      </c>
      <c r="G86" s="768"/>
      <c r="H86" s="768">
        <v>11</v>
      </c>
      <c r="I86" s="105">
        <f t="shared" si="8"/>
        <v>40.74074074074074</v>
      </c>
      <c r="J86" s="768"/>
      <c r="K86" s="768">
        <v>4</v>
      </c>
      <c r="L86" s="105">
        <f t="shared" si="9"/>
        <v>14.814814814814813</v>
      </c>
      <c r="M86" s="768"/>
      <c r="N86" s="768">
        <v>0</v>
      </c>
      <c r="O86" s="105">
        <f t="shared" si="10"/>
        <v>0</v>
      </c>
      <c r="P86" s="768"/>
      <c r="Q86" s="768">
        <v>0</v>
      </c>
      <c r="R86" s="105">
        <f t="shared" si="11"/>
        <v>0</v>
      </c>
      <c r="S86" s="135"/>
    </row>
    <row r="87" spans="1:19" ht="13.25" customHeight="1">
      <c r="A87" s="95" t="s">
        <v>220</v>
      </c>
      <c r="B87" s="175">
        <f t="shared" si="12"/>
        <v>20</v>
      </c>
      <c r="C87" s="139">
        <f t="shared" si="13"/>
        <v>1.0649627263045793</v>
      </c>
      <c r="E87" s="768">
        <v>12</v>
      </c>
      <c r="F87" s="105">
        <f t="shared" si="7"/>
        <v>60</v>
      </c>
      <c r="G87" s="768"/>
      <c r="H87" s="768">
        <v>7</v>
      </c>
      <c r="I87" s="105">
        <f t="shared" si="8"/>
        <v>35</v>
      </c>
      <c r="J87" s="768"/>
      <c r="K87" s="768">
        <v>1</v>
      </c>
      <c r="L87" s="105">
        <f t="shared" si="9"/>
        <v>5</v>
      </c>
      <c r="M87" s="768"/>
      <c r="N87" s="768">
        <v>0</v>
      </c>
      <c r="O87" s="105">
        <f t="shared" si="10"/>
        <v>0</v>
      </c>
      <c r="P87" s="768"/>
      <c r="Q87" s="768">
        <v>0</v>
      </c>
      <c r="R87" s="105">
        <f t="shared" si="11"/>
        <v>0</v>
      </c>
      <c r="S87" s="135"/>
    </row>
    <row r="88" spans="1:19" ht="13.25" customHeight="1">
      <c r="A88" s="95" t="s">
        <v>222</v>
      </c>
      <c r="B88" s="175">
        <f t="shared" si="12"/>
        <v>16</v>
      </c>
      <c r="C88" s="139">
        <f t="shared" si="13"/>
        <v>0.85197018104366351</v>
      </c>
      <c r="E88" s="768">
        <v>2</v>
      </c>
      <c r="F88" s="105">
        <f t="shared" si="7"/>
        <v>12.5</v>
      </c>
      <c r="G88" s="768"/>
      <c r="H88" s="768">
        <v>8</v>
      </c>
      <c r="I88" s="105">
        <f t="shared" si="8"/>
        <v>50</v>
      </c>
      <c r="J88" s="768"/>
      <c r="K88" s="768">
        <v>6</v>
      </c>
      <c r="L88" s="105">
        <f t="shared" si="9"/>
        <v>37.5</v>
      </c>
      <c r="M88" s="768"/>
      <c r="N88" s="768">
        <v>0</v>
      </c>
      <c r="O88" s="105">
        <f t="shared" si="10"/>
        <v>0</v>
      </c>
      <c r="P88" s="768"/>
      <c r="Q88" s="768">
        <v>0</v>
      </c>
      <c r="R88" s="105">
        <f t="shared" si="11"/>
        <v>0</v>
      </c>
      <c r="S88" s="135"/>
    </row>
    <row r="89" spans="1:19" ht="13.25" customHeight="1">
      <c r="A89" s="95" t="s">
        <v>221</v>
      </c>
      <c r="B89" s="175">
        <f t="shared" si="12"/>
        <v>11</v>
      </c>
      <c r="C89" s="139">
        <f t="shared" si="13"/>
        <v>0.58572949946751862</v>
      </c>
      <c r="E89" s="768">
        <v>3</v>
      </c>
      <c r="F89" s="105">
        <f t="shared" si="7"/>
        <v>27.27272727272727</v>
      </c>
      <c r="G89" s="768"/>
      <c r="H89" s="768">
        <v>7</v>
      </c>
      <c r="I89" s="105">
        <f t="shared" si="8"/>
        <v>63.636363636363633</v>
      </c>
      <c r="J89" s="768"/>
      <c r="K89" s="768">
        <v>1</v>
      </c>
      <c r="L89" s="105">
        <f t="shared" si="9"/>
        <v>9.0909090909090917</v>
      </c>
      <c r="M89" s="768"/>
      <c r="N89" s="768">
        <v>0</v>
      </c>
      <c r="O89" s="105">
        <f t="shared" si="10"/>
        <v>0</v>
      </c>
      <c r="P89" s="768"/>
      <c r="Q89" s="768">
        <v>0</v>
      </c>
      <c r="R89" s="105">
        <f t="shared" si="11"/>
        <v>0</v>
      </c>
      <c r="S89" s="135"/>
    </row>
    <row r="90" spans="1:19" ht="13.25" customHeight="1">
      <c r="A90" s="95" t="s">
        <v>219</v>
      </c>
      <c r="B90" s="175">
        <f t="shared" si="12"/>
        <v>11</v>
      </c>
      <c r="C90" s="139">
        <f t="shared" si="13"/>
        <v>0.58572949946751862</v>
      </c>
      <c r="E90" s="768">
        <v>5</v>
      </c>
      <c r="F90" s="105">
        <f t="shared" si="7"/>
        <v>45.454545454545453</v>
      </c>
      <c r="G90" s="768"/>
      <c r="H90" s="768">
        <v>5</v>
      </c>
      <c r="I90" s="105">
        <f t="shared" si="8"/>
        <v>45.454545454545453</v>
      </c>
      <c r="J90" s="768"/>
      <c r="K90" s="768">
        <v>1</v>
      </c>
      <c r="L90" s="105">
        <f t="shared" si="9"/>
        <v>9.0909090909090917</v>
      </c>
      <c r="M90" s="768"/>
      <c r="N90" s="768">
        <v>0</v>
      </c>
      <c r="O90" s="105">
        <f t="shared" si="10"/>
        <v>0</v>
      </c>
      <c r="P90" s="768"/>
      <c r="Q90" s="768">
        <v>0</v>
      </c>
      <c r="R90" s="105">
        <f t="shared" si="11"/>
        <v>0</v>
      </c>
      <c r="S90" s="135"/>
    </row>
    <row r="91" spans="1:19" ht="13.25" customHeight="1">
      <c r="A91" s="95" t="s">
        <v>223</v>
      </c>
      <c r="B91" s="175">
        <f t="shared" si="12"/>
        <v>30</v>
      </c>
      <c r="C91" s="139">
        <f t="shared" si="13"/>
        <v>1.5974440894568689</v>
      </c>
      <c r="E91" s="768">
        <v>6</v>
      </c>
      <c r="F91" s="105">
        <f t="shared" si="7"/>
        <v>20</v>
      </c>
      <c r="G91" s="768"/>
      <c r="H91" s="768">
        <v>11</v>
      </c>
      <c r="I91" s="105">
        <f t="shared" si="8"/>
        <v>36.666666666666664</v>
      </c>
      <c r="J91" s="768"/>
      <c r="K91" s="768">
        <v>13</v>
      </c>
      <c r="L91" s="105">
        <f t="shared" si="9"/>
        <v>43.333333333333336</v>
      </c>
      <c r="M91" s="768"/>
      <c r="N91" s="768">
        <v>0</v>
      </c>
      <c r="O91" s="105">
        <f t="shared" si="10"/>
        <v>0</v>
      </c>
      <c r="P91" s="768"/>
      <c r="Q91" s="768">
        <v>0</v>
      </c>
      <c r="R91" s="105">
        <f t="shared" si="11"/>
        <v>0</v>
      </c>
      <c r="S91" s="135"/>
    </row>
    <row r="92" spans="1:19" ht="12" customHeight="1">
      <c r="A92" s="95" t="s">
        <v>226</v>
      </c>
      <c r="B92" s="175">
        <f t="shared" si="12"/>
        <v>9</v>
      </c>
      <c r="C92" s="139">
        <f t="shared" si="13"/>
        <v>0.47923322683706071</v>
      </c>
      <c r="E92" s="768">
        <v>0</v>
      </c>
      <c r="F92" s="105">
        <f t="shared" si="7"/>
        <v>0</v>
      </c>
      <c r="G92" s="768"/>
      <c r="H92" s="768">
        <v>5</v>
      </c>
      <c r="I92" s="105">
        <f t="shared" si="8"/>
        <v>55.555555555555557</v>
      </c>
      <c r="J92" s="768"/>
      <c r="K92" s="768">
        <v>3</v>
      </c>
      <c r="L92" s="105">
        <f t="shared" si="9"/>
        <v>33.333333333333329</v>
      </c>
      <c r="M92" s="768"/>
      <c r="N92" s="768">
        <v>1</v>
      </c>
      <c r="O92" s="105">
        <f t="shared" si="10"/>
        <v>11.111111111111111</v>
      </c>
      <c r="P92" s="768"/>
      <c r="Q92" s="768">
        <v>0</v>
      </c>
      <c r="R92" s="105">
        <f t="shared" si="11"/>
        <v>0</v>
      </c>
      <c r="S92" s="135"/>
    </row>
    <row r="93" spans="1:19" ht="13.25" customHeight="1">
      <c r="A93" s="95" t="s">
        <v>416</v>
      </c>
      <c r="B93" s="175">
        <f t="shared" si="12"/>
        <v>23</v>
      </c>
      <c r="C93" s="139">
        <f t="shared" si="13"/>
        <v>1.2247071352502663</v>
      </c>
      <c r="E93" s="768">
        <v>14</v>
      </c>
      <c r="F93" s="105">
        <f t="shared" si="7"/>
        <v>60.869565217391312</v>
      </c>
      <c r="G93" s="768"/>
      <c r="H93" s="768">
        <v>6</v>
      </c>
      <c r="I93" s="105">
        <f t="shared" si="8"/>
        <v>26.086956521739129</v>
      </c>
      <c r="J93" s="768"/>
      <c r="K93" s="768">
        <v>3</v>
      </c>
      <c r="L93" s="105">
        <f t="shared" si="9"/>
        <v>13.043478260869565</v>
      </c>
      <c r="M93" s="768"/>
      <c r="N93" s="768">
        <v>0</v>
      </c>
      <c r="O93" s="105">
        <f t="shared" si="10"/>
        <v>0</v>
      </c>
      <c r="P93" s="768"/>
      <c r="Q93" s="768">
        <v>0</v>
      </c>
      <c r="R93" s="105">
        <f t="shared" si="11"/>
        <v>0</v>
      </c>
      <c r="S93" s="135"/>
    </row>
    <row r="94" spans="1:19" ht="10" customHeight="1">
      <c r="B94" s="175" t="str">
        <f t="shared" si="12"/>
        <v/>
      </c>
      <c r="C94" s="139" t="str">
        <f t="shared" si="13"/>
        <v/>
      </c>
      <c r="E94" s="121"/>
      <c r="F94" s="105" t="str">
        <f t="shared" si="7"/>
        <v/>
      </c>
      <c r="G94" s="121"/>
      <c r="H94" s="121"/>
      <c r="I94" s="105" t="str">
        <f t="shared" si="8"/>
        <v/>
      </c>
      <c r="J94" s="121"/>
      <c r="K94" s="121"/>
      <c r="L94" s="105" t="str">
        <f t="shared" si="9"/>
        <v/>
      </c>
      <c r="M94" s="121"/>
      <c r="N94" s="121"/>
      <c r="O94" s="105" t="str">
        <f t="shared" si="10"/>
        <v/>
      </c>
      <c r="P94" s="121"/>
      <c r="Q94" s="121"/>
      <c r="R94" s="105" t="str">
        <f t="shared" si="11"/>
        <v/>
      </c>
      <c r="S94" s="135"/>
    </row>
    <row r="95" spans="1:19" ht="12" customHeight="1">
      <c r="A95" s="95" t="s">
        <v>227</v>
      </c>
      <c r="B95" s="175">
        <f t="shared" si="12"/>
        <v>97</v>
      </c>
      <c r="C95" s="139">
        <f t="shared" si="13"/>
        <v>5.1650692225772099</v>
      </c>
      <c r="E95" s="768">
        <v>36</v>
      </c>
      <c r="F95" s="105">
        <f t="shared" si="7"/>
        <v>37.113402061855673</v>
      </c>
      <c r="G95" s="768"/>
      <c r="H95" s="768">
        <v>47</v>
      </c>
      <c r="I95" s="105">
        <f t="shared" si="8"/>
        <v>48.453608247422679</v>
      </c>
      <c r="J95" s="768"/>
      <c r="K95" s="768">
        <v>14</v>
      </c>
      <c r="L95" s="105">
        <f t="shared" si="9"/>
        <v>14.432989690721648</v>
      </c>
      <c r="M95" s="768"/>
      <c r="N95" s="768">
        <v>0</v>
      </c>
      <c r="O95" s="105">
        <f t="shared" si="10"/>
        <v>0</v>
      </c>
      <c r="P95" s="768"/>
      <c r="Q95" s="768">
        <v>0</v>
      </c>
      <c r="R95" s="105">
        <f t="shared" si="11"/>
        <v>0</v>
      </c>
      <c r="S95" s="135"/>
    </row>
    <row r="96" spans="1:19" ht="12" hidden="1" customHeight="1">
      <c r="A96" s="33" t="s">
        <v>484</v>
      </c>
      <c r="B96" s="175">
        <f t="shared" si="12"/>
        <v>0</v>
      </c>
      <c r="E96" s="121"/>
      <c r="F96" s="105" t="e">
        <f t="shared" si="7"/>
        <v>#DIV/0!</v>
      </c>
      <c r="G96" s="121"/>
      <c r="H96" s="121"/>
      <c r="I96" s="105" t="e">
        <f t="shared" si="8"/>
        <v>#DIV/0!</v>
      </c>
      <c r="J96" s="121"/>
      <c r="K96" s="121"/>
      <c r="L96" s="105" t="e">
        <f t="shared" si="9"/>
        <v>#DIV/0!</v>
      </c>
      <c r="M96" s="121"/>
      <c r="N96" s="121"/>
      <c r="O96" s="105" t="e">
        <f t="shared" si="10"/>
        <v>#DIV/0!</v>
      </c>
      <c r="P96" s="71"/>
      <c r="Q96" s="71"/>
      <c r="R96" s="105" t="e">
        <f t="shared" si="11"/>
        <v>#DIV/0!</v>
      </c>
      <c r="S96" s="135"/>
    </row>
    <row r="97" spans="1:19" ht="12" hidden="1" customHeight="1">
      <c r="A97" s="95" t="s">
        <v>417</v>
      </c>
      <c r="B97" s="175">
        <f t="shared" si="12"/>
        <v>0</v>
      </c>
      <c r="E97" s="121"/>
      <c r="F97" s="105" t="e">
        <f t="shared" si="7"/>
        <v>#DIV/0!</v>
      </c>
      <c r="G97" s="121"/>
      <c r="H97" s="121"/>
      <c r="I97" s="105" t="e">
        <f t="shared" si="8"/>
        <v>#DIV/0!</v>
      </c>
      <c r="J97" s="121"/>
      <c r="K97" s="121"/>
      <c r="L97" s="105" t="e">
        <f t="shared" si="9"/>
        <v>#DIV/0!</v>
      </c>
      <c r="M97" s="121"/>
      <c r="N97" s="121"/>
      <c r="O97" s="105" t="e">
        <f t="shared" si="10"/>
        <v>#DIV/0!</v>
      </c>
      <c r="P97" s="71"/>
      <c r="Q97" s="71"/>
      <c r="R97" s="105" t="e">
        <f t="shared" si="11"/>
        <v>#DIV/0!</v>
      </c>
      <c r="S97" s="135"/>
    </row>
    <row r="98" spans="1:19" ht="9" customHeight="1">
      <c r="B98" s="175" t="str">
        <f t="shared" si="12"/>
        <v/>
      </c>
      <c r="C98" s="139" t="str">
        <f t="shared" ref="C98:C103" si="14">IF(A98&lt;&gt;0,B98/$B$11*100,"")</f>
        <v/>
      </c>
      <c r="F98" s="105" t="str">
        <f t="shared" si="7"/>
        <v/>
      </c>
      <c r="I98" s="105" t="str">
        <f t="shared" si="8"/>
        <v/>
      </c>
      <c r="L98" s="105" t="str">
        <f t="shared" si="9"/>
        <v/>
      </c>
      <c r="M98" s="116"/>
      <c r="O98" s="105" t="str">
        <f t="shared" si="10"/>
        <v/>
      </c>
      <c r="P98" s="135"/>
      <c r="Q98" s="140"/>
      <c r="R98" s="105" t="str">
        <f t="shared" si="11"/>
        <v/>
      </c>
      <c r="S98" s="135"/>
    </row>
    <row r="99" spans="1:19" ht="12" customHeight="1">
      <c r="A99" s="17" t="s">
        <v>84</v>
      </c>
      <c r="B99" s="175">
        <f t="shared" si="12"/>
        <v>136</v>
      </c>
      <c r="C99" s="139">
        <f t="shared" si="14"/>
        <v>7.2417465388711397</v>
      </c>
      <c r="D99" s="111"/>
      <c r="E99" s="155">
        <f>SUM(E101+E102+E103+E105)</f>
        <v>105</v>
      </c>
      <c r="F99" s="105">
        <f t="shared" si="7"/>
        <v>77.205882352941174</v>
      </c>
      <c r="G99" s="155"/>
      <c r="H99" s="155">
        <f>SUM(H101+H102+H103+H105)</f>
        <v>27</v>
      </c>
      <c r="I99" s="105">
        <f t="shared" si="8"/>
        <v>19.852941176470587</v>
      </c>
      <c r="J99" s="139"/>
      <c r="K99" s="155">
        <f>SUM(K101+K102+K103+K105)</f>
        <v>4</v>
      </c>
      <c r="L99" s="105">
        <f t="shared" si="9"/>
        <v>2.9411764705882351</v>
      </c>
      <c r="M99" s="116"/>
      <c r="N99" s="140">
        <f>SUM(N101+N102+N103+N105)</f>
        <v>0</v>
      </c>
      <c r="O99" s="105">
        <f t="shared" si="10"/>
        <v>0</v>
      </c>
      <c r="P99" s="135"/>
      <c r="Q99" s="140">
        <f>SUM(Q101+Q102+Q103+Q105)</f>
        <v>0</v>
      </c>
      <c r="R99" s="105">
        <f t="shared" si="11"/>
        <v>0</v>
      </c>
      <c r="S99" s="135"/>
    </row>
    <row r="100" spans="1:19" ht="9" customHeight="1">
      <c r="A100" s="111"/>
      <c r="B100" s="175" t="str">
        <f t="shared" si="12"/>
        <v/>
      </c>
      <c r="C100" s="139" t="str">
        <f t="shared" si="14"/>
        <v/>
      </c>
      <c r="D100" s="111"/>
      <c r="E100" s="155"/>
      <c r="F100" s="105" t="str">
        <f t="shared" si="7"/>
        <v/>
      </c>
      <c r="G100" s="111"/>
      <c r="H100" s="155"/>
      <c r="I100" s="105" t="str">
        <f t="shared" si="8"/>
        <v/>
      </c>
      <c r="J100" s="139"/>
      <c r="K100" s="155"/>
      <c r="L100" s="105" t="str">
        <f t="shared" si="9"/>
        <v/>
      </c>
      <c r="M100" s="116"/>
      <c r="O100" s="105" t="str">
        <f t="shared" si="10"/>
        <v/>
      </c>
      <c r="P100" s="140"/>
      <c r="Q100" s="140"/>
      <c r="R100" s="105" t="str">
        <f t="shared" si="11"/>
        <v/>
      </c>
      <c r="S100" s="140"/>
    </row>
    <row r="101" spans="1:19" ht="12" customHeight="1">
      <c r="A101" s="111" t="s">
        <v>485</v>
      </c>
      <c r="B101" s="175">
        <f t="shared" si="12"/>
        <v>54</v>
      </c>
      <c r="C101" s="139">
        <f t="shared" si="14"/>
        <v>2.8753993610223643</v>
      </c>
      <c r="D101" s="111"/>
      <c r="E101" s="768">
        <v>48</v>
      </c>
      <c r="F101" s="105">
        <f t="shared" si="7"/>
        <v>88.888888888888886</v>
      </c>
      <c r="G101" s="768"/>
      <c r="H101" s="768">
        <v>6</v>
      </c>
      <c r="I101" s="105">
        <f t="shared" si="8"/>
        <v>11.111111111111111</v>
      </c>
      <c r="J101" s="768"/>
      <c r="K101" s="768">
        <v>0</v>
      </c>
      <c r="L101" s="105">
        <f t="shared" si="9"/>
        <v>0</v>
      </c>
      <c r="M101" s="768"/>
      <c r="N101" s="768">
        <v>0</v>
      </c>
      <c r="O101" s="105">
        <f t="shared" si="10"/>
        <v>0</v>
      </c>
      <c r="P101" s="768"/>
      <c r="Q101" s="768">
        <v>0</v>
      </c>
      <c r="R101" s="105">
        <f t="shared" si="11"/>
        <v>0</v>
      </c>
      <c r="S101" s="140"/>
    </row>
    <row r="102" spans="1:19" ht="12" customHeight="1">
      <c r="A102" s="111" t="s">
        <v>486</v>
      </c>
      <c r="B102" s="175">
        <f t="shared" si="12"/>
        <v>67</v>
      </c>
      <c r="C102" s="139">
        <f t="shared" si="14"/>
        <v>3.567625133120341</v>
      </c>
      <c r="D102" s="111"/>
      <c r="E102" s="768">
        <v>47</v>
      </c>
      <c r="F102" s="105">
        <f t="shared" si="7"/>
        <v>70.149253731343293</v>
      </c>
      <c r="G102" s="768"/>
      <c r="H102" s="768">
        <v>16</v>
      </c>
      <c r="I102" s="105">
        <f t="shared" si="8"/>
        <v>23.880597014925371</v>
      </c>
      <c r="J102" s="768"/>
      <c r="K102" s="768">
        <v>4</v>
      </c>
      <c r="L102" s="105">
        <f t="shared" si="9"/>
        <v>5.9701492537313428</v>
      </c>
      <c r="M102" s="768"/>
      <c r="N102" s="768">
        <v>0</v>
      </c>
      <c r="O102" s="105">
        <f t="shared" si="10"/>
        <v>0</v>
      </c>
      <c r="P102" s="768"/>
      <c r="Q102" s="768">
        <v>0</v>
      </c>
      <c r="R102" s="105">
        <f t="shared" si="11"/>
        <v>0</v>
      </c>
      <c r="S102" s="135"/>
    </row>
    <row r="103" spans="1:19" ht="12" customHeight="1">
      <c r="A103" s="111" t="s">
        <v>487</v>
      </c>
      <c r="B103" s="175">
        <f t="shared" si="12"/>
        <v>14</v>
      </c>
      <c r="C103" s="139">
        <f t="shared" si="14"/>
        <v>0.7454739084132056</v>
      </c>
      <c r="D103" s="111"/>
      <c r="E103" s="768">
        <v>9</v>
      </c>
      <c r="F103" s="105">
        <f t="shared" si="7"/>
        <v>64.285714285714292</v>
      </c>
      <c r="G103" s="768"/>
      <c r="H103" s="768">
        <v>5</v>
      </c>
      <c r="I103" s="105">
        <f t="shared" si="8"/>
        <v>35.714285714285715</v>
      </c>
      <c r="J103" s="768"/>
      <c r="K103" s="768">
        <v>0</v>
      </c>
      <c r="L103" s="105">
        <f t="shared" si="9"/>
        <v>0</v>
      </c>
      <c r="M103" s="768"/>
      <c r="N103" s="768">
        <v>0</v>
      </c>
      <c r="O103" s="105">
        <f t="shared" si="10"/>
        <v>0</v>
      </c>
      <c r="P103" s="768"/>
      <c r="Q103" s="768">
        <v>0</v>
      </c>
      <c r="R103" s="105">
        <f t="shared" si="11"/>
        <v>0</v>
      </c>
      <c r="S103" s="135"/>
    </row>
    <row r="104" spans="1:19" ht="12" customHeight="1">
      <c r="B104" s="175" t="str">
        <f t="shared" si="12"/>
        <v/>
      </c>
      <c r="D104" s="111"/>
      <c r="E104" s="121"/>
      <c r="F104" s="105" t="str">
        <f t="shared" si="7"/>
        <v/>
      </c>
      <c r="G104" s="121"/>
      <c r="H104" s="121"/>
      <c r="I104" s="105" t="str">
        <f t="shared" si="8"/>
        <v/>
      </c>
      <c r="J104" s="121"/>
      <c r="K104" s="121"/>
      <c r="L104" s="105" t="str">
        <f t="shared" si="9"/>
        <v/>
      </c>
      <c r="M104" s="121"/>
      <c r="N104" s="121"/>
      <c r="O104" s="105" t="str">
        <f t="shared" si="10"/>
        <v/>
      </c>
      <c r="P104" s="121"/>
      <c r="Q104" s="121"/>
      <c r="R104" s="105" t="str">
        <f t="shared" si="11"/>
        <v/>
      </c>
      <c r="S104" s="135"/>
    </row>
    <row r="105" spans="1:19" ht="12" customHeight="1">
      <c r="A105" s="95" t="s">
        <v>290</v>
      </c>
      <c r="B105" s="175">
        <f t="shared" si="12"/>
        <v>1</v>
      </c>
      <c r="C105" s="139">
        <f t="shared" ref="C105:C112" si="15">IF(A105&lt;&gt;0,B105/$B$11*100,"")</f>
        <v>5.3248136315228969E-2</v>
      </c>
      <c r="E105" s="768">
        <v>1</v>
      </c>
      <c r="F105" s="105">
        <f t="shared" si="7"/>
        <v>100</v>
      </c>
      <c r="G105" s="768"/>
      <c r="H105" s="768">
        <v>0</v>
      </c>
      <c r="I105" s="105">
        <f t="shared" si="8"/>
        <v>0</v>
      </c>
      <c r="J105" s="768"/>
      <c r="K105" s="768">
        <v>0</v>
      </c>
      <c r="L105" s="105">
        <f t="shared" si="9"/>
        <v>0</v>
      </c>
      <c r="M105" s="768"/>
      <c r="N105" s="768">
        <v>0</v>
      </c>
      <c r="O105" s="105">
        <f t="shared" si="10"/>
        <v>0</v>
      </c>
      <c r="P105" s="768"/>
      <c r="Q105" s="768">
        <v>0</v>
      </c>
      <c r="R105" s="105">
        <f t="shared" si="11"/>
        <v>0</v>
      </c>
      <c r="S105" s="135"/>
    </row>
    <row r="106" spans="1:19" ht="7.5" customHeight="1">
      <c r="B106" s="175" t="str">
        <f t="shared" si="12"/>
        <v/>
      </c>
      <c r="C106" s="139" t="str">
        <f t="shared" si="15"/>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75">
        <f t="shared" si="12"/>
        <v>198</v>
      </c>
      <c r="C107" s="139">
        <f t="shared" si="15"/>
        <v>10.543130990415335</v>
      </c>
      <c r="E107" s="140">
        <f>SUM(E108:E112)</f>
        <v>44</v>
      </c>
      <c r="F107" s="105">
        <f t="shared" si="7"/>
        <v>22.222222222222221</v>
      </c>
      <c r="H107" s="140">
        <f>SUM(H108:H112)</f>
        <v>138</v>
      </c>
      <c r="I107" s="105">
        <f t="shared" si="8"/>
        <v>69.696969696969703</v>
      </c>
      <c r="K107" s="140">
        <f>SUM(K108:K112)</f>
        <v>16</v>
      </c>
      <c r="L107" s="105">
        <f t="shared" si="9"/>
        <v>8.0808080808080813</v>
      </c>
      <c r="M107" s="116"/>
      <c r="N107" s="140">
        <f>SUM(N108:N112)</f>
        <v>0</v>
      </c>
      <c r="O107" s="105">
        <f t="shared" si="10"/>
        <v>0</v>
      </c>
      <c r="P107" s="135"/>
      <c r="Q107" s="140">
        <f>SUM(Q108:Q112)</f>
        <v>0</v>
      </c>
      <c r="R107" s="105">
        <f t="shared" si="11"/>
        <v>0</v>
      </c>
      <c r="S107" s="135"/>
    </row>
    <row r="108" spans="1:19" ht="12" customHeight="1">
      <c r="A108" s="95" t="s">
        <v>424</v>
      </c>
      <c r="B108" s="175">
        <f t="shared" si="12"/>
        <v>82</v>
      </c>
      <c r="C108" s="139">
        <f t="shared" si="15"/>
        <v>4.3663471778487759</v>
      </c>
      <c r="E108" s="768">
        <v>20</v>
      </c>
      <c r="F108" s="105">
        <f t="shared" si="7"/>
        <v>24.390243902439025</v>
      </c>
      <c r="G108" s="768"/>
      <c r="H108" s="768">
        <v>54</v>
      </c>
      <c r="I108" s="105">
        <f t="shared" si="8"/>
        <v>65.853658536585371</v>
      </c>
      <c r="J108" s="768"/>
      <c r="K108" s="768">
        <v>8</v>
      </c>
      <c r="L108" s="105">
        <f t="shared" si="9"/>
        <v>9.7560975609756095</v>
      </c>
      <c r="M108" s="768"/>
      <c r="N108" s="768">
        <v>0</v>
      </c>
      <c r="O108" s="105">
        <f t="shared" si="10"/>
        <v>0</v>
      </c>
      <c r="P108" s="768"/>
      <c r="Q108" s="768">
        <v>0</v>
      </c>
      <c r="R108" s="105">
        <f t="shared" si="11"/>
        <v>0</v>
      </c>
      <c r="S108" s="135"/>
    </row>
    <row r="109" spans="1:19" ht="12" customHeight="1">
      <c r="A109" s="95" t="s">
        <v>425</v>
      </c>
      <c r="B109" s="175">
        <f t="shared" si="12"/>
        <v>32</v>
      </c>
      <c r="C109" s="139">
        <f t="shared" si="15"/>
        <v>1.703940362087327</v>
      </c>
      <c r="E109" s="768">
        <v>8</v>
      </c>
      <c r="F109" s="105">
        <f t="shared" si="7"/>
        <v>25</v>
      </c>
      <c r="G109" s="768"/>
      <c r="H109" s="768">
        <v>23</v>
      </c>
      <c r="I109" s="105">
        <f t="shared" si="8"/>
        <v>71.875</v>
      </c>
      <c r="J109" s="768"/>
      <c r="K109" s="768">
        <v>1</v>
      </c>
      <c r="L109" s="105">
        <f t="shared" si="9"/>
        <v>3.125</v>
      </c>
      <c r="M109" s="768"/>
      <c r="N109" s="768">
        <v>0</v>
      </c>
      <c r="O109" s="105">
        <f t="shared" si="10"/>
        <v>0</v>
      </c>
      <c r="P109" s="768"/>
      <c r="Q109" s="768">
        <v>0</v>
      </c>
      <c r="R109" s="105">
        <f t="shared" si="11"/>
        <v>0</v>
      </c>
      <c r="S109" s="135"/>
    </row>
    <row r="110" spans="1:19" ht="12" customHeight="1">
      <c r="A110" s="95" t="s">
        <v>426</v>
      </c>
      <c r="B110" s="175">
        <f t="shared" si="12"/>
        <v>30</v>
      </c>
      <c r="C110" s="139">
        <f t="shared" si="15"/>
        <v>1.5974440894568689</v>
      </c>
      <c r="E110" s="768">
        <v>3</v>
      </c>
      <c r="F110" s="105">
        <f t="shared" si="7"/>
        <v>10</v>
      </c>
      <c r="G110" s="768"/>
      <c r="H110" s="768">
        <v>23</v>
      </c>
      <c r="I110" s="105">
        <f t="shared" si="8"/>
        <v>76.666666666666671</v>
      </c>
      <c r="J110" s="768"/>
      <c r="K110" s="768">
        <v>4</v>
      </c>
      <c r="L110" s="105">
        <f t="shared" si="9"/>
        <v>13.333333333333334</v>
      </c>
      <c r="M110" s="768"/>
      <c r="N110" s="768">
        <v>0</v>
      </c>
      <c r="O110" s="105">
        <f t="shared" si="10"/>
        <v>0</v>
      </c>
      <c r="P110" s="768"/>
      <c r="Q110" s="768">
        <v>0</v>
      </c>
      <c r="R110" s="105">
        <f t="shared" si="11"/>
        <v>0</v>
      </c>
      <c r="S110" s="135"/>
    </row>
    <row r="111" spans="1:19" ht="12" customHeight="1">
      <c r="A111" s="33" t="s">
        <v>427</v>
      </c>
      <c r="B111" s="175">
        <f t="shared" si="12"/>
        <v>22</v>
      </c>
      <c r="C111" s="139">
        <f t="shared" si="15"/>
        <v>1.1714589989350372</v>
      </c>
      <c r="E111" s="768">
        <v>8</v>
      </c>
      <c r="F111" s="105">
        <f t="shared" si="7"/>
        <v>36.363636363636367</v>
      </c>
      <c r="G111" s="768"/>
      <c r="H111" s="768">
        <v>14</v>
      </c>
      <c r="I111" s="105">
        <f t="shared" si="8"/>
        <v>63.636363636363633</v>
      </c>
      <c r="J111" s="768"/>
      <c r="K111" s="768">
        <v>0</v>
      </c>
      <c r="L111" s="105">
        <f t="shared" si="9"/>
        <v>0</v>
      </c>
      <c r="M111" s="768"/>
      <c r="N111" s="768">
        <v>0</v>
      </c>
      <c r="O111" s="105">
        <f t="shared" si="10"/>
        <v>0</v>
      </c>
      <c r="P111" s="768"/>
      <c r="Q111" s="768">
        <v>0</v>
      </c>
      <c r="R111" s="105">
        <f t="shared" si="11"/>
        <v>0</v>
      </c>
      <c r="S111" s="135"/>
    </row>
    <row r="112" spans="1:19" ht="12" customHeight="1">
      <c r="A112" s="95" t="s">
        <v>428</v>
      </c>
      <c r="B112" s="175">
        <f t="shared" si="12"/>
        <v>32</v>
      </c>
      <c r="C112" s="139">
        <f t="shared" si="15"/>
        <v>1.703940362087327</v>
      </c>
      <c r="E112" s="768">
        <v>5</v>
      </c>
      <c r="F112" s="105">
        <f t="shared" si="7"/>
        <v>15.625</v>
      </c>
      <c r="G112" s="768"/>
      <c r="H112" s="768">
        <v>24</v>
      </c>
      <c r="I112" s="105">
        <f t="shared" si="8"/>
        <v>75</v>
      </c>
      <c r="J112" s="768"/>
      <c r="K112" s="768">
        <v>3</v>
      </c>
      <c r="L112" s="105">
        <f t="shared" si="9"/>
        <v>9.375</v>
      </c>
      <c r="M112" s="768"/>
      <c r="N112" s="768">
        <v>0</v>
      </c>
      <c r="O112" s="105">
        <f t="shared" si="10"/>
        <v>0</v>
      </c>
      <c r="P112" s="768"/>
      <c r="Q112" s="768">
        <v>0</v>
      </c>
      <c r="R112" s="105">
        <f t="shared" si="11"/>
        <v>0</v>
      </c>
      <c r="S112" s="135"/>
    </row>
    <row r="113" spans="1:19" ht="10" customHeight="1" thickBot="1">
      <c r="O113" s="105"/>
      <c r="P113" s="105"/>
      <c r="Q113" s="140"/>
      <c r="R113" s="105"/>
      <c r="S113" s="105"/>
    </row>
    <row r="114" spans="1:19" ht="7.5" customHeight="1">
      <c r="A114" s="97"/>
      <c r="B114" s="171"/>
      <c r="C114" s="143"/>
      <c r="D114" s="97"/>
      <c r="E114" s="144"/>
      <c r="F114" s="99"/>
      <c r="G114" s="97"/>
      <c r="H114" s="144"/>
      <c r="I114" s="99"/>
      <c r="J114" s="99"/>
      <c r="K114" s="144"/>
      <c r="L114" s="99"/>
      <c r="M114" s="97"/>
      <c r="N114" s="144"/>
      <c r="O114" s="99"/>
      <c r="P114" s="99"/>
      <c r="Q114" s="144"/>
      <c r="R114" s="99"/>
      <c r="S114" s="99"/>
    </row>
    <row r="115" spans="1:19" ht="12.75" customHeight="1">
      <c r="A115" s="121" t="s">
        <v>488</v>
      </c>
      <c r="B115" s="172"/>
      <c r="C115" s="146"/>
      <c r="D115" s="116"/>
      <c r="E115" s="154"/>
      <c r="F115" s="135"/>
      <c r="G115" s="116"/>
      <c r="H115" s="154"/>
      <c r="I115" s="135"/>
      <c r="J115" s="135"/>
      <c r="K115" s="154"/>
      <c r="L115" s="135"/>
      <c r="M115" s="116"/>
      <c r="N115" s="154"/>
      <c r="O115" s="135"/>
      <c r="P115" s="135"/>
    </row>
    <row r="116" spans="1:19" ht="10.5" customHeight="1">
      <c r="A116" s="121" t="s">
        <v>489</v>
      </c>
      <c r="B116" s="172"/>
      <c r="C116" s="146"/>
      <c r="D116" s="116"/>
      <c r="E116" s="154"/>
      <c r="F116" s="135"/>
      <c r="G116" s="116"/>
      <c r="H116" s="154"/>
      <c r="I116" s="135"/>
      <c r="J116" s="135"/>
      <c r="K116" s="154"/>
      <c r="L116" s="135"/>
      <c r="M116" s="116"/>
      <c r="N116" s="154"/>
      <c r="O116" s="135"/>
      <c r="P116" s="135"/>
    </row>
    <row r="117" spans="1:19">
      <c r="A117" s="57" t="s">
        <v>490</v>
      </c>
      <c r="B117" s="172"/>
      <c r="C117" s="146"/>
      <c r="D117" s="116"/>
      <c r="E117" s="154"/>
      <c r="F117" s="135"/>
      <c r="G117" s="116"/>
      <c r="H117" s="154"/>
      <c r="I117" s="135"/>
      <c r="J117" s="135"/>
      <c r="K117" s="154"/>
      <c r="L117" s="135"/>
      <c r="M117" s="116"/>
      <c r="N117" s="154"/>
      <c r="O117" s="135"/>
      <c r="P117" s="135"/>
    </row>
    <row r="118" spans="1:19" ht="8.25" customHeight="1"/>
    <row r="119" spans="1:19">
      <c r="A119" s="95" t="s">
        <v>491</v>
      </c>
    </row>
    <row r="120" spans="1:19">
      <c r="A120" s="95" t="s">
        <v>471</v>
      </c>
    </row>
  </sheetData>
  <mergeCells count="2">
    <mergeCell ref="N7:O7"/>
    <mergeCell ref="Q7:R7"/>
  </mergeCell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Y34"/>
  <sheetViews>
    <sheetView workbookViewId="0">
      <selection activeCell="A3" sqref="A3"/>
    </sheetView>
  </sheetViews>
  <sheetFormatPr baseColWidth="10" defaultColWidth="9.1640625" defaultRowHeight="13"/>
  <cols>
    <col min="1" max="1" width="10.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2" style="95" customWidth="1"/>
    <col min="26" max="256" width="9.1640625" style="95"/>
    <col min="257" max="257" width="10.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2" style="95" customWidth="1"/>
    <col min="282" max="512" width="9.1640625" style="95"/>
    <col min="513" max="513" width="10.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2" style="95" customWidth="1"/>
    <col min="538" max="768" width="9.1640625" style="95"/>
    <col min="769" max="769" width="10.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2" style="95" customWidth="1"/>
    <col min="794" max="1024" width="9.1640625" style="95"/>
    <col min="1025" max="1025" width="10.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2" style="95" customWidth="1"/>
    <col min="1050" max="1280" width="9.1640625" style="95"/>
    <col min="1281" max="1281" width="10.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2" style="95" customWidth="1"/>
    <col min="1306" max="1536" width="9.1640625" style="95"/>
    <col min="1537" max="1537" width="10.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2" style="95" customWidth="1"/>
    <col min="1562" max="1792" width="9.1640625" style="95"/>
    <col min="1793" max="1793" width="10.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2" style="95" customWidth="1"/>
    <col min="1818" max="2048" width="9.1640625" style="95"/>
    <col min="2049" max="2049" width="10.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2" style="95" customWidth="1"/>
    <col min="2074" max="2304" width="9.1640625" style="95"/>
    <col min="2305" max="2305" width="10.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2" style="95" customWidth="1"/>
    <col min="2330" max="2560" width="9.1640625" style="95"/>
    <col min="2561" max="2561" width="10.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2" style="95" customWidth="1"/>
    <col min="2586" max="2816" width="9.1640625" style="95"/>
    <col min="2817" max="2817" width="10.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2" style="95" customWidth="1"/>
    <col min="2842" max="3072" width="9.1640625" style="95"/>
    <col min="3073" max="3073" width="10.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2" style="95" customWidth="1"/>
    <col min="3098" max="3328" width="9.1640625" style="95"/>
    <col min="3329" max="3329" width="10.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2" style="95" customWidth="1"/>
    <col min="3354" max="3584" width="9.1640625" style="95"/>
    <col min="3585" max="3585" width="10.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2" style="95" customWidth="1"/>
    <col min="3610" max="3840" width="9.1640625" style="95"/>
    <col min="3841" max="3841" width="10.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2" style="95" customWidth="1"/>
    <col min="3866" max="4096" width="9.1640625" style="95"/>
    <col min="4097" max="4097" width="10.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2" style="95" customWidth="1"/>
    <col min="4122" max="4352" width="9.1640625" style="95"/>
    <col min="4353" max="4353" width="10.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2" style="95" customWidth="1"/>
    <col min="4378" max="4608" width="9.1640625" style="95"/>
    <col min="4609" max="4609" width="10.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2" style="95" customWidth="1"/>
    <col min="4634" max="4864" width="9.1640625" style="95"/>
    <col min="4865" max="4865" width="10.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2" style="95" customWidth="1"/>
    <col min="4890" max="5120" width="9.1640625" style="95"/>
    <col min="5121" max="5121" width="10.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2" style="95" customWidth="1"/>
    <col min="5146" max="5376" width="9.1640625" style="95"/>
    <col min="5377" max="5377" width="10.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2" style="95" customWidth="1"/>
    <col min="5402" max="5632" width="9.1640625" style="95"/>
    <col min="5633" max="5633" width="10.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2" style="95" customWidth="1"/>
    <col min="5658" max="5888" width="9.1640625" style="95"/>
    <col min="5889" max="5889" width="10.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2" style="95" customWidth="1"/>
    <col min="5914" max="6144" width="9.1640625" style="95"/>
    <col min="6145" max="6145" width="10.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2" style="95" customWidth="1"/>
    <col min="6170" max="6400" width="9.1640625" style="95"/>
    <col min="6401" max="6401" width="10.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2" style="95" customWidth="1"/>
    <col min="6426" max="6656" width="9.1640625" style="95"/>
    <col min="6657" max="6657" width="10.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2" style="95" customWidth="1"/>
    <col min="6682" max="6912" width="9.1640625" style="95"/>
    <col min="6913" max="6913" width="10.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2" style="95" customWidth="1"/>
    <col min="6938" max="7168" width="9.1640625" style="95"/>
    <col min="7169" max="7169" width="10.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2" style="95" customWidth="1"/>
    <col min="7194" max="7424" width="9.1640625" style="95"/>
    <col min="7425" max="7425" width="10.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2" style="95" customWidth="1"/>
    <col min="7450" max="7680" width="9.1640625" style="95"/>
    <col min="7681" max="7681" width="10.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2" style="95" customWidth="1"/>
    <col min="7706" max="7936" width="9.1640625" style="95"/>
    <col min="7937" max="7937" width="10.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2" style="95" customWidth="1"/>
    <col min="7962" max="8192" width="9.1640625" style="95"/>
    <col min="8193" max="8193" width="10.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2" style="95" customWidth="1"/>
    <col min="8218" max="8448" width="9.1640625" style="95"/>
    <col min="8449" max="8449" width="10.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2" style="95" customWidth="1"/>
    <col min="8474" max="8704" width="9.1640625" style="95"/>
    <col min="8705" max="8705" width="10.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2" style="95" customWidth="1"/>
    <col min="8730" max="8960" width="9.1640625" style="95"/>
    <col min="8961" max="8961" width="10.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2" style="95" customWidth="1"/>
    <col min="8986" max="9216" width="9.1640625" style="95"/>
    <col min="9217" max="9217" width="10.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2" style="95" customWidth="1"/>
    <col min="9242" max="9472" width="9.1640625" style="95"/>
    <col min="9473" max="9473" width="10.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2" style="95" customWidth="1"/>
    <col min="9498" max="9728" width="9.1640625" style="95"/>
    <col min="9729" max="9729" width="10.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2" style="95" customWidth="1"/>
    <col min="9754" max="9984" width="9.1640625" style="95"/>
    <col min="9985" max="9985" width="10.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2" style="95" customWidth="1"/>
    <col min="10010" max="10240" width="9.1640625" style="95"/>
    <col min="10241" max="10241" width="10.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2" style="95" customWidth="1"/>
    <col min="10266" max="10496" width="9.1640625" style="95"/>
    <col min="10497" max="10497" width="10.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2" style="95" customWidth="1"/>
    <col min="10522" max="10752" width="9.1640625" style="95"/>
    <col min="10753" max="10753" width="10.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2" style="95" customWidth="1"/>
    <col min="10778" max="11008" width="9.1640625" style="95"/>
    <col min="11009" max="11009" width="10.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2" style="95" customWidth="1"/>
    <col min="11034" max="11264" width="9.1640625" style="95"/>
    <col min="11265" max="11265" width="10.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2" style="95" customWidth="1"/>
    <col min="11290" max="11520" width="9.1640625" style="95"/>
    <col min="11521" max="11521" width="10.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2" style="95" customWidth="1"/>
    <col min="11546" max="11776" width="9.1640625" style="95"/>
    <col min="11777" max="11777" width="10.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2" style="95" customWidth="1"/>
    <col min="11802" max="12032" width="9.1640625" style="95"/>
    <col min="12033" max="12033" width="10.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2" style="95" customWidth="1"/>
    <col min="12058" max="12288" width="9.1640625" style="95"/>
    <col min="12289" max="12289" width="10.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2" style="95" customWidth="1"/>
    <col min="12314" max="12544" width="9.1640625" style="95"/>
    <col min="12545" max="12545" width="10.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2" style="95" customWidth="1"/>
    <col min="12570" max="12800" width="9.1640625" style="95"/>
    <col min="12801" max="12801" width="10.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2" style="95" customWidth="1"/>
    <col min="12826" max="13056" width="9.1640625" style="95"/>
    <col min="13057" max="13057" width="10.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2" style="95" customWidth="1"/>
    <col min="13082" max="13312" width="9.1640625" style="95"/>
    <col min="13313" max="13313" width="10.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2" style="95" customWidth="1"/>
    <col min="13338" max="13568" width="9.1640625" style="95"/>
    <col min="13569" max="13569" width="10.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2" style="95" customWidth="1"/>
    <col min="13594" max="13824" width="9.1640625" style="95"/>
    <col min="13825" max="13825" width="10.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2" style="95" customWidth="1"/>
    <col min="13850" max="14080" width="9.1640625" style="95"/>
    <col min="14081" max="14081" width="10.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2" style="95" customWidth="1"/>
    <col min="14106" max="14336" width="9.1640625" style="95"/>
    <col min="14337" max="14337" width="10.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2" style="95" customWidth="1"/>
    <col min="14362" max="14592" width="9.1640625" style="95"/>
    <col min="14593" max="14593" width="10.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2" style="95" customWidth="1"/>
    <col min="14618" max="14848" width="9.1640625" style="95"/>
    <col min="14849" max="14849" width="10.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2" style="95" customWidth="1"/>
    <col min="14874" max="15104" width="9.1640625" style="95"/>
    <col min="15105" max="15105" width="10.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2" style="95" customWidth="1"/>
    <col min="15130" max="15360" width="9.1640625" style="95"/>
    <col min="15361" max="15361" width="10.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2" style="95" customWidth="1"/>
    <col min="15386" max="15616" width="9.1640625" style="95"/>
    <col min="15617" max="15617" width="10.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2" style="95" customWidth="1"/>
    <col min="15642" max="15872" width="9.1640625" style="95"/>
    <col min="15873" max="15873" width="10.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2" style="95" customWidth="1"/>
    <col min="15898" max="16128" width="9.1640625" style="95"/>
    <col min="16129" max="16129" width="10.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2" style="95" customWidth="1"/>
    <col min="16154" max="16384" width="9.1640625" style="95"/>
  </cols>
  <sheetData>
    <row r="1" spans="1:25">
      <c r="A1" s="95" t="s">
        <v>466</v>
      </c>
    </row>
    <row r="2" spans="1:25">
      <c r="A2" s="95" t="s">
        <v>467</v>
      </c>
      <c r="E2" s="155"/>
      <c r="F2" s="139"/>
    </row>
    <row r="3" spans="1:25" ht="10.5" customHeight="1"/>
    <row r="4" spans="1:25" ht="13" customHeight="1">
      <c r="A4" s="33" t="s">
        <v>2158</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s="55" customFormat="1" ht="13" customHeight="1">
      <c r="A11" s="607" t="s">
        <v>148</v>
      </c>
      <c r="B11" s="639">
        <f>IF($A11&lt;&gt;0,SUM(B13:B21),"")</f>
        <v>4791</v>
      </c>
      <c r="C11" s="16">
        <f>IF($A11&lt;&gt;0,SUM(C13:C21),"")</f>
        <v>100</v>
      </c>
      <c r="D11" s="68"/>
      <c r="E11" s="639">
        <f>IF($A11&lt;&gt;0,SUM(E13:E21),"")</f>
        <v>2800</v>
      </c>
      <c r="F11" s="16">
        <f>IF($A11&lt;&gt;0,SUM(F13:F21),"")</f>
        <v>100</v>
      </c>
      <c r="G11" s="68"/>
      <c r="H11" s="639">
        <f>IF($A11&lt;&gt;0,SUM(H13:H21),"")</f>
        <v>530</v>
      </c>
      <c r="I11" s="16">
        <f>IF($A11&lt;&gt;0,SUM(I13:I21),"")</f>
        <v>100</v>
      </c>
      <c r="J11" s="74"/>
      <c r="K11" s="639">
        <f>IF($A11&lt;&gt;0,SUM(K13:K21),"")</f>
        <v>438</v>
      </c>
      <c r="L11" s="16">
        <f>IF($A11&lt;&gt;0,SUM(L13:L21),"")</f>
        <v>100</v>
      </c>
      <c r="M11" s="68"/>
      <c r="N11" s="639">
        <f>IF($A11&lt;&gt;0,SUM(N13:N21),"")</f>
        <v>381</v>
      </c>
      <c r="O11" s="16">
        <f>IF($A11&lt;&gt;0,SUM(O13:O21),"")</f>
        <v>100</v>
      </c>
      <c r="Q11" s="639">
        <f>IF($A11&lt;&gt;0,SUM(Q13:Q21),"")</f>
        <v>280</v>
      </c>
      <c r="R11" s="16">
        <f>IF($A11&lt;&gt;0,SUM(R13:R21),"")</f>
        <v>100</v>
      </c>
      <c r="T11" s="639">
        <f>IF($A11&lt;&gt;0,SUM(T13:T21),"")</f>
        <v>272</v>
      </c>
      <c r="U11" s="16">
        <f>IF($A11&lt;&gt;0,SUM(U13:U21),"")</f>
        <v>100</v>
      </c>
      <c r="W11" s="639">
        <f>IF($A11&lt;&gt;0,SUM(W13:W21),"")</f>
        <v>90</v>
      </c>
      <c r="X11" s="16">
        <f>IF($A11&lt;&gt;0,SUM(X13:X21),"")</f>
        <v>100</v>
      </c>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986">
        <v>284</v>
      </c>
      <c r="C13" s="135">
        <f t="shared" ref="C13:C21" si="0">IF($A13&lt;&gt;"",B13/$B$11*100,"")</f>
        <v>5.9277812565226471</v>
      </c>
      <c r="D13" s="116"/>
      <c r="E13" s="987">
        <v>199</v>
      </c>
      <c r="F13" s="135">
        <f>IF($A13&lt;&gt;"",E13/$E$11*100,"")</f>
        <v>7.1071428571428577</v>
      </c>
      <c r="G13" s="988"/>
      <c r="H13" s="987">
        <v>23</v>
      </c>
      <c r="I13" s="135">
        <f>IF($A13&lt;&gt;"",H13/$H$11*100,"")</f>
        <v>4.3396226415094334</v>
      </c>
      <c r="J13" s="988"/>
      <c r="K13" s="987">
        <v>6</v>
      </c>
      <c r="L13" s="135">
        <f>IF($A13&lt;&gt;"",K13/$K$11*100,"")</f>
        <v>1.3698630136986301</v>
      </c>
      <c r="M13" s="988"/>
      <c r="N13" s="987">
        <v>18</v>
      </c>
      <c r="O13" s="135">
        <f>IF($A13&lt;&gt;"",N13/$N$11*100,"")</f>
        <v>4.7244094488188972</v>
      </c>
      <c r="P13" s="988"/>
      <c r="Q13" s="987">
        <v>12</v>
      </c>
      <c r="R13" s="135">
        <f>IF($A13&lt;&gt;"",Q13/$Q$11*100,"")</f>
        <v>4.2857142857142856</v>
      </c>
      <c r="S13" s="989"/>
      <c r="T13" s="987">
        <v>19</v>
      </c>
      <c r="U13" s="135">
        <f>IF($A13&lt;&gt;"",T13/$T$11*100,"")</f>
        <v>6.9852941176470589</v>
      </c>
      <c r="V13" s="989"/>
      <c r="W13" s="987">
        <v>7</v>
      </c>
      <c r="X13" s="135">
        <f>IF($A13&lt;&gt;"",W13/$W$11*100,"")</f>
        <v>7.7777777777777777</v>
      </c>
    </row>
    <row r="14" spans="1:25" ht="13" customHeight="1">
      <c r="A14" s="61"/>
      <c r="B14" s="986"/>
      <c r="C14" s="135" t="str">
        <f t="shared" si="0"/>
        <v/>
      </c>
      <c r="D14" s="116"/>
      <c r="E14" s="987"/>
      <c r="F14" s="135" t="str">
        <f t="shared" ref="F14:F21" si="1">IF($A14&lt;&gt;"",E14/$E$11*100,"")</f>
        <v/>
      </c>
      <c r="G14" s="988"/>
      <c r="H14" s="987"/>
      <c r="I14" s="135" t="str">
        <f t="shared" ref="I14:I21" si="2">IF($A14&lt;&gt;"",H14/$H$11*100,"")</f>
        <v/>
      </c>
      <c r="J14" s="988"/>
      <c r="K14" s="987"/>
      <c r="L14" s="135" t="str">
        <f t="shared" ref="L14:L22" si="3">IF($A14&lt;&gt;"",K14/$K$11*100,"")</f>
        <v/>
      </c>
      <c r="M14" s="988"/>
      <c r="N14" s="987"/>
      <c r="O14" s="135" t="str">
        <f t="shared" ref="O14:O21" si="4">IF($A14&lt;&gt;"",N14/$N$11*100,"")</f>
        <v/>
      </c>
      <c r="P14" s="988"/>
      <c r="Q14" s="987"/>
      <c r="R14" s="135" t="str">
        <f t="shared" ref="R14:R21" si="5">IF($A14&lt;&gt;"",Q14/$Q$11*100,"")</f>
        <v/>
      </c>
      <c r="S14" s="989"/>
      <c r="T14" s="987"/>
      <c r="U14" s="135" t="str">
        <f t="shared" ref="U14:U21" si="6">IF($A14&lt;&gt;"",T14/$T$11*100,"")</f>
        <v/>
      </c>
      <c r="V14" s="989"/>
      <c r="W14" s="987"/>
      <c r="X14" s="135" t="str">
        <f>IF($A14&lt;&gt;"",W14/$T$11*100,"")</f>
        <v/>
      </c>
    </row>
    <row r="15" spans="1:25" ht="13" customHeight="1">
      <c r="A15" s="61">
        <v>2</v>
      </c>
      <c r="B15" s="986">
        <v>340</v>
      </c>
      <c r="C15" s="135">
        <f t="shared" si="0"/>
        <v>7.09663953245669</v>
      </c>
      <c r="D15" s="116"/>
      <c r="E15" s="987">
        <v>254</v>
      </c>
      <c r="F15" s="135">
        <f t="shared" si="1"/>
        <v>9.0714285714285712</v>
      </c>
      <c r="G15" s="988"/>
      <c r="H15" s="987">
        <v>26</v>
      </c>
      <c r="I15" s="135">
        <f t="shared" si="2"/>
        <v>4.9056603773584913</v>
      </c>
      <c r="J15" s="988"/>
      <c r="K15" s="987">
        <v>21</v>
      </c>
      <c r="L15" s="135">
        <f t="shared" si="3"/>
        <v>4.7945205479452051</v>
      </c>
      <c r="M15" s="988"/>
      <c r="N15" s="987">
        <v>10</v>
      </c>
      <c r="O15" s="135">
        <f t="shared" si="4"/>
        <v>2.6246719160104988</v>
      </c>
      <c r="P15" s="988"/>
      <c r="Q15" s="987">
        <v>11</v>
      </c>
      <c r="R15" s="135">
        <f t="shared" si="5"/>
        <v>3.9285714285714284</v>
      </c>
      <c r="S15" s="989"/>
      <c r="T15" s="987">
        <v>4</v>
      </c>
      <c r="U15" s="135">
        <f t="shared" si="6"/>
        <v>1.4705882352941175</v>
      </c>
      <c r="V15" s="989"/>
      <c r="W15" s="987">
        <v>14</v>
      </c>
      <c r="X15" s="135">
        <f t="shared" ref="X15:X21" si="7">IF($A15&lt;&gt;"",W15/$W$11*100,"")</f>
        <v>15.555555555555555</v>
      </c>
    </row>
    <row r="16" spans="1:25" ht="13" customHeight="1">
      <c r="A16" s="61"/>
      <c r="B16" s="986"/>
      <c r="C16" s="135" t="str">
        <f t="shared" si="0"/>
        <v/>
      </c>
      <c r="D16" s="116"/>
      <c r="E16" s="987"/>
      <c r="F16" s="135" t="str">
        <f t="shared" si="1"/>
        <v/>
      </c>
      <c r="G16" s="988"/>
      <c r="H16" s="987"/>
      <c r="I16" s="135" t="str">
        <f t="shared" si="2"/>
        <v/>
      </c>
      <c r="J16" s="988"/>
      <c r="K16" s="987"/>
      <c r="L16" s="135" t="str">
        <f t="shared" si="3"/>
        <v/>
      </c>
      <c r="M16" s="988"/>
      <c r="N16" s="987"/>
      <c r="O16" s="135" t="str">
        <f t="shared" si="4"/>
        <v/>
      </c>
      <c r="P16" s="988"/>
      <c r="Q16" s="987"/>
      <c r="R16" s="135" t="str">
        <f t="shared" si="5"/>
        <v/>
      </c>
      <c r="S16" s="989"/>
      <c r="T16" s="987"/>
      <c r="U16" s="135" t="str">
        <f t="shared" si="6"/>
        <v/>
      </c>
      <c r="V16" s="989"/>
      <c r="W16" s="987"/>
      <c r="X16" s="135" t="str">
        <f t="shared" si="7"/>
        <v/>
      </c>
    </row>
    <row r="17" spans="1:25" ht="13" customHeight="1">
      <c r="A17" s="61">
        <v>3</v>
      </c>
      <c r="B17" s="986">
        <v>329</v>
      </c>
      <c r="C17" s="135">
        <f t="shared" si="0"/>
        <v>6.867042371112503</v>
      </c>
      <c r="D17" s="116"/>
      <c r="E17" s="987">
        <v>225</v>
      </c>
      <c r="F17" s="135">
        <f t="shared" si="1"/>
        <v>8.0357142857142865</v>
      </c>
      <c r="G17" s="988"/>
      <c r="H17" s="987">
        <v>31</v>
      </c>
      <c r="I17" s="135">
        <f t="shared" si="2"/>
        <v>5.8490566037735849</v>
      </c>
      <c r="J17" s="988"/>
      <c r="K17" s="987">
        <v>19</v>
      </c>
      <c r="L17" s="135">
        <f t="shared" si="3"/>
        <v>4.3378995433789953</v>
      </c>
      <c r="M17" s="988"/>
      <c r="N17" s="987">
        <v>17</v>
      </c>
      <c r="O17" s="135">
        <f t="shared" si="4"/>
        <v>4.4619422572178475</v>
      </c>
      <c r="P17" s="988"/>
      <c r="Q17" s="987">
        <v>12</v>
      </c>
      <c r="R17" s="135">
        <f t="shared" si="5"/>
        <v>4.2857142857142856</v>
      </c>
      <c r="S17" s="989"/>
      <c r="T17" s="987">
        <v>16</v>
      </c>
      <c r="U17" s="135">
        <f t="shared" si="6"/>
        <v>5.8823529411764701</v>
      </c>
      <c r="V17" s="989"/>
      <c r="W17" s="987">
        <v>9</v>
      </c>
      <c r="X17" s="135">
        <f t="shared" si="7"/>
        <v>10</v>
      </c>
    </row>
    <row r="18" spans="1:25" ht="13" customHeight="1">
      <c r="A18" s="61"/>
      <c r="B18" s="986"/>
      <c r="C18" s="135" t="str">
        <f t="shared" si="0"/>
        <v/>
      </c>
      <c r="D18" s="116"/>
      <c r="E18" s="987"/>
      <c r="F18" s="135" t="str">
        <f t="shared" si="1"/>
        <v/>
      </c>
      <c r="G18" s="988"/>
      <c r="H18" s="987"/>
      <c r="I18" s="135" t="str">
        <f t="shared" si="2"/>
        <v/>
      </c>
      <c r="J18" s="988"/>
      <c r="K18" s="987"/>
      <c r="L18" s="135" t="str">
        <f t="shared" si="3"/>
        <v/>
      </c>
      <c r="M18" s="988"/>
      <c r="N18" s="987"/>
      <c r="O18" s="135" t="str">
        <f t="shared" si="4"/>
        <v/>
      </c>
      <c r="P18" s="988"/>
      <c r="Q18" s="987"/>
      <c r="R18" s="135" t="str">
        <f t="shared" si="5"/>
        <v/>
      </c>
      <c r="S18" s="989"/>
      <c r="T18" s="987"/>
      <c r="U18" s="135" t="str">
        <f t="shared" si="6"/>
        <v/>
      </c>
      <c r="V18" s="989"/>
      <c r="W18" s="987"/>
      <c r="X18" s="135" t="str">
        <f t="shared" si="7"/>
        <v/>
      </c>
    </row>
    <row r="19" spans="1:25" ht="13" customHeight="1">
      <c r="A19" s="61">
        <v>4</v>
      </c>
      <c r="B19" s="986">
        <v>490</v>
      </c>
      <c r="C19" s="135">
        <f t="shared" si="0"/>
        <v>10.227509914422876</v>
      </c>
      <c r="D19" s="116"/>
      <c r="E19" s="987">
        <v>304</v>
      </c>
      <c r="F19" s="135">
        <f t="shared" si="1"/>
        <v>10.857142857142858</v>
      </c>
      <c r="G19" s="988"/>
      <c r="H19" s="987">
        <v>65</v>
      </c>
      <c r="I19" s="135">
        <f t="shared" si="2"/>
        <v>12.264150943396226</v>
      </c>
      <c r="J19" s="988"/>
      <c r="K19" s="987">
        <v>30</v>
      </c>
      <c r="L19" s="135">
        <f t="shared" si="3"/>
        <v>6.8493150684931505</v>
      </c>
      <c r="M19" s="988"/>
      <c r="N19" s="987">
        <v>37</v>
      </c>
      <c r="O19" s="135">
        <f t="shared" si="4"/>
        <v>9.7112860892388451</v>
      </c>
      <c r="P19" s="988"/>
      <c r="Q19" s="987">
        <v>21</v>
      </c>
      <c r="R19" s="135">
        <f t="shared" si="5"/>
        <v>7.5</v>
      </c>
      <c r="S19" s="989"/>
      <c r="T19" s="987">
        <v>22</v>
      </c>
      <c r="U19" s="135">
        <f t="shared" si="6"/>
        <v>8.0882352941176467</v>
      </c>
      <c r="V19" s="989"/>
      <c r="W19" s="987">
        <v>11</v>
      </c>
      <c r="X19" s="135">
        <f t="shared" si="7"/>
        <v>12.222222222222221</v>
      </c>
    </row>
    <row r="20" spans="1:25" ht="13" customHeight="1">
      <c r="A20" s="61"/>
      <c r="B20" s="986"/>
      <c r="C20" s="135" t="str">
        <f t="shared" si="0"/>
        <v/>
      </c>
      <c r="D20" s="116"/>
      <c r="E20" s="987"/>
      <c r="F20" s="135" t="str">
        <f t="shared" si="1"/>
        <v/>
      </c>
      <c r="G20" s="988"/>
      <c r="H20" s="987"/>
      <c r="I20" s="135" t="str">
        <f t="shared" si="2"/>
        <v/>
      </c>
      <c r="J20" s="988"/>
      <c r="K20" s="987"/>
      <c r="L20" s="135" t="str">
        <f t="shared" si="3"/>
        <v/>
      </c>
      <c r="M20" s="988"/>
      <c r="N20" s="987"/>
      <c r="O20" s="135" t="str">
        <f t="shared" si="4"/>
        <v/>
      </c>
      <c r="P20" s="988"/>
      <c r="Q20" s="987"/>
      <c r="R20" s="135" t="str">
        <f t="shared" si="5"/>
        <v/>
      </c>
      <c r="S20" s="989"/>
      <c r="T20" s="987"/>
      <c r="U20" s="135" t="str">
        <f t="shared" si="6"/>
        <v/>
      </c>
      <c r="V20" s="989"/>
      <c r="W20" s="987"/>
      <c r="X20" s="135" t="str">
        <f t="shared" si="7"/>
        <v/>
      </c>
    </row>
    <row r="21" spans="1:25" ht="13" customHeight="1">
      <c r="A21" s="61">
        <v>5</v>
      </c>
      <c r="B21" s="986">
        <v>3348</v>
      </c>
      <c r="C21" s="135">
        <f t="shared" si="0"/>
        <v>69.881026925485287</v>
      </c>
      <c r="D21" s="116"/>
      <c r="E21" s="987">
        <v>1818</v>
      </c>
      <c r="F21" s="135">
        <f t="shared" si="1"/>
        <v>64.928571428571431</v>
      </c>
      <c r="G21" s="988"/>
      <c r="H21" s="987">
        <v>385</v>
      </c>
      <c r="I21" s="135">
        <f t="shared" si="2"/>
        <v>72.641509433962256</v>
      </c>
      <c r="J21" s="988"/>
      <c r="K21" s="987">
        <v>362</v>
      </c>
      <c r="L21" s="135">
        <f t="shared" si="3"/>
        <v>82.648401826484019</v>
      </c>
      <c r="M21" s="988"/>
      <c r="N21" s="987">
        <v>299</v>
      </c>
      <c r="O21" s="135">
        <f t="shared" si="4"/>
        <v>78.477690288713902</v>
      </c>
      <c r="P21" s="988"/>
      <c r="Q21" s="987">
        <v>224</v>
      </c>
      <c r="R21" s="135">
        <f t="shared" si="5"/>
        <v>80</v>
      </c>
      <c r="S21" s="989"/>
      <c r="T21" s="987">
        <v>211</v>
      </c>
      <c r="U21" s="135">
        <f t="shared" si="6"/>
        <v>77.57352941176471</v>
      </c>
      <c r="V21" s="989"/>
      <c r="W21" s="987">
        <v>49</v>
      </c>
      <c r="X21" s="135">
        <f t="shared" si="7"/>
        <v>54.444444444444443</v>
      </c>
    </row>
    <row r="22" spans="1:25" ht="13" customHeight="1" thickBot="1">
      <c r="L22" s="135" t="str">
        <f t="shared" si="3"/>
        <v/>
      </c>
    </row>
    <row r="23" spans="1:25" ht="13" customHeight="1">
      <c r="A23" s="97"/>
      <c r="B23" s="144"/>
      <c r="C23" s="99"/>
      <c r="D23" s="97"/>
      <c r="E23" s="144"/>
      <c r="F23" s="99"/>
      <c r="G23" s="97"/>
      <c r="H23" s="144"/>
      <c r="I23" s="99"/>
      <c r="J23" s="99"/>
      <c r="K23" s="144"/>
      <c r="L23" s="97"/>
      <c r="M23" s="97"/>
      <c r="N23" s="144"/>
      <c r="O23" s="97"/>
      <c r="P23" s="97"/>
      <c r="Q23" s="144"/>
      <c r="R23" s="97"/>
      <c r="S23" s="97"/>
      <c r="T23" s="97"/>
      <c r="U23" s="97"/>
      <c r="V23" s="97"/>
      <c r="W23" s="97"/>
      <c r="X23" s="97"/>
      <c r="Y23" s="97"/>
    </row>
    <row r="24" spans="1:25" ht="13" customHeight="1">
      <c r="A24" s="27" t="s">
        <v>2159</v>
      </c>
      <c r="B24" s="155"/>
      <c r="C24" s="139"/>
      <c r="D24" s="155"/>
      <c r="E24" s="155"/>
      <c r="F24" s="139"/>
      <c r="G24" s="140"/>
      <c r="J24" s="95"/>
      <c r="K24" s="95"/>
      <c r="N24" s="95"/>
      <c r="Q24" s="95"/>
    </row>
    <row r="25" spans="1:25" ht="13" customHeight="1">
      <c r="A25" s="111" t="s">
        <v>1612</v>
      </c>
      <c r="B25" s="155"/>
      <c r="C25" s="139"/>
      <c r="D25" s="155"/>
      <c r="E25" s="155"/>
      <c r="F25" s="139"/>
      <c r="G25" s="140"/>
      <c r="J25" s="95"/>
      <c r="K25" s="95"/>
      <c r="N25" s="95"/>
      <c r="Q25" s="95"/>
    </row>
    <row r="26" spans="1:25" ht="13" customHeight="1">
      <c r="A26" s="27" t="s">
        <v>1613</v>
      </c>
      <c r="B26" s="155"/>
      <c r="C26" s="139"/>
      <c r="D26" s="155"/>
      <c r="E26" s="155"/>
      <c r="F26" s="139"/>
      <c r="G26" s="140"/>
      <c r="J26" s="95"/>
      <c r="K26" s="95"/>
      <c r="N26" s="95"/>
      <c r="Q26" s="95"/>
    </row>
    <row r="27" spans="1:25" ht="13" customHeight="1">
      <c r="A27" s="75" t="s">
        <v>2157</v>
      </c>
      <c r="B27" s="155"/>
      <c r="C27" s="139"/>
      <c r="D27" s="155"/>
      <c r="E27" s="155"/>
      <c r="F27" s="139"/>
      <c r="G27" s="155"/>
      <c r="H27" s="155"/>
      <c r="J27" s="95"/>
      <c r="K27" s="95"/>
      <c r="N27" s="95"/>
      <c r="Q27" s="95"/>
    </row>
    <row r="28" spans="1:25" ht="8.25" customHeight="1">
      <c r="A28" s="27"/>
      <c r="B28" s="155"/>
      <c r="C28" s="139"/>
      <c r="D28" s="155"/>
      <c r="E28" s="155"/>
      <c r="F28" s="139"/>
      <c r="G28" s="155"/>
      <c r="H28" s="155"/>
      <c r="J28" s="95"/>
      <c r="K28" s="95"/>
      <c r="N28" s="95"/>
      <c r="Q28" s="95"/>
    </row>
    <row r="29" spans="1:25" ht="13" customHeight="1">
      <c r="A29" s="95" t="s">
        <v>1563</v>
      </c>
    </row>
    <row r="30" spans="1:25" ht="13" customHeight="1">
      <c r="A30" s="95" t="s">
        <v>432</v>
      </c>
    </row>
    <row r="34" spans="1:24">
      <c r="A34" s="641"/>
      <c r="B34" s="641"/>
      <c r="C34" s="641"/>
      <c r="D34" s="641"/>
      <c r="E34" s="641"/>
      <c r="F34" s="641"/>
      <c r="G34" s="641"/>
      <c r="H34" s="641"/>
      <c r="I34" s="641"/>
      <c r="J34" s="641"/>
      <c r="K34" s="641"/>
      <c r="L34" s="641"/>
      <c r="M34" s="641"/>
      <c r="N34" s="641"/>
      <c r="O34" s="641"/>
      <c r="P34" s="641"/>
      <c r="Q34" s="641"/>
      <c r="R34" s="641"/>
      <c r="S34" s="641"/>
      <c r="T34" s="641"/>
      <c r="U34" s="641"/>
      <c r="V34" s="641"/>
      <c r="W34" s="641"/>
      <c r="X34" s="641"/>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5" tint="-0.249977111117893"/>
  </sheetPr>
  <dimension ref="A2:K36"/>
  <sheetViews>
    <sheetView workbookViewId="0">
      <selection activeCell="A3" sqref="A3"/>
    </sheetView>
  </sheetViews>
  <sheetFormatPr baseColWidth="10" defaultRowHeight="15"/>
  <sheetData>
    <row r="2" spans="2:11">
      <c r="B2" s="33"/>
      <c r="C2" s="639"/>
      <c r="D2" s="639"/>
      <c r="E2" s="639"/>
    </row>
    <row r="3" spans="2:11">
      <c r="B3" s="33"/>
      <c r="C3" s="639"/>
      <c r="D3" s="639"/>
      <c r="E3" s="639"/>
      <c r="G3" s="639"/>
      <c r="H3" s="639"/>
      <c r="I3" s="639"/>
      <c r="J3" s="639"/>
      <c r="K3" s="639"/>
    </row>
    <row r="4" spans="2:11">
      <c r="B4" s="33"/>
      <c r="C4" s="639"/>
      <c r="D4" s="639"/>
      <c r="E4" s="639"/>
    </row>
    <row r="5" spans="2:11">
      <c r="B5" s="33"/>
      <c r="C5" s="639"/>
      <c r="D5" s="639"/>
      <c r="E5" s="639"/>
    </row>
    <row r="6" spans="2:11">
      <c r="B6" s="33"/>
      <c r="C6" s="639"/>
      <c r="D6" s="639"/>
      <c r="E6" s="639"/>
    </row>
    <row r="7" spans="2:11">
      <c r="B7" s="33"/>
      <c r="C7" s="639"/>
      <c r="D7" s="639"/>
      <c r="E7" s="639"/>
    </row>
    <row r="8" spans="2:11">
      <c r="B8" s="33"/>
      <c r="C8" s="639"/>
      <c r="D8" s="639"/>
      <c r="E8" s="639"/>
    </row>
    <row r="17" spans="2:3">
      <c r="B17" s="33"/>
      <c r="C17" s="639"/>
    </row>
    <row r="18" spans="2:3">
      <c r="B18" s="33"/>
      <c r="C18" s="639"/>
    </row>
    <row r="19" spans="2:3">
      <c r="B19" s="33"/>
      <c r="C19" s="639"/>
    </row>
    <row r="20" spans="2:3">
      <c r="B20" s="33"/>
      <c r="C20" s="639"/>
    </row>
    <row r="21" spans="2:3">
      <c r="B21" s="33"/>
      <c r="C21" s="639"/>
    </row>
    <row r="22" spans="2:3">
      <c r="B22" s="33"/>
      <c r="C22" s="639"/>
    </row>
    <row r="23" spans="2:3">
      <c r="B23" s="33"/>
      <c r="C23" s="639"/>
    </row>
    <row r="36" spans="1:7">
      <c r="A36" s="639"/>
      <c r="B36" s="639"/>
      <c r="C36" s="639"/>
      <c r="D36" s="639"/>
      <c r="E36" s="639"/>
      <c r="F36" s="639"/>
      <c r="G36" s="639"/>
    </row>
  </sheetData>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Y27"/>
  <sheetViews>
    <sheetView workbookViewId="0">
      <selection activeCell="A3" sqref="A3"/>
    </sheetView>
  </sheetViews>
  <sheetFormatPr baseColWidth="10" defaultColWidth="9.1640625" defaultRowHeight="13"/>
  <cols>
    <col min="1" max="1" width="11" style="95" customWidth="1"/>
    <col min="2" max="2" width="7.5" style="155" customWidth="1"/>
    <col min="3" max="3" width="7.6640625" style="105" customWidth="1"/>
    <col min="4" max="4" width="1.6640625" style="95" customWidth="1"/>
    <col min="5" max="5" width="7.6640625" style="217" customWidth="1"/>
    <col min="6" max="6" width="7.6640625" style="105" customWidth="1"/>
    <col min="7" max="7" width="1.6640625" style="95" customWidth="1"/>
    <col min="8" max="8" width="6.6640625" style="217" customWidth="1"/>
    <col min="9" max="9" width="7.6640625" style="105" customWidth="1"/>
    <col min="10" max="10" width="1.6640625" style="105" customWidth="1"/>
    <col min="11" max="11" width="6.6640625" style="217" customWidth="1"/>
    <col min="12" max="12" width="7.6640625" style="95" customWidth="1"/>
    <col min="13" max="13" width="1.6640625" style="95" customWidth="1"/>
    <col min="14" max="14" width="6.6640625" style="217" customWidth="1"/>
    <col min="15" max="15" width="7.6640625" style="95" customWidth="1"/>
    <col min="16" max="16" width="1.6640625" style="95" customWidth="1"/>
    <col min="17" max="17" width="6.6640625" style="217" customWidth="1"/>
    <col min="18" max="18" width="7.6640625" style="95" customWidth="1"/>
    <col min="19" max="19" width="1.6640625" style="95" customWidth="1"/>
    <col min="20" max="20" width="6.6640625" style="219"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 style="95" customWidth="1"/>
    <col min="258" max="258" width="7.5" style="95" customWidth="1"/>
    <col min="259"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 style="95" customWidth="1"/>
    <col min="514" max="514" width="7.5" style="95" customWidth="1"/>
    <col min="515"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 style="95" customWidth="1"/>
    <col min="770" max="770" width="7.5" style="95" customWidth="1"/>
    <col min="771"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 style="95" customWidth="1"/>
    <col min="1026" max="1026" width="7.5" style="95" customWidth="1"/>
    <col min="1027"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 style="95" customWidth="1"/>
    <col min="1282" max="1282" width="7.5" style="95" customWidth="1"/>
    <col min="1283"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 style="95" customWidth="1"/>
    <col min="1538" max="1538" width="7.5" style="95" customWidth="1"/>
    <col min="1539"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 style="95" customWidth="1"/>
    <col min="1794" max="1794" width="7.5" style="95" customWidth="1"/>
    <col min="1795"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 style="95" customWidth="1"/>
    <col min="2050" max="2050" width="7.5" style="95" customWidth="1"/>
    <col min="2051"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 style="95" customWidth="1"/>
    <col min="2306" max="2306" width="7.5" style="95" customWidth="1"/>
    <col min="2307"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 style="95" customWidth="1"/>
    <col min="2562" max="2562" width="7.5" style="95" customWidth="1"/>
    <col min="2563"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 style="95" customWidth="1"/>
    <col min="2818" max="2818" width="7.5" style="95" customWidth="1"/>
    <col min="2819"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 style="95" customWidth="1"/>
    <col min="3074" max="3074" width="7.5" style="95" customWidth="1"/>
    <col min="3075"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 style="95" customWidth="1"/>
    <col min="3330" max="3330" width="7.5" style="95" customWidth="1"/>
    <col min="3331"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 style="95" customWidth="1"/>
    <col min="3586" max="3586" width="7.5" style="95" customWidth="1"/>
    <col min="3587"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 style="95" customWidth="1"/>
    <col min="3842" max="3842" width="7.5" style="95" customWidth="1"/>
    <col min="3843"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 style="95" customWidth="1"/>
    <col min="4098" max="4098" width="7.5" style="95" customWidth="1"/>
    <col min="4099"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 style="95" customWidth="1"/>
    <col min="4354" max="4354" width="7.5" style="95" customWidth="1"/>
    <col min="4355"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 style="95" customWidth="1"/>
    <col min="4610" max="4610" width="7.5" style="95" customWidth="1"/>
    <col min="4611"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 style="95" customWidth="1"/>
    <col min="4866" max="4866" width="7.5" style="95" customWidth="1"/>
    <col min="4867"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 style="95" customWidth="1"/>
    <col min="5122" max="5122" width="7.5" style="95" customWidth="1"/>
    <col min="5123"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 style="95" customWidth="1"/>
    <col min="5378" max="5378" width="7.5" style="95" customWidth="1"/>
    <col min="5379"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 style="95" customWidth="1"/>
    <col min="5634" max="5634" width="7.5" style="95" customWidth="1"/>
    <col min="5635"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 style="95" customWidth="1"/>
    <col min="5890" max="5890" width="7.5" style="95" customWidth="1"/>
    <col min="5891"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 style="95" customWidth="1"/>
    <col min="6146" max="6146" width="7.5" style="95" customWidth="1"/>
    <col min="6147"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 style="95" customWidth="1"/>
    <col min="6402" max="6402" width="7.5" style="95" customWidth="1"/>
    <col min="6403"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 style="95" customWidth="1"/>
    <col min="6658" max="6658" width="7.5" style="95" customWidth="1"/>
    <col min="6659"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 style="95" customWidth="1"/>
    <col min="6914" max="6914" width="7.5" style="95" customWidth="1"/>
    <col min="6915"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 style="95" customWidth="1"/>
    <col min="7170" max="7170" width="7.5" style="95" customWidth="1"/>
    <col min="7171"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 style="95" customWidth="1"/>
    <col min="7426" max="7426" width="7.5" style="95" customWidth="1"/>
    <col min="7427"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 style="95" customWidth="1"/>
    <col min="7682" max="7682" width="7.5" style="95" customWidth="1"/>
    <col min="7683"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 style="95" customWidth="1"/>
    <col min="7938" max="7938" width="7.5" style="95" customWidth="1"/>
    <col min="7939"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 style="95" customWidth="1"/>
    <col min="8194" max="8194" width="7.5" style="95" customWidth="1"/>
    <col min="8195"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 style="95" customWidth="1"/>
    <col min="8450" max="8450" width="7.5" style="95" customWidth="1"/>
    <col min="8451"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 style="95" customWidth="1"/>
    <col min="8706" max="8706" width="7.5" style="95" customWidth="1"/>
    <col min="8707"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 style="95" customWidth="1"/>
    <col min="8962" max="8962" width="7.5" style="95" customWidth="1"/>
    <col min="8963"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 style="95" customWidth="1"/>
    <col min="9218" max="9218" width="7.5" style="95" customWidth="1"/>
    <col min="9219"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 style="95" customWidth="1"/>
    <col min="9474" max="9474" width="7.5" style="95" customWidth="1"/>
    <col min="9475"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 style="95" customWidth="1"/>
    <col min="9730" max="9730" width="7.5" style="95" customWidth="1"/>
    <col min="9731"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 style="95" customWidth="1"/>
    <col min="9986" max="9986" width="7.5" style="95" customWidth="1"/>
    <col min="9987"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 style="95" customWidth="1"/>
    <col min="10242" max="10242" width="7.5" style="95" customWidth="1"/>
    <col min="10243"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 style="95" customWidth="1"/>
    <col min="10498" max="10498" width="7.5" style="95" customWidth="1"/>
    <col min="10499"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 style="95" customWidth="1"/>
    <col min="10754" max="10754" width="7.5" style="95" customWidth="1"/>
    <col min="10755"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 style="95" customWidth="1"/>
    <col min="11010" max="11010" width="7.5" style="95" customWidth="1"/>
    <col min="11011"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 style="95" customWidth="1"/>
    <col min="11266" max="11266" width="7.5" style="95" customWidth="1"/>
    <col min="11267"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 style="95" customWidth="1"/>
    <col min="11522" max="11522" width="7.5" style="95" customWidth="1"/>
    <col min="11523"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 style="95" customWidth="1"/>
    <col min="11778" max="11778" width="7.5" style="95" customWidth="1"/>
    <col min="11779"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 style="95" customWidth="1"/>
    <col min="12034" max="12034" width="7.5" style="95" customWidth="1"/>
    <col min="12035"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 style="95" customWidth="1"/>
    <col min="12290" max="12290" width="7.5" style="95" customWidth="1"/>
    <col min="12291"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 style="95" customWidth="1"/>
    <col min="12546" max="12546" width="7.5" style="95" customWidth="1"/>
    <col min="12547"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 style="95" customWidth="1"/>
    <col min="12802" max="12802" width="7.5" style="95" customWidth="1"/>
    <col min="12803"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 style="95" customWidth="1"/>
    <col min="13058" max="13058" width="7.5" style="95" customWidth="1"/>
    <col min="13059"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 style="95" customWidth="1"/>
    <col min="13314" max="13314" width="7.5" style="95" customWidth="1"/>
    <col min="13315"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 style="95" customWidth="1"/>
    <col min="13570" max="13570" width="7.5" style="95" customWidth="1"/>
    <col min="13571"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 style="95" customWidth="1"/>
    <col min="13826" max="13826" width="7.5" style="95" customWidth="1"/>
    <col min="13827"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 style="95" customWidth="1"/>
    <col min="14082" max="14082" width="7.5" style="95" customWidth="1"/>
    <col min="14083"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 style="95" customWidth="1"/>
    <col min="14338" max="14338" width="7.5" style="95" customWidth="1"/>
    <col min="14339"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 style="95" customWidth="1"/>
    <col min="14594" max="14594" width="7.5" style="95" customWidth="1"/>
    <col min="14595"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 style="95" customWidth="1"/>
    <col min="14850" max="14850" width="7.5" style="95" customWidth="1"/>
    <col min="14851"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 style="95" customWidth="1"/>
    <col min="15106" max="15106" width="7.5" style="95" customWidth="1"/>
    <col min="15107"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 style="95" customWidth="1"/>
    <col min="15362" max="15362" width="7.5" style="95" customWidth="1"/>
    <col min="15363"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 style="95" customWidth="1"/>
    <col min="15618" max="15618" width="7.5" style="95" customWidth="1"/>
    <col min="15619"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 style="95" customWidth="1"/>
    <col min="15874" max="15874" width="7.5" style="95" customWidth="1"/>
    <col min="15875"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 style="95" customWidth="1"/>
    <col min="16130" max="16130" width="7.5" style="95" customWidth="1"/>
    <col min="16131"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221"/>
      <c r="F2" s="139"/>
    </row>
    <row r="3" spans="1:25" ht="10.5" customHeight="1"/>
    <row r="4" spans="1:25" ht="13" customHeight="1">
      <c r="A4" s="33" t="s">
        <v>2160</v>
      </c>
    </row>
    <row r="5" spans="1:25" ht="13" customHeight="1" thickBot="1">
      <c r="L5" s="105"/>
      <c r="O5" s="105"/>
      <c r="P5" s="105"/>
      <c r="R5" s="105"/>
      <c r="S5" s="105"/>
      <c r="W5" s="219"/>
    </row>
    <row r="6" spans="1:25" ht="13" customHeight="1">
      <c r="A6" s="97"/>
      <c r="B6" s="115"/>
      <c r="C6" s="99"/>
      <c r="D6" s="97"/>
      <c r="E6" s="550"/>
      <c r="F6" s="99"/>
      <c r="G6" s="97"/>
      <c r="H6" s="550"/>
      <c r="I6" s="99"/>
      <c r="J6" s="99"/>
      <c r="K6" s="550"/>
      <c r="L6" s="99"/>
      <c r="M6" s="97"/>
      <c r="N6" s="550"/>
      <c r="O6" s="99"/>
      <c r="P6" s="99"/>
      <c r="Q6" s="550"/>
      <c r="R6" s="99"/>
      <c r="S6" s="99"/>
      <c r="T6" s="551"/>
      <c r="U6" s="99"/>
      <c r="V6" s="99"/>
      <c r="W6" s="551"/>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553"/>
      <c r="F9" s="96"/>
      <c r="G9" s="102"/>
      <c r="H9" s="553"/>
      <c r="I9" s="96"/>
      <c r="J9" s="96"/>
      <c r="K9" s="553"/>
      <c r="L9" s="96"/>
      <c r="M9" s="102"/>
      <c r="N9" s="553"/>
      <c r="O9" s="96"/>
      <c r="P9" s="96"/>
      <c r="Q9" s="553"/>
      <c r="R9" s="96"/>
      <c r="S9" s="96"/>
      <c r="T9" s="295"/>
      <c r="U9" s="96"/>
      <c r="V9" s="96"/>
      <c r="W9" s="295"/>
      <c r="X9" s="96"/>
      <c r="Y9" s="96"/>
    </row>
    <row r="10" spans="1:25" ht="13" customHeight="1">
      <c r="A10" s="116"/>
      <c r="B10" s="119"/>
      <c r="C10" s="135"/>
      <c r="D10" s="116"/>
      <c r="E10" s="220"/>
      <c r="F10" s="135"/>
      <c r="G10" s="116"/>
      <c r="H10" s="220"/>
      <c r="I10" s="135"/>
      <c r="J10" s="135"/>
      <c r="K10" s="220"/>
      <c r="L10" s="135"/>
      <c r="M10" s="116"/>
      <c r="N10" s="220"/>
      <c r="O10" s="135"/>
      <c r="Q10" s="220"/>
      <c r="R10" s="135"/>
      <c r="W10" s="219"/>
    </row>
    <row r="11" spans="1:25" ht="13" customHeight="1">
      <c r="A11" s="607" t="s">
        <v>148</v>
      </c>
      <c r="B11" s="119">
        <f>IF($A11&lt;&gt;0,SUM(B13:B21),"")</f>
        <v>26263</v>
      </c>
      <c r="C11" s="134">
        <f>IF($A11&lt;&gt;0,SUM(C13:C21),"")</f>
        <v>100</v>
      </c>
      <c r="D11" s="116"/>
      <c r="E11" s="220">
        <f>IF($A11&lt;&gt;0,SUM(E13:E21),"")</f>
        <v>16673</v>
      </c>
      <c r="F11" s="134">
        <f>IF($A11&lt;&gt;0,SUM(F13:F21),"")</f>
        <v>100</v>
      </c>
      <c r="G11" s="116"/>
      <c r="H11" s="220">
        <f>IF($A11&lt;&gt;0,SUM(H13:H21),"")</f>
        <v>2713</v>
      </c>
      <c r="I11" s="134">
        <f>IF($A11&lt;&gt;0,SUM(I13:I21),"")</f>
        <v>100</v>
      </c>
      <c r="J11" s="135"/>
      <c r="K11" s="220">
        <f>IF($A11&lt;&gt;0,SUM(K13:K21),"")</f>
        <v>1926</v>
      </c>
      <c r="L11" s="134">
        <f>IF($A11&lt;&gt;0,SUM(L13:L21),"")</f>
        <v>100</v>
      </c>
      <c r="M11" s="116"/>
      <c r="N11" s="220">
        <f>IF($A11&lt;&gt;0,SUM(N13:N21),"")</f>
        <v>1900</v>
      </c>
      <c r="O11" s="134">
        <f>IF($A11&lt;&gt;0,SUM(O13:O21),"")</f>
        <v>100</v>
      </c>
      <c r="Q11" s="220">
        <f>IF($A11&lt;&gt;0,SUM(Q13:Q21),"")</f>
        <v>1363</v>
      </c>
      <c r="R11" s="134">
        <f>IF($A11&lt;&gt;0,SUM(R13:R21),"")</f>
        <v>100</v>
      </c>
      <c r="T11" s="220">
        <f>IF($A11&lt;&gt;0,SUM(T13:T21),"")</f>
        <v>1222</v>
      </c>
      <c r="U11" s="134">
        <f>IF($A11&lt;&gt;0,SUM(U13:U21),"")</f>
        <v>100</v>
      </c>
      <c r="W11" s="220">
        <f>IF($A11&lt;&gt;0,SUM(W13:W21),"")</f>
        <v>466</v>
      </c>
      <c r="X11" s="134">
        <f>IF($A11&lt;&gt;0,SUM(X13:X21),"")</f>
        <v>100</v>
      </c>
    </row>
    <row r="12" spans="1:25" ht="13" customHeight="1">
      <c r="A12" s="107"/>
      <c r="B12" s="119" t="str">
        <f>IF(A12&lt;&gt;0,E12+H12+K12+N12+Q12+T12,"")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119"/>
      <c r="W12" s="119"/>
    </row>
    <row r="13" spans="1:25" ht="13" customHeight="1">
      <c r="A13" s="61">
        <v>1</v>
      </c>
      <c r="B13" s="119">
        <f>IF(A13&lt;&gt;0,E13+H13+K13+N13+Q13+T13+W13,"")</f>
        <v>1234</v>
      </c>
      <c r="C13" s="135">
        <f t="shared" ref="C13:C21" si="0">IF($A13&lt;&gt;"",B13/$B$11*100,"")</f>
        <v>4.6986254426379315</v>
      </c>
      <c r="D13" s="116"/>
      <c r="E13" s="990">
        <v>962</v>
      </c>
      <c r="F13" s="135">
        <f t="shared" ref="F13:F21" si="1">IF($A13&lt;&gt;"",E13/$E$11*100,"")</f>
        <v>5.7698074731601992</v>
      </c>
      <c r="G13" s="116"/>
      <c r="H13" s="990">
        <v>78</v>
      </c>
      <c r="I13" s="135">
        <f t="shared" ref="I13:I21" si="2">IF($A13&lt;&gt;"",H13/$H$11*100,"")</f>
        <v>2.8750460744563213</v>
      </c>
      <c r="J13" s="135"/>
      <c r="K13" s="990">
        <v>38</v>
      </c>
      <c r="L13" s="135">
        <f t="shared" ref="L13:L21" si="3">IF($A13&lt;&gt;"",K13/$K$11*100,"")</f>
        <v>1.9730010384215992</v>
      </c>
      <c r="M13" s="116"/>
      <c r="N13" s="990">
        <v>63</v>
      </c>
      <c r="O13" s="135">
        <f t="shared" ref="O13:O21" si="4">IF($A13&lt;&gt;"",N13/$N$11*100,"")</f>
        <v>3.3157894736842106</v>
      </c>
      <c r="Q13" s="990">
        <v>29</v>
      </c>
      <c r="R13" s="135">
        <f t="shared" ref="R13:R21" si="5">IF($A13&lt;&gt;"",Q13/$Q$11*100,"")</f>
        <v>2.1276595744680851</v>
      </c>
      <c r="T13" s="990">
        <v>44</v>
      </c>
      <c r="U13" s="135">
        <f t="shared" ref="U13:U21" si="6">IF($A13&lt;&gt;"",T13/$T$11*100,"")</f>
        <v>3.6006546644844519</v>
      </c>
      <c r="W13" s="990">
        <v>20</v>
      </c>
      <c r="X13" s="135">
        <f>IF($A13&lt;&gt;"",W13/$W$11*100,"")</f>
        <v>4.2918454935622314</v>
      </c>
    </row>
    <row r="14" spans="1:25" ht="13" customHeight="1">
      <c r="A14" s="61"/>
      <c r="B14" s="119" t="str">
        <f t="shared" ref="B14:B21" si="7">IF(A14&lt;&gt;0,E14+H14+K14+N14+Q14+T14+W14,"")</f>
        <v/>
      </c>
      <c r="C14" s="135" t="str">
        <f t="shared" si="0"/>
        <v/>
      </c>
      <c r="D14" s="116"/>
      <c r="E14" s="990"/>
      <c r="F14" s="135" t="str">
        <f t="shared" si="1"/>
        <v/>
      </c>
      <c r="G14" s="116"/>
      <c r="H14" s="990"/>
      <c r="I14" s="135" t="str">
        <f t="shared" si="2"/>
        <v/>
      </c>
      <c r="J14" s="135"/>
      <c r="K14" s="990"/>
      <c r="L14" s="135" t="str">
        <f t="shared" si="3"/>
        <v/>
      </c>
      <c r="M14" s="116"/>
      <c r="N14" s="990"/>
      <c r="O14" s="135" t="str">
        <f t="shared" si="4"/>
        <v/>
      </c>
      <c r="Q14" s="990"/>
      <c r="R14" s="135" t="str">
        <f t="shared" si="5"/>
        <v/>
      </c>
      <c r="T14" s="990"/>
      <c r="U14" s="135" t="str">
        <f t="shared" si="6"/>
        <v/>
      </c>
      <c r="W14" s="990"/>
      <c r="X14" s="135" t="str">
        <f t="shared" ref="X14:X21" si="8">IF($A14&lt;&gt;"",W14/$W$11*100,"")</f>
        <v/>
      </c>
    </row>
    <row r="15" spans="1:25" ht="13" customHeight="1">
      <c r="A15" s="61">
        <v>2</v>
      </c>
      <c r="B15" s="119">
        <f t="shared" si="7"/>
        <v>1486</v>
      </c>
      <c r="C15" s="135">
        <f t="shared" si="0"/>
        <v>5.6581502494002969</v>
      </c>
      <c r="D15" s="116"/>
      <c r="E15" s="990">
        <v>1143</v>
      </c>
      <c r="F15" s="135">
        <f t="shared" si="1"/>
        <v>6.8553949499190301</v>
      </c>
      <c r="G15" s="116"/>
      <c r="H15" s="990">
        <v>94</v>
      </c>
      <c r="I15" s="135">
        <f t="shared" si="2"/>
        <v>3.4647991153704387</v>
      </c>
      <c r="J15" s="135"/>
      <c r="K15" s="990">
        <v>56</v>
      </c>
      <c r="L15" s="135">
        <f t="shared" si="3"/>
        <v>2.9075804776739358</v>
      </c>
      <c r="M15" s="116"/>
      <c r="N15" s="990">
        <v>73</v>
      </c>
      <c r="O15" s="135">
        <f t="shared" si="4"/>
        <v>3.8421052631578947</v>
      </c>
      <c r="Q15" s="990">
        <v>45</v>
      </c>
      <c r="R15" s="135">
        <f t="shared" si="5"/>
        <v>3.301540719002201</v>
      </c>
      <c r="T15" s="990">
        <v>38</v>
      </c>
      <c r="U15" s="135">
        <f t="shared" si="6"/>
        <v>3.1096563011456628</v>
      </c>
      <c r="W15" s="990">
        <v>37</v>
      </c>
      <c r="X15" s="135">
        <f t="shared" si="8"/>
        <v>7.939914163090128</v>
      </c>
    </row>
    <row r="16" spans="1:25" ht="13" customHeight="1">
      <c r="A16" s="61"/>
      <c r="B16" s="119" t="str">
        <f t="shared" si="7"/>
        <v/>
      </c>
      <c r="C16" s="135" t="str">
        <f t="shared" si="0"/>
        <v/>
      </c>
      <c r="D16" s="116"/>
      <c r="E16" s="990"/>
      <c r="F16" s="135" t="str">
        <f t="shared" si="1"/>
        <v/>
      </c>
      <c r="G16" s="116"/>
      <c r="H16" s="990"/>
      <c r="I16" s="135" t="str">
        <f t="shared" si="2"/>
        <v/>
      </c>
      <c r="J16" s="135"/>
      <c r="K16" s="990"/>
      <c r="L16" s="135" t="str">
        <f t="shared" si="3"/>
        <v/>
      </c>
      <c r="M16" s="116"/>
      <c r="N16" s="990"/>
      <c r="O16" s="135" t="str">
        <f t="shared" si="4"/>
        <v/>
      </c>
      <c r="Q16" s="990"/>
      <c r="R16" s="135" t="str">
        <f t="shared" si="5"/>
        <v/>
      </c>
      <c r="T16" s="990"/>
      <c r="U16" s="135" t="str">
        <f t="shared" si="6"/>
        <v/>
      </c>
      <c r="W16" s="990"/>
      <c r="X16" s="135" t="str">
        <f t="shared" si="8"/>
        <v/>
      </c>
    </row>
    <row r="17" spans="1:25" ht="13" customHeight="1">
      <c r="A17" s="61">
        <v>3</v>
      </c>
      <c r="B17" s="119">
        <f t="shared" si="7"/>
        <v>1938</v>
      </c>
      <c r="C17" s="135">
        <f t="shared" si="0"/>
        <v>7.3792026805772375</v>
      </c>
      <c r="D17" s="116"/>
      <c r="E17" s="990">
        <v>1487</v>
      </c>
      <c r="F17" s="135">
        <f t="shared" si="1"/>
        <v>8.9186109278474177</v>
      </c>
      <c r="G17" s="301"/>
      <c r="H17" s="990">
        <v>141</v>
      </c>
      <c r="I17" s="135">
        <f t="shared" si="2"/>
        <v>5.1971986730556576</v>
      </c>
      <c r="J17" s="537"/>
      <c r="K17" s="990">
        <v>97</v>
      </c>
      <c r="L17" s="135">
        <f t="shared" si="3"/>
        <v>5.0363447559709247</v>
      </c>
      <c r="M17" s="301"/>
      <c r="N17" s="990">
        <v>73</v>
      </c>
      <c r="O17" s="135">
        <f t="shared" si="4"/>
        <v>3.8421052631578947</v>
      </c>
      <c r="P17" s="77"/>
      <c r="Q17" s="990">
        <v>40</v>
      </c>
      <c r="R17" s="135">
        <f t="shared" si="5"/>
        <v>2.9347028613352899</v>
      </c>
      <c r="T17" s="990">
        <v>51</v>
      </c>
      <c r="U17" s="135">
        <f t="shared" si="6"/>
        <v>4.1734860883797058</v>
      </c>
      <c r="W17" s="990">
        <v>49</v>
      </c>
      <c r="X17" s="135">
        <f t="shared" si="8"/>
        <v>10.515021459227468</v>
      </c>
    </row>
    <row r="18" spans="1:25" ht="13" customHeight="1">
      <c r="A18" s="61"/>
      <c r="B18" s="119" t="str">
        <f t="shared" si="7"/>
        <v/>
      </c>
      <c r="C18" s="135" t="str">
        <f t="shared" si="0"/>
        <v/>
      </c>
      <c r="D18" s="116"/>
      <c r="E18" s="990"/>
      <c r="F18" s="135" t="str">
        <f t="shared" si="1"/>
        <v/>
      </c>
      <c r="G18" s="301"/>
      <c r="H18" s="990"/>
      <c r="I18" s="135" t="str">
        <f t="shared" si="2"/>
        <v/>
      </c>
      <c r="J18" s="537"/>
      <c r="K18" s="990"/>
      <c r="L18" s="135" t="str">
        <f t="shared" si="3"/>
        <v/>
      </c>
      <c r="M18" s="301"/>
      <c r="N18" s="990"/>
      <c r="O18" s="135" t="str">
        <f t="shared" si="4"/>
        <v/>
      </c>
      <c r="P18" s="77"/>
      <c r="Q18" s="990"/>
      <c r="R18" s="135" t="str">
        <f t="shared" si="5"/>
        <v/>
      </c>
      <c r="T18" s="990"/>
      <c r="U18" s="135" t="str">
        <f t="shared" si="6"/>
        <v/>
      </c>
      <c r="W18" s="990"/>
      <c r="X18" s="135" t="str">
        <f t="shared" si="8"/>
        <v/>
      </c>
    </row>
    <row r="19" spans="1:25" ht="13" customHeight="1">
      <c r="A19" s="61">
        <v>4</v>
      </c>
      <c r="B19" s="119">
        <f t="shared" si="7"/>
        <v>2882</v>
      </c>
      <c r="C19" s="135">
        <f t="shared" si="0"/>
        <v>10.973613067814036</v>
      </c>
      <c r="D19" s="116"/>
      <c r="E19" s="990">
        <v>2013</v>
      </c>
      <c r="F19" s="135">
        <f t="shared" si="1"/>
        <v>12.073412103400708</v>
      </c>
      <c r="G19" s="301"/>
      <c r="H19" s="990">
        <v>250</v>
      </c>
      <c r="I19" s="135">
        <f t="shared" si="2"/>
        <v>9.2148912642830823</v>
      </c>
      <c r="J19" s="537"/>
      <c r="K19" s="990">
        <v>159</v>
      </c>
      <c r="L19" s="135">
        <f t="shared" si="3"/>
        <v>8.2554517133956384</v>
      </c>
      <c r="M19" s="301"/>
      <c r="N19" s="990">
        <v>176</v>
      </c>
      <c r="O19" s="135">
        <f t="shared" si="4"/>
        <v>9.2631578947368425</v>
      </c>
      <c r="P19" s="77"/>
      <c r="Q19" s="990">
        <v>111</v>
      </c>
      <c r="R19" s="135">
        <f t="shared" si="5"/>
        <v>8.1438004402054283</v>
      </c>
      <c r="T19" s="990">
        <v>100</v>
      </c>
      <c r="U19" s="135">
        <f t="shared" si="6"/>
        <v>8.1833060556464812</v>
      </c>
      <c r="W19" s="990">
        <v>73</v>
      </c>
      <c r="X19" s="135">
        <f t="shared" si="8"/>
        <v>15.665236051502147</v>
      </c>
    </row>
    <row r="20" spans="1:25" ht="13" customHeight="1">
      <c r="A20" s="61"/>
      <c r="B20" s="119" t="str">
        <f t="shared" si="7"/>
        <v/>
      </c>
      <c r="C20" s="135" t="str">
        <f t="shared" si="0"/>
        <v/>
      </c>
      <c r="D20" s="116"/>
      <c r="E20" s="990"/>
      <c r="F20" s="135" t="str">
        <f t="shared" si="1"/>
        <v/>
      </c>
      <c r="G20" s="116"/>
      <c r="H20" s="990"/>
      <c r="I20" s="135" t="str">
        <f t="shared" si="2"/>
        <v/>
      </c>
      <c r="J20" s="135"/>
      <c r="K20" s="990"/>
      <c r="L20" s="135" t="str">
        <f t="shared" si="3"/>
        <v/>
      </c>
      <c r="M20" s="116"/>
      <c r="N20" s="990"/>
      <c r="O20" s="135" t="str">
        <f t="shared" si="4"/>
        <v/>
      </c>
      <c r="Q20" s="990"/>
      <c r="R20" s="135" t="str">
        <f t="shared" si="5"/>
        <v/>
      </c>
      <c r="T20" s="990"/>
      <c r="U20" s="135" t="str">
        <f t="shared" si="6"/>
        <v/>
      </c>
      <c r="W20" s="990"/>
      <c r="X20" s="135" t="str">
        <f t="shared" si="8"/>
        <v/>
      </c>
    </row>
    <row r="21" spans="1:25" ht="13" customHeight="1">
      <c r="A21" s="61">
        <v>5</v>
      </c>
      <c r="B21" s="119">
        <f t="shared" si="7"/>
        <v>18723</v>
      </c>
      <c r="C21" s="135">
        <f t="shared" si="0"/>
        <v>71.290408559570494</v>
      </c>
      <c r="D21" s="116"/>
      <c r="E21" s="990">
        <v>11068</v>
      </c>
      <c r="F21" s="135">
        <f t="shared" si="1"/>
        <v>66.382774545672646</v>
      </c>
      <c r="G21" s="116"/>
      <c r="H21" s="990">
        <v>2150</v>
      </c>
      <c r="I21" s="135">
        <f t="shared" si="2"/>
        <v>79.248064872834505</v>
      </c>
      <c r="J21" s="135"/>
      <c r="K21" s="990">
        <v>1576</v>
      </c>
      <c r="L21" s="135">
        <f t="shared" si="3"/>
        <v>81.827622014537909</v>
      </c>
      <c r="M21" s="116"/>
      <c r="N21" s="990">
        <v>1515</v>
      </c>
      <c r="O21" s="135">
        <f t="shared" si="4"/>
        <v>79.736842105263165</v>
      </c>
      <c r="Q21" s="990">
        <v>1138</v>
      </c>
      <c r="R21" s="135">
        <f t="shared" si="5"/>
        <v>83.492296404988991</v>
      </c>
      <c r="T21" s="990">
        <v>989</v>
      </c>
      <c r="U21" s="135">
        <f t="shared" si="6"/>
        <v>80.932896890343699</v>
      </c>
      <c r="W21" s="990">
        <v>287</v>
      </c>
      <c r="X21" s="135">
        <f t="shared" si="8"/>
        <v>61.587982832618025</v>
      </c>
    </row>
    <row r="22" spans="1:25" ht="13" customHeight="1">
      <c r="A22" s="61"/>
      <c r="B22" s="119"/>
      <c r="C22" s="135"/>
      <c r="D22" s="116"/>
      <c r="E22" s="220"/>
      <c r="F22" s="135"/>
      <c r="G22" s="116"/>
      <c r="H22" s="220"/>
      <c r="I22" s="135"/>
      <c r="J22" s="135"/>
      <c r="K22" s="220"/>
      <c r="L22" s="135"/>
      <c r="M22" s="116"/>
      <c r="N22" s="220"/>
      <c r="O22" s="135"/>
      <c r="Q22" s="220"/>
      <c r="R22" s="135"/>
      <c r="T22" s="119"/>
      <c r="U22" s="135"/>
      <c r="W22" s="219"/>
      <c r="X22" s="135"/>
    </row>
    <row r="23" spans="1:25" ht="13" customHeight="1">
      <c r="A23" s="61" t="s">
        <v>1614</v>
      </c>
      <c r="B23" s="119"/>
      <c r="C23" s="135">
        <f>F23+I23+L23+O23+R23+U23+X23</f>
        <v>100.00000000000001</v>
      </c>
      <c r="D23" s="116"/>
      <c r="E23" s="220"/>
      <c r="F23" s="135">
        <f>E11/B11*100</f>
        <v>63.484750409321101</v>
      </c>
      <c r="G23" s="116"/>
      <c r="H23" s="220"/>
      <c r="I23" s="135">
        <f>H11/B11*100</f>
        <v>10.330122225183718</v>
      </c>
      <c r="J23" s="135"/>
      <c r="K23" s="220"/>
      <c r="L23" s="135">
        <f>K11/B11*100</f>
        <v>7.3335110231123632</v>
      </c>
      <c r="M23" s="116"/>
      <c r="N23" s="220"/>
      <c r="O23" s="135">
        <f>N11/B11*100</f>
        <v>7.2345124319384686</v>
      </c>
      <c r="Q23" s="220"/>
      <c r="R23" s="135">
        <f>Q11/B11*100</f>
        <v>5.189810760385333</v>
      </c>
      <c r="U23" s="135">
        <f>T11/B11*100</f>
        <v>4.6529337851730572</v>
      </c>
      <c r="W23" s="219"/>
      <c r="X23" s="135">
        <f>W11/B11*100</f>
        <v>1.7743593648859615</v>
      </c>
    </row>
    <row r="24" spans="1:25" ht="13" customHeight="1" thickBot="1">
      <c r="W24" s="219"/>
    </row>
    <row r="25" spans="1:25" ht="8.25" customHeight="1">
      <c r="A25" s="97"/>
      <c r="B25" s="115"/>
      <c r="C25" s="99"/>
      <c r="D25" s="97"/>
      <c r="E25" s="550"/>
      <c r="F25" s="99"/>
      <c r="G25" s="97"/>
      <c r="H25" s="550"/>
      <c r="I25" s="99"/>
      <c r="J25" s="99"/>
      <c r="K25" s="550"/>
      <c r="L25" s="97"/>
      <c r="M25" s="97"/>
      <c r="N25" s="550"/>
      <c r="O25" s="97"/>
      <c r="P25" s="97"/>
      <c r="Q25" s="550"/>
      <c r="R25" s="97"/>
      <c r="S25" s="97"/>
      <c r="T25" s="643"/>
      <c r="U25" s="97"/>
      <c r="V25" s="97"/>
      <c r="W25" s="643"/>
      <c r="X25" s="97"/>
      <c r="Y25" s="97"/>
    </row>
    <row r="26" spans="1:25" ht="13" customHeight="1">
      <c r="A26" s="95" t="s">
        <v>1563</v>
      </c>
    </row>
    <row r="27" spans="1:25" ht="13" customHeight="1">
      <c r="A27" s="95" t="s">
        <v>471</v>
      </c>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5" orientation="landscape" horizontalDpi="4294967293" verticalDpi="4294967293"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Y36"/>
  <sheetViews>
    <sheetView workbookViewId="0">
      <selection activeCell="A3" sqref="A3"/>
    </sheetView>
  </sheetViews>
  <sheetFormatPr baseColWidth="10" defaultColWidth="9.1640625" defaultRowHeight="13"/>
  <cols>
    <col min="1" max="1" width="10.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9.1640625" style="95" customWidth="1"/>
    <col min="22" max="22" width="1.83203125" style="95" customWidth="1"/>
    <col min="23" max="23" width="6.6640625" style="95" customWidth="1"/>
    <col min="24" max="24" width="9.1640625" style="95" customWidth="1"/>
    <col min="25" max="25" width="1.6640625" style="95" customWidth="1"/>
    <col min="26" max="256" width="9.1640625" style="95"/>
    <col min="257" max="257" width="10.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9.1640625" style="95" customWidth="1"/>
    <col min="278" max="278" width="1.83203125" style="95" customWidth="1"/>
    <col min="279" max="279" width="6.6640625" style="95" customWidth="1"/>
    <col min="280" max="280" width="9.1640625" style="95" customWidth="1"/>
    <col min="281" max="281" width="1.6640625" style="95" customWidth="1"/>
    <col min="282" max="512" width="9.1640625" style="95"/>
    <col min="513" max="513" width="10.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9.1640625" style="95" customWidth="1"/>
    <col min="534" max="534" width="1.83203125" style="95" customWidth="1"/>
    <col min="535" max="535" width="6.6640625" style="95" customWidth="1"/>
    <col min="536" max="536" width="9.1640625" style="95" customWidth="1"/>
    <col min="537" max="537" width="1.6640625" style="95" customWidth="1"/>
    <col min="538" max="768" width="9.1640625" style="95"/>
    <col min="769" max="769" width="10.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9.1640625" style="95" customWidth="1"/>
    <col min="790" max="790" width="1.83203125" style="95" customWidth="1"/>
    <col min="791" max="791" width="6.6640625" style="95" customWidth="1"/>
    <col min="792" max="792" width="9.1640625" style="95" customWidth="1"/>
    <col min="793" max="793" width="1.6640625" style="95" customWidth="1"/>
    <col min="794" max="1024" width="9.1640625" style="95"/>
    <col min="1025" max="1025" width="10.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9.1640625" style="95" customWidth="1"/>
    <col min="1046" max="1046" width="1.83203125" style="95" customWidth="1"/>
    <col min="1047" max="1047" width="6.6640625" style="95" customWidth="1"/>
    <col min="1048" max="1048" width="9.1640625" style="95" customWidth="1"/>
    <col min="1049" max="1049" width="1.6640625" style="95" customWidth="1"/>
    <col min="1050" max="1280" width="9.1640625" style="95"/>
    <col min="1281" max="1281" width="10.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9.1640625" style="95" customWidth="1"/>
    <col min="1302" max="1302" width="1.83203125" style="95" customWidth="1"/>
    <col min="1303" max="1303" width="6.6640625" style="95" customWidth="1"/>
    <col min="1304" max="1304" width="9.1640625" style="95" customWidth="1"/>
    <col min="1305" max="1305" width="1.6640625" style="95" customWidth="1"/>
    <col min="1306" max="1536" width="9.1640625" style="95"/>
    <col min="1537" max="1537" width="10.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9.1640625" style="95" customWidth="1"/>
    <col min="1558" max="1558" width="1.83203125" style="95" customWidth="1"/>
    <col min="1559" max="1559" width="6.6640625" style="95" customWidth="1"/>
    <col min="1560" max="1560" width="9.1640625" style="95" customWidth="1"/>
    <col min="1561" max="1561" width="1.6640625" style="95" customWidth="1"/>
    <col min="1562" max="1792" width="9.1640625" style="95"/>
    <col min="1793" max="1793" width="10.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9.1640625" style="95" customWidth="1"/>
    <col min="1814" max="1814" width="1.83203125" style="95" customWidth="1"/>
    <col min="1815" max="1815" width="6.6640625" style="95" customWidth="1"/>
    <col min="1816" max="1816" width="9.1640625" style="95" customWidth="1"/>
    <col min="1817" max="1817" width="1.6640625" style="95" customWidth="1"/>
    <col min="1818" max="2048" width="9.1640625" style="95"/>
    <col min="2049" max="2049" width="10.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9.1640625" style="95" customWidth="1"/>
    <col min="2070" max="2070" width="1.83203125" style="95" customWidth="1"/>
    <col min="2071" max="2071" width="6.6640625" style="95" customWidth="1"/>
    <col min="2072" max="2072" width="9.1640625" style="95" customWidth="1"/>
    <col min="2073" max="2073" width="1.6640625" style="95" customWidth="1"/>
    <col min="2074" max="2304" width="9.1640625" style="95"/>
    <col min="2305" max="2305" width="10.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9.1640625" style="95" customWidth="1"/>
    <col min="2326" max="2326" width="1.83203125" style="95" customWidth="1"/>
    <col min="2327" max="2327" width="6.6640625" style="95" customWidth="1"/>
    <col min="2328" max="2328" width="9.1640625" style="95" customWidth="1"/>
    <col min="2329" max="2329" width="1.6640625" style="95" customWidth="1"/>
    <col min="2330" max="2560" width="9.1640625" style="95"/>
    <col min="2561" max="2561" width="10.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9.1640625" style="95" customWidth="1"/>
    <col min="2582" max="2582" width="1.83203125" style="95" customWidth="1"/>
    <col min="2583" max="2583" width="6.6640625" style="95" customWidth="1"/>
    <col min="2584" max="2584" width="9.1640625" style="95" customWidth="1"/>
    <col min="2585" max="2585" width="1.6640625" style="95" customWidth="1"/>
    <col min="2586" max="2816" width="9.1640625" style="95"/>
    <col min="2817" max="2817" width="10.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9.1640625" style="95" customWidth="1"/>
    <col min="2838" max="2838" width="1.83203125" style="95" customWidth="1"/>
    <col min="2839" max="2839" width="6.6640625" style="95" customWidth="1"/>
    <col min="2840" max="2840" width="9.1640625" style="95" customWidth="1"/>
    <col min="2841" max="2841" width="1.6640625" style="95" customWidth="1"/>
    <col min="2842" max="3072" width="9.1640625" style="95"/>
    <col min="3073" max="3073" width="10.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9.1640625" style="95" customWidth="1"/>
    <col min="3094" max="3094" width="1.83203125" style="95" customWidth="1"/>
    <col min="3095" max="3095" width="6.6640625" style="95" customWidth="1"/>
    <col min="3096" max="3096" width="9.1640625" style="95" customWidth="1"/>
    <col min="3097" max="3097" width="1.6640625" style="95" customWidth="1"/>
    <col min="3098" max="3328" width="9.1640625" style="95"/>
    <col min="3329" max="3329" width="10.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9.1640625" style="95" customWidth="1"/>
    <col min="3350" max="3350" width="1.83203125" style="95" customWidth="1"/>
    <col min="3351" max="3351" width="6.6640625" style="95" customWidth="1"/>
    <col min="3352" max="3352" width="9.1640625" style="95" customWidth="1"/>
    <col min="3353" max="3353" width="1.6640625" style="95" customWidth="1"/>
    <col min="3354" max="3584" width="9.1640625" style="95"/>
    <col min="3585" max="3585" width="10.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9.1640625" style="95" customWidth="1"/>
    <col min="3606" max="3606" width="1.83203125" style="95" customWidth="1"/>
    <col min="3607" max="3607" width="6.6640625" style="95" customWidth="1"/>
    <col min="3608" max="3608" width="9.1640625" style="95" customWidth="1"/>
    <col min="3609" max="3609" width="1.6640625" style="95" customWidth="1"/>
    <col min="3610" max="3840" width="9.1640625" style="95"/>
    <col min="3841" max="3841" width="10.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9.1640625" style="95" customWidth="1"/>
    <col min="3862" max="3862" width="1.83203125" style="95" customWidth="1"/>
    <col min="3863" max="3863" width="6.6640625" style="95" customWidth="1"/>
    <col min="3864" max="3864" width="9.1640625" style="95" customWidth="1"/>
    <col min="3865" max="3865" width="1.6640625" style="95" customWidth="1"/>
    <col min="3866" max="4096" width="9.1640625" style="95"/>
    <col min="4097" max="4097" width="10.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9.1640625" style="95" customWidth="1"/>
    <col min="4118" max="4118" width="1.83203125" style="95" customWidth="1"/>
    <col min="4119" max="4119" width="6.6640625" style="95" customWidth="1"/>
    <col min="4120" max="4120" width="9.1640625" style="95" customWidth="1"/>
    <col min="4121" max="4121" width="1.6640625" style="95" customWidth="1"/>
    <col min="4122" max="4352" width="9.1640625" style="95"/>
    <col min="4353" max="4353" width="10.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9.1640625" style="95" customWidth="1"/>
    <col min="4374" max="4374" width="1.83203125" style="95" customWidth="1"/>
    <col min="4375" max="4375" width="6.6640625" style="95" customWidth="1"/>
    <col min="4376" max="4376" width="9.1640625" style="95" customWidth="1"/>
    <col min="4377" max="4377" width="1.6640625" style="95" customWidth="1"/>
    <col min="4378" max="4608" width="9.1640625" style="95"/>
    <col min="4609" max="4609" width="10.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9.1640625" style="95" customWidth="1"/>
    <col min="4630" max="4630" width="1.83203125" style="95" customWidth="1"/>
    <col min="4631" max="4631" width="6.6640625" style="95" customWidth="1"/>
    <col min="4632" max="4632" width="9.1640625" style="95" customWidth="1"/>
    <col min="4633" max="4633" width="1.6640625" style="95" customWidth="1"/>
    <col min="4634" max="4864" width="9.1640625" style="95"/>
    <col min="4865" max="4865" width="10.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9.1640625" style="95" customWidth="1"/>
    <col min="4886" max="4886" width="1.83203125" style="95" customWidth="1"/>
    <col min="4887" max="4887" width="6.6640625" style="95" customWidth="1"/>
    <col min="4888" max="4888" width="9.1640625" style="95" customWidth="1"/>
    <col min="4889" max="4889" width="1.6640625" style="95" customWidth="1"/>
    <col min="4890" max="5120" width="9.1640625" style="95"/>
    <col min="5121" max="5121" width="10.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9.1640625" style="95" customWidth="1"/>
    <col min="5142" max="5142" width="1.83203125" style="95" customWidth="1"/>
    <col min="5143" max="5143" width="6.6640625" style="95" customWidth="1"/>
    <col min="5144" max="5144" width="9.1640625" style="95" customWidth="1"/>
    <col min="5145" max="5145" width="1.6640625" style="95" customWidth="1"/>
    <col min="5146" max="5376" width="9.1640625" style="95"/>
    <col min="5377" max="5377" width="10.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9.1640625" style="95" customWidth="1"/>
    <col min="5398" max="5398" width="1.83203125" style="95" customWidth="1"/>
    <col min="5399" max="5399" width="6.6640625" style="95" customWidth="1"/>
    <col min="5400" max="5400" width="9.1640625" style="95" customWidth="1"/>
    <col min="5401" max="5401" width="1.6640625" style="95" customWidth="1"/>
    <col min="5402" max="5632" width="9.1640625" style="95"/>
    <col min="5633" max="5633" width="10.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9.1640625" style="95" customWidth="1"/>
    <col min="5654" max="5654" width="1.83203125" style="95" customWidth="1"/>
    <col min="5655" max="5655" width="6.6640625" style="95" customWidth="1"/>
    <col min="5656" max="5656" width="9.1640625" style="95" customWidth="1"/>
    <col min="5657" max="5657" width="1.6640625" style="95" customWidth="1"/>
    <col min="5658" max="5888" width="9.1640625" style="95"/>
    <col min="5889" max="5889" width="10.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9.1640625" style="95" customWidth="1"/>
    <col min="5910" max="5910" width="1.83203125" style="95" customWidth="1"/>
    <col min="5911" max="5911" width="6.6640625" style="95" customWidth="1"/>
    <col min="5912" max="5912" width="9.1640625" style="95" customWidth="1"/>
    <col min="5913" max="5913" width="1.6640625" style="95" customWidth="1"/>
    <col min="5914" max="6144" width="9.1640625" style="95"/>
    <col min="6145" max="6145" width="10.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9.1640625" style="95" customWidth="1"/>
    <col min="6166" max="6166" width="1.83203125" style="95" customWidth="1"/>
    <col min="6167" max="6167" width="6.6640625" style="95" customWidth="1"/>
    <col min="6168" max="6168" width="9.1640625" style="95" customWidth="1"/>
    <col min="6169" max="6169" width="1.6640625" style="95" customWidth="1"/>
    <col min="6170" max="6400" width="9.1640625" style="95"/>
    <col min="6401" max="6401" width="10.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9.1640625" style="95" customWidth="1"/>
    <col min="6422" max="6422" width="1.83203125" style="95" customWidth="1"/>
    <col min="6423" max="6423" width="6.6640625" style="95" customWidth="1"/>
    <col min="6424" max="6424" width="9.1640625" style="95" customWidth="1"/>
    <col min="6425" max="6425" width="1.6640625" style="95" customWidth="1"/>
    <col min="6426" max="6656" width="9.1640625" style="95"/>
    <col min="6657" max="6657" width="10.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9.1640625" style="95" customWidth="1"/>
    <col min="6678" max="6678" width="1.83203125" style="95" customWidth="1"/>
    <col min="6679" max="6679" width="6.6640625" style="95" customWidth="1"/>
    <col min="6680" max="6680" width="9.1640625" style="95" customWidth="1"/>
    <col min="6681" max="6681" width="1.6640625" style="95" customWidth="1"/>
    <col min="6682" max="6912" width="9.1640625" style="95"/>
    <col min="6913" max="6913" width="10.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9.1640625" style="95" customWidth="1"/>
    <col min="6934" max="6934" width="1.83203125" style="95" customWidth="1"/>
    <col min="6935" max="6935" width="6.6640625" style="95" customWidth="1"/>
    <col min="6936" max="6936" width="9.1640625" style="95" customWidth="1"/>
    <col min="6937" max="6937" width="1.6640625" style="95" customWidth="1"/>
    <col min="6938" max="7168" width="9.1640625" style="95"/>
    <col min="7169" max="7169" width="10.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9.1640625" style="95" customWidth="1"/>
    <col min="7190" max="7190" width="1.83203125" style="95" customWidth="1"/>
    <col min="7191" max="7191" width="6.6640625" style="95" customWidth="1"/>
    <col min="7192" max="7192" width="9.1640625" style="95" customWidth="1"/>
    <col min="7193" max="7193" width="1.6640625" style="95" customWidth="1"/>
    <col min="7194" max="7424" width="9.1640625" style="95"/>
    <col min="7425" max="7425" width="10.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9.1640625" style="95" customWidth="1"/>
    <col min="7446" max="7446" width="1.83203125" style="95" customWidth="1"/>
    <col min="7447" max="7447" width="6.6640625" style="95" customWidth="1"/>
    <col min="7448" max="7448" width="9.1640625" style="95" customWidth="1"/>
    <col min="7449" max="7449" width="1.6640625" style="95" customWidth="1"/>
    <col min="7450" max="7680" width="9.1640625" style="95"/>
    <col min="7681" max="7681" width="10.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9.1640625" style="95" customWidth="1"/>
    <col min="7702" max="7702" width="1.83203125" style="95" customWidth="1"/>
    <col min="7703" max="7703" width="6.6640625" style="95" customWidth="1"/>
    <col min="7704" max="7704" width="9.1640625" style="95" customWidth="1"/>
    <col min="7705" max="7705" width="1.6640625" style="95" customWidth="1"/>
    <col min="7706" max="7936" width="9.1640625" style="95"/>
    <col min="7937" max="7937" width="10.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9.1640625" style="95" customWidth="1"/>
    <col min="7958" max="7958" width="1.83203125" style="95" customWidth="1"/>
    <col min="7959" max="7959" width="6.6640625" style="95" customWidth="1"/>
    <col min="7960" max="7960" width="9.1640625" style="95" customWidth="1"/>
    <col min="7961" max="7961" width="1.6640625" style="95" customWidth="1"/>
    <col min="7962" max="8192" width="9.1640625" style="95"/>
    <col min="8193" max="8193" width="10.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9.1640625" style="95" customWidth="1"/>
    <col min="8214" max="8214" width="1.83203125" style="95" customWidth="1"/>
    <col min="8215" max="8215" width="6.6640625" style="95" customWidth="1"/>
    <col min="8216" max="8216" width="9.1640625" style="95" customWidth="1"/>
    <col min="8217" max="8217" width="1.6640625" style="95" customWidth="1"/>
    <col min="8218" max="8448" width="9.1640625" style="95"/>
    <col min="8449" max="8449" width="10.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9.1640625" style="95" customWidth="1"/>
    <col min="8470" max="8470" width="1.83203125" style="95" customWidth="1"/>
    <col min="8471" max="8471" width="6.6640625" style="95" customWidth="1"/>
    <col min="8472" max="8472" width="9.1640625" style="95" customWidth="1"/>
    <col min="8473" max="8473" width="1.6640625" style="95" customWidth="1"/>
    <col min="8474" max="8704" width="9.1640625" style="95"/>
    <col min="8705" max="8705" width="10.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9.1640625" style="95" customWidth="1"/>
    <col min="8726" max="8726" width="1.83203125" style="95" customWidth="1"/>
    <col min="8727" max="8727" width="6.6640625" style="95" customWidth="1"/>
    <col min="8728" max="8728" width="9.1640625" style="95" customWidth="1"/>
    <col min="8729" max="8729" width="1.6640625" style="95" customWidth="1"/>
    <col min="8730" max="8960" width="9.1640625" style="95"/>
    <col min="8961" max="8961" width="10.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9.1640625" style="95" customWidth="1"/>
    <col min="8982" max="8982" width="1.83203125" style="95" customWidth="1"/>
    <col min="8983" max="8983" width="6.6640625" style="95" customWidth="1"/>
    <col min="8984" max="8984" width="9.1640625" style="95" customWidth="1"/>
    <col min="8985" max="8985" width="1.6640625" style="95" customWidth="1"/>
    <col min="8986" max="9216" width="9.1640625" style="95"/>
    <col min="9217" max="9217" width="10.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9.1640625" style="95" customWidth="1"/>
    <col min="9238" max="9238" width="1.83203125" style="95" customWidth="1"/>
    <col min="9239" max="9239" width="6.6640625" style="95" customWidth="1"/>
    <col min="9240" max="9240" width="9.1640625" style="95" customWidth="1"/>
    <col min="9241" max="9241" width="1.6640625" style="95" customWidth="1"/>
    <col min="9242" max="9472" width="9.1640625" style="95"/>
    <col min="9473" max="9473" width="10.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9.1640625" style="95" customWidth="1"/>
    <col min="9494" max="9494" width="1.83203125" style="95" customWidth="1"/>
    <col min="9495" max="9495" width="6.6640625" style="95" customWidth="1"/>
    <col min="9496" max="9496" width="9.1640625" style="95" customWidth="1"/>
    <col min="9497" max="9497" width="1.6640625" style="95" customWidth="1"/>
    <col min="9498" max="9728" width="9.1640625" style="95"/>
    <col min="9729" max="9729" width="10.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9.1640625" style="95" customWidth="1"/>
    <col min="9750" max="9750" width="1.83203125" style="95" customWidth="1"/>
    <col min="9751" max="9751" width="6.6640625" style="95" customWidth="1"/>
    <col min="9752" max="9752" width="9.1640625" style="95" customWidth="1"/>
    <col min="9753" max="9753" width="1.6640625" style="95" customWidth="1"/>
    <col min="9754" max="9984" width="9.1640625" style="95"/>
    <col min="9985" max="9985" width="10.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9.1640625" style="95" customWidth="1"/>
    <col min="10006" max="10006" width="1.83203125" style="95" customWidth="1"/>
    <col min="10007" max="10007" width="6.6640625" style="95" customWidth="1"/>
    <col min="10008" max="10008" width="9.1640625" style="95" customWidth="1"/>
    <col min="10009" max="10009" width="1.6640625" style="95" customWidth="1"/>
    <col min="10010" max="10240" width="9.1640625" style="95"/>
    <col min="10241" max="10241" width="10.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9.1640625" style="95" customWidth="1"/>
    <col min="10262" max="10262" width="1.83203125" style="95" customWidth="1"/>
    <col min="10263" max="10263" width="6.6640625" style="95" customWidth="1"/>
    <col min="10264" max="10264" width="9.1640625" style="95" customWidth="1"/>
    <col min="10265" max="10265" width="1.6640625" style="95" customWidth="1"/>
    <col min="10266" max="10496" width="9.1640625" style="95"/>
    <col min="10497" max="10497" width="10.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9.1640625" style="95" customWidth="1"/>
    <col min="10518" max="10518" width="1.83203125" style="95" customWidth="1"/>
    <col min="10519" max="10519" width="6.6640625" style="95" customWidth="1"/>
    <col min="10520" max="10520" width="9.1640625" style="95" customWidth="1"/>
    <col min="10521" max="10521" width="1.6640625" style="95" customWidth="1"/>
    <col min="10522" max="10752" width="9.1640625" style="95"/>
    <col min="10753" max="10753" width="10.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9.1640625" style="95" customWidth="1"/>
    <col min="10774" max="10774" width="1.83203125" style="95" customWidth="1"/>
    <col min="10775" max="10775" width="6.6640625" style="95" customWidth="1"/>
    <col min="10776" max="10776" width="9.1640625" style="95" customWidth="1"/>
    <col min="10777" max="10777" width="1.6640625" style="95" customWidth="1"/>
    <col min="10778" max="11008" width="9.1640625" style="95"/>
    <col min="11009" max="11009" width="10.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9.1640625" style="95" customWidth="1"/>
    <col min="11030" max="11030" width="1.83203125" style="95" customWidth="1"/>
    <col min="11031" max="11031" width="6.6640625" style="95" customWidth="1"/>
    <col min="11032" max="11032" width="9.1640625" style="95" customWidth="1"/>
    <col min="11033" max="11033" width="1.6640625" style="95" customWidth="1"/>
    <col min="11034" max="11264" width="9.1640625" style="95"/>
    <col min="11265" max="11265" width="10.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9.1640625" style="95" customWidth="1"/>
    <col min="11286" max="11286" width="1.83203125" style="95" customWidth="1"/>
    <col min="11287" max="11287" width="6.6640625" style="95" customWidth="1"/>
    <col min="11288" max="11288" width="9.1640625" style="95" customWidth="1"/>
    <col min="11289" max="11289" width="1.6640625" style="95" customWidth="1"/>
    <col min="11290" max="11520" width="9.1640625" style="95"/>
    <col min="11521" max="11521" width="10.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9.1640625" style="95" customWidth="1"/>
    <col min="11542" max="11542" width="1.83203125" style="95" customWidth="1"/>
    <col min="11543" max="11543" width="6.6640625" style="95" customWidth="1"/>
    <col min="11544" max="11544" width="9.1640625" style="95" customWidth="1"/>
    <col min="11545" max="11545" width="1.6640625" style="95" customWidth="1"/>
    <col min="11546" max="11776" width="9.1640625" style="95"/>
    <col min="11777" max="11777" width="10.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9.1640625" style="95" customWidth="1"/>
    <col min="11798" max="11798" width="1.83203125" style="95" customWidth="1"/>
    <col min="11799" max="11799" width="6.6640625" style="95" customWidth="1"/>
    <col min="11800" max="11800" width="9.1640625" style="95" customWidth="1"/>
    <col min="11801" max="11801" width="1.6640625" style="95" customWidth="1"/>
    <col min="11802" max="12032" width="9.1640625" style="95"/>
    <col min="12033" max="12033" width="10.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9.1640625" style="95" customWidth="1"/>
    <col min="12054" max="12054" width="1.83203125" style="95" customWidth="1"/>
    <col min="12055" max="12055" width="6.6640625" style="95" customWidth="1"/>
    <col min="12056" max="12056" width="9.1640625" style="95" customWidth="1"/>
    <col min="12057" max="12057" width="1.6640625" style="95" customWidth="1"/>
    <col min="12058" max="12288" width="9.1640625" style="95"/>
    <col min="12289" max="12289" width="10.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9.1640625" style="95" customWidth="1"/>
    <col min="12310" max="12310" width="1.83203125" style="95" customWidth="1"/>
    <col min="12311" max="12311" width="6.6640625" style="95" customWidth="1"/>
    <col min="12312" max="12312" width="9.1640625" style="95" customWidth="1"/>
    <col min="12313" max="12313" width="1.6640625" style="95" customWidth="1"/>
    <col min="12314" max="12544" width="9.1640625" style="95"/>
    <col min="12545" max="12545" width="10.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9.1640625" style="95" customWidth="1"/>
    <col min="12566" max="12566" width="1.83203125" style="95" customWidth="1"/>
    <col min="12567" max="12567" width="6.6640625" style="95" customWidth="1"/>
    <col min="12568" max="12568" width="9.1640625" style="95" customWidth="1"/>
    <col min="12569" max="12569" width="1.6640625" style="95" customWidth="1"/>
    <col min="12570" max="12800" width="9.1640625" style="95"/>
    <col min="12801" max="12801" width="10.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9.1640625" style="95" customWidth="1"/>
    <col min="12822" max="12822" width="1.83203125" style="95" customWidth="1"/>
    <col min="12823" max="12823" width="6.6640625" style="95" customWidth="1"/>
    <col min="12824" max="12824" width="9.1640625" style="95" customWidth="1"/>
    <col min="12825" max="12825" width="1.6640625" style="95" customWidth="1"/>
    <col min="12826" max="13056" width="9.1640625" style="95"/>
    <col min="13057" max="13057" width="10.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9.1640625" style="95" customWidth="1"/>
    <col min="13078" max="13078" width="1.83203125" style="95" customWidth="1"/>
    <col min="13079" max="13079" width="6.6640625" style="95" customWidth="1"/>
    <col min="13080" max="13080" width="9.1640625" style="95" customWidth="1"/>
    <col min="13081" max="13081" width="1.6640625" style="95" customWidth="1"/>
    <col min="13082" max="13312" width="9.1640625" style="95"/>
    <col min="13313" max="13313" width="10.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9.1640625" style="95" customWidth="1"/>
    <col min="13334" max="13334" width="1.83203125" style="95" customWidth="1"/>
    <col min="13335" max="13335" width="6.6640625" style="95" customWidth="1"/>
    <col min="13336" max="13336" width="9.1640625" style="95" customWidth="1"/>
    <col min="13337" max="13337" width="1.6640625" style="95" customWidth="1"/>
    <col min="13338" max="13568" width="9.1640625" style="95"/>
    <col min="13569" max="13569" width="10.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9.1640625" style="95" customWidth="1"/>
    <col min="13590" max="13590" width="1.83203125" style="95" customWidth="1"/>
    <col min="13591" max="13591" width="6.6640625" style="95" customWidth="1"/>
    <col min="13592" max="13592" width="9.1640625" style="95" customWidth="1"/>
    <col min="13593" max="13593" width="1.6640625" style="95" customWidth="1"/>
    <col min="13594" max="13824" width="9.1640625" style="95"/>
    <col min="13825" max="13825" width="10.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9.1640625" style="95" customWidth="1"/>
    <col min="13846" max="13846" width="1.83203125" style="95" customWidth="1"/>
    <col min="13847" max="13847" width="6.6640625" style="95" customWidth="1"/>
    <col min="13848" max="13848" width="9.1640625" style="95" customWidth="1"/>
    <col min="13849" max="13849" width="1.6640625" style="95" customWidth="1"/>
    <col min="13850" max="14080" width="9.1640625" style="95"/>
    <col min="14081" max="14081" width="10.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9.1640625" style="95" customWidth="1"/>
    <col min="14102" max="14102" width="1.83203125" style="95" customWidth="1"/>
    <col min="14103" max="14103" width="6.6640625" style="95" customWidth="1"/>
    <col min="14104" max="14104" width="9.1640625" style="95" customWidth="1"/>
    <col min="14105" max="14105" width="1.6640625" style="95" customWidth="1"/>
    <col min="14106" max="14336" width="9.1640625" style="95"/>
    <col min="14337" max="14337" width="10.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9.1640625" style="95" customWidth="1"/>
    <col min="14358" max="14358" width="1.83203125" style="95" customWidth="1"/>
    <col min="14359" max="14359" width="6.6640625" style="95" customWidth="1"/>
    <col min="14360" max="14360" width="9.1640625" style="95" customWidth="1"/>
    <col min="14361" max="14361" width="1.6640625" style="95" customWidth="1"/>
    <col min="14362" max="14592" width="9.1640625" style="95"/>
    <col min="14593" max="14593" width="10.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9.1640625" style="95" customWidth="1"/>
    <col min="14614" max="14614" width="1.83203125" style="95" customWidth="1"/>
    <col min="14615" max="14615" width="6.6640625" style="95" customWidth="1"/>
    <col min="14616" max="14616" width="9.1640625" style="95" customWidth="1"/>
    <col min="14617" max="14617" width="1.6640625" style="95" customWidth="1"/>
    <col min="14618" max="14848" width="9.1640625" style="95"/>
    <col min="14849" max="14849" width="10.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9.1640625" style="95" customWidth="1"/>
    <col min="14870" max="14870" width="1.83203125" style="95" customWidth="1"/>
    <col min="14871" max="14871" width="6.6640625" style="95" customWidth="1"/>
    <col min="14872" max="14872" width="9.1640625" style="95" customWidth="1"/>
    <col min="14873" max="14873" width="1.6640625" style="95" customWidth="1"/>
    <col min="14874" max="15104" width="9.1640625" style="95"/>
    <col min="15105" max="15105" width="10.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9.1640625" style="95" customWidth="1"/>
    <col min="15126" max="15126" width="1.83203125" style="95" customWidth="1"/>
    <col min="15127" max="15127" width="6.6640625" style="95" customWidth="1"/>
    <col min="15128" max="15128" width="9.1640625" style="95" customWidth="1"/>
    <col min="15129" max="15129" width="1.6640625" style="95" customWidth="1"/>
    <col min="15130" max="15360" width="9.1640625" style="95"/>
    <col min="15361" max="15361" width="10.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9.1640625" style="95" customWidth="1"/>
    <col min="15382" max="15382" width="1.83203125" style="95" customWidth="1"/>
    <col min="15383" max="15383" width="6.6640625" style="95" customWidth="1"/>
    <col min="15384" max="15384" width="9.1640625" style="95" customWidth="1"/>
    <col min="15385" max="15385" width="1.6640625" style="95" customWidth="1"/>
    <col min="15386" max="15616" width="9.1640625" style="95"/>
    <col min="15617" max="15617" width="10.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9.1640625" style="95" customWidth="1"/>
    <col min="15638" max="15638" width="1.83203125" style="95" customWidth="1"/>
    <col min="15639" max="15639" width="6.6640625" style="95" customWidth="1"/>
    <col min="15640" max="15640" width="9.1640625" style="95" customWidth="1"/>
    <col min="15641" max="15641" width="1.6640625" style="95" customWidth="1"/>
    <col min="15642" max="15872" width="9.1640625" style="95"/>
    <col min="15873" max="15873" width="10.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9.1640625" style="95" customWidth="1"/>
    <col min="15894" max="15894" width="1.83203125" style="95" customWidth="1"/>
    <col min="15895" max="15895" width="6.6640625" style="95" customWidth="1"/>
    <col min="15896" max="15896" width="9.1640625" style="95" customWidth="1"/>
    <col min="15897" max="15897" width="1.6640625" style="95" customWidth="1"/>
    <col min="15898" max="16128" width="9.1640625" style="95"/>
    <col min="16129" max="16129" width="10.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9.1640625" style="95" customWidth="1"/>
    <col min="16150" max="16150" width="1.83203125" style="95" customWidth="1"/>
    <col min="16151" max="16151" width="6.6640625" style="95" customWidth="1"/>
    <col min="16152" max="16152" width="9.1640625" style="95" customWidth="1"/>
    <col min="16153" max="16153" width="1.6640625" style="95" customWidth="1"/>
    <col min="16154" max="16384" width="9.1640625" style="95"/>
  </cols>
  <sheetData>
    <row r="1" spans="1:25">
      <c r="A1" s="95" t="s">
        <v>453</v>
      </c>
    </row>
    <row r="2" spans="1:25">
      <c r="A2" s="95" t="s">
        <v>467</v>
      </c>
      <c r="E2" s="155"/>
      <c r="F2" s="139"/>
    </row>
    <row r="3" spans="1:25" ht="10.5" customHeight="1"/>
    <row r="4" spans="1:25" ht="13" customHeight="1">
      <c r="A4" s="33" t="s">
        <v>2161</v>
      </c>
    </row>
    <row r="5" spans="1:25" ht="13" customHeight="1" thickBot="1">
      <c r="L5" s="105"/>
      <c r="O5" s="105"/>
      <c r="P5" s="105"/>
      <c r="R5" s="105"/>
      <c r="S5" s="105"/>
    </row>
    <row r="6" spans="1:25" ht="13" customHeight="1">
      <c r="A6" s="97"/>
      <c r="B6" s="144"/>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149"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54"/>
      <c r="C10" s="135"/>
      <c r="D10" s="116"/>
      <c r="E10" s="154"/>
      <c r="F10" s="135"/>
      <c r="G10" s="116"/>
      <c r="H10" s="154"/>
      <c r="I10" s="135"/>
      <c r="J10" s="135"/>
      <c r="K10" s="154"/>
      <c r="L10" s="135"/>
      <c r="M10" s="116"/>
      <c r="N10" s="154"/>
      <c r="O10" s="135"/>
      <c r="Q10" s="154"/>
      <c r="R10" s="135"/>
    </row>
    <row r="11" spans="1:25" ht="13" customHeight="1">
      <c r="A11" s="607" t="s">
        <v>148</v>
      </c>
      <c r="B11" s="639">
        <f>IF($A11&lt;&gt;0,SUM(B13:B21),"")</f>
        <v>23295</v>
      </c>
      <c r="C11" s="16">
        <f>IF($A11&lt;&gt;0,SUM(C13:C21),"")</f>
        <v>100</v>
      </c>
      <c r="D11" s="68"/>
      <c r="E11" s="639">
        <f>IF($A11&lt;&gt;0,SUM(E13:E21),"")</f>
        <v>14928</v>
      </c>
      <c r="F11" s="16">
        <f>IF($A11&lt;&gt;0,SUM(F13:F21),"")</f>
        <v>100</v>
      </c>
      <c r="G11" s="68"/>
      <c r="H11" s="639">
        <f>IF($A11&lt;&gt;0,SUM(H13:H21),"")</f>
        <v>2356</v>
      </c>
      <c r="I11" s="16">
        <f>IF($A11&lt;&gt;0,SUM(I13:I21),"")</f>
        <v>100</v>
      </c>
      <c r="J11" s="74"/>
      <c r="K11" s="639">
        <f>IF($A11&lt;&gt;0,SUM(K13:K21),"")</f>
        <v>1660</v>
      </c>
      <c r="L11" s="16">
        <f>IF($A11&lt;&gt;0,SUM(L13:L21),"")</f>
        <v>100</v>
      </c>
      <c r="M11" s="68"/>
      <c r="N11" s="639">
        <f>IF($A11&lt;&gt;0,SUM(N13:N21),"")</f>
        <v>1684</v>
      </c>
      <c r="O11" s="16">
        <f>IF($A11&lt;&gt;0,SUM(O13:O21),"")</f>
        <v>100</v>
      </c>
      <c r="P11" s="55"/>
      <c r="Q11" s="639">
        <f>IF($A11&lt;&gt;0,SUM(Q13:Q21),"")</f>
        <v>1182</v>
      </c>
      <c r="R11" s="16">
        <f>IF($A11&lt;&gt;0,SUM(R13:R21),"")</f>
        <v>100.00000000000001</v>
      </c>
      <c r="S11" s="55"/>
      <c r="T11" s="639">
        <f>IF($A11&lt;&gt;0,SUM(T13:T21),"")</f>
        <v>1054</v>
      </c>
      <c r="U11" s="16">
        <f>IF($A11&lt;&gt;0,SUM(U13:U21),"")</f>
        <v>100</v>
      </c>
      <c r="V11" s="55"/>
      <c r="W11" s="639">
        <f>IF($A11&lt;&gt;0,SUM(W13:W21),"")</f>
        <v>431</v>
      </c>
      <c r="X11" s="16">
        <f>IF($A11&lt;&gt;0,SUM(X13:X21),"")</f>
        <v>100</v>
      </c>
      <c r="Y11" s="55"/>
    </row>
    <row r="12" spans="1:25" ht="13" customHeight="1">
      <c r="A12" s="107"/>
      <c r="B12" s="220" t="str">
        <f>IF(A12&lt;&gt;"",E12+H12+K12+N12+Q12+T12+W12,"")</f>
        <v/>
      </c>
      <c r="C12" s="135" t="str">
        <f>IF($A12&lt;&gt;0,B12/$B$11*100,"")</f>
        <v/>
      </c>
      <c r="D12" s="116"/>
      <c r="E12" s="220"/>
      <c r="F12" s="154" t="str">
        <f>IF(E12&lt;&gt;0,I12+L12+O12+R12+U12,"")</f>
        <v/>
      </c>
      <c r="G12" s="116"/>
      <c r="H12" s="220"/>
      <c r="I12" s="135" t="str">
        <f>IF(A12&lt;&gt;0,H12/B12*100,"")</f>
        <v/>
      </c>
      <c r="J12" s="135"/>
      <c r="K12" s="220"/>
      <c r="L12" s="135" t="str">
        <f>IF(A12&lt;&gt;0,K12/B12*100,"")</f>
        <v/>
      </c>
      <c r="M12" s="116"/>
      <c r="N12" s="220"/>
      <c r="O12" s="135" t="str">
        <f>IF(A12&lt;&gt;0,N12/B12*100,"")</f>
        <v/>
      </c>
      <c r="Q12" s="220"/>
      <c r="R12" s="135" t="str">
        <f>IF(A12&lt;&gt;0,Q12/B12*100,"")</f>
        <v/>
      </c>
      <c r="T12" s="217"/>
      <c r="W12" s="217"/>
    </row>
    <row r="13" spans="1:25" ht="13" customHeight="1">
      <c r="A13" s="61">
        <v>1</v>
      </c>
      <c r="B13" s="220">
        <f>IF(A13&lt;&gt;"",E13+H13+K13+N13+Q13+T13+W13,"")</f>
        <v>1084</v>
      </c>
      <c r="C13" s="135">
        <f t="shared" ref="C13:C21" si="0">IF($A13&lt;&gt;"",B13/$B$11*100,"")</f>
        <v>4.6533590899334616</v>
      </c>
      <c r="D13" s="116"/>
      <c r="E13" s="991">
        <v>856</v>
      </c>
      <c r="F13" s="135">
        <f t="shared" ref="F13:F21" si="1">IF($A13&lt;&gt;"",E13/$E$11*100,"")</f>
        <v>5.734190782422294</v>
      </c>
      <c r="G13" s="116"/>
      <c r="H13" s="991">
        <v>65</v>
      </c>
      <c r="I13" s="135">
        <f t="shared" ref="I13:I21" si="2">IF($A13&lt;&gt;"",H13/$H$11*100,"")</f>
        <v>2.7589134125636674</v>
      </c>
      <c r="J13" s="135"/>
      <c r="K13" s="991">
        <v>30</v>
      </c>
      <c r="L13" s="135">
        <f t="shared" ref="L13:L21" si="3">IF($A13&lt;&gt;"",K13/$K$11*100,"")</f>
        <v>1.8072289156626504</v>
      </c>
      <c r="M13" s="116"/>
      <c r="N13" s="991">
        <v>50</v>
      </c>
      <c r="O13" s="135">
        <f t="shared" ref="O13:O21" si="4">IF($A13&lt;&gt;"",N13/$N$11*100,"")</f>
        <v>2.9691211401425175</v>
      </c>
      <c r="Q13" s="991">
        <v>28</v>
      </c>
      <c r="R13" s="135">
        <f t="shared" ref="R13:R21" si="5">IF($A13&lt;&gt;"",Q13/$Q$11*100,"")</f>
        <v>2.3688663282571913</v>
      </c>
      <c r="T13" s="991">
        <v>38</v>
      </c>
      <c r="U13" s="135">
        <f t="shared" ref="U13:U21" si="6">IF($A13&lt;&gt;"",T13/$T$11*100,"")</f>
        <v>3.6053130929791273</v>
      </c>
      <c r="W13" s="991">
        <v>17</v>
      </c>
      <c r="X13" s="135">
        <f>IF($A13&lt;&gt;"",W13/$W$11*100,"")</f>
        <v>3.9443155452436192</v>
      </c>
    </row>
    <row r="14" spans="1:25" ht="13" customHeight="1">
      <c r="A14" s="61"/>
      <c r="B14" s="220" t="str">
        <f t="shared" ref="B14:B21" si="7">IF(A14&lt;&gt;"",E14+H14+K14+N14+Q14+T14+W14,"")</f>
        <v/>
      </c>
      <c r="C14" s="135" t="str">
        <f t="shared" si="0"/>
        <v/>
      </c>
      <c r="D14" s="116"/>
      <c r="E14" s="991"/>
      <c r="F14" s="135" t="str">
        <f t="shared" si="1"/>
        <v/>
      </c>
      <c r="G14" s="116"/>
      <c r="H14" s="991"/>
      <c r="I14" s="135" t="str">
        <f t="shared" si="2"/>
        <v/>
      </c>
      <c r="J14" s="135"/>
      <c r="K14" s="991"/>
      <c r="L14" s="135" t="str">
        <f t="shared" si="3"/>
        <v/>
      </c>
      <c r="M14" s="116"/>
      <c r="N14" s="991"/>
      <c r="O14" s="135" t="str">
        <f t="shared" si="4"/>
        <v/>
      </c>
      <c r="Q14" s="991"/>
      <c r="R14" s="135" t="str">
        <f t="shared" si="5"/>
        <v/>
      </c>
      <c r="T14" s="991"/>
      <c r="U14" s="135" t="str">
        <f t="shared" si="6"/>
        <v/>
      </c>
      <c r="W14" s="991"/>
      <c r="X14" s="135" t="str">
        <f>IF($A14&lt;&gt;"",W14/$T$11*100,"")</f>
        <v/>
      </c>
    </row>
    <row r="15" spans="1:25" ht="13" customHeight="1">
      <c r="A15" s="61">
        <v>2</v>
      </c>
      <c r="B15" s="220">
        <f t="shared" si="7"/>
        <v>1269</v>
      </c>
      <c r="C15" s="135">
        <f t="shared" si="0"/>
        <v>5.4475209272376048</v>
      </c>
      <c r="D15" s="116"/>
      <c r="E15" s="991">
        <v>988</v>
      </c>
      <c r="F15" s="135">
        <f t="shared" si="1"/>
        <v>6.618435155412647</v>
      </c>
      <c r="G15" s="116"/>
      <c r="H15" s="991">
        <v>77</v>
      </c>
      <c r="I15" s="135">
        <f t="shared" si="2"/>
        <v>3.268251273344652</v>
      </c>
      <c r="J15" s="135"/>
      <c r="K15" s="991">
        <v>47</v>
      </c>
      <c r="L15" s="135">
        <f t="shared" si="3"/>
        <v>2.8313253012048194</v>
      </c>
      <c r="M15" s="116"/>
      <c r="N15" s="991">
        <v>62</v>
      </c>
      <c r="O15" s="135">
        <f t="shared" si="4"/>
        <v>3.6817102137767219</v>
      </c>
      <c r="Q15" s="991">
        <v>34</v>
      </c>
      <c r="R15" s="135">
        <f t="shared" si="5"/>
        <v>2.8764805414551606</v>
      </c>
      <c r="T15" s="991">
        <v>30</v>
      </c>
      <c r="U15" s="135">
        <f t="shared" si="6"/>
        <v>2.8462998102466792</v>
      </c>
      <c r="W15" s="991">
        <v>31</v>
      </c>
      <c r="X15" s="135">
        <f t="shared" ref="X15:X21" si="8">IF($A15&lt;&gt;"",W15/$W$11*100,"")</f>
        <v>7.192575406032482</v>
      </c>
    </row>
    <row r="16" spans="1:25" ht="13" customHeight="1">
      <c r="A16" s="61"/>
      <c r="B16" s="220" t="str">
        <f t="shared" si="7"/>
        <v/>
      </c>
      <c r="C16" s="135" t="str">
        <f t="shared" si="0"/>
        <v/>
      </c>
      <c r="D16" s="116"/>
      <c r="E16" s="991"/>
      <c r="F16" s="135" t="str">
        <f t="shared" si="1"/>
        <v/>
      </c>
      <c r="G16" s="116"/>
      <c r="H16" s="991"/>
      <c r="I16" s="135" t="str">
        <f t="shared" si="2"/>
        <v/>
      </c>
      <c r="J16" s="135"/>
      <c r="K16" s="991"/>
      <c r="L16" s="135" t="str">
        <f t="shared" si="3"/>
        <v/>
      </c>
      <c r="M16" s="116"/>
      <c r="N16" s="991"/>
      <c r="O16" s="135" t="str">
        <f t="shared" si="4"/>
        <v/>
      </c>
      <c r="Q16" s="991"/>
      <c r="R16" s="135" t="str">
        <f t="shared" si="5"/>
        <v/>
      </c>
      <c r="T16" s="991"/>
      <c r="U16" s="135" t="str">
        <f t="shared" si="6"/>
        <v/>
      </c>
      <c r="W16" s="991"/>
      <c r="X16" s="135" t="str">
        <f t="shared" si="8"/>
        <v/>
      </c>
    </row>
    <row r="17" spans="1:25" ht="13" customHeight="1">
      <c r="A17" s="61">
        <v>3</v>
      </c>
      <c r="B17" s="220">
        <f t="shared" si="7"/>
        <v>1864</v>
      </c>
      <c r="C17" s="135">
        <f t="shared" si="0"/>
        <v>8.001717106675251</v>
      </c>
      <c r="D17" s="116"/>
      <c r="E17" s="991">
        <v>1415</v>
      </c>
      <c r="F17" s="135">
        <f t="shared" si="1"/>
        <v>9.4788317256162919</v>
      </c>
      <c r="G17" s="301"/>
      <c r="H17" s="991">
        <v>136</v>
      </c>
      <c r="I17" s="135">
        <f t="shared" si="2"/>
        <v>5.7724957555178262</v>
      </c>
      <c r="J17" s="537"/>
      <c r="K17" s="991">
        <v>99</v>
      </c>
      <c r="L17" s="135">
        <f t="shared" si="3"/>
        <v>5.9638554216867474</v>
      </c>
      <c r="M17" s="301"/>
      <c r="N17" s="991">
        <v>79</v>
      </c>
      <c r="O17" s="135">
        <f t="shared" si="4"/>
        <v>4.6912114014251776</v>
      </c>
      <c r="P17" s="77"/>
      <c r="Q17" s="991">
        <v>42</v>
      </c>
      <c r="R17" s="135">
        <f t="shared" si="5"/>
        <v>3.5532994923857872</v>
      </c>
      <c r="T17" s="991">
        <v>51</v>
      </c>
      <c r="U17" s="135">
        <f t="shared" si="6"/>
        <v>4.838709677419355</v>
      </c>
      <c r="W17" s="991">
        <v>42</v>
      </c>
      <c r="X17" s="135">
        <f t="shared" si="8"/>
        <v>9.7447795823665881</v>
      </c>
    </row>
    <row r="18" spans="1:25" ht="13" customHeight="1">
      <c r="A18" s="61"/>
      <c r="B18" s="220" t="str">
        <f t="shared" si="7"/>
        <v/>
      </c>
      <c r="C18" s="135" t="str">
        <f t="shared" si="0"/>
        <v/>
      </c>
      <c r="D18" s="116"/>
      <c r="E18" s="991"/>
      <c r="F18" s="135" t="str">
        <f t="shared" si="1"/>
        <v/>
      </c>
      <c r="G18" s="301"/>
      <c r="H18" s="991"/>
      <c r="I18" s="135" t="str">
        <f t="shared" si="2"/>
        <v/>
      </c>
      <c r="J18" s="537"/>
      <c r="K18" s="991"/>
      <c r="L18" s="135" t="str">
        <f t="shared" si="3"/>
        <v/>
      </c>
      <c r="M18" s="301"/>
      <c r="N18" s="991"/>
      <c r="O18" s="135" t="str">
        <f t="shared" si="4"/>
        <v/>
      </c>
      <c r="P18" s="77"/>
      <c r="Q18" s="991"/>
      <c r="R18" s="135" t="str">
        <f t="shared" si="5"/>
        <v/>
      </c>
      <c r="T18" s="991"/>
      <c r="U18" s="135" t="str">
        <f t="shared" si="6"/>
        <v/>
      </c>
      <c r="W18" s="991"/>
      <c r="X18" s="135" t="str">
        <f t="shared" si="8"/>
        <v/>
      </c>
    </row>
    <row r="19" spans="1:25" ht="13" customHeight="1">
      <c r="A19" s="61">
        <v>4</v>
      </c>
      <c r="B19" s="220">
        <f t="shared" si="7"/>
        <v>2511</v>
      </c>
      <c r="C19" s="135">
        <f t="shared" si="0"/>
        <v>10.779137153895686</v>
      </c>
      <c r="D19" s="116"/>
      <c r="E19" s="991">
        <v>1773</v>
      </c>
      <c r="F19" s="135">
        <f t="shared" si="1"/>
        <v>11.877009646302252</v>
      </c>
      <c r="G19" s="301"/>
      <c r="H19" s="991">
        <v>210</v>
      </c>
      <c r="I19" s="135">
        <f t="shared" si="2"/>
        <v>8.9134125636672312</v>
      </c>
      <c r="J19" s="537"/>
      <c r="K19" s="991">
        <v>128</v>
      </c>
      <c r="L19" s="135">
        <f t="shared" si="3"/>
        <v>7.7108433734939767</v>
      </c>
      <c r="M19" s="301"/>
      <c r="N19" s="991">
        <v>147</v>
      </c>
      <c r="O19" s="135">
        <f t="shared" si="4"/>
        <v>8.7292161520190028</v>
      </c>
      <c r="P19" s="77"/>
      <c r="Q19" s="991">
        <v>94</v>
      </c>
      <c r="R19" s="135">
        <f t="shared" si="5"/>
        <v>7.9526226734348562</v>
      </c>
      <c r="T19" s="991">
        <v>89</v>
      </c>
      <c r="U19" s="135">
        <f t="shared" si="6"/>
        <v>8.4440227703984814</v>
      </c>
      <c r="W19" s="991">
        <v>70</v>
      </c>
      <c r="X19" s="135">
        <f t="shared" si="8"/>
        <v>16.241299303944317</v>
      </c>
    </row>
    <row r="20" spans="1:25" ht="13" customHeight="1">
      <c r="A20" s="61"/>
      <c r="B20" s="220" t="str">
        <f t="shared" si="7"/>
        <v/>
      </c>
      <c r="C20" s="135" t="str">
        <f t="shared" si="0"/>
        <v/>
      </c>
      <c r="D20" s="116"/>
      <c r="E20" s="991"/>
      <c r="F20" s="135" t="str">
        <f t="shared" si="1"/>
        <v/>
      </c>
      <c r="G20" s="116"/>
      <c r="H20" s="991"/>
      <c r="I20" s="135" t="str">
        <f t="shared" si="2"/>
        <v/>
      </c>
      <c r="J20" s="135"/>
      <c r="K20" s="991"/>
      <c r="L20" s="135" t="str">
        <f t="shared" si="3"/>
        <v/>
      </c>
      <c r="M20" s="116"/>
      <c r="N20" s="991"/>
      <c r="O20" s="135" t="str">
        <f t="shared" si="4"/>
        <v/>
      </c>
      <c r="Q20" s="991"/>
      <c r="R20" s="135" t="str">
        <f t="shared" si="5"/>
        <v/>
      </c>
      <c r="T20" s="991"/>
      <c r="U20" s="135" t="str">
        <f t="shared" si="6"/>
        <v/>
      </c>
      <c r="W20" s="991"/>
      <c r="X20" s="135" t="str">
        <f t="shared" si="8"/>
        <v/>
      </c>
    </row>
    <row r="21" spans="1:25" ht="13" customHeight="1">
      <c r="A21" s="61">
        <v>5</v>
      </c>
      <c r="B21" s="220">
        <f t="shared" si="7"/>
        <v>16567</v>
      </c>
      <c r="C21" s="135">
        <f t="shared" si="0"/>
        <v>71.118265722258002</v>
      </c>
      <c r="D21" s="116"/>
      <c r="E21" s="991">
        <v>9896</v>
      </c>
      <c r="F21" s="135">
        <f t="shared" si="1"/>
        <v>66.291532690246513</v>
      </c>
      <c r="G21" s="116"/>
      <c r="H21" s="991">
        <v>1868</v>
      </c>
      <c r="I21" s="135">
        <f t="shared" si="2"/>
        <v>79.286926994906622</v>
      </c>
      <c r="J21" s="135"/>
      <c r="K21" s="991">
        <v>1356</v>
      </c>
      <c r="L21" s="135">
        <f t="shared" si="3"/>
        <v>81.686746987951807</v>
      </c>
      <c r="M21" s="116"/>
      <c r="N21" s="991">
        <v>1346</v>
      </c>
      <c r="O21" s="135">
        <f t="shared" si="4"/>
        <v>79.928741092636585</v>
      </c>
      <c r="Q21" s="991">
        <v>984</v>
      </c>
      <c r="R21" s="135">
        <f t="shared" si="5"/>
        <v>83.248730964467015</v>
      </c>
      <c r="T21" s="991">
        <v>846</v>
      </c>
      <c r="U21" s="135">
        <f t="shared" si="6"/>
        <v>80.265654648956357</v>
      </c>
      <c r="W21" s="991">
        <v>271</v>
      </c>
      <c r="X21" s="135">
        <f t="shared" si="8"/>
        <v>62.877030162412993</v>
      </c>
    </row>
    <row r="22" spans="1:25" ht="13" customHeight="1">
      <c r="B22" s="140"/>
      <c r="E22" s="642"/>
      <c r="F22" s="135"/>
      <c r="G22" s="116"/>
      <c r="H22" s="992"/>
      <c r="K22" s="992"/>
      <c r="N22" s="993"/>
      <c r="Q22" s="993"/>
      <c r="T22" s="993"/>
      <c r="W22" s="993"/>
    </row>
    <row r="23" spans="1:25" ht="13" customHeight="1">
      <c r="A23" s="61" t="s">
        <v>1614</v>
      </c>
      <c r="B23" s="119"/>
      <c r="C23" s="135">
        <f>F23+I23+L23+O23+R23+U23+X23</f>
        <v>100.00000000000001</v>
      </c>
      <c r="D23" s="116"/>
      <c r="E23" s="644"/>
      <c r="F23" s="135">
        <f>E11/B11*100</f>
        <v>64.082421120412107</v>
      </c>
      <c r="G23" s="116"/>
      <c r="H23" s="994"/>
      <c r="I23" s="135">
        <f>H11/B11*100</f>
        <v>10.113758317235458</v>
      </c>
      <c r="J23" s="135"/>
      <c r="K23" s="992"/>
      <c r="L23" s="135">
        <f>K11/B11*100</f>
        <v>7.1259927022966298</v>
      </c>
      <c r="M23" s="116"/>
      <c r="N23" s="993"/>
      <c r="O23" s="135">
        <f>N11/B11*100</f>
        <v>7.2290191028117619</v>
      </c>
      <c r="Q23" s="993"/>
      <c r="R23" s="135">
        <f>Q11/B11*100</f>
        <v>5.0740502253702511</v>
      </c>
      <c r="T23" s="993"/>
      <c r="U23" s="135">
        <f>T11/B11*100</f>
        <v>4.524576089289547</v>
      </c>
      <c r="W23" s="993"/>
      <c r="X23" s="135">
        <f>W11/B11*100</f>
        <v>1.8501824425842455</v>
      </c>
    </row>
    <row r="24" spans="1:25" ht="13" customHeight="1">
      <c r="A24" s="61"/>
      <c r="B24" s="119"/>
      <c r="C24" s="135"/>
      <c r="D24" s="116"/>
      <c r="E24" s="644"/>
      <c r="F24" s="135"/>
      <c r="G24" s="116"/>
      <c r="H24" s="988"/>
      <c r="I24" s="135"/>
      <c r="J24" s="135"/>
      <c r="K24" s="994"/>
      <c r="L24" s="135"/>
      <c r="M24" s="116"/>
      <c r="N24" s="995"/>
      <c r="O24" s="135"/>
      <c r="Q24" s="995"/>
      <c r="R24" s="135"/>
      <c r="T24" s="994"/>
      <c r="U24" s="135"/>
      <c r="W24" s="995"/>
      <c r="X24" s="135"/>
    </row>
    <row r="25" spans="1:25" ht="13" customHeight="1">
      <c r="A25" s="61" t="s">
        <v>1615</v>
      </c>
      <c r="B25" s="119"/>
      <c r="C25" s="135"/>
      <c r="D25" s="116"/>
      <c r="E25" s="644"/>
      <c r="F25" s="135"/>
      <c r="G25" s="116"/>
      <c r="H25" s="644"/>
      <c r="I25" s="135"/>
      <c r="J25" s="135"/>
      <c r="K25" s="994"/>
      <c r="L25" s="135"/>
      <c r="M25" s="116"/>
      <c r="N25" s="995"/>
      <c r="O25" s="135"/>
      <c r="Q25" s="995"/>
      <c r="R25" s="135"/>
      <c r="T25" s="994"/>
      <c r="U25" s="135"/>
      <c r="W25" s="995"/>
      <c r="X25" s="135"/>
    </row>
    <row r="26" spans="1:25" ht="13" customHeight="1">
      <c r="A26" s="61" t="s">
        <v>1616</v>
      </c>
      <c r="B26" s="119">
        <f>IF(A26&lt;&gt;"",E26+H26+K26+N26+Q26+T26+W26,"")</f>
        <v>43895</v>
      </c>
      <c r="C26" s="146">
        <f>B11/B26*100</f>
        <v>53.069825720469296</v>
      </c>
      <c r="D26" s="121"/>
      <c r="E26" s="991">
        <v>33154</v>
      </c>
      <c r="F26" s="135">
        <f>E11/E26*100</f>
        <v>45.026241177535134</v>
      </c>
      <c r="G26" s="202"/>
      <c r="H26" s="991">
        <v>3036</v>
      </c>
      <c r="I26" s="135">
        <f>H11/H26*100</f>
        <v>77.602108036890655</v>
      </c>
      <c r="J26" s="646"/>
      <c r="K26" s="991">
        <v>2044</v>
      </c>
      <c r="L26" s="135">
        <f>K11/K26*100</f>
        <v>81.213307240704495</v>
      </c>
      <c r="M26" s="646"/>
      <c r="N26" s="991">
        <v>2216</v>
      </c>
      <c r="O26" s="135">
        <f>N11/N26*100</f>
        <v>75.992779783393502</v>
      </c>
      <c r="P26" s="646"/>
      <c r="Q26" s="991">
        <v>1363</v>
      </c>
      <c r="R26" s="135">
        <f>Q11/Q26*100</f>
        <v>86.720469552457814</v>
      </c>
      <c r="S26" s="646"/>
      <c r="T26" s="991">
        <v>1338</v>
      </c>
      <c r="U26" s="135">
        <f>T11/T26*100</f>
        <v>78.77428998505232</v>
      </c>
      <c r="V26" s="991"/>
      <c r="W26" s="991">
        <v>744</v>
      </c>
      <c r="X26" s="135">
        <f>W11/W26*100</f>
        <v>57.930107526881727</v>
      </c>
    </row>
    <row r="27" spans="1:25" ht="9" customHeight="1" thickBot="1">
      <c r="C27" s="139"/>
      <c r="D27" s="111"/>
      <c r="E27" s="155"/>
      <c r="F27" s="139"/>
      <c r="G27" s="111"/>
      <c r="H27" s="155"/>
      <c r="I27" s="139"/>
    </row>
    <row r="28" spans="1:25" ht="8.2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5" ht="13" customHeight="1">
      <c r="A29" s="75" t="s">
        <v>2162</v>
      </c>
      <c r="B29" s="119"/>
      <c r="C29" s="146"/>
      <c r="D29" s="121"/>
      <c r="E29" s="119"/>
      <c r="F29" s="146"/>
      <c r="G29" s="121"/>
      <c r="H29" s="119"/>
      <c r="I29" s="146"/>
      <c r="J29" s="146"/>
      <c r="K29" s="119"/>
      <c r="L29" s="121"/>
      <c r="M29" s="116"/>
      <c r="N29" s="154"/>
      <c r="O29" s="116"/>
      <c r="P29" s="116"/>
      <c r="Q29" s="154"/>
      <c r="R29" s="116"/>
      <c r="S29" s="116"/>
      <c r="T29" s="116"/>
      <c r="U29" s="116"/>
      <c r="V29" s="116"/>
    </row>
    <row r="30" spans="1:25" ht="7.5" customHeight="1">
      <c r="B30" s="119"/>
      <c r="C30" s="135"/>
      <c r="D30" s="116"/>
      <c r="E30" s="220"/>
      <c r="F30" s="135"/>
      <c r="G30" s="116"/>
      <c r="H30" s="220"/>
      <c r="I30" s="135"/>
      <c r="J30" s="135"/>
      <c r="K30" s="220"/>
      <c r="L30" s="116"/>
      <c r="M30" s="116"/>
      <c r="N30" s="220"/>
      <c r="O30" s="116"/>
      <c r="P30" s="116"/>
      <c r="Q30" s="220"/>
      <c r="R30" s="116"/>
      <c r="S30" s="116"/>
      <c r="T30" s="206"/>
      <c r="U30" s="116"/>
      <c r="V30" s="116"/>
    </row>
    <row r="31" spans="1:25" ht="13" customHeight="1">
      <c r="A31" s="95" t="s">
        <v>1563</v>
      </c>
    </row>
    <row r="32" spans="1:25" ht="13" customHeight="1">
      <c r="A32" s="95" t="s">
        <v>452</v>
      </c>
    </row>
    <row r="33" spans="2:17">
      <c r="B33" s="111"/>
      <c r="C33" s="95"/>
      <c r="E33" s="95"/>
      <c r="F33" s="95"/>
      <c r="H33" s="95"/>
      <c r="I33" s="95"/>
      <c r="J33" s="95"/>
      <c r="K33" s="95"/>
      <c r="N33" s="95"/>
      <c r="Q33" s="95"/>
    </row>
    <row r="35" spans="2:17">
      <c r="B35" s="647"/>
      <c r="E35" s="648"/>
      <c r="F35" s="648"/>
      <c r="G35" s="648"/>
      <c r="H35" s="648"/>
      <c r="I35" s="648"/>
      <c r="J35" s="648"/>
      <c r="K35" s="648"/>
      <c r="L35" s="116"/>
    </row>
    <row r="36" spans="2:17">
      <c r="E36" s="154"/>
      <c r="F36" s="135"/>
      <c r="G36" s="116"/>
      <c r="H36" s="154"/>
      <c r="I36" s="135"/>
      <c r="J36" s="135"/>
      <c r="K36" s="154"/>
      <c r="L36" s="116"/>
    </row>
  </sheetData>
  <mergeCells count="8">
    <mergeCell ref="T7:U7"/>
    <mergeCell ref="W7:X7"/>
    <mergeCell ref="B7:C7"/>
    <mergeCell ref="E7:F7"/>
    <mergeCell ref="H7:I7"/>
    <mergeCell ref="K7:L7"/>
    <mergeCell ref="N7:O7"/>
    <mergeCell ref="Q7:R7"/>
  </mergeCells>
  <pageMargins left="0.7" right="0.7" top="0.75" bottom="0.75" header="0.3" footer="0.3"/>
  <pageSetup orientation="portrait" horizontalDpi="4294967293" verticalDpi="4294967293"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5" tint="-0.249977111117893"/>
  </sheetPr>
  <dimension ref="A1:L40"/>
  <sheetViews>
    <sheetView workbookViewId="0">
      <selection activeCell="A3" sqref="A3"/>
    </sheetView>
  </sheetViews>
  <sheetFormatPr baseColWidth="10" defaultRowHeight="15"/>
  <sheetData>
    <row r="1" spans="2:12">
      <c r="C1" s="33"/>
      <c r="D1" s="33"/>
    </row>
    <row r="2" spans="2:12">
      <c r="C2" s="547"/>
      <c r="D2" s="379"/>
      <c r="E2" s="547"/>
      <c r="G2" s="379"/>
    </row>
    <row r="3" spans="2:12">
      <c r="B3" s="33"/>
      <c r="C3" s="547"/>
      <c r="D3" s="379"/>
      <c r="E3" s="639"/>
      <c r="G3" s="379"/>
    </row>
    <row r="4" spans="2:12">
      <c r="B4" s="33"/>
      <c r="C4" s="547"/>
      <c r="D4" s="379"/>
      <c r="E4" s="639"/>
      <c r="F4" s="33"/>
      <c r="G4" s="379"/>
      <c r="L4" s="639"/>
    </row>
    <row r="5" spans="2:12">
      <c r="B5" s="33"/>
      <c r="C5" s="547"/>
      <c r="D5" s="379"/>
      <c r="E5" s="639"/>
      <c r="F5" s="33"/>
      <c r="G5" s="379"/>
    </row>
    <row r="6" spans="2:12">
      <c r="B6" s="33"/>
      <c r="C6" s="547"/>
      <c r="D6" s="379"/>
      <c r="E6" s="639"/>
      <c r="F6" s="33"/>
      <c r="G6" s="379"/>
    </row>
    <row r="7" spans="2:12">
      <c r="B7" s="33"/>
      <c r="C7" s="547"/>
      <c r="D7" s="379"/>
      <c r="E7" s="639"/>
      <c r="F7" s="33"/>
      <c r="G7" s="379"/>
      <c r="I7" s="547"/>
    </row>
    <row r="8" spans="2:12">
      <c r="B8" s="33"/>
      <c r="C8" s="547"/>
      <c r="D8" s="379"/>
      <c r="E8" s="639"/>
      <c r="F8" s="33"/>
      <c r="G8" s="379"/>
      <c r="I8" s="547"/>
    </row>
    <row r="19" spans="2:4">
      <c r="B19" s="33"/>
      <c r="C19" s="547"/>
      <c r="D19" s="379"/>
    </row>
    <row r="20" spans="2:4">
      <c r="B20" s="33"/>
      <c r="C20" s="547"/>
      <c r="D20" s="379"/>
    </row>
    <row r="21" spans="2:4">
      <c r="B21" s="33"/>
      <c r="C21" s="547"/>
      <c r="D21" s="379"/>
    </row>
    <row r="22" spans="2:4">
      <c r="B22" s="33"/>
      <c r="C22" s="547"/>
      <c r="D22" s="379"/>
    </row>
    <row r="23" spans="2:4">
      <c r="B23" s="33"/>
      <c r="C23" s="547"/>
      <c r="D23" s="379"/>
    </row>
    <row r="24" spans="2:4">
      <c r="B24" s="33"/>
      <c r="C24" s="547"/>
      <c r="D24" s="379"/>
    </row>
    <row r="25" spans="2:4">
      <c r="B25" s="33"/>
      <c r="C25" s="547"/>
      <c r="D25" s="379"/>
    </row>
    <row r="40" spans="1:7">
      <c r="A40" s="639">
        <v>14546</v>
      </c>
      <c r="B40" s="639">
        <v>2394</v>
      </c>
      <c r="C40" s="639">
        <v>1582</v>
      </c>
      <c r="D40" s="639">
        <v>1630</v>
      </c>
      <c r="E40" s="639">
        <v>1208</v>
      </c>
      <c r="F40" s="639">
        <v>1033</v>
      </c>
      <c r="G40" s="639">
        <v>401</v>
      </c>
    </row>
  </sheetData>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Y32"/>
  <sheetViews>
    <sheetView workbookViewId="0"/>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4" spans="1:25">
      <c r="A4" s="33" t="s">
        <v>2163</v>
      </c>
      <c r="B4" s="155"/>
      <c r="C4" s="139"/>
      <c r="D4" s="111"/>
      <c r="E4" s="155"/>
      <c r="F4" s="139"/>
      <c r="G4" s="111"/>
      <c r="H4" s="155"/>
      <c r="I4" s="139"/>
      <c r="J4" s="139"/>
      <c r="K4" s="155"/>
      <c r="L4" s="111"/>
      <c r="M4" s="111"/>
      <c r="N4" s="155"/>
      <c r="O4" s="111"/>
      <c r="P4" s="111"/>
      <c r="Q4" s="155"/>
      <c r="R4" s="111"/>
      <c r="S4" s="111"/>
      <c r="T4" s="111"/>
      <c r="U4" s="111"/>
      <c r="V4" s="111"/>
      <c r="W4" s="111"/>
      <c r="X4" s="111"/>
    </row>
    <row r="5" spans="1:25" ht="14" thickBot="1">
      <c r="B5" s="155"/>
      <c r="C5" s="139"/>
      <c r="D5" s="111"/>
      <c r="E5" s="155"/>
      <c r="F5" s="139"/>
      <c r="G5" s="111"/>
      <c r="H5" s="155"/>
      <c r="I5" s="139"/>
      <c r="J5" s="139"/>
      <c r="K5" s="155"/>
      <c r="L5" s="139"/>
      <c r="M5" s="111"/>
      <c r="N5" s="155"/>
      <c r="O5" s="139"/>
      <c r="P5" s="139"/>
      <c r="Q5" s="155"/>
      <c r="R5" s="139"/>
      <c r="S5" s="139"/>
      <c r="T5" s="111"/>
      <c r="U5" s="111"/>
      <c r="V5" s="111"/>
      <c r="W5" s="111"/>
      <c r="X5" s="111"/>
    </row>
    <row r="6" spans="1:25">
      <c r="A6" s="97"/>
      <c r="B6" s="115"/>
      <c r="C6" s="143"/>
      <c r="D6" s="114"/>
      <c r="E6" s="115"/>
      <c r="F6" s="143"/>
      <c r="G6" s="114"/>
      <c r="H6" s="115"/>
      <c r="I6" s="143"/>
      <c r="J6" s="143"/>
      <c r="K6" s="115"/>
      <c r="L6" s="143"/>
      <c r="M6" s="114"/>
      <c r="N6" s="115"/>
      <c r="O6" s="143"/>
      <c r="P6" s="143"/>
      <c r="Q6" s="115"/>
      <c r="R6" s="143"/>
      <c r="S6" s="143"/>
      <c r="T6" s="143"/>
      <c r="U6" s="143"/>
      <c r="V6" s="143"/>
      <c r="W6" s="143"/>
      <c r="X6" s="143"/>
      <c r="Y6" s="99"/>
    </row>
    <row r="7" spans="1:25">
      <c r="A7" s="116" t="s">
        <v>1604</v>
      </c>
      <c r="B7" s="1068" t="s">
        <v>1474</v>
      </c>
      <c r="C7" s="1068"/>
      <c r="D7" s="121"/>
      <c r="E7" s="1068" t="s">
        <v>1381</v>
      </c>
      <c r="F7" s="1068"/>
      <c r="G7" s="121"/>
      <c r="H7" s="1068" t="s">
        <v>1605</v>
      </c>
      <c r="I7" s="1068"/>
      <c r="J7" s="146"/>
      <c r="K7" s="1068" t="s">
        <v>1606</v>
      </c>
      <c r="L7" s="1068"/>
      <c r="M7" s="121"/>
      <c r="N7" s="1068" t="s">
        <v>1607</v>
      </c>
      <c r="O7" s="1068"/>
      <c r="P7" s="111"/>
      <c r="Q7" s="1040" t="s">
        <v>1608</v>
      </c>
      <c r="R7" s="1068"/>
      <c r="S7" s="111"/>
      <c r="T7" s="1068" t="s">
        <v>1609</v>
      </c>
      <c r="U7" s="1068"/>
      <c r="V7" s="111"/>
      <c r="W7" s="1068" t="s">
        <v>1610</v>
      </c>
      <c r="X7" s="1068"/>
    </row>
    <row r="8" spans="1:25">
      <c r="A8" s="95" t="s">
        <v>1611</v>
      </c>
      <c r="B8" s="294" t="s">
        <v>400</v>
      </c>
      <c r="C8" s="148" t="s">
        <v>401</v>
      </c>
      <c r="D8" s="121"/>
      <c r="E8" s="294" t="s">
        <v>400</v>
      </c>
      <c r="F8" s="148" t="s">
        <v>401</v>
      </c>
      <c r="G8" s="121"/>
      <c r="H8" s="294" t="s">
        <v>400</v>
      </c>
      <c r="I8" s="148" t="s">
        <v>401</v>
      </c>
      <c r="J8" s="148"/>
      <c r="K8" s="294" t="s">
        <v>400</v>
      </c>
      <c r="L8" s="148" t="s">
        <v>401</v>
      </c>
      <c r="M8" s="121"/>
      <c r="N8" s="294" t="s">
        <v>400</v>
      </c>
      <c r="O8" s="148" t="s">
        <v>401</v>
      </c>
      <c r="P8" s="111"/>
      <c r="Q8" s="294" t="s">
        <v>400</v>
      </c>
      <c r="R8" s="148" t="s">
        <v>401</v>
      </c>
      <c r="S8" s="111"/>
      <c r="T8" s="294" t="s">
        <v>400</v>
      </c>
      <c r="U8" s="148" t="s">
        <v>401</v>
      </c>
      <c r="V8" s="111"/>
      <c r="W8" s="294" t="s">
        <v>400</v>
      </c>
      <c r="X8" s="148" t="s">
        <v>401</v>
      </c>
    </row>
    <row r="9" spans="1:25" ht="14" thickBot="1">
      <c r="A9" s="102"/>
      <c r="B9" s="125"/>
      <c r="C9" s="152"/>
      <c r="D9" s="124"/>
      <c r="E9" s="125"/>
      <c r="F9" s="152"/>
      <c r="G9" s="124"/>
      <c r="H9" s="125"/>
      <c r="I9" s="152"/>
      <c r="J9" s="152"/>
      <c r="K9" s="125"/>
      <c r="L9" s="152"/>
      <c r="M9" s="124"/>
      <c r="N9" s="125"/>
      <c r="O9" s="152"/>
      <c r="P9" s="152"/>
      <c r="Q9" s="125"/>
      <c r="R9" s="152"/>
      <c r="S9" s="152"/>
      <c r="T9" s="152"/>
      <c r="U9" s="152"/>
      <c r="V9" s="152"/>
      <c r="W9" s="152"/>
      <c r="X9" s="152"/>
      <c r="Y9" s="96"/>
    </row>
    <row r="10" spans="1:25">
      <c r="A10" s="116"/>
      <c r="B10" s="119"/>
      <c r="C10" s="146"/>
      <c r="D10" s="121"/>
      <c r="E10" s="119"/>
      <c r="F10" s="146"/>
      <c r="G10" s="121"/>
      <c r="H10" s="119"/>
      <c r="I10" s="146"/>
      <c r="J10" s="146"/>
      <c r="K10" s="119"/>
      <c r="L10" s="146"/>
      <c r="M10" s="121"/>
      <c r="N10" s="119"/>
      <c r="O10" s="146"/>
      <c r="P10" s="111"/>
      <c r="Q10" s="119"/>
      <c r="R10" s="146"/>
      <c r="S10" s="111"/>
      <c r="T10" s="111"/>
      <c r="U10" s="111"/>
      <c r="V10" s="111"/>
      <c r="W10" s="111"/>
      <c r="X10" s="111"/>
    </row>
    <row r="11" spans="1:25">
      <c r="A11" s="607" t="s">
        <v>148</v>
      </c>
      <c r="B11" s="119">
        <f>IF($A11&lt;&gt;0,SUM(B13:B21),"")</f>
        <v>29335</v>
      </c>
      <c r="C11" s="134">
        <f>IF($A11&lt;&gt;0,SUM(C13:C21),"")</f>
        <v>100</v>
      </c>
      <c r="D11" s="116"/>
      <c r="E11" s="154">
        <f>IF($A11&lt;&gt;0,SUM(E13:E21),"")</f>
        <v>19491</v>
      </c>
      <c r="F11" s="134">
        <f>IF($A11&lt;&gt;0,SUM(F13:F21),"")</f>
        <v>100</v>
      </c>
      <c r="G11" s="116"/>
      <c r="H11" s="154">
        <f>IF($A11&lt;&gt;0,SUM(H13:H21),"")</f>
        <v>2819</v>
      </c>
      <c r="I11" s="134">
        <f>IF($A11&lt;&gt;0,SUM(I13:I21),"")</f>
        <v>100</v>
      </c>
      <c r="J11" s="135"/>
      <c r="K11" s="154">
        <f>IF($A11&lt;&gt;0,SUM(K13:K21),"")</f>
        <v>1949</v>
      </c>
      <c r="L11" s="134">
        <f>IF($A11&lt;&gt;0,SUM(L13:L21),"")</f>
        <v>100</v>
      </c>
      <c r="M11" s="116"/>
      <c r="N11" s="154">
        <f>IF($A11&lt;&gt;0,SUM(N13:N21),"")</f>
        <v>1936</v>
      </c>
      <c r="O11" s="134">
        <f>IF($A11&lt;&gt;0,SUM(O13:O21),"")</f>
        <v>100</v>
      </c>
      <c r="Q11" s="154">
        <f>IF($A11&lt;&gt;0,SUM(Q13:Q21),"")</f>
        <v>1375</v>
      </c>
      <c r="R11" s="134">
        <f>IF($A11&lt;&gt;0,SUM(R13:R21),"")</f>
        <v>100</v>
      </c>
      <c r="T11" s="154">
        <f>IF($A11&lt;&gt;0,SUM(T13:T21),"")</f>
        <v>1246</v>
      </c>
      <c r="U11" s="134">
        <f>IF($A11&lt;&gt;0,SUM(U13:U21),"")</f>
        <v>100</v>
      </c>
      <c r="W11" s="154">
        <f>IF($A11&lt;&gt;0,SUM(W13:W21),"")</f>
        <v>519</v>
      </c>
      <c r="X11" s="134">
        <f>IF($A11&lt;&gt;0,SUM(X13:X21),"")</f>
        <v>100</v>
      </c>
    </row>
    <row r="12" spans="1:25">
      <c r="A12" s="107"/>
      <c r="B12" s="119" t="str">
        <f>IF(A12&lt;&gt;0,E12+H12+K12+N12+Q12+T12,"")</f>
        <v/>
      </c>
      <c r="C12" s="135" t="str">
        <f>IF($A12&lt;&gt;0,B12/#REF!*100,"")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c r="A13" s="61">
        <v>1</v>
      </c>
      <c r="B13" s="119">
        <f>IF(A13&lt;&gt;"",E13+H13+K13+N13+Q13+T13+W13,"")</f>
        <v>1052</v>
      </c>
      <c r="C13" s="135">
        <f>IF($A13&lt;&gt;"",B13/$B$11*100,"")</f>
        <v>3.5861598772797003</v>
      </c>
      <c r="D13" s="116"/>
      <c r="E13" s="986">
        <v>812</v>
      </c>
      <c r="F13" s="135">
        <f>IF($A13&lt;&gt;"",E13/$E$11*100,"")</f>
        <v>4.1660253450310405</v>
      </c>
      <c r="G13" s="116"/>
      <c r="H13" s="986">
        <v>64</v>
      </c>
      <c r="I13" s="135">
        <f>IF($A13&lt;&gt;"",H13/$H$11*100,"")</f>
        <v>2.2703086200780418</v>
      </c>
      <c r="J13" s="135"/>
      <c r="K13" s="986">
        <v>32</v>
      </c>
      <c r="L13" s="135">
        <f>IF($A13&lt;&gt;"",K13/$K$11*100,"")</f>
        <v>1.6418676244227808</v>
      </c>
      <c r="M13" s="116"/>
      <c r="N13" s="986">
        <v>60</v>
      </c>
      <c r="O13" s="135">
        <f>IF($A13&lt;&gt;"",N13/$N$11*100,"")</f>
        <v>3.0991735537190084</v>
      </c>
      <c r="Q13" s="986">
        <v>29</v>
      </c>
      <c r="R13" s="135">
        <f>IF($A13&lt;&gt;"",Q13/$Q$11*100,"")</f>
        <v>2.1090909090909089</v>
      </c>
      <c r="T13" s="986">
        <v>39</v>
      </c>
      <c r="U13" s="135">
        <f>IF($A13&lt;&gt;"",T13/$T$11*100,"")</f>
        <v>3.1300160513643664</v>
      </c>
      <c r="W13" s="986">
        <v>16</v>
      </c>
      <c r="X13" s="135">
        <f>IF($A13&lt;&gt;"",W13/$W$11*100,"")</f>
        <v>3.0828516377649327</v>
      </c>
    </row>
    <row r="14" spans="1:25">
      <c r="A14" s="61"/>
      <c r="B14" s="119" t="str">
        <f t="shared" ref="B14:B21" si="0">IF(A14&lt;&gt;"",E14+H14+K14+N14+Q14+T14+W14,"")</f>
        <v/>
      </c>
      <c r="C14" s="135" t="str">
        <f t="shared" ref="C14:C21" si="1">IF($A14&lt;&gt;"",B14/$B$11*100,"")</f>
        <v/>
      </c>
      <c r="D14" s="116"/>
      <c r="E14" s="986"/>
      <c r="F14" s="135" t="str">
        <f t="shared" ref="F14:F21" si="2">IF($A14&lt;&gt;"",E14/$E$11*100,"")</f>
        <v/>
      </c>
      <c r="G14" s="116"/>
      <c r="H14" s="986"/>
      <c r="I14" s="135" t="str">
        <f t="shared" ref="I14:I21" si="3">IF($A14&lt;&gt;"",H14/$H$11*100,"")</f>
        <v/>
      </c>
      <c r="J14" s="135"/>
      <c r="K14" s="986"/>
      <c r="L14" s="135" t="str">
        <f t="shared" ref="L14:L21" si="4">IF($A14&lt;&gt;"",K14/$K$11*100,"")</f>
        <v/>
      </c>
      <c r="M14" s="116"/>
      <c r="N14" s="986"/>
      <c r="O14" s="135" t="str">
        <f t="shared" ref="O14:O21" si="5">IF($A14&lt;&gt;"",N14/$N$11*100,"")</f>
        <v/>
      </c>
      <c r="Q14" s="986"/>
      <c r="R14" s="135" t="str">
        <f t="shared" ref="R14:R21" si="6">IF($A14&lt;&gt;"",Q14/$Q$11*100,"")</f>
        <v/>
      </c>
      <c r="T14" s="986"/>
      <c r="U14" s="135" t="str">
        <f t="shared" ref="U14:U21" si="7">IF($A14&lt;&gt;"",T14/$T$11*100,"")</f>
        <v/>
      </c>
      <c r="W14" s="986"/>
      <c r="X14" s="135" t="str">
        <f t="shared" ref="X14:X21" si="8">IF($A14&lt;&gt;"",W14/$W$11*100,"")</f>
        <v/>
      </c>
    </row>
    <row r="15" spans="1:25">
      <c r="A15" s="61">
        <v>2</v>
      </c>
      <c r="B15" s="119">
        <f t="shared" si="0"/>
        <v>1276</v>
      </c>
      <c r="C15" s="135">
        <f t="shared" si="1"/>
        <v>4.3497528549514231</v>
      </c>
      <c r="D15" s="116"/>
      <c r="E15" s="986">
        <v>962</v>
      </c>
      <c r="F15" s="135">
        <f t="shared" si="2"/>
        <v>4.9356113077830788</v>
      </c>
      <c r="G15" s="116"/>
      <c r="H15" s="986">
        <v>80</v>
      </c>
      <c r="I15" s="135">
        <f t="shared" si="3"/>
        <v>2.8378857750975524</v>
      </c>
      <c r="J15" s="135"/>
      <c r="K15" s="986">
        <v>55</v>
      </c>
      <c r="L15" s="135">
        <f t="shared" si="4"/>
        <v>2.8219599794766546</v>
      </c>
      <c r="M15" s="116"/>
      <c r="N15" s="986">
        <v>73</v>
      </c>
      <c r="O15" s="135">
        <f t="shared" si="5"/>
        <v>3.7706611570247932</v>
      </c>
      <c r="Q15" s="986">
        <v>37</v>
      </c>
      <c r="R15" s="135">
        <f t="shared" si="6"/>
        <v>2.6909090909090909</v>
      </c>
      <c r="T15" s="986">
        <v>33</v>
      </c>
      <c r="U15" s="135">
        <f t="shared" si="7"/>
        <v>2.6484751203852328</v>
      </c>
      <c r="W15" s="986">
        <v>36</v>
      </c>
      <c r="X15" s="135">
        <f t="shared" si="8"/>
        <v>6.9364161849710975</v>
      </c>
    </row>
    <row r="16" spans="1:25">
      <c r="A16" s="61"/>
      <c r="B16" s="119" t="str">
        <f t="shared" si="0"/>
        <v/>
      </c>
      <c r="C16" s="135" t="str">
        <f t="shared" si="1"/>
        <v/>
      </c>
      <c r="D16" s="116"/>
      <c r="E16" s="986"/>
      <c r="F16" s="135" t="str">
        <f t="shared" si="2"/>
        <v/>
      </c>
      <c r="G16" s="116"/>
      <c r="H16" s="986"/>
      <c r="I16" s="135" t="str">
        <f t="shared" si="3"/>
        <v/>
      </c>
      <c r="J16" s="135"/>
      <c r="K16" s="986"/>
      <c r="L16" s="135" t="str">
        <f t="shared" si="4"/>
        <v/>
      </c>
      <c r="M16" s="116"/>
      <c r="N16" s="986"/>
      <c r="O16" s="135" t="str">
        <f t="shared" si="5"/>
        <v/>
      </c>
      <c r="Q16" s="986"/>
      <c r="R16" s="135" t="str">
        <f t="shared" si="6"/>
        <v/>
      </c>
      <c r="T16" s="986"/>
      <c r="U16" s="135" t="str">
        <f t="shared" si="7"/>
        <v/>
      </c>
      <c r="W16" s="986"/>
      <c r="X16" s="135" t="str">
        <f t="shared" si="8"/>
        <v/>
      </c>
    </row>
    <row r="17" spans="1:24">
      <c r="A17" s="61">
        <v>3</v>
      </c>
      <c r="B17" s="119">
        <f t="shared" si="0"/>
        <v>1966</v>
      </c>
      <c r="C17" s="135">
        <f t="shared" si="1"/>
        <v>6.701891937958071</v>
      </c>
      <c r="D17" s="116"/>
      <c r="E17" s="986">
        <v>1455</v>
      </c>
      <c r="F17" s="135">
        <f t="shared" si="2"/>
        <v>7.4649838386947813</v>
      </c>
      <c r="G17" s="301"/>
      <c r="H17" s="986">
        <v>136</v>
      </c>
      <c r="I17" s="135">
        <f t="shared" si="3"/>
        <v>4.8244058176658386</v>
      </c>
      <c r="J17" s="537"/>
      <c r="K17" s="986">
        <v>119</v>
      </c>
      <c r="L17" s="135">
        <f t="shared" si="4"/>
        <v>6.105695228322217</v>
      </c>
      <c r="M17" s="301"/>
      <c r="N17" s="986">
        <v>97</v>
      </c>
      <c r="O17" s="135">
        <f t="shared" si="5"/>
        <v>5.0103305785123968</v>
      </c>
      <c r="P17" s="77"/>
      <c r="Q17" s="986">
        <v>58</v>
      </c>
      <c r="R17" s="135">
        <f t="shared" si="6"/>
        <v>4.2181818181818178</v>
      </c>
      <c r="T17" s="986">
        <v>60</v>
      </c>
      <c r="U17" s="135">
        <f t="shared" si="7"/>
        <v>4.8154093097913329</v>
      </c>
      <c r="W17" s="986">
        <v>41</v>
      </c>
      <c r="X17" s="135">
        <f t="shared" si="8"/>
        <v>7.8998073217726397</v>
      </c>
    </row>
    <row r="18" spans="1:24">
      <c r="A18" s="61"/>
      <c r="B18" s="119" t="str">
        <f t="shared" si="0"/>
        <v/>
      </c>
      <c r="C18" s="135" t="str">
        <f t="shared" si="1"/>
        <v/>
      </c>
      <c r="D18" s="116"/>
      <c r="E18" s="986"/>
      <c r="F18" s="135" t="str">
        <f t="shared" si="2"/>
        <v/>
      </c>
      <c r="G18" s="301"/>
      <c r="H18" s="986"/>
      <c r="I18" s="135" t="str">
        <f t="shared" si="3"/>
        <v/>
      </c>
      <c r="J18" s="537"/>
      <c r="K18" s="986"/>
      <c r="L18" s="135" t="str">
        <f t="shared" si="4"/>
        <v/>
      </c>
      <c r="M18" s="301"/>
      <c r="N18" s="986"/>
      <c r="O18" s="135" t="str">
        <f t="shared" si="5"/>
        <v/>
      </c>
      <c r="P18" s="77"/>
      <c r="Q18" s="986"/>
      <c r="R18" s="135" t="str">
        <f t="shared" si="6"/>
        <v/>
      </c>
      <c r="T18" s="986"/>
      <c r="U18" s="135" t="str">
        <f t="shared" si="7"/>
        <v/>
      </c>
      <c r="W18" s="986"/>
      <c r="X18" s="135" t="str">
        <f t="shared" si="8"/>
        <v/>
      </c>
    </row>
    <row r="19" spans="1:24">
      <c r="A19" s="61">
        <v>4</v>
      </c>
      <c r="B19" s="119">
        <f t="shared" si="0"/>
        <v>6741</v>
      </c>
      <c r="C19" s="135">
        <f t="shared" si="1"/>
        <v>22.979376171808418</v>
      </c>
      <c r="D19" s="116"/>
      <c r="E19" s="986">
        <v>5472</v>
      </c>
      <c r="F19" s="135">
        <f t="shared" si="2"/>
        <v>28.074495921194398</v>
      </c>
      <c r="G19" s="301"/>
      <c r="H19" s="986">
        <v>418</v>
      </c>
      <c r="I19" s="135">
        <f t="shared" si="3"/>
        <v>14.827953174884712</v>
      </c>
      <c r="J19" s="537"/>
      <c r="K19" s="986">
        <v>202</v>
      </c>
      <c r="L19" s="135">
        <f t="shared" si="4"/>
        <v>10.364289379168804</v>
      </c>
      <c r="M19" s="301"/>
      <c r="N19" s="986">
        <v>225</v>
      </c>
      <c r="O19" s="135">
        <f t="shared" si="5"/>
        <v>11.62190082644628</v>
      </c>
      <c r="P19" s="77"/>
      <c r="Q19" s="986">
        <v>136</v>
      </c>
      <c r="R19" s="135">
        <f t="shared" si="6"/>
        <v>9.8909090909090907</v>
      </c>
      <c r="T19" s="986">
        <v>145</v>
      </c>
      <c r="U19" s="135">
        <f t="shared" si="7"/>
        <v>11.637239165329053</v>
      </c>
      <c r="W19" s="986">
        <v>143</v>
      </c>
      <c r="X19" s="135">
        <f t="shared" si="8"/>
        <v>27.552986512524086</v>
      </c>
    </row>
    <row r="20" spans="1:24">
      <c r="A20" s="61"/>
      <c r="B20" s="119" t="str">
        <f t="shared" si="0"/>
        <v/>
      </c>
      <c r="C20" s="135" t="str">
        <f t="shared" si="1"/>
        <v/>
      </c>
      <c r="D20" s="116"/>
      <c r="E20" s="986"/>
      <c r="F20" s="135" t="str">
        <f t="shared" si="2"/>
        <v/>
      </c>
      <c r="G20" s="116"/>
      <c r="H20" s="986"/>
      <c r="I20" s="135" t="str">
        <f t="shared" si="3"/>
        <v/>
      </c>
      <c r="J20" s="135"/>
      <c r="K20" s="986"/>
      <c r="L20" s="135" t="str">
        <f t="shared" si="4"/>
        <v/>
      </c>
      <c r="M20" s="116"/>
      <c r="N20" s="986"/>
      <c r="O20" s="135" t="str">
        <f t="shared" si="5"/>
        <v/>
      </c>
      <c r="Q20" s="986"/>
      <c r="R20" s="135" t="str">
        <f t="shared" si="6"/>
        <v/>
      </c>
      <c r="T20" s="986"/>
      <c r="U20" s="135" t="str">
        <f t="shared" si="7"/>
        <v/>
      </c>
      <c r="W20" s="986"/>
      <c r="X20" s="135" t="str">
        <f t="shared" si="8"/>
        <v/>
      </c>
    </row>
    <row r="21" spans="1:24">
      <c r="A21" s="61">
        <v>5</v>
      </c>
      <c r="B21" s="119">
        <f t="shared" si="0"/>
        <v>18300</v>
      </c>
      <c r="C21" s="135">
        <f t="shared" si="1"/>
        <v>62.382819158002391</v>
      </c>
      <c r="D21" s="116"/>
      <c r="E21" s="986">
        <v>10790</v>
      </c>
      <c r="F21" s="135">
        <f t="shared" si="2"/>
        <v>55.358883587296702</v>
      </c>
      <c r="G21" s="116"/>
      <c r="H21" s="986">
        <v>2121</v>
      </c>
      <c r="I21" s="135">
        <f t="shared" si="3"/>
        <v>75.239446612273852</v>
      </c>
      <c r="J21" s="135"/>
      <c r="K21" s="986">
        <v>1541</v>
      </c>
      <c r="L21" s="135">
        <f t="shared" si="4"/>
        <v>79.06618778860954</v>
      </c>
      <c r="M21" s="116"/>
      <c r="N21" s="986">
        <v>1481</v>
      </c>
      <c r="O21" s="135">
        <f t="shared" si="5"/>
        <v>76.497933884297524</v>
      </c>
      <c r="Q21" s="986">
        <v>1115</v>
      </c>
      <c r="R21" s="135">
        <f t="shared" si="6"/>
        <v>81.090909090909093</v>
      </c>
      <c r="T21" s="986">
        <v>969</v>
      </c>
      <c r="U21" s="135">
        <f t="shared" si="7"/>
        <v>77.768860353130023</v>
      </c>
      <c r="W21" s="986">
        <v>283</v>
      </c>
      <c r="X21" s="135">
        <f t="shared" si="8"/>
        <v>54.527938342967239</v>
      </c>
    </row>
    <row r="22" spans="1:24">
      <c r="A22" s="61"/>
      <c r="B22" s="119"/>
      <c r="C22" s="135"/>
      <c r="D22" s="116"/>
      <c r="E22" s="640"/>
      <c r="F22" s="135"/>
      <c r="G22" s="116"/>
      <c r="H22" s="640"/>
      <c r="I22" s="135"/>
      <c r="J22" s="135"/>
      <c r="K22" s="640"/>
      <c r="L22" s="135"/>
      <c r="M22" s="116"/>
      <c r="N22" s="640"/>
      <c r="O22" s="135"/>
      <c r="Q22" s="640"/>
      <c r="R22" s="135"/>
      <c r="T22" s="640"/>
      <c r="U22" s="135"/>
      <c r="W22" s="640"/>
      <c r="X22" s="135"/>
    </row>
    <row r="23" spans="1:24">
      <c r="A23" s="61" t="s">
        <v>1614</v>
      </c>
      <c r="B23" s="119"/>
      <c r="C23" s="135">
        <f>F23+I23+L23+O23+R23+U23+X23</f>
        <v>100.00000000000001</v>
      </c>
      <c r="D23" s="116"/>
      <c r="E23" s="990"/>
      <c r="F23" s="135">
        <f>E11/B11*100</f>
        <v>66.442815749105165</v>
      </c>
      <c r="G23" s="116"/>
      <c r="H23" s="990"/>
      <c r="I23" s="135">
        <f>H11/B11*100</f>
        <v>9.6096812681097674</v>
      </c>
      <c r="J23" s="135"/>
      <c r="K23" s="990"/>
      <c r="L23" s="135">
        <f>K11/B11*100</f>
        <v>6.6439406851883414</v>
      </c>
      <c r="M23" s="116"/>
      <c r="N23" s="990"/>
      <c r="O23" s="135">
        <f>N11/B11*100</f>
        <v>6.5996250213056076</v>
      </c>
      <c r="Q23" s="990"/>
      <c r="R23" s="135">
        <f>Q11/B11*100</f>
        <v>4.6872336799045513</v>
      </c>
      <c r="T23" s="990"/>
      <c r="U23" s="135">
        <f>T11/B11*100</f>
        <v>4.2474859382989605</v>
      </c>
      <c r="W23" s="990"/>
      <c r="X23" s="135">
        <f>W11/B11*100</f>
        <v>1.7692176580876087</v>
      </c>
    </row>
    <row r="24" spans="1:24">
      <c r="A24" s="61"/>
      <c r="B24" s="119"/>
      <c r="C24" s="135"/>
      <c r="D24" s="116"/>
      <c r="E24" s="990"/>
      <c r="F24" s="135"/>
      <c r="G24" s="116"/>
      <c r="H24" s="990"/>
      <c r="I24" s="135"/>
      <c r="J24" s="135"/>
      <c r="K24" s="990"/>
      <c r="L24" s="135"/>
      <c r="M24" s="116"/>
      <c r="N24" s="990"/>
      <c r="O24" s="135"/>
      <c r="Q24" s="990"/>
      <c r="R24" s="135"/>
      <c r="T24" s="990"/>
      <c r="U24" s="135"/>
      <c r="W24" s="990"/>
      <c r="X24" s="135"/>
    </row>
    <row r="25" spans="1:24">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4" ht="15">
      <c r="A26" s="61" t="s">
        <v>1616</v>
      </c>
      <c r="B26" s="119">
        <f>E26+H26+K26+N26+Q26+T26+W35</f>
        <v>43151</v>
      </c>
      <c r="C26" s="146">
        <f>B11/B26*100</f>
        <v>67.9822020347153</v>
      </c>
      <c r="D26" s="121"/>
      <c r="E26" s="645">
        <v>33154</v>
      </c>
      <c r="F26" s="146">
        <f>E11/E26*100</f>
        <v>58.789286360620139</v>
      </c>
      <c r="G26" s="121"/>
      <c r="H26" s="645">
        <v>3036</v>
      </c>
      <c r="I26" s="146">
        <f>H11/H26*100</f>
        <v>92.852437417654812</v>
      </c>
      <c r="J26" s="146"/>
      <c r="K26" s="645">
        <v>2044</v>
      </c>
      <c r="L26" s="146">
        <f>K11/K26*100</f>
        <v>95.352250489236795</v>
      </c>
      <c r="M26" s="121"/>
      <c r="N26" s="645">
        <v>2216</v>
      </c>
      <c r="O26" s="146">
        <f>N11/N26*100</f>
        <v>87.36462093862815</v>
      </c>
      <c r="Q26" s="645">
        <v>1363</v>
      </c>
      <c r="R26" s="135">
        <f>Q11/Q26*100</f>
        <v>100.88041085840058</v>
      </c>
      <c r="T26" s="645">
        <v>1338</v>
      </c>
      <c r="U26" s="135">
        <f>T11/T26*100</f>
        <v>93.124065769805668</v>
      </c>
      <c r="W26" s="645">
        <v>744</v>
      </c>
      <c r="X26" s="135">
        <f>W11/W26*100</f>
        <v>69.758064516129039</v>
      </c>
    </row>
    <row r="27" spans="1:24" ht="14" thickBot="1">
      <c r="B27" s="155"/>
    </row>
    <row r="28" spans="1:24">
      <c r="A28" s="97"/>
      <c r="B28" s="115"/>
      <c r="C28" s="99"/>
      <c r="D28" s="97"/>
      <c r="E28" s="144"/>
      <c r="F28" s="99"/>
      <c r="G28" s="97"/>
      <c r="H28" s="144"/>
      <c r="I28" s="99"/>
      <c r="J28" s="99"/>
      <c r="K28" s="144"/>
      <c r="L28" s="97"/>
      <c r="M28" s="97"/>
      <c r="N28" s="144"/>
      <c r="O28" s="97"/>
      <c r="P28" s="97"/>
      <c r="Q28" s="144"/>
      <c r="R28" s="97"/>
      <c r="S28" s="97"/>
      <c r="T28" s="97"/>
      <c r="U28" s="97"/>
      <c r="V28" s="97"/>
      <c r="W28" s="97"/>
      <c r="X28" s="97"/>
    </row>
    <row r="29" spans="1:24">
      <c r="A29" s="75" t="s">
        <v>2164</v>
      </c>
      <c r="B29" s="119"/>
      <c r="C29" s="146"/>
      <c r="D29" s="121"/>
      <c r="E29" s="119"/>
      <c r="F29" s="146"/>
      <c r="G29" s="121"/>
      <c r="H29" s="119"/>
      <c r="I29" s="146"/>
      <c r="J29" s="146"/>
      <c r="K29" s="119"/>
      <c r="L29" s="121"/>
      <c r="M29" s="116"/>
      <c r="N29" s="154"/>
    </row>
    <row r="30" spans="1:24">
      <c r="A30" s="116"/>
      <c r="B30" s="119"/>
      <c r="C30" s="135"/>
      <c r="D30" s="116"/>
      <c r="E30" s="154"/>
      <c r="F30" s="135"/>
      <c r="G30" s="116"/>
      <c r="H30" s="154"/>
      <c r="I30" s="135"/>
      <c r="J30" s="135"/>
      <c r="K30" s="154"/>
      <c r="L30" s="116"/>
      <c r="M30" s="116"/>
      <c r="N30" s="154"/>
    </row>
    <row r="31" spans="1:24">
      <c r="A31" s="95" t="s">
        <v>1563</v>
      </c>
      <c r="B31" s="155"/>
    </row>
    <row r="32" spans="1:24">
      <c r="A32" s="95" t="s">
        <v>452</v>
      </c>
      <c r="B32" s="15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HV35"/>
  <sheetViews>
    <sheetView workbookViewId="0"/>
  </sheetViews>
  <sheetFormatPr baseColWidth="10" defaultColWidth="9.1640625" defaultRowHeight="13"/>
  <cols>
    <col min="1" max="1" width="11.8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8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8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8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8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8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8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8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8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8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8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8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8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8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8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8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8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8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8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8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8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8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8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8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8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8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8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8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8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8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8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8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8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8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8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8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8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8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8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8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8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8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8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8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8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8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8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8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8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8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8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8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8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8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8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8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8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8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8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8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8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8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8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8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2165</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IF($A11&lt;&gt;0,SUM(B13:B21),"")</f>
        <v>26468</v>
      </c>
      <c r="C11" s="134">
        <f>IF($A11&lt;&gt;0,SUM(C13:C21),"")</f>
        <v>100</v>
      </c>
      <c r="D11" s="116"/>
      <c r="E11" s="154">
        <f>IF($A11&lt;&gt;0,SUM(E13:E21),"")</f>
        <v>17828</v>
      </c>
      <c r="F11" s="134">
        <f>IF($A11&lt;&gt;0,SUM(F13:F21),"")</f>
        <v>100</v>
      </c>
      <c r="G11" s="116"/>
      <c r="H11" s="154">
        <f>IF($A11&lt;&gt;0,SUM(H13:H21),"")</f>
        <v>2466</v>
      </c>
      <c r="I11" s="134">
        <f>IF($A11&lt;&gt;0,SUM(I13:I21),"")</f>
        <v>100</v>
      </c>
      <c r="J11" s="135"/>
      <c r="K11" s="154">
        <f>IF($A11&lt;&gt;0,SUM(K13:K21),"")</f>
        <v>1685</v>
      </c>
      <c r="L11" s="134">
        <f>IF($A11&lt;&gt;0,SUM(L13:L21),"")</f>
        <v>100</v>
      </c>
      <c r="M11" s="116"/>
      <c r="N11" s="154">
        <f>IF($A11&lt;&gt;0,SUM(N13:N21),"")</f>
        <v>1723</v>
      </c>
      <c r="O11" s="134">
        <f>IF($A11&lt;&gt;0,SUM(O13:O21),"")</f>
        <v>100</v>
      </c>
      <c r="Q11" s="154">
        <f>IF($A11&lt;&gt;0,SUM(Q13:Q21),"")</f>
        <v>1195</v>
      </c>
      <c r="R11" s="134">
        <f>IF($A11&lt;&gt;0,SUM(R13:R21),"")</f>
        <v>100</v>
      </c>
      <c r="T11" s="154">
        <f>IF($A11&lt;&gt;0,SUM(T13:T21),"")</f>
        <v>1086</v>
      </c>
      <c r="U11" s="134">
        <f>IF($A11&lt;&gt;0,SUM(U13:U21),"")</f>
        <v>100.00000000000001</v>
      </c>
      <c r="W11" s="154">
        <f>IF($A11&lt;&gt;0,SUM(W13:W21),"")</f>
        <v>485</v>
      </c>
      <c r="X11" s="134">
        <f>IF($A11&lt;&gt;0,SUM(X13:X21),"")</f>
        <v>44.659300184162063</v>
      </c>
    </row>
    <row r="12" spans="1:25" ht="13" customHeight="1">
      <c r="A12" s="107"/>
      <c r="B12" s="119" t="str">
        <f>IF(A12&lt;&gt;0,E12+H12+K12+N12+Q12+T12,"")</f>
        <v/>
      </c>
      <c r="C12" s="135" t="str">
        <f>IF($A12&lt;&gt;0,B12/$B$11*100,"")</f>
        <v/>
      </c>
      <c r="D12" s="116"/>
      <c r="E12" s="154"/>
      <c r="F12" s="154" t="str">
        <f>IF(E12&lt;&gt;0,I12+L12+O12+R12+U12,"")</f>
        <v/>
      </c>
      <c r="G12" s="116"/>
      <c r="H12" s="154"/>
      <c r="I12" s="135" t="str">
        <f>IF(A12&lt;&gt;0,H12/B12*100,"")</f>
        <v/>
      </c>
      <c r="J12" s="135"/>
      <c r="K12" s="154"/>
      <c r="L12" s="135" t="str">
        <f>IF(A12&lt;&gt;0,K12/B12*100,"")</f>
        <v/>
      </c>
      <c r="M12" s="116"/>
      <c r="N12" s="154"/>
      <c r="O12" s="135" t="str">
        <f>IF(A12&lt;&gt;0,N12/B12*100,"")</f>
        <v/>
      </c>
      <c r="Q12" s="154"/>
      <c r="R12" s="135" t="str">
        <f>IF(A12&lt;&gt;0,Q12/B12*100,"")</f>
        <v/>
      </c>
      <c r="T12" s="140"/>
      <c r="W12" s="140"/>
    </row>
    <row r="13" spans="1:25" ht="13" customHeight="1">
      <c r="A13" s="61">
        <v>1</v>
      </c>
      <c r="B13" s="119">
        <f>IF(A13&lt;&gt;"",E13+H13+K13+N13+Q13+T13+W13,"")</f>
        <v>874</v>
      </c>
      <c r="C13" s="135">
        <f t="shared" ref="C13:C21" si="0">IF($A13&lt;&gt;"",B13/$B$11*100,"")</f>
        <v>3.3021006498413179</v>
      </c>
      <c r="D13" s="116"/>
      <c r="E13" s="640">
        <v>685</v>
      </c>
      <c r="F13" s="135">
        <f t="shared" ref="F13:F21" si="1">IF($A13&lt;&gt;"",E13/$E$11*100,"")</f>
        <v>3.8422705855956925</v>
      </c>
      <c r="G13" s="116"/>
      <c r="H13" s="640">
        <v>49</v>
      </c>
      <c r="I13" s="135">
        <f t="shared" ref="I13:I21" si="2">IF($A13&lt;&gt;"",H13/$H$11*100,"")</f>
        <v>1.9870235198702353</v>
      </c>
      <c r="J13" s="135"/>
      <c r="K13" s="640">
        <v>23</v>
      </c>
      <c r="L13" s="135">
        <f t="shared" ref="L13:L21" si="3">IF($A13&lt;&gt;"",K13/$K$11*100,"")</f>
        <v>1.3649851632047478</v>
      </c>
      <c r="M13" s="116"/>
      <c r="N13" s="640">
        <v>46</v>
      </c>
      <c r="O13" s="135">
        <f t="shared" ref="O13:O21" si="4">IF($A13&lt;&gt;"",N13/$N$11*100,"")</f>
        <v>2.6697620429483457</v>
      </c>
      <c r="Q13" s="640">
        <v>26</v>
      </c>
      <c r="R13" s="135">
        <f t="shared" ref="R13:R21" si="5">IF($A13&lt;&gt;"",Q13/$Q$11*100,"")</f>
        <v>2.1757322175732217</v>
      </c>
      <c r="T13" s="640">
        <v>33</v>
      </c>
      <c r="U13" s="135">
        <f>IF($A13&lt;&gt;"",T13/$T$11*100,"")</f>
        <v>3.0386740331491713</v>
      </c>
      <c r="W13" s="640">
        <v>12</v>
      </c>
      <c r="X13" s="135">
        <f>IF($A13&lt;&gt;"",W13/$T$11*100,"")</f>
        <v>1.1049723756906076</v>
      </c>
    </row>
    <row r="14" spans="1:25" ht="13" customHeight="1">
      <c r="A14" s="61"/>
      <c r="B14" s="119" t="str">
        <f t="shared" ref="B14:B21" si="6">IF(A14&lt;&gt;"",E14+H14+K14+N14+Q14+T14+W14,"")</f>
        <v/>
      </c>
      <c r="C14" s="135" t="str">
        <f t="shared" si="0"/>
        <v/>
      </c>
      <c r="D14" s="116"/>
      <c r="E14" s="640"/>
      <c r="F14" s="135" t="str">
        <f t="shared" si="1"/>
        <v/>
      </c>
      <c r="G14" s="116"/>
      <c r="H14" s="640"/>
      <c r="I14" s="135" t="str">
        <f t="shared" si="2"/>
        <v/>
      </c>
      <c r="J14" s="135"/>
      <c r="K14" s="640"/>
      <c r="L14" s="135" t="str">
        <f t="shared" si="3"/>
        <v/>
      </c>
      <c r="M14" s="116"/>
      <c r="N14" s="640"/>
      <c r="O14" s="135" t="str">
        <f t="shared" si="4"/>
        <v/>
      </c>
      <c r="Q14" s="640"/>
      <c r="R14" s="135" t="str">
        <f t="shared" si="5"/>
        <v/>
      </c>
      <c r="T14" s="640"/>
      <c r="U14" s="135" t="str">
        <f t="shared" ref="U14:U21" si="7">IF($A14&lt;&gt;"",T14/$T$11*100,"")</f>
        <v/>
      </c>
      <c r="W14" s="640"/>
      <c r="X14" s="135" t="str">
        <f t="shared" ref="X14:X21" si="8">IF($A14&lt;&gt;"",W14/$T$11*100,"")</f>
        <v/>
      </c>
    </row>
    <row r="15" spans="1:25" ht="13" customHeight="1">
      <c r="A15" s="61">
        <v>2</v>
      </c>
      <c r="B15" s="119">
        <f t="shared" si="6"/>
        <v>1028</v>
      </c>
      <c r="C15" s="135">
        <f t="shared" si="0"/>
        <v>3.8839353181199936</v>
      </c>
      <c r="D15" s="116"/>
      <c r="E15" s="640">
        <v>789</v>
      </c>
      <c r="F15" s="135">
        <f t="shared" si="1"/>
        <v>4.4256226161094903</v>
      </c>
      <c r="G15" s="116"/>
      <c r="H15" s="640">
        <v>58</v>
      </c>
      <c r="I15" s="135">
        <f t="shared" si="2"/>
        <v>2.3519870235198703</v>
      </c>
      <c r="J15" s="135"/>
      <c r="K15" s="640">
        <v>44</v>
      </c>
      <c r="L15" s="135">
        <f t="shared" si="3"/>
        <v>2.6112759643916914</v>
      </c>
      <c r="M15" s="116"/>
      <c r="N15" s="640">
        <v>56</v>
      </c>
      <c r="O15" s="135">
        <f t="shared" si="4"/>
        <v>3.2501450957632039</v>
      </c>
      <c r="Q15" s="640">
        <v>25</v>
      </c>
      <c r="R15" s="135">
        <f t="shared" si="5"/>
        <v>2.0920502092050208</v>
      </c>
      <c r="T15" s="640">
        <v>26</v>
      </c>
      <c r="U15" s="135">
        <f t="shared" si="7"/>
        <v>2.3941068139963169</v>
      </c>
      <c r="W15" s="640">
        <v>30</v>
      </c>
      <c r="X15" s="135">
        <f t="shared" si="8"/>
        <v>2.7624309392265194</v>
      </c>
    </row>
    <row r="16" spans="1:25" ht="13" customHeight="1">
      <c r="A16" s="61"/>
      <c r="B16" s="119" t="str">
        <f t="shared" si="6"/>
        <v/>
      </c>
      <c r="C16" s="135" t="str">
        <f t="shared" si="0"/>
        <v/>
      </c>
      <c r="D16" s="116"/>
      <c r="E16" s="640"/>
      <c r="F16" s="135" t="str">
        <f t="shared" si="1"/>
        <v/>
      </c>
      <c r="G16" s="116"/>
      <c r="H16" s="640"/>
      <c r="I16" s="135" t="str">
        <f t="shared" si="2"/>
        <v/>
      </c>
      <c r="J16" s="135"/>
      <c r="K16" s="640"/>
      <c r="L16" s="135" t="str">
        <f t="shared" si="3"/>
        <v/>
      </c>
      <c r="M16" s="116"/>
      <c r="N16" s="640"/>
      <c r="O16" s="135" t="str">
        <f t="shared" si="4"/>
        <v/>
      </c>
      <c r="Q16" s="640"/>
      <c r="R16" s="135" t="str">
        <f t="shared" si="5"/>
        <v/>
      </c>
      <c r="T16" s="640"/>
      <c r="U16" s="135" t="str">
        <f t="shared" si="7"/>
        <v/>
      </c>
      <c r="W16" s="640"/>
      <c r="X16" s="135" t="str">
        <f t="shared" si="8"/>
        <v/>
      </c>
    </row>
    <row r="17" spans="1:230" ht="13" customHeight="1">
      <c r="A17" s="61">
        <v>3</v>
      </c>
      <c r="B17" s="119">
        <f t="shared" si="6"/>
        <v>1524</v>
      </c>
      <c r="C17" s="135">
        <f t="shared" si="0"/>
        <v>5.7578963276409247</v>
      </c>
      <c r="D17" s="116"/>
      <c r="E17" s="640">
        <v>1147</v>
      </c>
      <c r="F17" s="135">
        <f t="shared" si="1"/>
        <v>6.4336997980704513</v>
      </c>
      <c r="G17" s="301"/>
      <c r="H17" s="640">
        <v>106</v>
      </c>
      <c r="I17" s="135">
        <f t="shared" si="2"/>
        <v>4.2984590429845904</v>
      </c>
      <c r="J17" s="537"/>
      <c r="K17" s="640">
        <v>88</v>
      </c>
      <c r="L17" s="135">
        <f t="shared" si="3"/>
        <v>5.2225519287833828</v>
      </c>
      <c r="M17" s="301"/>
      <c r="N17" s="640">
        <v>73</v>
      </c>
      <c r="O17" s="135">
        <f t="shared" si="4"/>
        <v>4.2367962855484622</v>
      </c>
      <c r="P17" s="77"/>
      <c r="Q17" s="640">
        <v>39</v>
      </c>
      <c r="R17" s="135">
        <f t="shared" si="5"/>
        <v>3.2635983263598325</v>
      </c>
      <c r="T17" s="640">
        <v>40</v>
      </c>
      <c r="U17" s="135">
        <f t="shared" si="7"/>
        <v>3.6832412523020261</v>
      </c>
      <c r="W17" s="640">
        <v>31</v>
      </c>
      <c r="X17" s="135">
        <f t="shared" si="8"/>
        <v>2.85451197053407</v>
      </c>
    </row>
    <row r="18" spans="1:230" ht="13" customHeight="1">
      <c r="A18" s="61"/>
      <c r="B18" s="119" t="str">
        <f t="shared" si="6"/>
        <v/>
      </c>
      <c r="C18" s="135" t="str">
        <f t="shared" si="0"/>
        <v/>
      </c>
      <c r="D18" s="116"/>
      <c r="E18" s="640"/>
      <c r="F18" s="135" t="str">
        <f t="shared" si="1"/>
        <v/>
      </c>
      <c r="G18" s="301"/>
      <c r="H18" s="640"/>
      <c r="I18" s="135" t="str">
        <f t="shared" si="2"/>
        <v/>
      </c>
      <c r="J18" s="537"/>
      <c r="K18" s="640"/>
      <c r="L18" s="135" t="str">
        <f t="shared" si="3"/>
        <v/>
      </c>
      <c r="M18" s="301"/>
      <c r="N18" s="640"/>
      <c r="O18" s="135" t="str">
        <f t="shared" si="4"/>
        <v/>
      </c>
      <c r="P18" s="77"/>
      <c r="Q18" s="640"/>
      <c r="R18" s="135" t="str">
        <f t="shared" si="5"/>
        <v/>
      </c>
      <c r="T18" s="640"/>
      <c r="U18" s="135" t="str">
        <f t="shared" si="7"/>
        <v/>
      </c>
      <c r="W18" s="640"/>
      <c r="X18" s="135" t="str">
        <f t="shared" si="8"/>
        <v/>
      </c>
    </row>
    <row r="19" spans="1:230" ht="13" customHeight="1">
      <c r="A19" s="61">
        <v>4</v>
      </c>
      <c r="B19" s="119">
        <f t="shared" si="6"/>
        <v>6430</v>
      </c>
      <c r="C19" s="135">
        <f t="shared" si="0"/>
        <v>24.293486474233035</v>
      </c>
      <c r="D19" s="116"/>
      <c r="E19" s="640">
        <v>5275</v>
      </c>
      <c r="F19" s="135">
        <f t="shared" si="1"/>
        <v>29.588288086156606</v>
      </c>
      <c r="G19" s="301"/>
      <c r="H19" s="640">
        <v>383</v>
      </c>
      <c r="I19" s="135">
        <f t="shared" si="2"/>
        <v>15.531224655312247</v>
      </c>
      <c r="J19" s="537"/>
      <c r="K19" s="640">
        <v>173</v>
      </c>
      <c r="L19" s="135">
        <f t="shared" si="3"/>
        <v>10.267062314540059</v>
      </c>
      <c r="M19" s="301"/>
      <c r="N19" s="640">
        <v>202</v>
      </c>
      <c r="O19" s="135">
        <f t="shared" si="4"/>
        <v>11.723737666860128</v>
      </c>
      <c r="P19" s="77"/>
      <c r="Q19" s="640">
        <v>121</v>
      </c>
      <c r="R19" s="135">
        <f t="shared" si="5"/>
        <v>10.125523012552302</v>
      </c>
      <c r="T19" s="640">
        <v>136</v>
      </c>
      <c r="U19" s="135">
        <f t="shared" si="7"/>
        <v>12.523020257826889</v>
      </c>
      <c r="W19" s="640">
        <v>140</v>
      </c>
      <c r="X19" s="135">
        <f t="shared" si="8"/>
        <v>12.89134438305709</v>
      </c>
    </row>
    <row r="20" spans="1:230" ht="13" customHeight="1">
      <c r="A20" s="61"/>
      <c r="B20" s="119" t="str">
        <f t="shared" si="6"/>
        <v/>
      </c>
      <c r="C20" s="135" t="str">
        <f t="shared" si="0"/>
        <v/>
      </c>
      <c r="D20" s="116"/>
      <c r="E20" s="640"/>
      <c r="F20" s="135" t="str">
        <f t="shared" si="1"/>
        <v/>
      </c>
      <c r="G20" s="116"/>
      <c r="H20" s="640"/>
      <c r="I20" s="135" t="str">
        <f t="shared" si="2"/>
        <v/>
      </c>
      <c r="J20" s="135"/>
      <c r="K20" s="640"/>
      <c r="L20" s="135" t="str">
        <f t="shared" si="3"/>
        <v/>
      </c>
      <c r="M20" s="116"/>
      <c r="N20" s="640"/>
      <c r="O20" s="135" t="str">
        <f t="shared" si="4"/>
        <v/>
      </c>
      <c r="Q20" s="640"/>
      <c r="R20" s="135" t="str">
        <f t="shared" si="5"/>
        <v/>
      </c>
      <c r="T20" s="640"/>
      <c r="U20" s="135" t="str">
        <f t="shared" si="7"/>
        <v/>
      </c>
      <c r="W20" s="640"/>
      <c r="X20" s="135" t="str">
        <f t="shared" si="8"/>
        <v/>
      </c>
    </row>
    <row r="21" spans="1:230" ht="13" customHeight="1">
      <c r="A21" s="61">
        <v>5</v>
      </c>
      <c r="B21" s="119">
        <f t="shared" si="6"/>
        <v>16612</v>
      </c>
      <c r="C21" s="135">
        <f t="shared" si="0"/>
        <v>62.762581230164727</v>
      </c>
      <c r="D21" s="116"/>
      <c r="E21" s="640">
        <v>9932</v>
      </c>
      <c r="F21" s="135">
        <f t="shared" si="1"/>
        <v>55.710118914067763</v>
      </c>
      <c r="G21" s="116"/>
      <c r="H21" s="640">
        <v>1870</v>
      </c>
      <c r="I21" s="135">
        <f t="shared" si="2"/>
        <v>75.831305758313064</v>
      </c>
      <c r="J21" s="135"/>
      <c r="K21" s="640">
        <v>1357</v>
      </c>
      <c r="L21" s="135">
        <f t="shared" si="3"/>
        <v>80.534124629080111</v>
      </c>
      <c r="M21" s="116"/>
      <c r="N21" s="640">
        <v>1346</v>
      </c>
      <c r="O21" s="135">
        <f t="shared" si="4"/>
        <v>78.119558908879867</v>
      </c>
      <c r="Q21" s="640">
        <v>984</v>
      </c>
      <c r="R21" s="135">
        <f t="shared" si="5"/>
        <v>82.343096234309627</v>
      </c>
      <c r="T21" s="640">
        <v>851</v>
      </c>
      <c r="U21" s="135">
        <f t="shared" si="7"/>
        <v>78.360957642725609</v>
      </c>
      <c r="W21" s="640">
        <v>272</v>
      </c>
      <c r="X21" s="135">
        <f t="shared" si="8"/>
        <v>25.046040515653779</v>
      </c>
    </row>
    <row r="22" spans="1:230" ht="13" customHeight="1">
      <c r="A22" s="61"/>
      <c r="B22" s="119"/>
      <c r="C22" s="135"/>
      <c r="D22" s="116"/>
      <c r="E22" s="640"/>
      <c r="F22" s="135"/>
      <c r="G22" s="116"/>
      <c r="H22" s="640"/>
      <c r="I22" s="135"/>
      <c r="J22" s="135"/>
      <c r="K22" s="640"/>
      <c r="L22" s="135"/>
      <c r="M22" s="116"/>
      <c r="N22" s="640"/>
      <c r="O22" s="135"/>
      <c r="Q22" s="640"/>
      <c r="R22" s="135"/>
      <c r="T22" s="640"/>
      <c r="U22" s="135"/>
      <c r="W22" s="640"/>
      <c r="X22" s="135"/>
    </row>
    <row r="23" spans="1:230" ht="13" customHeight="1">
      <c r="A23" s="61" t="s">
        <v>1614</v>
      </c>
      <c r="B23" s="119"/>
      <c r="C23" s="135">
        <f>F23+I23+L23+O23+R23+U23+X23</f>
        <v>100</v>
      </c>
      <c r="D23" s="116"/>
      <c r="E23" s="990"/>
      <c r="F23" s="135">
        <f>E11/B11*100</f>
        <v>67.356808221248301</v>
      </c>
      <c r="G23" s="116"/>
      <c r="H23" s="990"/>
      <c r="I23" s="135">
        <f>H11/B11*100</f>
        <v>9.3169109868520472</v>
      </c>
      <c r="J23" s="135"/>
      <c r="K23" s="990"/>
      <c r="L23" s="135">
        <f>K11/B11*100</f>
        <v>6.3661780262959047</v>
      </c>
      <c r="M23" s="116"/>
      <c r="N23" s="990"/>
      <c r="O23" s="135">
        <f>N11/B11*100</f>
        <v>6.5097476197672659</v>
      </c>
      <c r="Q23" s="990"/>
      <c r="R23" s="135">
        <f>Q11/B11*100</f>
        <v>4.5148858999546615</v>
      </c>
      <c r="T23" s="990"/>
      <c r="U23" s="135">
        <f>T11/B11*100</f>
        <v>4.1030678555236513</v>
      </c>
      <c r="W23" s="990"/>
      <c r="X23" s="135">
        <f>W11/B11*100</f>
        <v>1.8324013903581686</v>
      </c>
    </row>
    <row r="24" spans="1:230" ht="13" customHeight="1">
      <c r="A24" s="61"/>
      <c r="B24" s="119"/>
      <c r="C24" s="135"/>
      <c r="D24" s="116"/>
      <c r="E24" s="990"/>
      <c r="F24" s="135"/>
      <c r="G24" s="116"/>
      <c r="H24" s="990"/>
      <c r="I24" s="135"/>
      <c r="J24" s="135"/>
      <c r="K24" s="990"/>
      <c r="L24" s="135"/>
      <c r="M24" s="116"/>
      <c r="N24" s="990"/>
      <c r="O24" s="135"/>
      <c r="Q24" s="990"/>
      <c r="R24" s="135"/>
      <c r="T24" s="990"/>
      <c r="U24" s="135"/>
      <c r="W24" s="990"/>
      <c r="X24" s="135"/>
    </row>
    <row r="25" spans="1:230" ht="13" customHeight="1">
      <c r="A25" s="61" t="s">
        <v>1615</v>
      </c>
      <c r="B25" s="119"/>
      <c r="C25" s="135"/>
      <c r="D25" s="116"/>
      <c r="E25" s="990"/>
      <c r="F25" s="135"/>
      <c r="G25" s="116"/>
      <c r="H25" s="990"/>
      <c r="I25" s="135"/>
      <c r="J25" s="135"/>
      <c r="K25" s="990"/>
      <c r="L25" s="135"/>
      <c r="M25" s="116"/>
      <c r="N25" s="990"/>
      <c r="O25" s="135"/>
      <c r="Q25" s="990"/>
      <c r="R25" s="135"/>
      <c r="T25" s="990"/>
      <c r="U25" s="135"/>
      <c r="W25" s="990"/>
      <c r="X25" s="135"/>
    </row>
    <row r="26" spans="1:230" ht="13" customHeight="1">
      <c r="A26" s="61" t="s">
        <v>1616</v>
      </c>
      <c r="B26" s="119">
        <f>E26+H26+K26+N26+Q26+T26+W35</f>
        <v>43151</v>
      </c>
      <c r="C26" s="146">
        <f>B11/B26*100</f>
        <v>61.338091817107369</v>
      </c>
      <c r="D26" s="121"/>
      <c r="E26" s="645">
        <v>33154</v>
      </c>
      <c r="F26" s="146">
        <f>E11/E26*100</f>
        <v>53.77330035591482</v>
      </c>
      <c r="G26" s="121"/>
      <c r="H26" s="645">
        <v>3036</v>
      </c>
      <c r="I26" s="146">
        <f>H11/H26*100</f>
        <v>81.22529644268775</v>
      </c>
      <c r="J26" s="146"/>
      <c r="K26" s="645">
        <v>2044</v>
      </c>
      <c r="L26" s="146">
        <f>K11/K26*100</f>
        <v>82.436399217221137</v>
      </c>
      <c r="M26" s="121"/>
      <c r="N26" s="645">
        <v>2216</v>
      </c>
      <c r="O26" s="146">
        <f>N11/N26*100</f>
        <v>77.752707581227426</v>
      </c>
      <c r="Q26" s="645">
        <v>1363</v>
      </c>
      <c r="R26" s="135">
        <f>Q11/Q26*100</f>
        <v>87.67424798239179</v>
      </c>
      <c r="T26" s="645">
        <v>1338</v>
      </c>
      <c r="U26" s="135">
        <f>T11/T26*100</f>
        <v>81.165919282511211</v>
      </c>
      <c r="W26" s="645">
        <v>744</v>
      </c>
      <c r="X26" s="135">
        <f>W11/W26*100</f>
        <v>65.188172043010752</v>
      </c>
    </row>
    <row r="27" spans="1:230" ht="7.5" customHeight="1" thickBot="1"/>
    <row r="28" spans="1:230" ht="7.5" customHeight="1">
      <c r="A28" s="97"/>
      <c r="B28" s="115"/>
      <c r="C28" s="99"/>
      <c r="D28" s="97"/>
      <c r="E28" s="144"/>
      <c r="F28" s="99"/>
      <c r="G28" s="97"/>
      <c r="H28" s="144"/>
      <c r="I28" s="99"/>
      <c r="J28" s="99"/>
      <c r="K28" s="144"/>
      <c r="L28" s="97"/>
      <c r="M28" s="97"/>
      <c r="N28" s="144"/>
      <c r="O28" s="97"/>
      <c r="P28" s="97"/>
      <c r="Q28" s="144"/>
      <c r="R28" s="97"/>
      <c r="S28" s="97"/>
      <c r="T28" s="97"/>
      <c r="U28" s="97"/>
      <c r="V28" s="97"/>
      <c r="W28" s="97"/>
      <c r="X28" s="97"/>
      <c r="Y28" s="97"/>
    </row>
    <row r="29" spans="1:230" ht="13" customHeight="1">
      <c r="A29" s="75" t="s">
        <v>2164</v>
      </c>
      <c r="B29" s="119"/>
      <c r="C29" s="146"/>
      <c r="D29" s="121"/>
      <c r="E29" s="119"/>
      <c r="F29" s="146"/>
      <c r="G29" s="121"/>
      <c r="H29" s="119"/>
      <c r="I29" s="146"/>
      <c r="J29" s="146"/>
      <c r="K29" s="119"/>
      <c r="L29" s="121"/>
      <c r="M29" s="116"/>
      <c r="N29" s="154"/>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c r="CG29" s="116"/>
      <c r="CH29" s="116"/>
      <c r="CI29" s="116"/>
      <c r="CJ29" s="116"/>
      <c r="CK29" s="116"/>
      <c r="CL29" s="116"/>
      <c r="CM29" s="116"/>
      <c r="CN29" s="116"/>
      <c r="CO29" s="116"/>
      <c r="CP29" s="116"/>
      <c r="CQ29" s="116"/>
      <c r="CR29" s="116"/>
      <c r="CS29" s="116"/>
      <c r="CT29" s="116"/>
      <c r="CU29" s="116"/>
      <c r="CV29" s="116"/>
      <c r="CW29" s="116"/>
      <c r="CX29" s="116"/>
      <c r="CY29" s="116"/>
      <c r="CZ29" s="116"/>
      <c r="DA29" s="116"/>
      <c r="DB29" s="116"/>
      <c r="DC29" s="116"/>
      <c r="DD29" s="116"/>
      <c r="DE29" s="116"/>
      <c r="DF29" s="116"/>
      <c r="DG29" s="116"/>
      <c r="DH29" s="116"/>
      <c r="DI29" s="116"/>
      <c r="DJ29" s="116"/>
      <c r="DK29" s="116"/>
      <c r="DL29" s="116"/>
      <c r="DM29" s="116"/>
      <c r="DN29" s="116"/>
      <c r="DO29" s="116"/>
      <c r="DP29" s="116"/>
      <c r="DQ29" s="116"/>
      <c r="DR29" s="116"/>
      <c r="DS29" s="116"/>
      <c r="DT29" s="116"/>
      <c r="DU29" s="116"/>
      <c r="DV29" s="116"/>
      <c r="DW29" s="116"/>
      <c r="DX29" s="116"/>
      <c r="DY29" s="116"/>
      <c r="DZ29" s="116"/>
      <c r="EA29" s="116"/>
      <c r="EB29" s="116"/>
      <c r="EC29" s="116"/>
      <c r="ED29" s="116"/>
      <c r="EE29" s="116"/>
      <c r="EF29" s="116"/>
      <c r="EG29" s="116"/>
      <c r="EH29" s="116"/>
      <c r="EI29" s="116"/>
      <c r="EJ29" s="116"/>
      <c r="EK29" s="116"/>
      <c r="EL29" s="116"/>
      <c r="EM29" s="116"/>
      <c r="EN29" s="116"/>
      <c r="EO29" s="116"/>
      <c r="EP29" s="116"/>
      <c r="EQ29" s="116"/>
      <c r="ER29" s="116"/>
      <c r="ES29" s="116"/>
      <c r="ET29" s="116"/>
      <c r="EU29" s="116"/>
      <c r="EV29" s="116"/>
      <c r="EW29" s="116"/>
      <c r="EX29" s="116"/>
      <c r="EY29" s="116"/>
      <c r="EZ29" s="116"/>
      <c r="FA29" s="116"/>
      <c r="FB29" s="116"/>
      <c r="FC29" s="116"/>
      <c r="FD29" s="116"/>
      <c r="FE29" s="116"/>
      <c r="FF29" s="116"/>
      <c r="FG29" s="116"/>
      <c r="FH29" s="116"/>
      <c r="FI29" s="116"/>
      <c r="FJ29" s="116"/>
      <c r="FK29" s="116"/>
      <c r="FL29" s="116"/>
      <c r="FM29" s="116"/>
      <c r="FN29" s="116"/>
      <c r="FO29" s="116"/>
      <c r="FP29" s="116"/>
      <c r="FQ29" s="116"/>
      <c r="FR29" s="116"/>
      <c r="FS29" s="116"/>
      <c r="FT29" s="116"/>
      <c r="FU29" s="116"/>
      <c r="FV29" s="116"/>
      <c r="FW29" s="116"/>
      <c r="FX29" s="116"/>
      <c r="FY29" s="116"/>
      <c r="FZ29" s="116"/>
      <c r="GA29" s="116"/>
      <c r="GB29" s="116"/>
      <c r="GC29" s="116"/>
      <c r="GD29" s="116"/>
      <c r="GE29" s="116"/>
      <c r="GF29" s="116"/>
      <c r="GG29" s="116"/>
      <c r="GH29" s="116"/>
      <c r="GI29" s="116"/>
      <c r="GJ29" s="116"/>
      <c r="GK29" s="116"/>
      <c r="GL29" s="116"/>
      <c r="GM29" s="116"/>
      <c r="GN29" s="116"/>
      <c r="GO29" s="116"/>
      <c r="GP29" s="116"/>
      <c r="GQ29" s="116"/>
      <c r="GR29" s="116"/>
      <c r="GS29" s="116"/>
      <c r="GT29" s="116"/>
      <c r="GU29" s="116"/>
      <c r="GV29" s="116"/>
      <c r="GW29" s="116"/>
      <c r="GX29" s="116"/>
      <c r="GY29" s="116"/>
      <c r="GZ29" s="116"/>
      <c r="HA29" s="116"/>
      <c r="HB29" s="116"/>
      <c r="HC29" s="116"/>
      <c r="HD29" s="116"/>
      <c r="HE29" s="116"/>
      <c r="HF29" s="116"/>
      <c r="HG29" s="116"/>
      <c r="HH29" s="116"/>
      <c r="HI29" s="116"/>
      <c r="HJ29" s="116"/>
      <c r="HK29" s="116"/>
      <c r="HL29" s="116"/>
      <c r="HM29" s="116"/>
      <c r="HN29" s="116"/>
      <c r="HO29" s="116"/>
      <c r="HP29" s="116"/>
      <c r="HQ29" s="116"/>
      <c r="HR29" s="116"/>
      <c r="HS29" s="116"/>
      <c r="HT29" s="116"/>
      <c r="HU29" s="116"/>
      <c r="HV29" s="116"/>
    </row>
    <row r="30" spans="1:230" ht="10.5" customHeight="1">
      <c r="A30" s="116"/>
      <c r="B30" s="119"/>
      <c r="C30" s="135"/>
      <c r="D30" s="116"/>
      <c r="E30" s="154"/>
      <c r="F30" s="135"/>
      <c r="G30" s="116"/>
      <c r="H30" s="154"/>
      <c r="I30" s="135"/>
      <c r="J30" s="135"/>
      <c r="K30" s="154"/>
      <c r="L30" s="116"/>
      <c r="M30" s="116"/>
      <c r="N30" s="154"/>
      <c r="O30" s="116"/>
      <c r="P30" s="116"/>
      <c r="Q30" s="154"/>
      <c r="R30" s="116"/>
      <c r="S30" s="116"/>
      <c r="T30" s="116"/>
      <c r="U30" s="116"/>
      <c r="V30" s="116"/>
    </row>
    <row r="31" spans="1:230" ht="13" customHeight="1">
      <c r="A31" s="95" t="s">
        <v>1563</v>
      </c>
    </row>
    <row r="32" spans="1:230" ht="13" customHeight="1">
      <c r="A32" s="95" t="s">
        <v>452</v>
      </c>
    </row>
    <row r="35" spans="2:23">
      <c r="B35" s="649"/>
      <c r="C35" s="649"/>
      <c r="D35" s="649"/>
      <c r="E35" s="645"/>
      <c r="F35" s="645"/>
      <c r="H35" s="645"/>
      <c r="K35" s="645"/>
      <c r="L35" s="105"/>
      <c r="M35" s="105"/>
      <c r="N35" s="645"/>
      <c r="Q35" s="645"/>
      <c r="T35" s="645"/>
      <c r="W35" s="645"/>
    </row>
  </sheetData>
  <mergeCells count="8">
    <mergeCell ref="T7:U7"/>
    <mergeCell ref="W7:X7"/>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80" orientation="landscape" horizontalDpi="4294967293" verticalDpi="4294967293"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5" tint="-0.249977111117893"/>
  </sheetPr>
  <dimension ref="B2:H23"/>
  <sheetViews>
    <sheetView workbookViewId="0"/>
  </sheetViews>
  <sheetFormatPr baseColWidth="10" defaultRowHeight="15"/>
  <sheetData>
    <row r="2" spans="2:8">
      <c r="C2" s="33"/>
      <c r="D2" s="33"/>
      <c r="E2" s="33"/>
    </row>
    <row r="3" spans="2:8">
      <c r="C3" s="54"/>
      <c r="D3" s="54"/>
      <c r="E3" s="54"/>
      <c r="F3" s="54"/>
      <c r="G3" s="54"/>
      <c r="H3" s="54"/>
    </row>
    <row r="4" spans="2:8">
      <c r="B4" s="33"/>
      <c r="C4" s="54"/>
      <c r="D4" s="54"/>
      <c r="E4" s="54"/>
      <c r="G4" s="54"/>
      <c r="H4" s="54"/>
    </row>
    <row r="5" spans="2:8">
      <c r="B5" s="33"/>
      <c r="C5" s="54"/>
      <c r="D5" s="54"/>
      <c r="E5" s="54"/>
      <c r="G5" s="54"/>
      <c r="H5" s="54"/>
    </row>
    <row r="6" spans="2:8">
      <c r="B6" s="33"/>
      <c r="C6" s="54"/>
      <c r="D6" s="54"/>
      <c r="E6" s="54"/>
      <c r="G6" s="54"/>
      <c r="H6" s="54"/>
    </row>
    <row r="7" spans="2:8">
      <c r="B7" s="33"/>
      <c r="C7" s="54"/>
      <c r="D7" s="54"/>
      <c r="E7" s="54"/>
      <c r="G7" s="54"/>
      <c r="H7" s="54"/>
    </row>
    <row r="8" spans="2:8">
      <c r="B8" s="33"/>
      <c r="C8" s="54"/>
      <c r="D8" s="54"/>
      <c r="E8" s="54"/>
      <c r="G8" s="54"/>
      <c r="H8" s="54"/>
    </row>
    <row r="9" spans="2:8">
      <c r="B9" s="33"/>
      <c r="C9" s="54"/>
      <c r="D9" s="54"/>
      <c r="E9" s="54"/>
      <c r="G9" s="54"/>
      <c r="H9" s="54"/>
    </row>
    <row r="17" spans="3:4">
      <c r="C17" s="54"/>
      <c r="D17" s="54"/>
    </row>
    <row r="18" spans="3:4">
      <c r="C18" s="54"/>
      <c r="D18" s="54"/>
    </row>
    <row r="19" spans="3:4">
      <c r="C19" s="54"/>
      <c r="D19" s="54"/>
    </row>
    <row r="20" spans="3:4">
      <c r="C20" s="54"/>
      <c r="D20" s="54"/>
    </row>
    <row r="21" spans="3:4">
      <c r="C21" s="54"/>
      <c r="D21" s="54"/>
    </row>
    <row r="22" spans="3:4">
      <c r="C22" s="54"/>
      <c r="D22" s="54"/>
    </row>
    <row r="23" spans="3:4">
      <c r="C23" s="54"/>
      <c r="D23" s="54"/>
    </row>
  </sheetData>
  <pageMargins left="0.7" right="0.7" top="0.75" bottom="0.75" header="0.3" footer="0.3"/>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S34"/>
  <sheetViews>
    <sheetView workbookViewId="0"/>
  </sheetViews>
  <sheetFormatPr baseColWidth="10" defaultColWidth="9.1640625" defaultRowHeight="13"/>
  <cols>
    <col min="1" max="1" width="16.1640625" style="95" customWidth="1"/>
    <col min="2" max="2" width="7.6640625" style="140" customWidth="1"/>
    <col min="3" max="3" width="9" style="105" customWidth="1"/>
    <col min="4" max="4" width="2.1640625" style="95" customWidth="1"/>
    <col min="5" max="5" width="7.6640625" style="140" customWidth="1"/>
    <col min="6" max="6" width="7.6640625" style="105" customWidth="1"/>
    <col min="7" max="7" width="2.5" style="105" customWidth="1"/>
    <col min="8" max="8" width="7.6640625" style="140" customWidth="1"/>
    <col min="9" max="9" width="7.6640625" style="95" customWidth="1"/>
    <col min="10" max="10" width="1.6640625" style="95" customWidth="1"/>
    <col min="11" max="11" width="7.6640625" style="140" customWidth="1"/>
    <col min="12" max="12" width="7.6640625" style="95" customWidth="1"/>
    <col min="13" max="13" width="2.1640625" style="95" customWidth="1"/>
    <col min="14" max="14" width="7.6640625" style="140" customWidth="1"/>
    <col min="15" max="15" width="7.83203125" style="95" customWidth="1"/>
    <col min="16" max="16" width="2.5" style="95" customWidth="1"/>
    <col min="17" max="17" width="8.1640625" style="95" customWidth="1"/>
    <col min="18" max="18" width="8.6640625" style="95" customWidth="1"/>
    <col min="19" max="19" width="2.5" style="95" customWidth="1"/>
    <col min="20" max="256" width="9.1640625" style="95"/>
    <col min="257" max="257" width="16.1640625" style="95" customWidth="1"/>
    <col min="258" max="258" width="7.6640625" style="95" customWidth="1"/>
    <col min="259" max="259" width="9" style="95" customWidth="1"/>
    <col min="260" max="260" width="2.1640625" style="95" customWidth="1"/>
    <col min="261" max="262" width="7.6640625" style="95" customWidth="1"/>
    <col min="263" max="263" width="2.5" style="95" customWidth="1"/>
    <col min="264" max="265" width="7.6640625" style="95" customWidth="1"/>
    <col min="266" max="266" width="1.6640625" style="95" customWidth="1"/>
    <col min="267" max="268" width="7.6640625" style="95" customWidth="1"/>
    <col min="269" max="269" width="2.1640625" style="95" customWidth="1"/>
    <col min="270" max="270" width="7.6640625" style="95" customWidth="1"/>
    <col min="271" max="271" width="7.83203125" style="95" customWidth="1"/>
    <col min="272" max="272" width="2.5" style="95" customWidth="1"/>
    <col min="273" max="273" width="8.1640625" style="95" customWidth="1"/>
    <col min="274" max="274" width="8.6640625" style="95" customWidth="1"/>
    <col min="275" max="275" width="2.5" style="95" customWidth="1"/>
    <col min="276" max="512" width="9.1640625" style="95"/>
    <col min="513" max="513" width="16.1640625" style="95" customWidth="1"/>
    <col min="514" max="514" width="7.6640625" style="95" customWidth="1"/>
    <col min="515" max="515" width="9" style="95" customWidth="1"/>
    <col min="516" max="516" width="2.1640625" style="95" customWidth="1"/>
    <col min="517" max="518" width="7.6640625" style="95" customWidth="1"/>
    <col min="519" max="519" width="2.5" style="95" customWidth="1"/>
    <col min="520" max="521" width="7.6640625" style="95" customWidth="1"/>
    <col min="522" max="522" width="1.6640625" style="95" customWidth="1"/>
    <col min="523" max="524" width="7.6640625" style="95" customWidth="1"/>
    <col min="525" max="525" width="2.1640625" style="95" customWidth="1"/>
    <col min="526" max="526" width="7.6640625" style="95" customWidth="1"/>
    <col min="527" max="527" width="7.83203125" style="95" customWidth="1"/>
    <col min="528" max="528" width="2.5" style="95" customWidth="1"/>
    <col min="529" max="529" width="8.1640625" style="95" customWidth="1"/>
    <col min="530" max="530" width="8.6640625" style="95" customWidth="1"/>
    <col min="531" max="531" width="2.5" style="95" customWidth="1"/>
    <col min="532" max="768" width="9.1640625" style="95"/>
    <col min="769" max="769" width="16.1640625" style="95" customWidth="1"/>
    <col min="770" max="770" width="7.6640625" style="95" customWidth="1"/>
    <col min="771" max="771" width="9" style="95" customWidth="1"/>
    <col min="772" max="772" width="2.1640625" style="95" customWidth="1"/>
    <col min="773" max="774" width="7.6640625" style="95" customWidth="1"/>
    <col min="775" max="775" width="2.5" style="95" customWidth="1"/>
    <col min="776" max="777" width="7.6640625" style="95" customWidth="1"/>
    <col min="778" max="778" width="1.6640625" style="95" customWidth="1"/>
    <col min="779" max="780" width="7.6640625" style="95" customWidth="1"/>
    <col min="781" max="781" width="2.1640625" style="95" customWidth="1"/>
    <col min="782" max="782" width="7.6640625" style="95" customWidth="1"/>
    <col min="783" max="783" width="7.83203125" style="95" customWidth="1"/>
    <col min="784" max="784" width="2.5" style="95" customWidth="1"/>
    <col min="785" max="785" width="8.1640625" style="95" customWidth="1"/>
    <col min="786" max="786" width="8.6640625" style="95" customWidth="1"/>
    <col min="787" max="787" width="2.5" style="95" customWidth="1"/>
    <col min="788" max="1024" width="9.1640625" style="95"/>
    <col min="1025" max="1025" width="16.1640625" style="95" customWidth="1"/>
    <col min="1026" max="1026" width="7.6640625" style="95" customWidth="1"/>
    <col min="1027" max="1027" width="9" style="95" customWidth="1"/>
    <col min="1028" max="1028" width="2.1640625" style="95" customWidth="1"/>
    <col min="1029" max="1030" width="7.6640625" style="95" customWidth="1"/>
    <col min="1031" max="1031" width="2.5" style="95" customWidth="1"/>
    <col min="1032" max="1033" width="7.6640625" style="95" customWidth="1"/>
    <col min="1034" max="1034" width="1.6640625" style="95" customWidth="1"/>
    <col min="1035" max="1036" width="7.6640625" style="95" customWidth="1"/>
    <col min="1037" max="1037" width="2.1640625" style="95" customWidth="1"/>
    <col min="1038" max="1038" width="7.6640625" style="95" customWidth="1"/>
    <col min="1039" max="1039" width="7.83203125" style="95" customWidth="1"/>
    <col min="1040" max="1040" width="2.5" style="95" customWidth="1"/>
    <col min="1041" max="1041" width="8.1640625" style="95" customWidth="1"/>
    <col min="1042" max="1042" width="8.6640625" style="95" customWidth="1"/>
    <col min="1043" max="1043" width="2.5" style="95" customWidth="1"/>
    <col min="1044" max="1280" width="9.1640625" style="95"/>
    <col min="1281" max="1281" width="16.1640625" style="95" customWidth="1"/>
    <col min="1282" max="1282" width="7.6640625" style="95" customWidth="1"/>
    <col min="1283" max="1283" width="9" style="95" customWidth="1"/>
    <col min="1284" max="1284" width="2.1640625" style="95" customWidth="1"/>
    <col min="1285" max="1286" width="7.6640625" style="95" customWidth="1"/>
    <col min="1287" max="1287" width="2.5" style="95" customWidth="1"/>
    <col min="1288" max="1289" width="7.6640625" style="95" customWidth="1"/>
    <col min="1290" max="1290" width="1.6640625" style="95" customWidth="1"/>
    <col min="1291" max="1292" width="7.6640625" style="95" customWidth="1"/>
    <col min="1293" max="1293" width="2.1640625" style="95" customWidth="1"/>
    <col min="1294" max="1294" width="7.6640625" style="95" customWidth="1"/>
    <col min="1295" max="1295" width="7.83203125" style="95" customWidth="1"/>
    <col min="1296" max="1296" width="2.5" style="95" customWidth="1"/>
    <col min="1297" max="1297" width="8.1640625" style="95" customWidth="1"/>
    <col min="1298" max="1298" width="8.6640625" style="95" customWidth="1"/>
    <col min="1299" max="1299" width="2.5" style="95" customWidth="1"/>
    <col min="1300" max="1536" width="9.1640625" style="95"/>
    <col min="1537" max="1537" width="16.1640625" style="95" customWidth="1"/>
    <col min="1538" max="1538" width="7.6640625" style="95" customWidth="1"/>
    <col min="1539" max="1539" width="9" style="95" customWidth="1"/>
    <col min="1540" max="1540" width="2.1640625" style="95" customWidth="1"/>
    <col min="1541" max="1542" width="7.6640625" style="95" customWidth="1"/>
    <col min="1543" max="1543" width="2.5" style="95" customWidth="1"/>
    <col min="1544" max="1545" width="7.6640625" style="95" customWidth="1"/>
    <col min="1546" max="1546" width="1.6640625" style="95" customWidth="1"/>
    <col min="1547" max="1548" width="7.6640625" style="95" customWidth="1"/>
    <col min="1549" max="1549" width="2.1640625" style="95" customWidth="1"/>
    <col min="1550" max="1550" width="7.6640625" style="95" customWidth="1"/>
    <col min="1551" max="1551" width="7.83203125" style="95" customWidth="1"/>
    <col min="1552" max="1552" width="2.5" style="95" customWidth="1"/>
    <col min="1553" max="1553" width="8.1640625" style="95" customWidth="1"/>
    <col min="1554" max="1554" width="8.6640625" style="95" customWidth="1"/>
    <col min="1555" max="1555" width="2.5" style="95" customWidth="1"/>
    <col min="1556" max="1792" width="9.1640625" style="95"/>
    <col min="1793" max="1793" width="16.1640625" style="95" customWidth="1"/>
    <col min="1794" max="1794" width="7.6640625" style="95" customWidth="1"/>
    <col min="1795" max="1795" width="9" style="95" customWidth="1"/>
    <col min="1796" max="1796" width="2.1640625" style="95" customWidth="1"/>
    <col min="1797" max="1798" width="7.6640625" style="95" customWidth="1"/>
    <col min="1799" max="1799" width="2.5" style="95" customWidth="1"/>
    <col min="1800" max="1801" width="7.6640625" style="95" customWidth="1"/>
    <col min="1802" max="1802" width="1.6640625" style="95" customWidth="1"/>
    <col min="1803" max="1804" width="7.6640625" style="95" customWidth="1"/>
    <col min="1805" max="1805" width="2.1640625" style="95" customWidth="1"/>
    <col min="1806" max="1806" width="7.6640625" style="95" customWidth="1"/>
    <col min="1807" max="1807" width="7.83203125" style="95" customWidth="1"/>
    <col min="1808" max="1808" width="2.5" style="95" customWidth="1"/>
    <col min="1809" max="1809" width="8.1640625" style="95" customWidth="1"/>
    <col min="1810" max="1810" width="8.6640625" style="95" customWidth="1"/>
    <col min="1811" max="1811" width="2.5" style="95" customWidth="1"/>
    <col min="1812" max="2048" width="9.1640625" style="95"/>
    <col min="2049" max="2049" width="16.1640625" style="95" customWidth="1"/>
    <col min="2050" max="2050" width="7.6640625" style="95" customWidth="1"/>
    <col min="2051" max="2051" width="9" style="95" customWidth="1"/>
    <col min="2052" max="2052" width="2.1640625" style="95" customWidth="1"/>
    <col min="2053" max="2054" width="7.6640625" style="95" customWidth="1"/>
    <col min="2055" max="2055" width="2.5" style="95" customWidth="1"/>
    <col min="2056" max="2057" width="7.6640625" style="95" customWidth="1"/>
    <col min="2058" max="2058" width="1.6640625" style="95" customWidth="1"/>
    <col min="2059" max="2060" width="7.6640625" style="95" customWidth="1"/>
    <col min="2061" max="2061" width="2.1640625" style="95" customWidth="1"/>
    <col min="2062" max="2062" width="7.6640625" style="95" customWidth="1"/>
    <col min="2063" max="2063" width="7.83203125" style="95" customWidth="1"/>
    <col min="2064" max="2064" width="2.5" style="95" customWidth="1"/>
    <col min="2065" max="2065" width="8.1640625" style="95" customWidth="1"/>
    <col min="2066" max="2066" width="8.6640625" style="95" customWidth="1"/>
    <col min="2067" max="2067" width="2.5" style="95" customWidth="1"/>
    <col min="2068" max="2304" width="9.1640625" style="95"/>
    <col min="2305" max="2305" width="16.1640625" style="95" customWidth="1"/>
    <col min="2306" max="2306" width="7.6640625" style="95" customWidth="1"/>
    <col min="2307" max="2307" width="9" style="95" customWidth="1"/>
    <col min="2308" max="2308" width="2.1640625" style="95" customWidth="1"/>
    <col min="2309" max="2310" width="7.6640625" style="95" customWidth="1"/>
    <col min="2311" max="2311" width="2.5" style="95" customWidth="1"/>
    <col min="2312" max="2313" width="7.6640625" style="95" customWidth="1"/>
    <col min="2314" max="2314" width="1.6640625" style="95" customWidth="1"/>
    <col min="2315" max="2316" width="7.6640625" style="95" customWidth="1"/>
    <col min="2317" max="2317" width="2.1640625" style="95" customWidth="1"/>
    <col min="2318" max="2318" width="7.6640625" style="95" customWidth="1"/>
    <col min="2319" max="2319" width="7.83203125" style="95" customWidth="1"/>
    <col min="2320" max="2320" width="2.5" style="95" customWidth="1"/>
    <col min="2321" max="2321" width="8.1640625" style="95" customWidth="1"/>
    <col min="2322" max="2322" width="8.6640625" style="95" customWidth="1"/>
    <col min="2323" max="2323" width="2.5" style="95" customWidth="1"/>
    <col min="2324" max="2560" width="9.1640625" style="95"/>
    <col min="2561" max="2561" width="16.1640625" style="95" customWidth="1"/>
    <col min="2562" max="2562" width="7.6640625" style="95" customWidth="1"/>
    <col min="2563" max="2563" width="9" style="95" customWidth="1"/>
    <col min="2564" max="2564" width="2.1640625" style="95" customWidth="1"/>
    <col min="2565" max="2566" width="7.6640625" style="95" customWidth="1"/>
    <col min="2567" max="2567" width="2.5" style="95" customWidth="1"/>
    <col min="2568" max="2569" width="7.6640625" style="95" customWidth="1"/>
    <col min="2570" max="2570" width="1.6640625" style="95" customWidth="1"/>
    <col min="2571" max="2572" width="7.6640625" style="95" customWidth="1"/>
    <col min="2573" max="2573" width="2.1640625" style="95" customWidth="1"/>
    <col min="2574" max="2574" width="7.6640625" style="95" customWidth="1"/>
    <col min="2575" max="2575" width="7.83203125" style="95" customWidth="1"/>
    <col min="2576" max="2576" width="2.5" style="95" customWidth="1"/>
    <col min="2577" max="2577" width="8.1640625" style="95" customWidth="1"/>
    <col min="2578" max="2578" width="8.6640625" style="95" customWidth="1"/>
    <col min="2579" max="2579" width="2.5" style="95" customWidth="1"/>
    <col min="2580" max="2816" width="9.1640625" style="95"/>
    <col min="2817" max="2817" width="16.1640625" style="95" customWidth="1"/>
    <col min="2818" max="2818" width="7.6640625" style="95" customWidth="1"/>
    <col min="2819" max="2819" width="9" style="95" customWidth="1"/>
    <col min="2820" max="2820" width="2.1640625" style="95" customWidth="1"/>
    <col min="2821" max="2822" width="7.6640625" style="95" customWidth="1"/>
    <col min="2823" max="2823" width="2.5" style="95" customWidth="1"/>
    <col min="2824" max="2825" width="7.6640625" style="95" customWidth="1"/>
    <col min="2826" max="2826" width="1.6640625" style="95" customWidth="1"/>
    <col min="2827" max="2828" width="7.6640625" style="95" customWidth="1"/>
    <col min="2829" max="2829" width="2.1640625" style="95" customWidth="1"/>
    <col min="2830" max="2830" width="7.6640625" style="95" customWidth="1"/>
    <col min="2831" max="2831" width="7.83203125" style="95" customWidth="1"/>
    <col min="2832" max="2832" width="2.5" style="95" customWidth="1"/>
    <col min="2833" max="2833" width="8.1640625" style="95" customWidth="1"/>
    <col min="2834" max="2834" width="8.6640625" style="95" customWidth="1"/>
    <col min="2835" max="2835" width="2.5" style="95" customWidth="1"/>
    <col min="2836" max="3072" width="9.1640625" style="95"/>
    <col min="3073" max="3073" width="16.1640625" style="95" customWidth="1"/>
    <col min="3074" max="3074" width="7.6640625" style="95" customWidth="1"/>
    <col min="3075" max="3075" width="9" style="95" customWidth="1"/>
    <col min="3076" max="3076" width="2.1640625" style="95" customWidth="1"/>
    <col min="3077" max="3078" width="7.6640625" style="95" customWidth="1"/>
    <col min="3079" max="3079" width="2.5" style="95" customWidth="1"/>
    <col min="3080" max="3081" width="7.6640625" style="95" customWidth="1"/>
    <col min="3082" max="3082" width="1.6640625" style="95" customWidth="1"/>
    <col min="3083" max="3084" width="7.6640625" style="95" customWidth="1"/>
    <col min="3085" max="3085" width="2.1640625" style="95" customWidth="1"/>
    <col min="3086" max="3086" width="7.6640625" style="95" customWidth="1"/>
    <col min="3087" max="3087" width="7.83203125" style="95" customWidth="1"/>
    <col min="3088" max="3088" width="2.5" style="95" customWidth="1"/>
    <col min="3089" max="3089" width="8.1640625" style="95" customWidth="1"/>
    <col min="3090" max="3090" width="8.6640625" style="95" customWidth="1"/>
    <col min="3091" max="3091" width="2.5" style="95" customWidth="1"/>
    <col min="3092" max="3328" width="9.1640625" style="95"/>
    <col min="3329" max="3329" width="16.1640625" style="95" customWidth="1"/>
    <col min="3330" max="3330" width="7.6640625" style="95" customWidth="1"/>
    <col min="3331" max="3331" width="9" style="95" customWidth="1"/>
    <col min="3332" max="3332" width="2.1640625" style="95" customWidth="1"/>
    <col min="3333" max="3334" width="7.6640625" style="95" customWidth="1"/>
    <col min="3335" max="3335" width="2.5" style="95" customWidth="1"/>
    <col min="3336" max="3337" width="7.6640625" style="95" customWidth="1"/>
    <col min="3338" max="3338" width="1.6640625" style="95" customWidth="1"/>
    <col min="3339" max="3340" width="7.6640625" style="95" customWidth="1"/>
    <col min="3341" max="3341" width="2.1640625" style="95" customWidth="1"/>
    <col min="3342" max="3342" width="7.6640625" style="95" customWidth="1"/>
    <col min="3343" max="3343" width="7.83203125" style="95" customWidth="1"/>
    <col min="3344" max="3344" width="2.5" style="95" customWidth="1"/>
    <col min="3345" max="3345" width="8.1640625" style="95" customWidth="1"/>
    <col min="3346" max="3346" width="8.6640625" style="95" customWidth="1"/>
    <col min="3347" max="3347" width="2.5" style="95" customWidth="1"/>
    <col min="3348" max="3584" width="9.1640625" style="95"/>
    <col min="3585" max="3585" width="16.1640625" style="95" customWidth="1"/>
    <col min="3586" max="3586" width="7.6640625" style="95" customWidth="1"/>
    <col min="3587" max="3587" width="9" style="95" customWidth="1"/>
    <col min="3588" max="3588" width="2.1640625" style="95" customWidth="1"/>
    <col min="3589" max="3590" width="7.6640625" style="95" customWidth="1"/>
    <col min="3591" max="3591" width="2.5" style="95" customWidth="1"/>
    <col min="3592" max="3593" width="7.6640625" style="95" customWidth="1"/>
    <col min="3594" max="3594" width="1.6640625" style="95" customWidth="1"/>
    <col min="3595" max="3596" width="7.6640625" style="95" customWidth="1"/>
    <col min="3597" max="3597" width="2.1640625" style="95" customWidth="1"/>
    <col min="3598" max="3598" width="7.6640625" style="95" customWidth="1"/>
    <col min="3599" max="3599" width="7.83203125" style="95" customWidth="1"/>
    <col min="3600" max="3600" width="2.5" style="95" customWidth="1"/>
    <col min="3601" max="3601" width="8.1640625" style="95" customWidth="1"/>
    <col min="3602" max="3602" width="8.6640625" style="95" customWidth="1"/>
    <col min="3603" max="3603" width="2.5" style="95" customWidth="1"/>
    <col min="3604" max="3840" width="9.1640625" style="95"/>
    <col min="3841" max="3841" width="16.1640625" style="95" customWidth="1"/>
    <col min="3842" max="3842" width="7.6640625" style="95" customWidth="1"/>
    <col min="3843" max="3843" width="9" style="95" customWidth="1"/>
    <col min="3844" max="3844" width="2.1640625" style="95" customWidth="1"/>
    <col min="3845" max="3846" width="7.6640625" style="95" customWidth="1"/>
    <col min="3847" max="3847" width="2.5" style="95" customWidth="1"/>
    <col min="3848" max="3849" width="7.6640625" style="95" customWidth="1"/>
    <col min="3850" max="3850" width="1.6640625" style="95" customWidth="1"/>
    <col min="3851" max="3852" width="7.6640625" style="95" customWidth="1"/>
    <col min="3853" max="3853" width="2.1640625" style="95" customWidth="1"/>
    <col min="3854" max="3854" width="7.6640625" style="95" customWidth="1"/>
    <col min="3855" max="3855" width="7.83203125" style="95" customWidth="1"/>
    <col min="3856" max="3856" width="2.5" style="95" customWidth="1"/>
    <col min="3857" max="3857" width="8.1640625" style="95" customWidth="1"/>
    <col min="3858" max="3858" width="8.6640625" style="95" customWidth="1"/>
    <col min="3859" max="3859" width="2.5" style="95" customWidth="1"/>
    <col min="3860" max="4096" width="9.1640625" style="95"/>
    <col min="4097" max="4097" width="16.1640625" style="95" customWidth="1"/>
    <col min="4098" max="4098" width="7.6640625" style="95" customWidth="1"/>
    <col min="4099" max="4099" width="9" style="95" customWidth="1"/>
    <col min="4100" max="4100" width="2.1640625" style="95" customWidth="1"/>
    <col min="4101" max="4102" width="7.6640625" style="95" customWidth="1"/>
    <col min="4103" max="4103" width="2.5" style="95" customWidth="1"/>
    <col min="4104" max="4105" width="7.6640625" style="95" customWidth="1"/>
    <col min="4106" max="4106" width="1.6640625" style="95" customWidth="1"/>
    <col min="4107" max="4108" width="7.6640625" style="95" customWidth="1"/>
    <col min="4109" max="4109" width="2.1640625" style="95" customWidth="1"/>
    <col min="4110" max="4110" width="7.6640625" style="95" customWidth="1"/>
    <col min="4111" max="4111" width="7.83203125" style="95" customWidth="1"/>
    <col min="4112" max="4112" width="2.5" style="95" customWidth="1"/>
    <col min="4113" max="4113" width="8.1640625" style="95" customWidth="1"/>
    <col min="4114" max="4114" width="8.6640625" style="95" customWidth="1"/>
    <col min="4115" max="4115" width="2.5" style="95" customWidth="1"/>
    <col min="4116" max="4352" width="9.1640625" style="95"/>
    <col min="4353" max="4353" width="16.1640625" style="95" customWidth="1"/>
    <col min="4354" max="4354" width="7.6640625" style="95" customWidth="1"/>
    <col min="4355" max="4355" width="9" style="95" customWidth="1"/>
    <col min="4356" max="4356" width="2.1640625" style="95" customWidth="1"/>
    <col min="4357" max="4358" width="7.6640625" style="95" customWidth="1"/>
    <col min="4359" max="4359" width="2.5" style="95" customWidth="1"/>
    <col min="4360" max="4361" width="7.6640625" style="95" customWidth="1"/>
    <col min="4362" max="4362" width="1.6640625" style="95" customWidth="1"/>
    <col min="4363" max="4364" width="7.6640625" style="95" customWidth="1"/>
    <col min="4365" max="4365" width="2.1640625" style="95" customWidth="1"/>
    <col min="4366" max="4366" width="7.6640625" style="95" customWidth="1"/>
    <col min="4367" max="4367" width="7.83203125" style="95" customWidth="1"/>
    <col min="4368" max="4368" width="2.5" style="95" customWidth="1"/>
    <col min="4369" max="4369" width="8.1640625" style="95" customWidth="1"/>
    <col min="4370" max="4370" width="8.6640625" style="95" customWidth="1"/>
    <col min="4371" max="4371" width="2.5" style="95" customWidth="1"/>
    <col min="4372" max="4608" width="9.1640625" style="95"/>
    <col min="4609" max="4609" width="16.1640625" style="95" customWidth="1"/>
    <col min="4610" max="4610" width="7.6640625" style="95" customWidth="1"/>
    <col min="4611" max="4611" width="9" style="95" customWidth="1"/>
    <col min="4612" max="4612" width="2.1640625" style="95" customWidth="1"/>
    <col min="4613" max="4614" width="7.6640625" style="95" customWidth="1"/>
    <col min="4615" max="4615" width="2.5" style="95" customWidth="1"/>
    <col min="4616" max="4617" width="7.6640625" style="95" customWidth="1"/>
    <col min="4618" max="4618" width="1.6640625" style="95" customWidth="1"/>
    <col min="4619" max="4620" width="7.6640625" style="95" customWidth="1"/>
    <col min="4621" max="4621" width="2.1640625" style="95" customWidth="1"/>
    <col min="4622" max="4622" width="7.6640625" style="95" customWidth="1"/>
    <col min="4623" max="4623" width="7.83203125" style="95" customWidth="1"/>
    <col min="4624" max="4624" width="2.5" style="95" customWidth="1"/>
    <col min="4625" max="4625" width="8.1640625" style="95" customWidth="1"/>
    <col min="4626" max="4626" width="8.6640625" style="95" customWidth="1"/>
    <col min="4627" max="4627" width="2.5" style="95" customWidth="1"/>
    <col min="4628" max="4864" width="9.1640625" style="95"/>
    <col min="4865" max="4865" width="16.1640625" style="95" customWidth="1"/>
    <col min="4866" max="4866" width="7.6640625" style="95" customWidth="1"/>
    <col min="4867" max="4867" width="9" style="95" customWidth="1"/>
    <col min="4868" max="4868" width="2.1640625" style="95" customWidth="1"/>
    <col min="4869" max="4870" width="7.6640625" style="95" customWidth="1"/>
    <col min="4871" max="4871" width="2.5" style="95" customWidth="1"/>
    <col min="4872" max="4873" width="7.6640625" style="95" customWidth="1"/>
    <col min="4874" max="4874" width="1.6640625" style="95" customWidth="1"/>
    <col min="4875" max="4876" width="7.6640625" style="95" customWidth="1"/>
    <col min="4877" max="4877" width="2.1640625" style="95" customWidth="1"/>
    <col min="4878" max="4878" width="7.6640625" style="95" customWidth="1"/>
    <col min="4879" max="4879" width="7.83203125" style="95" customWidth="1"/>
    <col min="4880" max="4880" width="2.5" style="95" customWidth="1"/>
    <col min="4881" max="4881" width="8.1640625" style="95" customWidth="1"/>
    <col min="4882" max="4882" width="8.6640625" style="95" customWidth="1"/>
    <col min="4883" max="4883" width="2.5" style="95" customWidth="1"/>
    <col min="4884" max="5120" width="9.1640625" style="95"/>
    <col min="5121" max="5121" width="16.1640625" style="95" customWidth="1"/>
    <col min="5122" max="5122" width="7.6640625" style="95" customWidth="1"/>
    <col min="5123" max="5123" width="9" style="95" customWidth="1"/>
    <col min="5124" max="5124" width="2.1640625" style="95" customWidth="1"/>
    <col min="5125" max="5126" width="7.6640625" style="95" customWidth="1"/>
    <col min="5127" max="5127" width="2.5" style="95" customWidth="1"/>
    <col min="5128" max="5129" width="7.6640625" style="95" customWidth="1"/>
    <col min="5130" max="5130" width="1.6640625" style="95" customWidth="1"/>
    <col min="5131" max="5132" width="7.6640625" style="95" customWidth="1"/>
    <col min="5133" max="5133" width="2.1640625" style="95" customWidth="1"/>
    <col min="5134" max="5134" width="7.6640625" style="95" customWidth="1"/>
    <col min="5135" max="5135" width="7.83203125" style="95" customWidth="1"/>
    <col min="5136" max="5136" width="2.5" style="95" customWidth="1"/>
    <col min="5137" max="5137" width="8.1640625" style="95" customWidth="1"/>
    <col min="5138" max="5138" width="8.6640625" style="95" customWidth="1"/>
    <col min="5139" max="5139" width="2.5" style="95" customWidth="1"/>
    <col min="5140" max="5376" width="9.1640625" style="95"/>
    <col min="5377" max="5377" width="16.1640625" style="95" customWidth="1"/>
    <col min="5378" max="5378" width="7.6640625" style="95" customWidth="1"/>
    <col min="5379" max="5379" width="9" style="95" customWidth="1"/>
    <col min="5380" max="5380" width="2.1640625" style="95" customWidth="1"/>
    <col min="5381" max="5382" width="7.6640625" style="95" customWidth="1"/>
    <col min="5383" max="5383" width="2.5" style="95" customWidth="1"/>
    <col min="5384" max="5385" width="7.6640625" style="95" customWidth="1"/>
    <col min="5386" max="5386" width="1.6640625" style="95" customWidth="1"/>
    <col min="5387" max="5388" width="7.6640625" style="95" customWidth="1"/>
    <col min="5389" max="5389" width="2.1640625" style="95" customWidth="1"/>
    <col min="5390" max="5390" width="7.6640625" style="95" customWidth="1"/>
    <col min="5391" max="5391" width="7.83203125" style="95" customWidth="1"/>
    <col min="5392" max="5392" width="2.5" style="95" customWidth="1"/>
    <col min="5393" max="5393" width="8.1640625" style="95" customWidth="1"/>
    <col min="5394" max="5394" width="8.6640625" style="95" customWidth="1"/>
    <col min="5395" max="5395" width="2.5" style="95" customWidth="1"/>
    <col min="5396" max="5632" width="9.1640625" style="95"/>
    <col min="5633" max="5633" width="16.1640625" style="95" customWidth="1"/>
    <col min="5634" max="5634" width="7.6640625" style="95" customWidth="1"/>
    <col min="5635" max="5635" width="9" style="95" customWidth="1"/>
    <col min="5636" max="5636" width="2.1640625" style="95" customWidth="1"/>
    <col min="5637" max="5638" width="7.6640625" style="95" customWidth="1"/>
    <col min="5639" max="5639" width="2.5" style="95" customWidth="1"/>
    <col min="5640" max="5641" width="7.6640625" style="95" customWidth="1"/>
    <col min="5642" max="5642" width="1.6640625" style="95" customWidth="1"/>
    <col min="5643" max="5644" width="7.6640625" style="95" customWidth="1"/>
    <col min="5645" max="5645" width="2.1640625" style="95" customWidth="1"/>
    <col min="5646" max="5646" width="7.6640625" style="95" customWidth="1"/>
    <col min="5647" max="5647" width="7.83203125" style="95" customWidth="1"/>
    <col min="5648" max="5648" width="2.5" style="95" customWidth="1"/>
    <col min="5649" max="5649" width="8.1640625" style="95" customWidth="1"/>
    <col min="5650" max="5650" width="8.6640625" style="95" customWidth="1"/>
    <col min="5651" max="5651" width="2.5" style="95" customWidth="1"/>
    <col min="5652" max="5888" width="9.1640625" style="95"/>
    <col min="5889" max="5889" width="16.1640625" style="95" customWidth="1"/>
    <col min="5890" max="5890" width="7.6640625" style="95" customWidth="1"/>
    <col min="5891" max="5891" width="9" style="95" customWidth="1"/>
    <col min="5892" max="5892" width="2.1640625" style="95" customWidth="1"/>
    <col min="5893" max="5894" width="7.6640625" style="95" customWidth="1"/>
    <col min="5895" max="5895" width="2.5" style="95" customWidth="1"/>
    <col min="5896" max="5897" width="7.6640625" style="95" customWidth="1"/>
    <col min="5898" max="5898" width="1.6640625" style="95" customWidth="1"/>
    <col min="5899" max="5900" width="7.6640625" style="95" customWidth="1"/>
    <col min="5901" max="5901" width="2.1640625" style="95" customWidth="1"/>
    <col min="5902" max="5902" width="7.6640625" style="95" customWidth="1"/>
    <col min="5903" max="5903" width="7.83203125" style="95" customWidth="1"/>
    <col min="5904" max="5904" width="2.5" style="95" customWidth="1"/>
    <col min="5905" max="5905" width="8.1640625" style="95" customWidth="1"/>
    <col min="5906" max="5906" width="8.6640625" style="95" customWidth="1"/>
    <col min="5907" max="5907" width="2.5" style="95" customWidth="1"/>
    <col min="5908" max="6144" width="9.1640625" style="95"/>
    <col min="6145" max="6145" width="16.1640625" style="95" customWidth="1"/>
    <col min="6146" max="6146" width="7.6640625" style="95" customWidth="1"/>
    <col min="6147" max="6147" width="9" style="95" customWidth="1"/>
    <col min="6148" max="6148" width="2.1640625" style="95" customWidth="1"/>
    <col min="6149" max="6150" width="7.6640625" style="95" customWidth="1"/>
    <col min="6151" max="6151" width="2.5" style="95" customWidth="1"/>
    <col min="6152" max="6153" width="7.6640625" style="95" customWidth="1"/>
    <col min="6154" max="6154" width="1.6640625" style="95" customWidth="1"/>
    <col min="6155" max="6156" width="7.6640625" style="95" customWidth="1"/>
    <col min="6157" max="6157" width="2.1640625" style="95" customWidth="1"/>
    <col min="6158" max="6158" width="7.6640625" style="95" customWidth="1"/>
    <col min="6159" max="6159" width="7.83203125" style="95" customWidth="1"/>
    <col min="6160" max="6160" width="2.5" style="95" customWidth="1"/>
    <col min="6161" max="6161" width="8.1640625" style="95" customWidth="1"/>
    <col min="6162" max="6162" width="8.6640625" style="95" customWidth="1"/>
    <col min="6163" max="6163" width="2.5" style="95" customWidth="1"/>
    <col min="6164" max="6400" width="9.1640625" style="95"/>
    <col min="6401" max="6401" width="16.1640625" style="95" customWidth="1"/>
    <col min="6402" max="6402" width="7.6640625" style="95" customWidth="1"/>
    <col min="6403" max="6403" width="9" style="95" customWidth="1"/>
    <col min="6404" max="6404" width="2.1640625" style="95" customWidth="1"/>
    <col min="6405" max="6406" width="7.6640625" style="95" customWidth="1"/>
    <col min="6407" max="6407" width="2.5" style="95" customWidth="1"/>
    <col min="6408" max="6409" width="7.6640625" style="95" customWidth="1"/>
    <col min="6410" max="6410" width="1.6640625" style="95" customWidth="1"/>
    <col min="6411" max="6412" width="7.6640625" style="95" customWidth="1"/>
    <col min="6413" max="6413" width="2.1640625" style="95" customWidth="1"/>
    <col min="6414" max="6414" width="7.6640625" style="95" customWidth="1"/>
    <col min="6415" max="6415" width="7.83203125" style="95" customWidth="1"/>
    <col min="6416" max="6416" width="2.5" style="95" customWidth="1"/>
    <col min="6417" max="6417" width="8.1640625" style="95" customWidth="1"/>
    <col min="6418" max="6418" width="8.6640625" style="95" customWidth="1"/>
    <col min="6419" max="6419" width="2.5" style="95" customWidth="1"/>
    <col min="6420" max="6656" width="9.1640625" style="95"/>
    <col min="6657" max="6657" width="16.1640625" style="95" customWidth="1"/>
    <col min="6658" max="6658" width="7.6640625" style="95" customWidth="1"/>
    <col min="6659" max="6659" width="9" style="95" customWidth="1"/>
    <col min="6660" max="6660" width="2.1640625" style="95" customWidth="1"/>
    <col min="6661" max="6662" width="7.6640625" style="95" customWidth="1"/>
    <col min="6663" max="6663" width="2.5" style="95" customWidth="1"/>
    <col min="6664" max="6665" width="7.6640625" style="95" customWidth="1"/>
    <col min="6666" max="6666" width="1.6640625" style="95" customWidth="1"/>
    <col min="6667" max="6668" width="7.6640625" style="95" customWidth="1"/>
    <col min="6669" max="6669" width="2.1640625" style="95" customWidth="1"/>
    <col min="6670" max="6670" width="7.6640625" style="95" customWidth="1"/>
    <col min="6671" max="6671" width="7.83203125" style="95" customWidth="1"/>
    <col min="6672" max="6672" width="2.5" style="95" customWidth="1"/>
    <col min="6673" max="6673" width="8.1640625" style="95" customWidth="1"/>
    <col min="6674" max="6674" width="8.6640625" style="95" customWidth="1"/>
    <col min="6675" max="6675" width="2.5" style="95" customWidth="1"/>
    <col min="6676" max="6912" width="9.1640625" style="95"/>
    <col min="6913" max="6913" width="16.1640625" style="95" customWidth="1"/>
    <col min="6914" max="6914" width="7.6640625" style="95" customWidth="1"/>
    <col min="6915" max="6915" width="9" style="95" customWidth="1"/>
    <col min="6916" max="6916" width="2.1640625" style="95" customWidth="1"/>
    <col min="6917" max="6918" width="7.6640625" style="95" customWidth="1"/>
    <col min="6919" max="6919" width="2.5" style="95" customWidth="1"/>
    <col min="6920" max="6921" width="7.6640625" style="95" customWidth="1"/>
    <col min="6922" max="6922" width="1.6640625" style="95" customWidth="1"/>
    <col min="6923" max="6924" width="7.6640625" style="95" customWidth="1"/>
    <col min="6925" max="6925" width="2.1640625" style="95" customWidth="1"/>
    <col min="6926" max="6926" width="7.6640625" style="95" customWidth="1"/>
    <col min="6927" max="6927" width="7.83203125" style="95" customWidth="1"/>
    <col min="6928" max="6928" width="2.5" style="95" customWidth="1"/>
    <col min="6929" max="6929" width="8.1640625" style="95" customWidth="1"/>
    <col min="6930" max="6930" width="8.6640625" style="95" customWidth="1"/>
    <col min="6931" max="6931" width="2.5" style="95" customWidth="1"/>
    <col min="6932" max="7168" width="9.1640625" style="95"/>
    <col min="7169" max="7169" width="16.1640625" style="95" customWidth="1"/>
    <col min="7170" max="7170" width="7.6640625" style="95" customWidth="1"/>
    <col min="7171" max="7171" width="9" style="95" customWidth="1"/>
    <col min="7172" max="7172" width="2.1640625" style="95" customWidth="1"/>
    <col min="7173" max="7174" width="7.6640625" style="95" customWidth="1"/>
    <col min="7175" max="7175" width="2.5" style="95" customWidth="1"/>
    <col min="7176" max="7177" width="7.6640625" style="95" customWidth="1"/>
    <col min="7178" max="7178" width="1.6640625" style="95" customWidth="1"/>
    <col min="7179" max="7180" width="7.6640625" style="95" customWidth="1"/>
    <col min="7181" max="7181" width="2.1640625" style="95" customWidth="1"/>
    <col min="7182" max="7182" width="7.6640625" style="95" customWidth="1"/>
    <col min="7183" max="7183" width="7.83203125" style="95" customWidth="1"/>
    <col min="7184" max="7184" width="2.5" style="95" customWidth="1"/>
    <col min="7185" max="7185" width="8.1640625" style="95" customWidth="1"/>
    <col min="7186" max="7186" width="8.6640625" style="95" customWidth="1"/>
    <col min="7187" max="7187" width="2.5" style="95" customWidth="1"/>
    <col min="7188" max="7424" width="9.1640625" style="95"/>
    <col min="7425" max="7425" width="16.1640625" style="95" customWidth="1"/>
    <col min="7426" max="7426" width="7.6640625" style="95" customWidth="1"/>
    <col min="7427" max="7427" width="9" style="95" customWidth="1"/>
    <col min="7428" max="7428" width="2.1640625" style="95" customWidth="1"/>
    <col min="7429" max="7430" width="7.6640625" style="95" customWidth="1"/>
    <col min="7431" max="7431" width="2.5" style="95" customWidth="1"/>
    <col min="7432" max="7433" width="7.6640625" style="95" customWidth="1"/>
    <col min="7434" max="7434" width="1.6640625" style="95" customWidth="1"/>
    <col min="7435" max="7436" width="7.6640625" style="95" customWidth="1"/>
    <col min="7437" max="7437" width="2.1640625" style="95" customWidth="1"/>
    <col min="7438" max="7438" width="7.6640625" style="95" customWidth="1"/>
    <col min="7439" max="7439" width="7.83203125" style="95" customWidth="1"/>
    <col min="7440" max="7440" width="2.5" style="95" customWidth="1"/>
    <col min="7441" max="7441" width="8.1640625" style="95" customWidth="1"/>
    <col min="7442" max="7442" width="8.6640625" style="95" customWidth="1"/>
    <col min="7443" max="7443" width="2.5" style="95" customWidth="1"/>
    <col min="7444" max="7680" width="9.1640625" style="95"/>
    <col min="7681" max="7681" width="16.1640625" style="95" customWidth="1"/>
    <col min="7682" max="7682" width="7.6640625" style="95" customWidth="1"/>
    <col min="7683" max="7683" width="9" style="95" customWidth="1"/>
    <col min="7684" max="7684" width="2.1640625" style="95" customWidth="1"/>
    <col min="7685" max="7686" width="7.6640625" style="95" customWidth="1"/>
    <col min="7687" max="7687" width="2.5" style="95" customWidth="1"/>
    <col min="7688" max="7689" width="7.6640625" style="95" customWidth="1"/>
    <col min="7690" max="7690" width="1.6640625" style="95" customWidth="1"/>
    <col min="7691" max="7692" width="7.6640625" style="95" customWidth="1"/>
    <col min="7693" max="7693" width="2.1640625" style="95" customWidth="1"/>
    <col min="7694" max="7694" width="7.6640625" style="95" customWidth="1"/>
    <col min="7695" max="7695" width="7.83203125" style="95" customWidth="1"/>
    <col min="7696" max="7696" width="2.5" style="95" customWidth="1"/>
    <col min="7697" max="7697" width="8.1640625" style="95" customWidth="1"/>
    <col min="7698" max="7698" width="8.6640625" style="95" customWidth="1"/>
    <col min="7699" max="7699" width="2.5" style="95" customWidth="1"/>
    <col min="7700" max="7936" width="9.1640625" style="95"/>
    <col min="7937" max="7937" width="16.1640625" style="95" customWidth="1"/>
    <col min="7938" max="7938" width="7.6640625" style="95" customWidth="1"/>
    <col min="7939" max="7939" width="9" style="95" customWidth="1"/>
    <col min="7940" max="7940" width="2.1640625" style="95" customWidth="1"/>
    <col min="7941" max="7942" width="7.6640625" style="95" customWidth="1"/>
    <col min="7943" max="7943" width="2.5" style="95" customWidth="1"/>
    <col min="7944" max="7945" width="7.6640625" style="95" customWidth="1"/>
    <col min="7946" max="7946" width="1.6640625" style="95" customWidth="1"/>
    <col min="7947" max="7948" width="7.6640625" style="95" customWidth="1"/>
    <col min="7949" max="7949" width="2.1640625" style="95" customWidth="1"/>
    <col min="7950" max="7950" width="7.6640625" style="95" customWidth="1"/>
    <col min="7951" max="7951" width="7.83203125" style="95" customWidth="1"/>
    <col min="7952" max="7952" width="2.5" style="95" customWidth="1"/>
    <col min="7953" max="7953" width="8.1640625" style="95" customWidth="1"/>
    <col min="7954" max="7954" width="8.6640625" style="95" customWidth="1"/>
    <col min="7955" max="7955" width="2.5" style="95" customWidth="1"/>
    <col min="7956" max="8192" width="9.1640625" style="95"/>
    <col min="8193" max="8193" width="16.1640625" style="95" customWidth="1"/>
    <col min="8194" max="8194" width="7.6640625" style="95" customWidth="1"/>
    <col min="8195" max="8195" width="9" style="95" customWidth="1"/>
    <col min="8196" max="8196" width="2.1640625" style="95" customWidth="1"/>
    <col min="8197" max="8198" width="7.6640625" style="95" customWidth="1"/>
    <col min="8199" max="8199" width="2.5" style="95" customWidth="1"/>
    <col min="8200" max="8201" width="7.6640625" style="95" customWidth="1"/>
    <col min="8202" max="8202" width="1.6640625" style="95" customWidth="1"/>
    <col min="8203" max="8204" width="7.6640625" style="95" customWidth="1"/>
    <col min="8205" max="8205" width="2.1640625" style="95" customWidth="1"/>
    <col min="8206" max="8206" width="7.6640625" style="95" customWidth="1"/>
    <col min="8207" max="8207" width="7.83203125" style="95" customWidth="1"/>
    <col min="8208" max="8208" width="2.5" style="95" customWidth="1"/>
    <col min="8209" max="8209" width="8.1640625" style="95" customWidth="1"/>
    <col min="8210" max="8210" width="8.6640625" style="95" customWidth="1"/>
    <col min="8211" max="8211" width="2.5" style="95" customWidth="1"/>
    <col min="8212" max="8448" width="9.1640625" style="95"/>
    <col min="8449" max="8449" width="16.1640625" style="95" customWidth="1"/>
    <col min="8450" max="8450" width="7.6640625" style="95" customWidth="1"/>
    <col min="8451" max="8451" width="9" style="95" customWidth="1"/>
    <col min="8452" max="8452" width="2.1640625" style="95" customWidth="1"/>
    <col min="8453" max="8454" width="7.6640625" style="95" customWidth="1"/>
    <col min="8455" max="8455" width="2.5" style="95" customWidth="1"/>
    <col min="8456" max="8457" width="7.6640625" style="95" customWidth="1"/>
    <col min="8458" max="8458" width="1.6640625" style="95" customWidth="1"/>
    <col min="8459" max="8460" width="7.6640625" style="95" customWidth="1"/>
    <col min="8461" max="8461" width="2.1640625" style="95" customWidth="1"/>
    <col min="8462" max="8462" width="7.6640625" style="95" customWidth="1"/>
    <col min="8463" max="8463" width="7.83203125" style="95" customWidth="1"/>
    <col min="8464" max="8464" width="2.5" style="95" customWidth="1"/>
    <col min="8465" max="8465" width="8.1640625" style="95" customWidth="1"/>
    <col min="8466" max="8466" width="8.6640625" style="95" customWidth="1"/>
    <col min="8467" max="8467" width="2.5" style="95" customWidth="1"/>
    <col min="8468" max="8704" width="9.1640625" style="95"/>
    <col min="8705" max="8705" width="16.1640625" style="95" customWidth="1"/>
    <col min="8706" max="8706" width="7.6640625" style="95" customWidth="1"/>
    <col min="8707" max="8707" width="9" style="95" customWidth="1"/>
    <col min="8708" max="8708" width="2.1640625" style="95" customWidth="1"/>
    <col min="8709" max="8710" width="7.6640625" style="95" customWidth="1"/>
    <col min="8711" max="8711" width="2.5" style="95" customWidth="1"/>
    <col min="8712" max="8713" width="7.6640625" style="95" customWidth="1"/>
    <col min="8714" max="8714" width="1.6640625" style="95" customWidth="1"/>
    <col min="8715" max="8716" width="7.6640625" style="95" customWidth="1"/>
    <col min="8717" max="8717" width="2.1640625" style="95" customWidth="1"/>
    <col min="8718" max="8718" width="7.6640625" style="95" customWidth="1"/>
    <col min="8719" max="8719" width="7.83203125" style="95" customWidth="1"/>
    <col min="8720" max="8720" width="2.5" style="95" customWidth="1"/>
    <col min="8721" max="8721" width="8.1640625" style="95" customWidth="1"/>
    <col min="8722" max="8722" width="8.6640625" style="95" customWidth="1"/>
    <col min="8723" max="8723" width="2.5" style="95" customWidth="1"/>
    <col min="8724" max="8960" width="9.1640625" style="95"/>
    <col min="8961" max="8961" width="16.1640625" style="95" customWidth="1"/>
    <col min="8962" max="8962" width="7.6640625" style="95" customWidth="1"/>
    <col min="8963" max="8963" width="9" style="95" customWidth="1"/>
    <col min="8964" max="8964" width="2.1640625" style="95" customWidth="1"/>
    <col min="8965" max="8966" width="7.6640625" style="95" customWidth="1"/>
    <col min="8967" max="8967" width="2.5" style="95" customWidth="1"/>
    <col min="8968" max="8969" width="7.6640625" style="95" customWidth="1"/>
    <col min="8970" max="8970" width="1.6640625" style="95" customWidth="1"/>
    <col min="8971" max="8972" width="7.6640625" style="95" customWidth="1"/>
    <col min="8973" max="8973" width="2.1640625" style="95" customWidth="1"/>
    <col min="8974" max="8974" width="7.6640625" style="95" customWidth="1"/>
    <col min="8975" max="8975" width="7.83203125" style="95" customWidth="1"/>
    <col min="8976" max="8976" width="2.5" style="95" customWidth="1"/>
    <col min="8977" max="8977" width="8.1640625" style="95" customWidth="1"/>
    <col min="8978" max="8978" width="8.6640625" style="95" customWidth="1"/>
    <col min="8979" max="8979" width="2.5" style="95" customWidth="1"/>
    <col min="8980" max="9216" width="9.1640625" style="95"/>
    <col min="9217" max="9217" width="16.1640625" style="95" customWidth="1"/>
    <col min="9218" max="9218" width="7.6640625" style="95" customWidth="1"/>
    <col min="9219" max="9219" width="9" style="95" customWidth="1"/>
    <col min="9220" max="9220" width="2.1640625" style="95" customWidth="1"/>
    <col min="9221" max="9222" width="7.6640625" style="95" customWidth="1"/>
    <col min="9223" max="9223" width="2.5" style="95" customWidth="1"/>
    <col min="9224" max="9225" width="7.6640625" style="95" customWidth="1"/>
    <col min="9226" max="9226" width="1.6640625" style="95" customWidth="1"/>
    <col min="9227" max="9228" width="7.6640625" style="95" customWidth="1"/>
    <col min="9229" max="9229" width="2.1640625" style="95" customWidth="1"/>
    <col min="9230" max="9230" width="7.6640625" style="95" customWidth="1"/>
    <col min="9231" max="9231" width="7.83203125" style="95" customWidth="1"/>
    <col min="9232" max="9232" width="2.5" style="95" customWidth="1"/>
    <col min="9233" max="9233" width="8.1640625" style="95" customWidth="1"/>
    <col min="9234" max="9234" width="8.6640625" style="95" customWidth="1"/>
    <col min="9235" max="9235" width="2.5" style="95" customWidth="1"/>
    <col min="9236" max="9472" width="9.1640625" style="95"/>
    <col min="9473" max="9473" width="16.1640625" style="95" customWidth="1"/>
    <col min="9474" max="9474" width="7.6640625" style="95" customWidth="1"/>
    <col min="9475" max="9475" width="9" style="95" customWidth="1"/>
    <col min="9476" max="9476" width="2.1640625" style="95" customWidth="1"/>
    <col min="9477" max="9478" width="7.6640625" style="95" customWidth="1"/>
    <col min="9479" max="9479" width="2.5" style="95" customWidth="1"/>
    <col min="9480" max="9481" width="7.6640625" style="95" customWidth="1"/>
    <col min="9482" max="9482" width="1.6640625" style="95" customWidth="1"/>
    <col min="9483" max="9484" width="7.6640625" style="95" customWidth="1"/>
    <col min="9485" max="9485" width="2.1640625" style="95" customWidth="1"/>
    <col min="9486" max="9486" width="7.6640625" style="95" customWidth="1"/>
    <col min="9487" max="9487" width="7.83203125" style="95" customWidth="1"/>
    <col min="9488" max="9488" width="2.5" style="95" customWidth="1"/>
    <col min="9489" max="9489" width="8.1640625" style="95" customWidth="1"/>
    <col min="9490" max="9490" width="8.6640625" style="95" customWidth="1"/>
    <col min="9491" max="9491" width="2.5" style="95" customWidth="1"/>
    <col min="9492" max="9728" width="9.1640625" style="95"/>
    <col min="9729" max="9729" width="16.1640625" style="95" customWidth="1"/>
    <col min="9730" max="9730" width="7.6640625" style="95" customWidth="1"/>
    <col min="9731" max="9731" width="9" style="95" customWidth="1"/>
    <col min="9732" max="9732" width="2.1640625" style="95" customWidth="1"/>
    <col min="9733" max="9734" width="7.6640625" style="95" customWidth="1"/>
    <col min="9735" max="9735" width="2.5" style="95" customWidth="1"/>
    <col min="9736" max="9737" width="7.6640625" style="95" customWidth="1"/>
    <col min="9738" max="9738" width="1.6640625" style="95" customWidth="1"/>
    <col min="9739" max="9740" width="7.6640625" style="95" customWidth="1"/>
    <col min="9741" max="9741" width="2.1640625" style="95" customWidth="1"/>
    <col min="9742" max="9742" width="7.6640625" style="95" customWidth="1"/>
    <col min="9743" max="9743" width="7.83203125" style="95" customWidth="1"/>
    <col min="9744" max="9744" width="2.5" style="95" customWidth="1"/>
    <col min="9745" max="9745" width="8.1640625" style="95" customWidth="1"/>
    <col min="9746" max="9746" width="8.6640625" style="95" customWidth="1"/>
    <col min="9747" max="9747" width="2.5" style="95" customWidth="1"/>
    <col min="9748" max="9984" width="9.1640625" style="95"/>
    <col min="9985" max="9985" width="16.1640625" style="95" customWidth="1"/>
    <col min="9986" max="9986" width="7.6640625" style="95" customWidth="1"/>
    <col min="9987" max="9987" width="9" style="95" customWidth="1"/>
    <col min="9988" max="9988" width="2.1640625" style="95" customWidth="1"/>
    <col min="9989" max="9990" width="7.6640625" style="95" customWidth="1"/>
    <col min="9991" max="9991" width="2.5" style="95" customWidth="1"/>
    <col min="9992" max="9993" width="7.6640625" style="95" customWidth="1"/>
    <col min="9994" max="9994" width="1.6640625" style="95" customWidth="1"/>
    <col min="9995" max="9996" width="7.6640625" style="95" customWidth="1"/>
    <col min="9997" max="9997" width="2.1640625" style="95" customWidth="1"/>
    <col min="9998" max="9998" width="7.6640625" style="95" customWidth="1"/>
    <col min="9999" max="9999" width="7.83203125" style="95" customWidth="1"/>
    <col min="10000" max="10000" width="2.5" style="95" customWidth="1"/>
    <col min="10001" max="10001" width="8.1640625" style="95" customWidth="1"/>
    <col min="10002" max="10002" width="8.6640625" style="95" customWidth="1"/>
    <col min="10003" max="10003" width="2.5" style="95" customWidth="1"/>
    <col min="10004" max="10240" width="9.1640625" style="95"/>
    <col min="10241" max="10241" width="16.1640625" style="95" customWidth="1"/>
    <col min="10242" max="10242" width="7.6640625" style="95" customWidth="1"/>
    <col min="10243" max="10243" width="9" style="95" customWidth="1"/>
    <col min="10244" max="10244" width="2.1640625" style="95" customWidth="1"/>
    <col min="10245" max="10246" width="7.6640625" style="95" customWidth="1"/>
    <col min="10247" max="10247" width="2.5" style="95" customWidth="1"/>
    <col min="10248" max="10249" width="7.6640625" style="95" customWidth="1"/>
    <col min="10250" max="10250" width="1.6640625" style="95" customWidth="1"/>
    <col min="10251" max="10252" width="7.6640625" style="95" customWidth="1"/>
    <col min="10253" max="10253" width="2.1640625" style="95" customWidth="1"/>
    <col min="10254" max="10254" width="7.6640625" style="95" customWidth="1"/>
    <col min="10255" max="10255" width="7.83203125" style="95" customWidth="1"/>
    <col min="10256" max="10256" width="2.5" style="95" customWidth="1"/>
    <col min="10257" max="10257" width="8.1640625" style="95" customWidth="1"/>
    <col min="10258" max="10258" width="8.6640625" style="95" customWidth="1"/>
    <col min="10259" max="10259" width="2.5" style="95" customWidth="1"/>
    <col min="10260" max="10496" width="9.1640625" style="95"/>
    <col min="10497" max="10497" width="16.1640625" style="95" customWidth="1"/>
    <col min="10498" max="10498" width="7.6640625" style="95" customWidth="1"/>
    <col min="10499" max="10499" width="9" style="95" customWidth="1"/>
    <col min="10500" max="10500" width="2.1640625" style="95" customWidth="1"/>
    <col min="10501" max="10502" width="7.6640625" style="95" customWidth="1"/>
    <col min="10503" max="10503" width="2.5" style="95" customWidth="1"/>
    <col min="10504" max="10505" width="7.6640625" style="95" customWidth="1"/>
    <col min="10506" max="10506" width="1.6640625" style="95" customWidth="1"/>
    <col min="10507" max="10508" width="7.6640625" style="95" customWidth="1"/>
    <col min="10509" max="10509" width="2.1640625" style="95" customWidth="1"/>
    <col min="10510" max="10510" width="7.6640625" style="95" customWidth="1"/>
    <col min="10511" max="10511" width="7.83203125" style="95" customWidth="1"/>
    <col min="10512" max="10512" width="2.5" style="95" customWidth="1"/>
    <col min="10513" max="10513" width="8.1640625" style="95" customWidth="1"/>
    <col min="10514" max="10514" width="8.6640625" style="95" customWidth="1"/>
    <col min="10515" max="10515" width="2.5" style="95" customWidth="1"/>
    <col min="10516" max="10752" width="9.1640625" style="95"/>
    <col min="10753" max="10753" width="16.1640625" style="95" customWidth="1"/>
    <col min="10754" max="10754" width="7.6640625" style="95" customWidth="1"/>
    <col min="10755" max="10755" width="9" style="95" customWidth="1"/>
    <col min="10756" max="10756" width="2.1640625" style="95" customWidth="1"/>
    <col min="10757" max="10758" width="7.6640625" style="95" customWidth="1"/>
    <col min="10759" max="10759" width="2.5" style="95" customWidth="1"/>
    <col min="10760" max="10761" width="7.6640625" style="95" customWidth="1"/>
    <col min="10762" max="10762" width="1.6640625" style="95" customWidth="1"/>
    <col min="10763" max="10764" width="7.6640625" style="95" customWidth="1"/>
    <col min="10765" max="10765" width="2.1640625" style="95" customWidth="1"/>
    <col min="10766" max="10766" width="7.6640625" style="95" customWidth="1"/>
    <col min="10767" max="10767" width="7.83203125" style="95" customWidth="1"/>
    <col min="10768" max="10768" width="2.5" style="95" customWidth="1"/>
    <col min="10769" max="10769" width="8.1640625" style="95" customWidth="1"/>
    <col min="10770" max="10770" width="8.6640625" style="95" customWidth="1"/>
    <col min="10771" max="10771" width="2.5" style="95" customWidth="1"/>
    <col min="10772" max="11008" width="9.1640625" style="95"/>
    <col min="11009" max="11009" width="16.1640625" style="95" customWidth="1"/>
    <col min="11010" max="11010" width="7.6640625" style="95" customWidth="1"/>
    <col min="11011" max="11011" width="9" style="95" customWidth="1"/>
    <col min="11012" max="11012" width="2.1640625" style="95" customWidth="1"/>
    <col min="11013" max="11014" width="7.6640625" style="95" customWidth="1"/>
    <col min="11015" max="11015" width="2.5" style="95" customWidth="1"/>
    <col min="11016" max="11017" width="7.6640625" style="95" customWidth="1"/>
    <col min="11018" max="11018" width="1.6640625" style="95" customWidth="1"/>
    <col min="11019" max="11020" width="7.6640625" style="95" customWidth="1"/>
    <col min="11021" max="11021" width="2.1640625" style="95" customWidth="1"/>
    <col min="11022" max="11022" width="7.6640625" style="95" customWidth="1"/>
    <col min="11023" max="11023" width="7.83203125" style="95" customWidth="1"/>
    <col min="11024" max="11024" width="2.5" style="95" customWidth="1"/>
    <col min="11025" max="11025" width="8.1640625" style="95" customWidth="1"/>
    <col min="11026" max="11026" width="8.6640625" style="95" customWidth="1"/>
    <col min="11027" max="11027" width="2.5" style="95" customWidth="1"/>
    <col min="11028" max="11264" width="9.1640625" style="95"/>
    <col min="11265" max="11265" width="16.1640625" style="95" customWidth="1"/>
    <col min="11266" max="11266" width="7.6640625" style="95" customWidth="1"/>
    <col min="11267" max="11267" width="9" style="95" customWidth="1"/>
    <col min="11268" max="11268" width="2.1640625" style="95" customWidth="1"/>
    <col min="11269" max="11270" width="7.6640625" style="95" customWidth="1"/>
    <col min="11271" max="11271" width="2.5" style="95" customWidth="1"/>
    <col min="11272" max="11273" width="7.6640625" style="95" customWidth="1"/>
    <col min="11274" max="11274" width="1.6640625" style="95" customWidth="1"/>
    <col min="11275" max="11276" width="7.6640625" style="95" customWidth="1"/>
    <col min="11277" max="11277" width="2.1640625" style="95" customWidth="1"/>
    <col min="11278" max="11278" width="7.6640625" style="95" customWidth="1"/>
    <col min="11279" max="11279" width="7.83203125" style="95" customWidth="1"/>
    <col min="11280" max="11280" width="2.5" style="95" customWidth="1"/>
    <col min="11281" max="11281" width="8.1640625" style="95" customWidth="1"/>
    <col min="11282" max="11282" width="8.6640625" style="95" customWidth="1"/>
    <col min="11283" max="11283" width="2.5" style="95" customWidth="1"/>
    <col min="11284" max="11520" width="9.1640625" style="95"/>
    <col min="11521" max="11521" width="16.1640625" style="95" customWidth="1"/>
    <col min="11522" max="11522" width="7.6640625" style="95" customWidth="1"/>
    <col min="11523" max="11523" width="9" style="95" customWidth="1"/>
    <col min="11524" max="11524" width="2.1640625" style="95" customWidth="1"/>
    <col min="11525" max="11526" width="7.6640625" style="95" customWidth="1"/>
    <col min="11527" max="11527" width="2.5" style="95" customWidth="1"/>
    <col min="11528" max="11529" width="7.6640625" style="95" customWidth="1"/>
    <col min="11530" max="11530" width="1.6640625" style="95" customWidth="1"/>
    <col min="11531" max="11532" width="7.6640625" style="95" customWidth="1"/>
    <col min="11533" max="11533" width="2.1640625" style="95" customWidth="1"/>
    <col min="11534" max="11534" width="7.6640625" style="95" customWidth="1"/>
    <col min="11535" max="11535" width="7.83203125" style="95" customWidth="1"/>
    <col min="11536" max="11536" width="2.5" style="95" customWidth="1"/>
    <col min="11537" max="11537" width="8.1640625" style="95" customWidth="1"/>
    <col min="11538" max="11538" width="8.6640625" style="95" customWidth="1"/>
    <col min="11539" max="11539" width="2.5" style="95" customWidth="1"/>
    <col min="11540" max="11776" width="9.1640625" style="95"/>
    <col min="11777" max="11777" width="16.1640625" style="95" customWidth="1"/>
    <col min="11778" max="11778" width="7.6640625" style="95" customWidth="1"/>
    <col min="11779" max="11779" width="9" style="95" customWidth="1"/>
    <col min="11780" max="11780" width="2.1640625" style="95" customWidth="1"/>
    <col min="11781" max="11782" width="7.6640625" style="95" customWidth="1"/>
    <col min="11783" max="11783" width="2.5" style="95" customWidth="1"/>
    <col min="11784" max="11785" width="7.6640625" style="95" customWidth="1"/>
    <col min="11786" max="11786" width="1.6640625" style="95" customWidth="1"/>
    <col min="11787" max="11788" width="7.6640625" style="95" customWidth="1"/>
    <col min="11789" max="11789" width="2.1640625" style="95" customWidth="1"/>
    <col min="11790" max="11790" width="7.6640625" style="95" customWidth="1"/>
    <col min="11791" max="11791" width="7.83203125" style="95" customWidth="1"/>
    <col min="11792" max="11792" width="2.5" style="95" customWidth="1"/>
    <col min="11793" max="11793" width="8.1640625" style="95" customWidth="1"/>
    <col min="11794" max="11794" width="8.6640625" style="95" customWidth="1"/>
    <col min="11795" max="11795" width="2.5" style="95" customWidth="1"/>
    <col min="11796" max="12032" width="9.1640625" style="95"/>
    <col min="12033" max="12033" width="16.1640625" style="95" customWidth="1"/>
    <col min="12034" max="12034" width="7.6640625" style="95" customWidth="1"/>
    <col min="12035" max="12035" width="9" style="95" customWidth="1"/>
    <col min="12036" max="12036" width="2.1640625" style="95" customWidth="1"/>
    <col min="12037" max="12038" width="7.6640625" style="95" customWidth="1"/>
    <col min="12039" max="12039" width="2.5" style="95" customWidth="1"/>
    <col min="12040" max="12041" width="7.6640625" style="95" customWidth="1"/>
    <col min="12042" max="12042" width="1.6640625" style="95" customWidth="1"/>
    <col min="12043" max="12044" width="7.6640625" style="95" customWidth="1"/>
    <col min="12045" max="12045" width="2.1640625" style="95" customWidth="1"/>
    <col min="12046" max="12046" width="7.6640625" style="95" customWidth="1"/>
    <col min="12047" max="12047" width="7.83203125" style="95" customWidth="1"/>
    <col min="12048" max="12048" width="2.5" style="95" customWidth="1"/>
    <col min="12049" max="12049" width="8.1640625" style="95" customWidth="1"/>
    <col min="12050" max="12050" width="8.6640625" style="95" customWidth="1"/>
    <col min="12051" max="12051" width="2.5" style="95" customWidth="1"/>
    <col min="12052" max="12288" width="9.1640625" style="95"/>
    <col min="12289" max="12289" width="16.1640625" style="95" customWidth="1"/>
    <col min="12290" max="12290" width="7.6640625" style="95" customWidth="1"/>
    <col min="12291" max="12291" width="9" style="95" customWidth="1"/>
    <col min="12292" max="12292" width="2.1640625" style="95" customWidth="1"/>
    <col min="12293" max="12294" width="7.6640625" style="95" customWidth="1"/>
    <col min="12295" max="12295" width="2.5" style="95" customWidth="1"/>
    <col min="12296" max="12297" width="7.6640625" style="95" customWidth="1"/>
    <col min="12298" max="12298" width="1.6640625" style="95" customWidth="1"/>
    <col min="12299" max="12300" width="7.6640625" style="95" customWidth="1"/>
    <col min="12301" max="12301" width="2.1640625" style="95" customWidth="1"/>
    <col min="12302" max="12302" width="7.6640625" style="95" customWidth="1"/>
    <col min="12303" max="12303" width="7.83203125" style="95" customWidth="1"/>
    <col min="12304" max="12304" width="2.5" style="95" customWidth="1"/>
    <col min="12305" max="12305" width="8.1640625" style="95" customWidth="1"/>
    <col min="12306" max="12306" width="8.6640625" style="95" customWidth="1"/>
    <col min="12307" max="12307" width="2.5" style="95" customWidth="1"/>
    <col min="12308" max="12544" width="9.1640625" style="95"/>
    <col min="12545" max="12545" width="16.1640625" style="95" customWidth="1"/>
    <col min="12546" max="12546" width="7.6640625" style="95" customWidth="1"/>
    <col min="12547" max="12547" width="9" style="95" customWidth="1"/>
    <col min="12548" max="12548" width="2.1640625" style="95" customWidth="1"/>
    <col min="12549" max="12550" width="7.6640625" style="95" customWidth="1"/>
    <col min="12551" max="12551" width="2.5" style="95" customWidth="1"/>
    <col min="12552" max="12553" width="7.6640625" style="95" customWidth="1"/>
    <col min="12554" max="12554" width="1.6640625" style="95" customWidth="1"/>
    <col min="12555" max="12556" width="7.6640625" style="95" customWidth="1"/>
    <col min="12557" max="12557" width="2.1640625" style="95" customWidth="1"/>
    <col min="12558" max="12558" width="7.6640625" style="95" customWidth="1"/>
    <col min="12559" max="12559" width="7.83203125" style="95" customWidth="1"/>
    <col min="12560" max="12560" width="2.5" style="95" customWidth="1"/>
    <col min="12561" max="12561" width="8.1640625" style="95" customWidth="1"/>
    <col min="12562" max="12562" width="8.6640625" style="95" customWidth="1"/>
    <col min="12563" max="12563" width="2.5" style="95" customWidth="1"/>
    <col min="12564" max="12800" width="9.1640625" style="95"/>
    <col min="12801" max="12801" width="16.1640625" style="95" customWidth="1"/>
    <col min="12802" max="12802" width="7.6640625" style="95" customWidth="1"/>
    <col min="12803" max="12803" width="9" style="95" customWidth="1"/>
    <col min="12804" max="12804" width="2.1640625" style="95" customWidth="1"/>
    <col min="12805" max="12806" width="7.6640625" style="95" customWidth="1"/>
    <col min="12807" max="12807" width="2.5" style="95" customWidth="1"/>
    <col min="12808" max="12809" width="7.6640625" style="95" customWidth="1"/>
    <col min="12810" max="12810" width="1.6640625" style="95" customWidth="1"/>
    <col min="12811" max="12812" width="7.6640625" style="95" customWidth="1"/>
    <col min="12813" max="12813" width="2.1640625" style="95" customWidth="1"/>
    <col min="12814" max="12814" width="7.6640625" style="95" customWidth="1"/>
    <col min="12815" max="12815" width="7.83203125" style="95" customWidth="1"/>
    <col min="12816" max="12816" width="2.5" style="95" customWidth="1"/>
    <col min="12817" max="12817" width="8.1640625" style="95" customWidth="1"/>
    <col min="12818" max="12818" width="8.6640625" style="95" customWidth="1"/>
    <col min="12819" max="12819" width="2.5" style="95" customWidth="1"/>
    <col min="12820" max="13056" width="9.1640625" style="95"/>
    <col min="13057" max="13057" width="16.1640625" style="95" customWidth="1"/>
    <col min="13058" max="13058" width="7.6640625" style="95" customWidth="1"/>
    <col min="13059" max="13059" width="9" style="95" customWidth="1"/>
    <col min="13060" max="13060" width="2.1640625" style="95" customWidth="1"/>
    <col min="13061" max="13062" width="7.6640625" style="95" customWidth="1"/>
    <col min="13063" max="13063" width="2.5" style="95" customWidth="1"/>
    <col min="13064" max="13065" width="7.6640625" style="95" customWidth="1"/>
    <col min="13066" max="13066" width="1.6640625" style="95" customWidth="1"/>
    <col min="13067" max="13068" width="7.6640625" style="95" customWidth="1"/>
    <col min="13069" max="13069" width="2.1640625" style="95" customWidth="1"/>
    <col min="13070" max="13070" width="7.6640625" style="95" customWidth="1"/>
    <col min="13071" max="13071" width="7.83203125" style="95" customWidth="1"/>
    <col min="13072" max="13072" width="2.5" style="95" customWidth="1"/>
    <col min="13073" max="13073" width="8.1640625" style="95" customWidth="1"/>
    <col min="13074" max="13074" width="8.6640625" style="95" customWidth="1"/>
    <col min="13075" max="13075" width="2.5" style="95" customWidth="1"/>
    <col min="13076" max="13312" width="9.1640625" style="95"/>
    <col min="13313" max="13313" width="16.1640625" style="95" customWidth="1"/>
    <col min="13314" max="13314" width="7.6640625" style="95" customWidth="1"/>
    <col min="13315" max="13315" width="9" style="95" customWidth="1"/>
    <col min="13316" max="13316" width="2.1640625" style="95" customWidth="1"/>
    <col min="13317" max="13318" width="7.6640625" style="95" customWidth="1"/>
    <col min="13319" max="13319" width="2.5" style="95" customWidth="1"/>
    <col min="13320" max="13321" width="7.6640625" style="95" customWidth="1"/>
    <col min="13322" max="13322" width="1.6640625" style="95" customWidth="1"/>
    <col min="13323" max="13324" width="7.6640625" style="95" customWidth="1"/>
    <col min="13325" max="13325" width="2.1640625" style="95" customWidth="1"/>
    <col min="13326" max="13326" width="7.6640625" style="95" customWidth="1"/>
    <col min="13327" max="13327" width="7.83203125" style="95" customWidth="1"/>
    <col min="13328" max="13328" width="2.5" style="95" customWidth="1"/>
    <col min="13329" max="13329" width="8.1640625" style="95" customWidth="1"/>
    <col min="13330" max="13330" width="8.6640625" style="95" customWidth="1"/>
    <col min="13331" max="13331" width="2.5" style="95" customWidth="1"/>
    <col min="13332" max="13568" width="9.1640625" style="95"/>
    <col min="13569" max="13569" width="16.1640625" style="95" customWidth="1"/>
    <col min="13570" max="13570" width="7.6640625" style="95" customWidth="1"/>
    <col min="13571" max="13571" width="9" style="95" customWidth="1"/>
    <col min="13572" max="13572" width="2.1640625" style="95" customWidth="1"/>
    <col min="13573" max="13574" width="7.6640625" style="95" customWidth="1"/>
    <col min="13575" max="13575" width="2.5" style="95" customWidth="1"/>
    <col min="13576" max="13577" width="7.6640625" style="95" customWidth="1"/>
    <col min="13578" max="13578" width="1.6640625" style="95" customWidth="1"/>
    <col min="13579" max="13580" width="7.6640625" style="95" customWidth="1"/>
    <col min="13581" max="13581" width="2.1640625" style="95" customWidth="1"/>
    <col min="13582" max="13582" width="7.6640625" style="95" customWidth="1"/>
    <col min="13583" max="13583" width="7.83203125" style="95" customWidth="1"/>
    <col min="13584" max="13584" width="2.5" style="95" customWidth="1"/>
    <col min="13585" max="13585" width="8.1640625" style="95" customWidth="1"/>
    <col min="13586" max="13586" width="8.6640625" style="95" customWidth="1"/>
    <col min="13587" max="13587" width="2.5" style="95" customWidth="1"/>
    <col min="13588" max="13824" width="9.1640625" style="95"/>
    <col min="13825" max="13825" width="16.1640625" style="95" customWidth="1"/>
    <col min="13826" max="13826" width="7.6640625" style="95" customWidth="1"/>
    <col min="13827" max="13827" width="9" style="95" customWidth="1"/>
    <col min="13828" max="13828" width="2.1640625" style="95" customWidth="1"/>
    <col min="13829" max="13830" width="7.6640625" style="95" customWidth="1"/>
    <col min="13831" max="13831" width="2.5" style="95" customWidth="1"/>
    <col min="13832" max="13833" width="7.6640625" style="95" customWidth="1"/>
    <col min="13834" max="13834" width="1.6640625" style="95" customWidth="1"/>
    <col min="13835" max="13836" width="7.6640625" style="95" customWidth="1"/>
    <col min="13837" max="13837" width="2.1640625" style="95" customWidth="1"/>
    <col min="13838" max="13838" width="7.6640625" style="95" customWidth="1"/>
    <col min="13839" max="13839" width="7.83203125" style="95" customWidth="1"/>
    <col min="13840" max="13840" width="2.5" style="95" customWidth="1"/>
    <col min="13841" max="13841" width="8.1640625" style="95" customWidth="1"/>
    <col min="13842" max="13842" width="8.6640625" style="95" customWidth="1"/>
    <col min="13843" max="13843" width="2.5" style="95" customWidth="1"/>
    <col min="13844" max="14080" width="9.1640625" style="95"/>
    <col min="14081" max="14081" width="16.1640625" style="95" customWidth="1"/>
    <col min="14082" max="14082" width="7.6640625" style="95" customWidth="1"/>
    <col min="14083" max="14083" width="9" style="95" customWidth="1"/>
    <col min="14084" max="14084" width="2.1640625" style="95" customWidth="1"/>
    <col min="14085" max="14086" width="7.6640625" style="95" customWidth="1"/>
    <col min="14087" max="14087" width="2.5" style="95" customWidth="1"/>
    <col min="14088" max="14089" width="7.6640625" style="95" customWidth="1"/>
    <col min="14090" max="14090" width="1.6640625" style="95" customWidth="1"/>
    <col min="14091" max="14092" width="7.6640625" style="95" customWidth="1"/>
    <col min="14093" max="14093" width="2.1640625" style="95" customWidth="1"/>
    <col min="14094" max="14094" width="7.6640625" style="95" customWidth="1"/>
    <col min="14095" max="14095" width="7.83203125" style="95" customWidth="1"/>
    <col min="14096" max="14096" width="2.5" style="95" customWidth="1"/>
    <col min="14097" max="14097" width="8.1640625" style="95" customWidth="1"/>
    <col min="14098" max="14098" width="8.6640625" style="95" customWidth="1"/>
    <col min="14099" max="14099" width="2.5" style="95" customWidth="1"/>
    <col min="14100" max="14336" width="9.1640625" style="95"/>
    <col min="14337" max="14337" width="16.1640625" style="95" customWidth="1"/>
    <col min="14338" max="14338" width="7.6640625" style="95" customWidth="1"/>
    <col min="14339" max="14339" width="9" style="95" customWidth="1"/>
    <col min="14340" max="14340" width="2.1640625" style="95" customWidth="1"/>
    <col min="14341" max="14342" width="7.6640625" style="95" customWidth="1"/>
    <col min="14343" max="14343" width="2.5" style="95" customWidth="1"/>
    <col min="14344" max="14345" width="7.6640625" style="95" customWidth="1"/>
    <col min="14346" max="14346" width="1.6640625" style="95" customWidth="1"/>
    <col min="14347" max="14348" width="7.6640625" style="95" customWidth="1"/>
    <col min="14349" max="14349" width="2.1640625" style="95" customWidth="1"/>
    <col min="14350" max="14350" width="7.6640625" style="95" customWidth="1"/>
    <col min="14351" max="14351" width="7.83203125" style="95" customWidth="1"/>
    <col min="14352" max="14352" width="2.5" style="95" customWidth="1"/>
    <col min="14353" max="14353" width="8.1640625" style="95" customWidth="1"/>
    <col min="14354" max="14354" width="8.6640625" style="95" customWidth="1"/>
    <col min="14355" max="14355" width="2.5" style="95" customWidth="1"/>
    <col min="14356" max="14592" width="9.1640625" style="95"/>
    <col min="14593" max="14593" width="16.1640625" style="95" customWidth="1"/>
    <col min="14594" max="14594" width="7.6640625" style="95" customWidth="1"/>
    <col min="14595" max="14595" width="9" style="95" customWidth="1"/>
    <col min="14596" max="14596" width="2.1640625" style="95" customWidth="1"/>
    <col min="14597" max="14598" width="7.6640625" style="95" customWidth="1"/>
    <col min="14599" max="14599" width="2.5" style="95" customWidth="1"/>
    <col min="14600" max="14601" width="7.6640625" style="95" customWidth="1"/>
    <col min="14602" max="14602" width="1.6640625" style="95" customWidth="1"/>
    <col min="14603" max="14604" width="7.6640625" style="95" customWidth="1"/>
    <col min="14605" max="14605" width="2.1640625" style="95" customWidth="1"/>
    <col min="14606" max="14606" width="7.6640625" style="95" customWidth="1"/>
    <col min="14607" max="14607" width="7.83203125" style="95" customWidth="1"/>
    <col min="14608" max="14608" width="2.5" style="95" customWidth="1"/>
    <col min="14609" max="14609" width="8.1640625" style="95" customWidth="1"/>
    <col min="14610" max="14610" width="8.6640625" style="95" customWidth="1"/>
    <col min="14611" max="14611" width="2.5" style="95" customWidth="1"/>
    <col min="14612" max="14848" width="9.1640625" style="95"/>
    <col min="14849" max="14849" width="16.1640625" style="95" customWidth="1"/>
    <col min="14850" max="14850" width="7.6640625" style="95" customWidth="1"/>
    <col min="14851" max="14851" width="9" style="95" customWidth="1"/>
    <col min="14852" max="14852" width="2.1640625" style="95" customWidth="1"/>
    <col min="14853" max="14854" width="7.6640625" style="95" customWidth="1"/>
    <col min="14855" max="14855" width="2.5" style="95" customWidth="1"/>
    <col min="14856" max="14857" width="7.6640625" style="95" customWidth="1"/>
    <col min="14858" max="14858" width="1.6640625" style="95" customWidth="1"/>
    <col min="14859" max="14860" width="7.6640625" style="95" customWidth="1"/>
    <col min="14861" max="14861" width="2.1640625" style="95" customWidth="1"/>
    <col min="14862" max="14862" width="7.6640625" style="95" customWidth="1"/>
    <col min="14863" max="14863" width="7.83203125" style="95" customWidth="1"/>
    <col min="14864" max="14864" width="2.5" style="95" customWidth="1"/>
    <col min="14865" max="14865" width="8.1640625" style="95" customWidth="1"/>
    <col min="14866" max="14866" width="8.6640625" style="95" customWidth="1"/>
    <col min="14867" max="14867" width="2.5" style="95" customWidth="1"/>
    <col min="14868" max="15104" width="9.1640625" style="95"/>
    <col min="15105" max="15105" width="16.1640625" style="95" customWidth="1"/>
    <col min="15106" max="15106" width="7.6640625" style="95" customWidth="1"/>
    <col min="15107" max="15107" width="9" style="95" customWidth="1"/>
    <col min="15108" max="15108" width="2.1640625" style="95" customWidth="1"/>
    <col min="15109" max="15110" width="7.6640625" style="95" customWidth="1"/>
    <col min="15111" max="15111" width="2.5" style="95" customWidth="1"/>
    <col min="15112" max="15113" width="7.6640625" style="95" customWidth="1"/>
    <col min="15114" max="15114" width="1.6640625" style="95" customWidth="1"/>
    <col min="15115" max="15116" width="7.6640625" style="95" customWidth="1"/>
    <col min="15117" max="15117" width="2.1640625" style="95" customWidth="1"/>
    <col min="15118" max="15118" width="7.6640625" style="95" customWidth="1"/>
    <col min="15119" max="15119" width="7.83203125" style="95" customWidth="1"/>
    <col min="15120" max="15120" width="2.5" style="95" customWidth="1"/>
    <col min="15121" max="15121" width="8.1640625" style="95" customWidth="1"/>
    <col min="15122" max="15122" width="8.6640625" style="95" customWidth="1"/>
    <col min="15123" max="15123" width="2.5" style="95" customWidth="1"/>
    <col min="15124" max="15360" width="9.1640625" style="95"/>
    <col min="15361" max="15361" width="16.1640625" style="95" customWidth="1"/>
    <col min="15362" max="15362" width="7.6640625" style="95" customWidth="1"/>
    <col min="15363" max="15363" width="9" style="95" customWidth="1"/>
    <col min="15364" max="15364" width="2.1640625" style="95" customWidth="1"/>
    <col min="15365" max="15366" width="7.6640625" style="95" customWidth="1"/>
    <col min="15367" max="15367" width="2.5" style="95" customWidth="1"/>
    <col min="15368" max="15369" width="7.6640625" style="95" customWidth="1"/>
    <col min="15370" max="15370" width="1.6640625" style="95" customWidth="1"/>
    <col min="15371" max="15372" width="7.6640625" style="95" customWidth="1"/>
    <col min="15373" max="15373" width="2.1640625" style="95" customWidth="1"/>
    <col min="15374" max="15374" width="7.6640625" style="95" customWidth="1"/>
    <col min="15375" max="15375" width="7.83203125" style="95" customWidth="1"/>
    <col min="15376" max="15376" width="2.5" style="95" customWidth="1"/>
    <col min="15377" max="15377" width="8.1640625" style="95" customWidth="1"/>
    <col min="15378" max="15378" width="8.6640625" style="95" customWidth="1"/>
    <col min="15379" max="15379" width="2.5" style="95" customWidth="1"/>
    <col min="15380" max="15616" width="9.1640625" style="95"/>
    <col min="15617" max="15617" width="16.1640625" style="95" customWidth="1"/>
    <col min="15618" max="15618" width="7.6640625" style="95" customWidth="1"/>
    <col min="15619" max="15619" width="9" style="95" customWidth="1"/>
    <col min="15620" max="15620" width="2.1640625" style="95" customWidth="1"/>
    <col min="15621" max="15622" width="7.6640625" style="95" customWidth="1"/>
    <col min="15623" max="15623" width="2.5" style="95" customWidth="1"/>
    <col min="15624" max="15625" width="7.6640625" style="95" customWidth="1"/>
    <col min="15626" max="15626" width="1.6640625" style="95" customWidth="1"/>
    <col min="15627" max="15628" width="7.6640625" style="95" customWidth="1"/>
    <col min="15629" max="15629" width="2.1640625" style="95" customWidth="1"/>
    <col min="15630" max="15630" width="7.6640625" style="95" customWidth="1"/>
    <col min="15631" max="15631" width="7.83203125" style="95" customWidth="1"/>
    <col min="15632" max="15632" width="2.5" style="95" customWidth="1"/>
    <col min="15633" max="15633" width="8.1640625" style="95" customWidth="1"/>
    <col min="15634" max="15634" width="8.6640625" style="95" customWidth="1"/>
    <col min="15635" max="15635" width="2.5" style="95" customWidth="1"/>
    <col min="15636" max="15872" width="9.1640625" style="95"/>
    <col min="15873" max="15873" width="16.1640625" style="95" customWidth="1"/>
    <col min="15874" max="15874" width="7.6640625" style="95" customWidth="1"/>
    <col min="15875" max="15875" width="9" style="95" customWidth="1"/>
    <col min="15876" max="15876" width="2.1640625" style="95" customWidth="1"/>
    <col min="15877" max="15878" width="7.6640625" style="95" customWidth="1"/>
    <col min="15879" max="15879" width="2.5" style="95" customWidth="1"/>
    <col min="15880" max="15881" width="7.6640625" style="95" customWidth="1"/>
    <col min="15882" max="15882" width="1.6640625" style="95" customWidth="1"/>
    <col min="15883" max="15884" width="7.6640625" style="95" customWidth="1"/>
    <col min="15885" max="15885" width="2.1640625" style="95" customWidth="1"/>
    <col min="15886" max="15886" width="7.6640625" style="95" customWidth="1"/>
    <col min="15887" max="15887" width="7.83203125" style="95" customWidth="1"/>
    <col min="15888" max="15888" width="2.5" style="95" customWidth="1"/>
    <col min="15889" max="15889" width="8.1640625" style="95" customWidth="1"/>
    <col min="15890" max="15890" width="8.6640625" style="95" customWidth="1"/>
    <col min="15891" max="15891" width="2.5" style="95" customWidth="1"/>
    <col min="15892" max="16128" width="9.1640625" style="95"/>
    <col min="16129" max="16129" width="16.1640625" style="95" customWidth="1"/>
    <col min="16130" max="16130" width="7.6640625" style="95" customWidth="1"/>
    <col min="16131" max="16131" width="9" style="95" customWidth="1"/>
    <col min="16132" max="16132" width="2.1640625" style="95" customWidth="1"/>
    <col min="16133" max="16134" width="7.6640625" style="95" customWidth="1"/>
    <col min="16135" max="16135" width="2.5" style="95" customWidth="1"/>
    <col min="16136" max="16137" width="7.6640625" style="95" customWidth="1"/>
    <col min="16138" max="16138" width="1.6640625" style="95" customWidth="1"/>
    <col min="16139" max="16140" width="7.6640625" style="95" customWidth="1"/>
    <col min="16141" max="16141" width="2.1640625" style="95" customWidth="1"/>
    <col min="16142" max="16142" width="7.6640625" style="95" customWidth="1"/>
    <col min="16143" max="16143" width="7.83203125" style="95" customWidth="1"/>
    <col min="16144" max="16144" width="2.5" style="95" customWidth="1"/>
    <col min="16145" max="16145" width="8.1640625" style="95" customWidth="1"/>
    <col min="16146" max="16146" width="8.6640625" style="95" customWidth="1"/>
    <col min="16147" max="16147" width="2.5" style="95" customWidth="1"/>
    <col min="16148" max="16384" width="9.1640625" style="95"/>
  </cols>
  <sheetData>
    <row r="1" spans="1:19">
      <c r="A1" s="95" t="s">
        <v>466</v>
      </c>
    </row>
    <row r="2" spans="1:19">
      <c r="A2" s="95" t="s">
        <v>467</v>
      </c>
      <c r="B2" s="155"/>
      <c r="C2" s="139"/>
    </row>
    <row r="3" spans="1:19">
      <c r="B3" s="155"/>
      <c r="C3" s="139"/>
    </row>
    <row r="4" spans="1:19">
      <c r="A4" s="231" t="s">
        <v>1617</v>
      </c>
      <c r="B4" s="155"/>
      <c r="C4" s="139"/>
    </row>
    <row r="5" spans="1:19" ht="13.5" customHeight="1">
      <c r="A5" s="231" t="s">
        <v>2134</v>
      </c>
    </row>
    <row r="6" spans="1:19" ht="13" customHeight="1" thickBot="1">
      <c r="I6" s="105"/>
      <c r="L6" s="105"/>
      <c r="M6" s="105"/>
      <c r="O6" s="105"/>
      <c r="P6" s="105"/>
    </row>
    <row r="7" spans="1:19" ht="13" customHeight="1">
      <c r="A7" s="97"/>
      <c r="B7" s="144"/>
      <c r="C7" s="99"/>
      <c r="D7" s="97"/>
      <c r="E7" s="144"/>
      <c r="F7" s="99"/>
      <c r="G7" s="99"/>
      <c r="H7" s="144"/>
      <c r="I7" s="99"/>
      <c r="J7" s="97"/>
      <c r="K7" s="144"/>
      <c r="L7" s="99"/>
      <c r="M7" s="99"/>
      <c r="N7" s="144"/>
      <c r="O7" s="99"/>
      <c r="P7" s="99"/>
      <c r="Q7" s="99"/>
      <c r="R7" s="99"/>
      <c r="S7" s="99"/>
    </row>
    <row r="8" spans="1:19" ht="13" customHeight="1">
      <c r="A8" s="116"/>
      <c r="B8" s="1075" t="s">
        <v>1618</v>
      </c>
      <c r="C8" s="1075"/>
      <c r="D8" s="1075"/>
      <c r="E8" s="1075"/>
      <c r="F8" s="1075"/>
      <c r="G8" s="1075"/>
      <c r="H8" s="1075"/>
      <c r="I8" s="1075"/>
      <c r="J8" s="1075"/>
      <c r="K8" s="1075"/>
      <c r="L8" s="1075"/>
      <c r="M8" s="1075"/>
      <c r="N8" s="1075"/>
      <c r="O8" s="1075"/>
      <c r="P8" s="1075"/>
      <c r="Q8" s="1075"/>
      <c r="R8" s="1075"/>
    </row>
    <row r="9" spans="1:19" ht="13" customHeight="1">
      <c r="A9" s="116" t="s">
        <v>1619</v>
      </c>
      <c r="B9" s="1039" t="s">
        <v>1620</v>
      </c>
      <c r="C9" s="1058"/>
      <c r="D9" s="116"/>
      <c r="E9" s="1058" t="s">
        <v>1621</v>
      </c>
      <c r="F9" s="1058"/>
      <c r="G9" s="135"/>
      <c r="H9" s="1058"/>
      <c r="I9" s="1058"/>
      <c r="J9" s="116"/>
      <c r="K9" s="1058" t="s">
        <v>1622</v>
      </c>
      <c r="L9" s="1058"/>
      <c r="M9" s="135"/>
      <c r="N9" s="1058" t="s">
        <v>1623</v>
      </c>
      <c r="O9" s="1058"/>
      <c r="P9" s="135"/>
      <c r="Q9" s="1058" t="s">
        <v>1624</v>
      </c>
      <c r="R9" s="1058"/>
      <c r="S9" s="135"/>
    </row>
    <row r="10" spans="1:19" ht="13" customHeight="1">
      <c r="A10" s="116"/>
      <c r="B10" s="1021" t="s">
        <v>1625</v>
      </c>
      <c r="C10" s="1019"/>
      <c r="D10" s="116"/>
      <c r="E10" s="1019" t="s">
        <v>1626</v>
      </c>
      <c r="F10" s="1019"/>
      <c r="G10" s="135"/>
      <c r="H10" s="1058" t="s">
        <v>1627</v>
      </c>
      <c r="I10" s="1058"/>
      <c r="J10" s="116"/>
      <c r="K10" s="1019" t="s">
        <v>1628</v>
      </c>
      <c r="L10" s="1019"/>
      <c r="N10" s="1019" t="s">
        <v>1629</v>
      </c>
      <c r="O10" s="1019"/>
      <c r="Q10" s="1019" t="s">
        <v>1630</v>
      </c>
      <c r="R10" s="1019"/>
    </row>
    <row r="11" spans="1:19" ht="13" customHeight="1">
      <c r="B11" s="149" t="s">
        <v>400</v>
      </c>
      <c r="C11" s="101" t="s">
        <v>401</v>
      </c>
      <c r="D11" s="116"/>
      <c r="E11" s="149" t="s">
        <v>400</v>
      </c>
      <c r="F11" s="101" t="s">
        <v>401</v>
      </c>
      <c r="G11" s="150"/>
      <c r="H11" s="149" t="s">
        <v>400</v>
      </c>
      <c r="I11" s="101" t="s">
        <v>401</v>
      </c>
      <c r="J11" s="116"/>
      <c r="K11" s="149" t="s">
        <v>400</v>
      </c>
      <c r="L11" s="101" t="s">
        <v>401</v>
      </c>
      <c r="N11" s="149" t="s">
        <v>400</v>
      </c>
      <c r="O11" s="101" t="s">
        <v>401</v>
      </c>
      <c r="Q11" s="149" t="s">
        <v>400</v>
      </c>
      <c r="R11" s="101" t="s">
        <v>401</v>
      </c>
    </row>
    <row r="12" spans="1:19" ht="13" customHeight="1" thickBot="1">
      <c r="A12" s="102"/>
      <c r="B12" s="153"/>
      <c r="C12" s="96"/>
      <c r="D12" s="102"/>
      <c r="E12" s="153"/>
      <c r="F12" s="96"/>
      <c r="G12" s="96"/>
      <c r="H12" s="153"/>
      <c r="I12" s="96"/>
      <c r="J12" s="102"/>
      <c r="K12" s="153"/>
      <c r="L12" s="96"/>
      <c r="M12" s="96"/>
      <c r="N12" s="153"/>
      <c r="O12" s="96"/>
      <c r="P12" s="96"/>
      <c r="Q12" s="153"/>
      <c r="R12" s="96"/>
      <c r="S12" s="96"/>
    </row>
    <row r="13" spans="1:19" ht="13" customHeight="1">
      <c r="A13" s="116"/>
      <c r="B13" s="154"/>
      <c r="C13" s="135"/>
      <c r="D13" s="116"/>
      <c r="E13" s="154"/>
      <c r="F13" s="135"/>
      <c r="G13" s="135"/>
      <c r="H13" s="154"/>
      <c r="I13" s="135"/>
      <c r="J13" s="116"/>
      <c r="K13" s="154"/>
      <c r="L13" s="135"/>
      <c r="N13" s="154"/>
      <c r="O13" s="135"/>
      <c r="Q13" s="154"/>
      <c r="R13" s="135"/>
    </row>
    <row r="14" spans="1:19" ht="13" customHeight="1">
      <c r="A14" s="607" t="s">
        <v>148</v>
      </c>
      <c r="B14" s="154">
        <f>IF($A14&lt;&gt;0,SUM(B16:B28),"")</f>
        <v>16531</v>
      </c>
      <c r="C14" s="134">
        <f>IF($A14&lt;&gt;0,SUM(C16:C28),"")</f>
        <v>100</v>
      </c>
      <c r="D14" s="116"/>
      <c r="E14" s="154">
        <f>IF($A14&lt;&gt;0,SUM(E16:E28),"")</f>
        <v>8517</v>
      </c>
      <c r="F14" s="134">
        <f>IF($A14&lt;&gt;0,SUM(F16:F28),"")</f>
        <v>99.999999999999986</v>
      </c>
      <c r="G14" s="135"/>
      <c r="H14" s="154">
        <f>IF($A14&lt;&gt;0,SUM(H16:H28),"")</f>
        <v>8017</v>
      </c>
      <c r="I14" s="134">
        <f>IF($A14&lt;&gt;0,SUM(I16:I28),"")</f>
        <v>99.999999999999972</v>
      </c>
      <c r="J14" s="116"/>
      <c r="K14" s="154">
        <f>IF($A14&lt;&gt;0,SUM(K16:K28),"")</f>
        <v>813</v>
      </c>
      <c r="L14" s="134">
        <f>IF($A14&lt;&gt;0,SUM(L16:L28),"")</f>
        <v>100.00000000000001</v>
      </c>
      <c r="N14" s="154">
        <f>IF($A14&lt;&gt;0,SUM(N16:N28),"")</f>
        <v>866</v>
      </c>
      <c r="O14" s="134">
        <f>IF($A14&lt;&gt;0,SUM(O16:O28),"")</f>
        <v>100.00000000000003</v>
      </c>
      <c r="Q14" s="154">
        <f>IF($A14&lt;&gt;0,SUM(Q16:Q28),"")</f>
        <v>2600</v>
      </c>
      <c r="R14" s="134">
        <f>IF($A14&lt;&gt;0,SUM(R16:R28),"")</f>
        <v>100</v>
      </c>
    </row>
    <row r="15" spans="1:19" ht="13" customHeight="1">
      <c r="A15" s="107"/>
      <c r="B15" s="154"/>
      <c r="C15" s="154" t="str">
        <f>IF(B15&lt;&gt;0,F15+I15+L15+O15+#REF!,"")</f>
        <v/>
      </c>
      <c r="D15" s="116"/>
      <c r="E15" s="154"/>
      <c r="F15" s="135" t="str">
        <f>IF(A15&lt;&gt;0,E15/#REF!*100,"")</f>
        <v/>
      </c>
      <c r="G15" s="135"/>
      <c r="H15" s="154"/>
      <c r="I15" s="135" t="str">
        <f>IF(A15&lt;&gt;0,H15/#REF!*100,"")</f>
        <v/>
      </c>
      <c r="J15" s="116"/>
      <c r="K15" s="154"/>
      <c r="L15" s="135" t="str">
        <f>IF(A15&lt;&gt;0,K15/#REF!*100,"")</f>
        <v/>
      </c>
      <c r="N15" s="154"/>
      <c r="O15" s="135" t="str">
        <f>IF(A15&lt;&gt;0,N15/#REF!*100,"")</f>
        <v/>
      </c>
      <c r="Q15" s="154"/>
      <c r="R15" s="135" t="str">
        <f>IF(D15&lt;&gt;0,Q15/#REF!*100,"")</f>
        <v/>
      </c>
    </row>
    <row r="16" spans="1:19" ht="13" customHeight="1">
      <c r="A16" s="83" t="s">
        <v>1381</v>
      </c>
      <c r="B16" s="996">
        <v>9866</v>
      </c>
      <c r="C16" s="135">
        <f t="shared" ref="C16:C28" si="0">IF($A16&lt;&gt;"",B16/$B$14*100,"")</f>
        <v>59.681809932853426</v>
      </c>
      <c r="D16" s="116"/>
      <c r="E16" s="996">
        <v>4934</v>
      </c>
      <c r="F16" s="135">
        <f t="shared" ref="F16:F28" si="1">IF($A16&lt;&gt;"",E16/$E$14*100,"")</f>
        <v>57.931196430668074</v>
      </c>
      <c r="G16" s="135"/>
      <c r="H16" s="996">
        <v>5007</v>
      </c>
      <c r="I16" s="135">
        <f t="shared" ref="I16:I28" si="2">IF($A16&lt;&gt;"",H16/$H$14*100,"")</f>
        <v>62.454783584882122</v>
      </c>
      <c r="J16" s="116"/>
      <c r="K16" s="996">
        <v>461</v>
      </c>
      <c r="L16" s="135">
        <f t="shared" ref="L16:L28" si="3">IF($A16&lt;&gt;"",K16/$K$14*100,"")</f>
        <v>56.703567035670353</v>
      </c>
      <c r="N16" s="590">
        <v>623</v>
      </c>
      <c r="O16" s="135">
        <f t="shared" ref="O16:O28" si="4">IF($A16&lt;&gt;"",N16/$N$14*100,"")</f>
        <v>71.939953810623564</v>
      </c>
      <c r="Q16" s="590">
        <v>1310</v>
      </c>
      <c r="R16" s="135">
        <f>IF($A16&lt;&gt;"",Q16/$Q$14*100,"")</f>
        <v>50.384615384615387</v>
      </c>
    </row>
    <row r="17" spans="1:19" ht="13" customHeight="1">
      <c r="A17" s="83"/>
      <c r="B17" s="996"/>
      <c r="C17" s="135" t="str">
        <f t="shared" si="0"/>
        <v/>
      </c>
      <c r="D17" s="116"/>
      <c r="E17" s="996"/>
      <c r="F17" s="135" t="str">
        <f t="shared" si="1"/>
        <v/>
      </c>
      <c r="G17" s="135"/>
      <c r="H17" s="996"/>
      <c r="I17" s="135" t="str">
        <f t="shared" si="2"/>
        <v/>
      </c>
      <c r="J17" s="116"/>
      <c r="K17" s="996"/>
      <c r="L17" s="135" t="str">
        <f t="shared" si="3"/>
        <v/>
      </c>
      <c r="N17" s="590"/>
      <c r="O17" s="135" t="str">
        <f t="shared" si="4"/>
        <v/>
      </c>
      <c r="Q17" s="590"/>
      <c r="R17" s="135" t="str">
        <f>IF($A17&lt;&gt;"",Q17/$N$14*100,"")</f>
        <v/>
      </c>
    </row>
    <row r="18" spans="1:19" ht="13" customHeight="1">
      <c r="A18" s="83" t="s">
        <v>1605</v>
      </c>
      <c r="B18" s="996">
        <v>1862</v>
      </c>
      <c r="C18" s="135">
        <f t="shared" si="0"/>
        <v>11.263686407355877</v>
      </c>
      <c r="D18" s="116"/>
      <c r="E18" s="996">
        <v>854</v>
      </c>
      <c r="F18" s="135">
        <f t="shared" si="1"/>
        <v>10.027004813901609</v>
      </c>
      <c r="G18" s="135"/>
      <c r="H18" s="996">
        <v>957</v>
      </c>
      <c r="I18" s="135">
        <f t="shared" si="2"/>
        <v>11.937133591118872</v>
      </c>
      <c r="J18" s="116"/>
      <c r="K18" s="996">
        <v>123</v>
      </c>
      <c r="L18" s="135">
        <f t="shared" si="3"/>
        <v>15.129151291512915</v>
      </c>
      <c r="N18" s="590">
        <v>141</v>
      </c>
      <c r="O18" s="135">
        <f t="shared" si="4"/>
        <v>16.28175519630485</v>
      </c>
      <c r="Q18" s="590">
        <v>269</v>
      </c>
      <c r="R18" s="135">
        <f t="shared" ref="R18:R28" si="5">IF($A18&lt;&gt;"",Q18/$Q$14*100,"")</f>
        <v>10.346153846153847</v>
      </c>
    </row>
    <row r="19" spans="1:19" ht="13" customHeight="1">
      <c r="A19" s="83"/>
      <c r="B19" s="996"/>
      <c r="C19" s="135" t="str">
        <f t="shared" si="0"/>
        <v/>
      </c>
      <c r="D19" s="116"/>
      <c r="E19" s="996"/>
      <c r="F19" s="135" t="str">
        <f t="shared" si="1"/>
        <v/>
      </c>
      <c r="G19" s="135"/>
      <c r="H19" s="996"/>
      <c r="I19" s="135" t="str">
        <f t="shared" si="2"/>
        <v/>
      </c>
      <c r="J19" s="116"/>
      <c r="K19" s="996"/>
      <c r="L19" s="135" t="str">
        <f t="shared" si="3"/>
        <v/>
      </c>
      <c r="N19" s="590"/>
      <c r="O19" s="135" t="str">
        <f t="shared" si="4"/>
        <v/>
      </c>
      <c r="Q19" s="590"/>
      <c r="R19" s="135" t="str">
        <f t="shared" si="5"/>
        <v/>
      </c>
    </row>
    <row r="20" spans="1:19" ht="13" customHeight="1">
      <c r="A20" s="83" t="s">
        <v>1606</v>
      </c>
      <c r="B20" s="996">
        <v>1354</v>
      </c>
      <c r="C20" s="135">
        <f t="shared" si="0"/>
        <v>8.1906720706551326</v>
      </c>
      <c r="D20" s="116"/>
      <c r="E20" s="996">
        <v>517</v>
      </c>
      <c r="F20" s="135">
        <f t="shared" si="1"/>
        <v>6.0702125161441822</v>
      </c>
      <c r="G20" s="135"/>
      <c r="H20" s="996">
        <v>819</v>
      </c>
      <c r="I20" s="135">
        <f t="shared" si="2"/>
        <v>10.215791443183235</v>
      </c>
      <c r="J20" s="116"/>
      <c r="K20" s="996">
        <v>49</v>
      </c>
      <c r="L20" s="135">
        <f t="shared" si="3"/>
        <v>6.0270602706027061</v>
      </c>
      <c r="N20" s="590">
        <v>13</v>
      </c>
      <c r="O20" s="135">
        <f t="shared" si="4"/>
        <v>1.5011547344110854</v>
      </c>
      <c r="Q20" s="590">
        <v>286</v>
      </c>
      <c r="R20" s="135">
        <f t="shared" si="5"/>
        <v>11</v>
      </c>
    </row>
    <row r="21" spans="1:19" ht="13" customHeight="1">
      <c r="A21" s="83"/>
      <c r="B21" s="996"/>
      <c r="C21" s="135" t="str">
        <f t="shared" si="0"/>
        <v/>
      </c>
      <c r="D21" s="116"/>
      <c r="E21" s="996"/>
      <c r="F21" s="135" t="str">
        <f t="shared" si="1"/>
        <v/>
      </c>
      <c r="G21" s="135"/>
      <c r="H21" s="996"/>
      <c r="I21" s="135" t="str">
        <f t="shared" si="2"/>
        <v/>
      </c>
      <c r="J21" s="116"/>
      <c r="K21" s="996"/>
      <c r="L21" s="135" t="str">
        <f t="shared" si="3"/>
        <v/>
      </c>
      <c r="N21" s="590"/>
      <c r="O21" s="135" t="str">
        <f t="shared" si="4"/>
        <v/>
      </c>
      <c r="Q21" s="590"/>
      <c r="R21" s="135" t="str">
        <f t="shared" si="5"/>
        <v/>
      </c>
    </row>
    <row r="22" spans="1:19" ht="13" customHeight="1">
      <c r="A22" s="83" t="s">
        <v>1607</v>
      </c>
      <c r="B22" s="996">
        <v>1345</v>
      </c>
      <c r="C22" s="135">
        <f t="shared" si="0"/>
        <v>8.1362289032726398</v>
      </c>
      <c r="D22" s="301"/>
      <c r="E22" s="996">
        <v>926</v>
      </c>
      <c r="F22" s="135">
        <f t="shared" si="1"/>
        <v>10.872372901256311</v>
      </c>
      <c r="G22" s="537"/>
      <c r="H22" s="996">
        <v>402</v>
      </c>
      <c r="I22" s="135">
        <f t="shared" si="2"/>
        <v>5.0143445178994632</v>
      </c>
      <c r="J22" s="301"/>
      <c r="K22" s="996">
        <v>77</v>
      </c>
      <c r="L22" s="135">
        <f t="shared" si="3"/>
        <v>9.4710947109471082</v>
      </c>
      <c r="M22" s="77"/>
      <c r="N22" s="590">
        <v>38</v>
      </c>
      <c r="O22" s="135">
        <f t="shared" si="4"/>
        <v>4.3879907621247112</v>
      </c>
      <c r="Q22" s="590">
        <v>335</v>
      </c>
      <c r="R22" s="135">
        <f t="shared" si="5"/>
        <v>12.884615384615383</v>
      </c>
    </row>
    <row r="23" spans="1:19" ht="13" customHeight="1">
      <c r="A23" s="83"/>
      <c r="B23" s="996"/>
      <c r="C23" s="135" t="str">
        <f t="shared" si="0"/>
        <v/>
      </c>
      <c r="D23" s="301"/>
      <c r="E23" s="996"/>
      <c r="F23" s="135" t="str">
        <f t="shared" si="1"/>
        <v/>
      </c>
      <c r="G23" s="537"/>
      <c r="H23" s="996"/>
      <c r="I23" s="135" t="str">
        <f t="shared" si="2"/>
        <v/>
      </c>
      <c r="J23" s="301"/>
      <c r="K23" s="996"/>
      <c r="L23" s="135" t="str">
        <f t="shared" si="3"/>
        <v/>
      </c>
      <c r="M23" s="77"/>
      <c r="N23" s="590"/>
      <c r="O23" s="135" t="str">
        <f t="shared" si="4"/>
        <v/>
      </c>
      <c r="Q23" s="590"/>
      <c r="R23" s="135" t="str">
        <f t="shared" si="5"/>
        <v/>
      </c>
    </row>
    <row r="24" spans="1:19" ht="13" customHeight="1">
      <c r="A24" s="83" t="s">
        <v>1608</v>
      </c>
      <c r="B24" s="996">
        <v>991</v>
      </c>
      <c r="C24" s="135">
        <f t="shared" si="0"/>
        <v>5.9947976528945617</v>
      </c>
      <c r="D24" s="301"/>
      <c r="E24" s="996">
        <v>625</v>
      </c>
      <c r="F24" s="135">
        <f t="shared" si="1"/>
        <v>7.3382646471762358</v>
      </c>
      <c r="G24" s="537"/>
      <c r="H24" s="996">
        <v>329</v>
      </c>
      <c r="I24" s="135">
        <f t="shared" si="2"/>
        <v>4.1037794686291633</v>
      </c>
      <c r="J24" s="301"/>
      <c r="K24" s="996">
        <v>64</v>
      </c>
      <c r="L24" s="135">
        <f t="shared" si="3"/>
        <v>7.8720787207872078</v>
      </c>
      <c r="M24" s="77"/>
      <c r="N24" s="590">
        <v>22</v>
      </c>
      <c r="O24" s="135">
        <f t="shared" si="4"/>
        <v>2.5404157043879905</v>
      </c>
      <c r="Q24" s="590">
        <v>235</v>
      </c>
      <c r="R24" s="135">
        <f t="shared" si="5"/>
        <v>9.0384615384615383</v>
      </c>
    </row>
    <row r="25" spans="1:19" ht="13" customHeight="1">
      <c r="A25" s="83"/>
      <c r="B25" s="996"/>
      <c r="C25" s="135" t="str">
        <f t="shared" si="0"/>
        <v/>
      </c>
      <c r="D25" s="116"/>
      <c r="E25" s="996"/>
      <c r="F25" s="135" t="str">
        <f t="shared" si="1"/>
        <v/>
      </c>
      <c r="G25" s="135"/>
      <c r="H25" s="996"/>
      <c r="I25" s="135" t="str">
        <f t="shared" si="2"/>
        <v/>
      </c>
      <c r="J25" s="116"/>
      <c r="K25" s="996"/>
      <c r="L25" s="135" t="str">
        <f t="shared" si="3"/>
        <v/>
      </c>
      <c r="N25" s="590"/>
      <c r="O25" s="135" t="str">
        <f t="shared" si="4"/>
        <v/>
      </c>
      <c r="Q25" s="590"/>
      <c r="R25" s="135" t="str">
        <f t="shared" si="5"/>
        <v/>
      </c>
    </row>
    <row r="26" spans="1:19" ht="13" customHeight="1">
      <c r="A26" s="83" t="s">
        <v>1609</v>
      </c>
      <c r="B26" s="997">
        <v>843</v>
      </c>
      <c r="C26" s="135">
        <f t="shared" si="0"/>
        <v>5.0995100114935576</v>
      </c>
      <c r="D26" s="116"/>
      <c r="E26" s="997">
        <v>540</v>
      </c>
      <c r="F26" s="135">
        <f t="shared" si="1"/>
        <v>6.340260655160268</v>
      </c>
      <c r="G26" s="135"/>
      <c r="H26" s="997">
        <v>326</v>
      </c>
      <c r="I26" s="135">
        <f t="shared" si="2"/>
        <v>4.0663589871523014</v>
      </c>
      <c r="J26" s="116"/>
      <c r="K26" s="997">
        <v>39</v>
      </c>
      <c r="L26" s="135">
        <f t="shared" si="3"/>
        <v>4.7970479704797047</v>
      </c>
      <c r="N26" s="202">
        <v>23</v>
      </c>
      <c r="O26" s="135">
        <f t="shared" si="4"/>
        <v>2.6558891454965359</v>
      </c>
      <c r="Q26" s="202">
        <v>139</v>
      </c>
      <c r="R26" s="135">
        <f t="shared" si="5"/>
        <v>5.3461538461538467</v>
      </c>
    </row>
    <row r="27" spans="1:19" ht="13" customHeight="1">
      <c r="A27" s="83"/>
      <c r="B27" s="997"/>
      <c r="C27" s="135"/>
      <c r="D27" s="116"/>
      <c r="E27" s="997"/>
      <c r="F27" s="135"/>
      <c r="G27" s="135"/>
      <c r="H27" s="997"/>
      <c r="I27" s="135"/>
      <c r="J27" s="116"/>
      <c r="K27" s="997"/>
      <c r="L27" s="135"/>
      <c r="N27" s="202"/>
      <c r="O27" s="135"/>
      <c r="Q27" s="202"/>
      <c r="R27" s="135" t="str">
        <f t="shared" si="5"/>
        <v/>
      </c>
    </row>
    <row r="28" spans="1:19" ht="13" customHeight="1">
      <c r="A28" s="83" t="s">
        <v>1610</v>
      </c>
      <c r="B28" s="997">
        <v>270</v>
      </c>
      <c r="C28" s="135">
        <f t="shared" si="0"/>
        <v>1.6332950214748048</v>
      </c>
      <c r="D28" s="116"/>
      <c r="E28" s="997">
        <v>121</v>
      </c>
      <c r="F28" s="135">
        <f t="shared" si="1"/>
        <v>1.4206880356933194</v>
      </c>
      <c r="G28" s="135"/>
      <c r="H28" s="997">
        <v>177</v>
      </c>
      <c r="I28" s="135">
        <f t="shared" si="2"/>
        <v>2.2078084071348383</v>
      </c>
      <c r="J28" s="116"/>
      <c r="K28" s="997">
        <v>0</v>
      </c>
      <c r="L28" s="135">
        <f t="shared" si="3"/>
        <v>0</v>
      </c>
      <c r="N28" s="202">
        <v>6</v>
      </c>
      <c r="O28" s="135">
        <f t="shared" si="4"/>
        <v>0.69284064665127021</v>
      </c>
      <c r="Q28" s="202">
        <v>26</v>
      </c>
      <c r="R28" s="135">
        <f t="shared" si="5"/>
        <v>1</v>
      </c>
    </row>
    <row r="29" spans="1:19" ht="13" customHeight="1" thickBot="1"/>
    <row r="30" spans="1:19" ht="13" customHeight="1">
      <c r="A30" s="97"/>
      <c r="B30" s="144"/>
      <c r="C30" s="99"/>
      <c r="D30" s="97"/>
      <c r="E30" s="144"/>
      <c r="F30" s="99"/>
      <c r="G30" s="99"/>
      <c r="H30" s="144"/>
      <c r="I30" s="97"/>
      <c r="J30" s="97"/>
      <c r="K30" s="144"/>
      <c r="L30" s="97"/>
      <c r="M30" s="97"/>
      <c r="N30" s="144"/>
      <c r="O30" s="97"/>
      <c r="P30" s="97"/>
      <c r="Q30" s="97"/>
      <c r="R30" s="97"/>
      <c r="S30" s="97"/>
    </row>
    <row r="31" spans="1:19" ht="13" customHeight="1">
      <c r="A31" s="116" t="s">
        <v>1631</v>
      </c>
      <c r="B31" s="154"/>
      <c r="C31" s="135"/>
      <c r="D31" s="116"/>
      <c r="E31" s="154"/>
      <c r="F31" s="135"/>
      <c r="G31" s="135"/>
      <c r="H31" s="154"/>
      <c r="I31" s="116"/>
      <c r="J31" s="116"/>
      <c r="K31" s="154"/>
      <c r="L31" s="116"/>
      <c r="M31" s="116"/>
      <c r="N31" s="154"/>
      <c r="O31" s="116"/>
      <c r="P31" s="116"/>
    </row>
    <row r="32" spans="1:19" ht="13" customHeight="1">
      <c r="A32" s="116"/>
      <c r="B32" s="154"/>
      <c r="C32" s="135"/>
      <c r="D32" s="116"/>
      <c r="E32" s="154"/>
      <c r="F32" s="135"/>
      <c r="G32" s="135"/>
      <c r="H32" s="154"/>
      <c r="I32" s="116"/>
      <c r="J32" s="116"/>
      <c r="K32" s="154"/>
      <c r="L32" s="116"/>
      <c r="M32" s="116"/>
      <c r="N32" s="154"/>
      <c r="O32" s="116"/>
      <c r="P32" s="116"/>
    </row>
    <row r="33" spans="1:1" ht="13" customHeight="1">
      <c r="A33" s="95" t="s">
        <v>1563</v>
      </c>
    </row>
    <row r="34" spans="1:1" ht="13" customHeight="1">
      <c r="A34" s="95" t="s">
        <v>452</v>
      </c>
    </row>
  </sheetData>
  <mergeCells count="13">
    <mergeCell ref="Q10:R10"/>
    <mergeCell ref="B8:R8"/>
    <mergeCell ref="B9:C9"/>
    <mergeCell ref="E9:F9"/>
    <mergeCell ref="H9:I9"/>
    <mergeCell ref="K9:L9"/>
    <mergeCell ref="N9:O9"/>
    <mergeCell ref="Q9:R9"/>
    <mergeCell ref="B10:C10"/>
    <mergeCell ref="E10:F10"/>
    <mergeCell ref="H10:I10"/>
    <mergeCell ref="K10:L10"/>
    <mergeCell ref="N10:O10"/>
  </mergeCells>
  <pageMargins left="0.70866141732283472" right="0.70866141732283472" top="0.74803149606299213" bottom="0.74803149606299213" header="0.31496062992125984" footer="0.31496062992125984"/>
  <pageSetup scale="90" orientation="landscape" horizontalDpi="4294967293" verticalDpi="4294967293"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Y26"/>
  <sheetViews>
    <sheetView workbookViewId="0"/>
  </sheetViews>
  <sheetFormatPr baseColWidth="10" defaultColWidth="9.1640625" defaultRowHeight="13"/>
  <cols>
    <col min="1" max="1" width="12.5" style="95" customWidth="1"/>
    <col min="2" max="2" width="7.6640625" style="140" customWidth="1"/>
    <col min="3" max="3" width="7.6640625" style="105" customWidth="1"/>
    <col min="4" max="4" width="1.6640625" style="95" customWidth="1"/>
    <col min="5" max="5" width="7.6640625" style="140" customWidth="1"/>
    <col min="6" max="6" width="9.5" style="105" customWidth="1"/>
    <col min="7" max="7" width="1.6640625" style="95" customWidth="1"/>
    <col min="8" max="8" width="6.6640625" style="140" customWidth="1"/>
    <col min="9" max="9" width="9.33203125" style="105" customWidth="1"/>
    <col min="10" max="10" width="1.6640625" style="105" customWidth="1"/>
    <col min="11" max="11" width="6.6640625" style="140" customWidth="1"/>
    <col min="12" max="12" width="9.33203125" style="95" customWidth="1"/>
    <col min="13" max="13" width="1.6640625" style="95" customWidth="1"/>
    <col min="14" max="14" width="6.83203125" style="140" customWidth="1"/>
    <col min="15" max="15" width="9.33203125" style="95" customWidth="1"/>
    <col min="16" max="16" width="1.6640625" style="95" customWidth="1"/>
    <col min="17" max="17" width="6.6640625" style="140" customWidth="1"/>
    <col min="18" max="18" width="9.33203125" style="95" customWidth="1"/>
    <col min="19" max="19" width="1.6640625" style="95" customWidth="1"/>
    <col min="20" max="20" width="7.5" style="95" customWidth="1"/>
    <col min="21" max="21" width="9.33203125" style="95" customWidth="1"/>
    <col min="22" max="22" width="1.83203125" style="95" customWidth="1"/>
    <col min="23" max="23" width="6.6640625" style="95" customWidth="1"/>
    <col min="24" max="24" width="9.1640625" style="95" customWidth="1"/>
    <col min="25" max="25" width="1.83203125" style="95" customWidth="1"/>
    <col min="26" max="256" width="9.1640625" style="95"/>
    <col min="257" max="257" width="12.5" style="95" customWidth="1"/>
    <col min="258" max="259" width="7.6640625" style="95" customWidth="1"/>
    <col min="260" max="260" width="1.6640625" style="95" customWidth="1"/>
    <col min="261" max="261" width="7.6640625" style="95" customWidth="1"/>
    <col min="262" max="262" width="9.5" style="95" customWidth="1"/>
    <col min="263" max="263" width="1.6640625" style="95" customWidth="1"/>
    <col min="264" max="264" width="6.6640625" style="95" customWidth="1"/>
    <col min="265" max="265" width="9.33203125" style="95" customWidth="1"/>
    <col min="266" max="266" width="1.6640625" style="95" customWidth="1"/>
    <col min="267" max="267" width="6.6640625" style="95" customWidth="1"/>
    <col min="268" max="268" width="9.33203125" style="95" customWidth="1"/>
    <col min="269" max="269" width="1.6640625" style="95" customWidth="1"/>
    <col min="270" max="270" width="6.83203125" style="95" customWidth="1"/>
    <col min="271" max="271" width="9.33203125" style="95" customWidth="1"/>
    <col min="272" max="272" width="1.6640625" style="95" customWidth="1"/>
    <col min="273" max="273" width="6.6640625" style="95" customWidth="1"/>
    <col min="274" max="274" width="9.33203125" style="95" customWidth="1"/>
    <col min="275" max="275" width="1.6640625" style="95" customWidth="1"/>
    <col min="276" max="276" width="7.5" style="95" customWidth="1"/>
    <col min="277" max="277" width="9.33203125" style="95" customWidth="1"/>
    <col min="278" max="278" width="1.83203125" style="95" customWidth="1"/>
    <col min="279" max="279" width="6.6640625" style="95" customWidth="1"/>
    <col min="280" max="280" width="9.1640625" style="95" customWidth="1"/>
    <col min="281" max="281" width="1.83203125" style="95" customWidth="1"/>
    <col min="282" max="512" width="9.1640625" style="95"/>
    <col min="513" max="513" width="12.5" style="95" customWidth="1"/>
    <col min="514" max="515" width="7.6640625" style="95" customWidth="1"/>
    <col min="516" max="516" width="1.6640625" style="95" customWidth="1"/>
    <col min="517" max="517" width="7.6640625" style="95" customWidth="1"/>
    <col min="518" max="518" width="9.5" style="95" customWidth="1"/>
    <col min="519" max="519" width="1.6640625" style="95" customWidth="1"/>
    <col min="520" max="520" width="6.6640625" style="95" customWidth="1"/>
    <col min="521" max="521" width="9.33203125" style="95" customWidth="1"/>
    <col min="522" max="522" width="1.6640625" style="95" customWidth="1"/>
    <col min="523" max="523" width="6.6640625" style="95" customWidth="1"/>
    <col min="524" max="524" width="9.33203125" style="95" customWidth="1"/>
    <col min="525" max="525" width="1.6640625" style="95" customWidth="1"/>
    <col min="526" max="526" width="6.83203125" style="95" customWidth="1"/>
    <col min="527" max="527" width="9.33203125" style="95" customWidth="1"/>
    <col min="528" max="528" width="1.6640625" style="95" customWidth="1"/>
    <col min="529" max="529" width="6.6640625" style="95" customWidth="1"/>
    <col min="530" max="530" width="9.33203125" style="95" customWidth="1"/>
    <col min="531" max="531" width="1.6640625" style="95" customWidth="1"/>
    <col min="532" max="532" width="7.5" style="95" customWidth="1"/>
    <col min="533" max="533" width="9.33203125" style="95" customWidth="1"/>
    <col min="534" max="534" width="1.83203125" style="95" customWidth="1"/>
    <col min="535" max="535" width="6.6640625" style="95" customWidth="1"/>
    <col min="536" max="536" width="9.1640625" style="95" customWidth="1"/>
    <col min="537" max="537" width="1.83203125" style="95" customWidth="1"/>
    <col min="538" max="768" width="9.1640625" style="95"/>
    <col min="769" max="769" width="12.5" style="95" customWidth="1"/>
    <col min="770" max="771" width="7.6640625" style="95" customWidth="1"/>
    <col min="772" max="772" width="1.6640625" style="95" customWidth="1"/>
    <col min="773" max="773" width="7.6640625" style="95" customWidth="1"/>
    <col min="774" max="774" width="9.5" style="95" customWidth="1"/>
    <col min="775" max="775" width="1.6640625" style="95" customWidth="1"/>
    <col min="776" max="776" width="6.6640625" style="95" customWidth="1"/>
    <col min="777" max="777" width="9.33203125" style="95" customWidth="1"/>
    <col min="778" max="778" width="1.6640625" style="95" customWidth="1"/>
    <col min="779" max="779" width="6.6640625" style="95" customWidth="1"/>
    <col min="780" max="780" width="9.33203125" style="95" customWidth="1"/>
    <col min="781" max="781" width="1.6640625" style="95" customWidth="1"/>
    <col min="782" max="782" width="6.83203125" style="95" customWidth="1"/>
    <col min="783" max="783" width="9.33203125" style="95" customWidth="1"/>
    <col min="784" max="784" width="1.6640625" style="95" customWidth="1"/>
    <col min="785" max="785" width="6.6640625" style="95" customWidth="1"/>
    <col min="786" max="786" width="9.33203125" style="95" customWidth="1"/>
    <col min="787" max="787" width="1.6640625" style="95" customWidth="1"/>
    <col min="788" max="788" width="7.5" style="95" customWidth="1"/>
    <col min="789" max="789" width="9.33203125" style="95" customWidth="1"/>
    <col min="790" max="790" width="1.83203125" style="95" customWidth="1"/>
    <col min="791" max="791" width="6.6640625" style="95" customWidth="1"/>
    <col min="792" max="792" width="9.1640625" style="95" customWidth="1"/>
    <col min="793" max="793" width="1.83203125" style="95" customWidth="1"/>
    <col min="794" max="1024" width="9.1640625" style="95"/>
    <col min="1025" max="1025" width="12.5" style="95" customWidth="1"/>
    <col min="1026" max="1027" width="7.6640625" style="95" customWidth="1"/>
    <col min="1028" max="1028" width="1.6640625" style="95" customWidth="1"/>
    <col min="1029" max="1029" width="7.6640625" style="95" customWidth="1"/>
    <col min="1030" max="1030" width="9.5" style="95" customWidth="1"/>
    <col min="1031" max="1031" width="1.6640625" style="95" customWidth="1"/>
    <col min="1032" max="1032" width="6.6640625" style="95" customWidth="1"/>
    <col min="1033" max="1033" width="9.33203125" style="95" customWidth="1"/>
    <col min="1034" max="1034" width="1.6640625" style="95" customWidth="1"/>
    <col min="1035" max="1035" width="6.6640625" style="95" customWidth="1"/>
    <col min="1036" max="1036" width="9.33203125" style="95" customWidth="1"/>
    <col min="1037" max="1037" width="1.6640625" style="95" customWidth="1"/>
    <col min="1038" max="1038" width="6.83203125" style="95" customWidth="1"/>
    <col min="1039" max="1039" width="9.33203125" style="95" customWidth="1"/>
    <col min="1040" max="1040" width="1.6640625" style="95" customWidth="1"/>
    <col min="1041" max="1041" width="6.6640625" style="95" customWidth="1"/>
    <col min="1042" max="1042" width="9.33203125" style="95" customWidth="1"/>
    <col min="1043" max="1043" width="1.6640625" style="95" customWidth="1"/>
    <col min="1044" max="1044" width="7.5" style="95" customWidth="1"/>
    <col min="1045" max="1045" width="9.33203125" style="95" customWidth="1"/>
    <col min="1046" max="1046" width="1.83203125" style="95" customWidth="1"/>
    <col min="1047" max="1047" width="6.6640625" style="95" customWidth="1"/>
    <col min="1048" max="1048" width="9.1640625" style="95" customWidth="1"/>
    <col min="1049" max="1049" width="1.83203125" style="95" customWidth="1"/>
    <col min="1050" max="1280" width="9.1640625" style="95"/>
    <col min="1281" max="1281" width="12.5" style="95" customWidth="1"/>
    <col min="1282" max="1283" width="7.6640625" style="95" customWidth="1"/>
    <col min="1284" max="1284" width="1.6640625" style="95" customWidth="1"/>
    <col min="1285" max="1285" width="7.6640625" style="95" customWidth="1"/>
    <col min="1286" max="1286" width="9.5" style="95" customWidth="1"/>
    <col min="1287" max="1287" width="1.6640625" style="95" customWidth="1"/>
    <col min="1288" max="1288" width="6.6640625" style="95" customWidth="1"/>
    <col min="1289" max="1289" width="9.33203125" style="95" customWidth="1"/>
    <col min="1290" max="1290" width="1.6640625" style="95" customWidth="1"/>
    <col min="1291" max="1291" width="6.6640625" style="95" customWidth="1"/>
    <col min="1292" max="1292" width="9.33203125" style="95" customWidth="1"/>
    <col min="1293" max="1293" width="1.6640625" style="95" customWidth="1"/>
    <col min="1294" max="1294" width="6.83203125" style="95" customWidth="1"/>
    <col min="1295" max="1295" width="9.33203125" style="95" customWidth="1"/>
    <col min="1296" max="1296" width="1.6640625" style="95" customWidth="1"/>
    <col min="1297" max="1297" width="6.6640625" style="95" customWidth="1"/>
    <col min="1298" max="1298" width="9.33203125" style="95" customWidth="1"/>
    <col min="1299" max="1299" width="1.6640625" style="95" customWidth="1"/>
    <col min="1300" max="1300" width="7.5" style="95" customWidth="1"/>
    <col min="1301" max="1301" width="9.33203125" style="95" customWidth="1"/>
    <col min="1302" max="1302" width="1.83203125" style="95" customWidth="1"/>
    <col min="1303" max="1303" width="6.6640625" style="95" customWidth="1"/>
    <col min="1304" max="1304" width="9.1640625" style="95" customWidth="1"/>
    <col min="1305" max="1305" width="1.83203125" style="95" customWidth="1"/>
    <col min="1306" max="1536" width="9.1640625" style="95"/>
    <col min="1537" max="1537" width="12.5" style="95" customWidth="1"/>
    <col min="1538" max="1539" width="7.6640625" style="95" customWidth="1"/>
    <col min="1540" max="1540" width="1.6640625" style="95" customWidth="1"/>
    <col min="1541" max="1541" width="7.6640625" style="95" customWidth="1"/>
    <col min="1542" max="1542" width="9.5" style="95" customWidth="1"/>
    <col min="1543" max="1543" width="1.6640625" style="95" customWidth="1"/>
    <col min="1544" max="1544" width="6.6640625" style="95" customWidth="1"/>
    <col min="1545" max="1545" width="9.33203125" style="95" customWidth="1"/>
    <col min="1546" max="1546" width="1.6640625" style="95" customWidth="1"/>
    <col min="1547" max="1547" width="6.6640625" style="95" customWidth="1"/>
    <col min="1548" max="1548" width="9.33203125" style="95" customWidth="1"/>
    <col min="1549" max="1549" width="1.6640625" style="95" customWidth="1"/>
    <col min="1550" max="1550" width="6.83203125" style="95" customWidth="1"/>
    <col min="1551" max="1551" width="9.33203125" style="95" customWidth="1"/>
    <col min="1552" max="1552" width="1.6640625" style="95" customWidth="1"/>
    <col min="1553" max="1553" width="6.6640625" style="95" customWidth="1"/>
    <col min="1554" max="1554" width="9.33203125" style="95" customWidth="1"/>
    <col min="1555" max="1555" width="1.6640625" style="95" customWidth="1"/>
    <col min="1556" max="1556" width="7.5" style="95" customWidth="1"/>
    <col min="1557" max="1557" width="9.33203125" style="95" customWidth="1"/>
    <col min="1558" max="1558" width="1.83203125" style="95" customWidth="1"/>
    <col min="1559" max="1559" width="6.6640625" style="95" customWidth="1"/>
    <col min="1560" max="1560" width="9.1640625" style="95" customWidth="1"/>
    <col min="1561" max="1561" width="1.83203125" style="95" customWidth="1"/>
    <col min="1562" max="1792" width="9.1640625" style="95"/>
    <col min="1793" max="1793" width="12.5" style="95" customWidth="1"/>
    <col min="1794" max="1795" width="7.6640625" style="95" customWidth="1"/>
    <col min="1796" max="1796" width="1.6640625" style="95" customWidth="1"/>
    <col min="1797" max="1797" width="7.6640625" style="95" customWidth="1"/>
    <col min="1798" max="1798" width="9.5" style="95" customWidth="1"/>
    <col min="1799" max="1799" width="1.6640625" style="95" customWidth="1"/>
    <col min="1800" max="1800" width="6.6640625" style="95" customWidth="1"/>
    <col min="1801" max="1801" width="9.33203125" style="95" customWidth="1"/>
    <col min="1802" max="1802" width="1.6640625" style="95" customWidth="1"/>
    <col min="1803" max="1803" width="6.6640625" style="95" customWidth="1"/>
    <col min="1804" max="1804" width="9.33203125" style="95" customWidth="1"/>
    <col min="1805" max="1805" width="1.6640625" style="95" customWidth="1"/>
    <col min="1806" max="1806" width="6.83203125" style="95" customWidth="1"/>
    <col min="1807" max="1807" width="9.33203125" style="95" customWidth="1"/>
    <col min="1808" max="1808" width="1.6640625" style="95" customWidth="1"/>
    <col min="1809" max="1809" width="6.6640625" style="95" customWidth="1"/>
    <col min="1810" max="1810" width="9.33203125" style="95" customWidth="1"/>
    <col min="1811" max="1811" width="1.6640625" style="95" customWidth="1"/>
    <col min="1812" max="1812" width="7.5" style="95" customWidth="1"/>
    <col min="1813" max="1813" width="9.33203125" style="95" customWidth="1"/>
    <col min="1814" max="1814" width="1.83203125" style="95" customWidth="1"/>
    <col min="1815" max="1815" width="6.6640625" style="95" customWidth="1"/>
    <col min="1816" max="1816" width="9.1640625" style="95" customWidth="1"/>
    <col min="1817" max="1817" width="1.83203125" style="95" customWidth="1"/>
    <col min="1818" max="2048" width="9.1640625" style="95"/>
    <col min="2049" max="2049" width="12.5" style="95" customWidth="1"/>
    <col min="2050" max="2051" width="7.6640625" style="95" customWidth="1"/>
    <col min="2052" max="2052" width="1.6640625" style="95" customWidth="1"/>
    <col min="2053" max="2053" width="7.6640625" style="95" customWidth="1"/>
    <col min="2054" max="2054" width="9.5" style="95" customWidth="1"/>
    <col min="2055" max="2055" width="1.6640625" style="95" customWidth="1"/>
    <col min="2056" max="2056" width="6.6640625" style="95" customWidth="1"/>
    <col min="2057" max="2057" width="9.33203125" style="95" customWidth="1"/>
    <col min="2058" max="2058" width="1.6640625" style="95" customWidth="1"/>
    <col min="2059" max="2059" width="6.6640625" style="95" customWidth="1"/>
    <col min="2060" max="2060" width="9.33203125" style="95" customWidth="1"/>
    <col min="2061" max="2061" width="1.6640625" style="95" customWidth="1"/>
    <col min="2062" max="2062" width="6.83203125" style="95" customWidth="1"/>
    <col min="2063" max="2063" width="9.33203125" style="95" customWidth="1"/>
    <col min="2064" max="2064" width="1.6640625" style="95" customWidth="1"/>
    <col min="2065" max="2065" width="6.6640625" style="95" customWidth="1"/>
    <col min="2066" max="2066" width="9.33203125" style="95" customWidth="1"/>
    <col min="2067" max="2067" width="1.6640625" style="95" customWidth="1"/>
    <col min="2068" max="2068" width="7.5" style="95" customWidth="1"/>
    <col min="2069" max="2069" width="9.33203125" style="95" customWidth="1"/>
    <col min="2070" max="2070" width="1.83203125" style="95" customWidth="1"/>
    <col min="2071" max="2071" width="6.6640625" style="95" customWidth="1"/>
    <col min="2072" max="2072" width="9.1640625" style="95" customWidth="1"/>
    <col min="2073" max="2073" width="1.83203125" style="95" customWidth="1"/>
    <col min="2074" max="2304" width="9.1640625" style="95"/>
    <col min="2305" max="2305" width="12.5" style="95" customWidth="1"/>
    <col min="2306" max="2307" width="7.6640625" style="95" customWidth="1"/>
    <col min="2308" max="2308" width="1.6640625" style="95" customWidth="1"/>
    <col min="2309" max="2309" width="7.6640625" style="95" customWidth="1"/>
    <col min="2310" max="2310" width="9.5" style="95" customWidth="1"/>
    <col min="2311" max="2311" width="1.6640625" style="95" customWidth="1"/>
    <col min="2312" max="2312" width="6.6640625" style="95" customWidth="1"/>
    <col min="2313" max="2313" width="9.33203125" style="95" customWidth="1"/>
    <col min="2314" max="2314" width="1.6640625" style="95" customWidth="1"/>
    <col min="2315" max="2315" width="6.6640625" style="95" customWidth="1"/>
    <col min="2316" max="2316" width="9.33203125" style="95" customWidth="1"/>
    <col min="2317" max="2317" width="1.6640625" style="95" customWidth="1"/>
    <col min="2318" max="2318" width="6.83203125" style="95" customWidth="1"/>
    <col min="2319" max="2319" width="9.33203125" style="95" customWidth="1"/>
    <col min="2320" max="2320" width="1.6640625" style="95" customWidth="1"/>
    <col min="2321" max="2321" width="6.6640625" style="95" customWidth="1"/>
    <col min="2322" max="2322" width="9.33203125" style="95" customWidth="1"/>
    <col min="2323" max="2323" width="1.6640625" style="95" customWidth="1"/>
    <col min="2324" max="2324" width="7.5" style="95" customWidth="1"/>
    <col min="2325" max="2325" width="9.33203125" style="95" customWidth="1"/>
    <col min="2326" max="2326" width="1.83203125" style="95" customWidth="1"/>
    <col min="2327" max="2327" width="6.6640625" style="95" customWidth="1"/>
    <col min="2328" max="2328" width="9.1640625" style="95" customWidth="1"/>
    <col min="2329" max="2329" width="1.83203125" style="95" customWidth="1"/>
    <col min="2330" max="2560" width="9.1640625" style="95"/>
    <col min="2561" max="2561" width="12.5" style="95" customWidth="1"/>
    <col min="2562" max="2563" width="7.6640625" style="95" customWidth="1"/>
    <col min="2564" max="2564" width="1.6640625" style="95" customWidth="1"/>
    <col min="2565" max="2565" width="7.6640625" style="95" customWidth="1"/>
    <col min="2566" max="2566" width="9.5" style="95" customWidth="1"/>
    <col min="2567" max="2567" width="1.6640625" style="95" customWidth="1"/>
    <col min="2568" max="2568" width="6.6640625" style="95" customWidth="1"/>
    <col min="2569" max="2569" width="9.33203125" style="95" customWidth="1"/>
    <col min="2570" max="2570" width="1.6640625" style="95" customWidth="1"/>
    <col min="2571" max="2571" width="6.6640625" style="95" customWidth="1"/>
    <col min="2572" max="2572" width="9.33203125" style="95" customWidth="1"/>
    <col min="2573" max="2573" width="1.6640625" style="95" customWidth="1"/>
    <col min="2574" max="2574" width="6.83203125" style="95" customWidth="1"/>
    <col min="2575" max="2575" width="9.33203125" style="95" customWidth="1"/>
    <col min="2576" max="2576" width="1.6640625" style="95" customWidth="1"/>
    <col min="2577" max="2577" width="6.6640625" style="95" customWidth="1"/>
    <col min="2578" max="2578" width="9.33203125" style="95" customWidth="1"/>
    <col min="2579" max="2579" width="1.6640625" style="95" customWidth="1"/>
    <col min="2580" max="2580" width="7.5" style="95" customWidth="1"/>
    <col min="2581" max="2581" width="9.33203125" style="95" customWidth="1"/>
    <col min="2582" max="2582" width="1.83203125" style="95" customWidth="1"/>
    <col min="2583" max="2583" width="6.6640625" style="95" customWidth="1"/>
    <col min="2584" max="2584" width="9.1640625" style="95" customWidth="1"/>
    <col min="2585" max="2585" width="1.83203125" style="95" customWidth="1"/>
    <col min="2586" max="2816" width="9.1640625" style="95"/>
    <col min="2817" max="2817" width="12.5" style="95" customWidth="1"/>
    <col min="2818" max="2819" width="7.6640625" style="95" customWidth="1"/>
    <col min="2820" max="2820" width="1.6640625" style="95" customWidth="1"/>
    <col min="2821" max="2821" width="7.6640625" style="95" customWidth="1"/>
    <col min="2822" max="2822" width="9.5" style="95" customWidth="1"/>
    <col min="2823" max="2823" width="1.6640625" style="95" customWidth="1"/>
    <col min="2824" max="2824" width="6.6640625" style="95" customWidth="1"/>
    <col min="2825" max="2825" width="9.33203125" style="95" customWidth="1"/>
    <col min="2826" max="2826" width="1.6640625" style="95" customWidth="1"/>
    <col min="2827" max="2827" width="6.6640625" style="95" customWidth="1"/>
    <col min="2828" max="2828" width="9.33203125" style="95" customWidth="1"/>
    <col min="2829" max="2829" width="1.6640625" style="95" customWidth="1"/>
    <col min="2830" max="2830" width="6.83203125" style="95" customWidth="1"/>
    <col min="2831" max="2831" width="9.33203125" style="95" customWidth="1"/>
    <col min="2832" max="2832" width="1.6640625" style="95" customWidth="1"/>
    <col min="2833" max="2833" width="6.6640625" style="95" customWidth="1"/>
    <col min="2834" max="2834" width="9.33203125" style="95" customWidth="1"/>
    <col min="2835" max="2835" width="1.6640625" style="95" customWidth="1"/>
    <col min="2836" max="2836" width="7.5" style="95" customWidth="1"/>
    <col min="2837" max="2837" width="9.33203125" style="95" customWidth="1"/>
    <col min="2838" max="2838" width="1.83203125" style="95" customWidth="1"/>
    <col min="2839" max="2839" width="6.6640625" style="95" customWidth="1"/>
    <col min="2840" max="2840" width="9.1640625" style="95" customWidth="1"/>
    <col min="2841" max="2841" width="1.83203125" style="95" customWidth="1"/>
    <col min="2842" max="3072" width="9.1640625" style="95"/>
    <col min="3073" max="3073" width="12.5" style="95" customWidth="1"/>
    <col min="3074" max="3075" width="7.6640625" style="95" customWidth="1"/>
    <col min="3076" max="3076" width="1.6640625" style="95" customWidth="1"/>
    <col min="3077" max="3077" width="7.6640625" style="95" customWidth="1"/>
    <col min="3078" max="3078" width="9.5" style="95" customWidth="1"/>
    <col min="3079" max="3079" width="1.6640625" style="95" customWidth="1"/>
    <col min="3080" max="3080" width="6.6640625" style="95" customWidth="1"/>
    <col min="3081" max="3081" width="9.33203125" style="95" customWidth="1"/>
    <col min="3082" max="3082" width="1.6640625" style="95" customWidth="1"/>
    <col min="3083" max="3083" width="6.6640625" style="95" customWidth="1"/>
    <col min="3084" max="3084" width="9.33203125" style="95" customWidth="1"/>
    <col min="3085" max="3085" width="1.6640625" style="95" customWidth="1"/>
    <col min="3086" max="3086" width="6.83203125" style="95" customWidth="1"/>
    <col min="3087" max="3087" width="9.33203125" style="95" customWidth="1"/>
    <col min="3088" max="3088" width="1.6640625" style="95" customWidth="1"/>
    <col min="3089" max="3089" width="6.6640625" style="95" customWidth="1"/>
    <col min="3090" max="3090" width="9.33203125" style="95" customWidth="1"/>
    <col min="3091" max="3091" width="1.6640625" style="95" customWidth="1"/>
    <col min="3092" max="3092" width="7.5" style="95" customWidth="1"/>
    <col min="3093" max="3093" width="9.33203125" style="95" customWidth="1"/>
    <col min="3094" max="3094" width="1.83203125" style="95" customWidth="1"/>
    <col min="3095" max="3095" width="6.6640625" style="95" customWidth="1"/>
    <col min="3096" max="3096" width="9.1640625" style="95" customWidth="1"/>
    <col min="3097" max="3097" width="1.83203125" style="95" customWidth="1"/>
    <col min="3098" max="3328" width="9.1640625" style="95"/>
    <col min="3329" max="3329" width="12.5" style="95" customWidth="1"/>
    <col min="3330" max="3331" width="7.6640625" style="95" customWidth="1"/>
    <col min="3332" max="3332" width="1.6640625" style="95" customWidth="1"/>
    <col min="3333" max="3333" width="7.6640625" style="95" customWidth="1"/>
    <col min="3334" max="3334" width="9.5" style="95" customWidth="1"/>
    <col min="3335" max="3335" width="1.6640625" style="95" customWidth="1"/>
    <col min="3336" max="3336" width="6.6640625" style="95" customWidth="1"/>
    <col min="3337" max="3337" width="9.33203125" style="95" customWidth="1"/>
    <col min="3338" max="3338" width="1.6640625" style="95" customWidth="1"/>
    <col min="3339" max="3339" width="6.6640625" style="95" customWidth="1"/>
    <col min="3340" max="3340" width="9.33203125" style="95" customWidth="1"/>
    <col min="3341" max="3341" width="1.6640625" style="95" customWidth="1"/>
    <col min="3342" max="3342" width="6.83203125" style="95" customWidth="1"/>
    <col min="3343" max="3343" width="9.33203125" style="95" customWidth="1"/>
    <col min="3344" max="3344" width="1.6640625" style="95" customWidth="1"/>
    <col min="3345" max="3345" width="6.6640625" style="95" customWidth="1"/>
    <col min="3346" max="3346" width="9.33203125" style="95" customWidth="1"/>
    <col min="3347" max="3347" width="1.6640625" style="95" customWidth="1"/>
    <col min="3348" max="3348" width="7.5" style="95" customWidth="1"/>
    <col min="3349" max="3349" width="9.33203125" style="95" customWidth="1"/>
    <col min="3350" max="3350" width="1.83203125" style="95" customWidth="1"/>
    <col min="3351" max="3351" width="6.6640625" style="95" customWidth="1"/>
    <col min="3352" max="3352" width="9.1640625" style="95" customWidth="1"/>
    <col min="3353" max="3353" width="1.83203125" style="95" customWidth="1"/>
    <col min="3354" max="3584" width="9.1640625" style="95"/>
    <col min="3585" max="3585" width="12.5" style="95" customWidth="1"/>
    <col min="3586" max="3587" width="7.6640625" style="95" customWidth="1"/>
    <col min="3588" max="3588" width="1.6640625" style="95" customWidth="1"/>
    <col min="3589" max="3589" width="7.6640625" style="95" customWidth="1"/>
    <col min="3590" max="3590" width="9.5" style="95" customWidth="1"/>
    <col min="3591" max="3591" width="1.6640625" style="95" customWidth="1"/>
    <col min="3592" max="3592" width="6.6640625" style="95" customWidth="1"/>
    <col min="3593" max="3593" width="9.33203125" style="95" customWidth="1"/>
    <col min="3594" max="3594" width="1.6640625" style="95" customWidth="1"/>
    <col min="3595" max="3595" width="6.6640625" style="95" customWidth="1"/>
    <col min="3596" max="3596" width="9.33203125" style="95" customWidth="1"/>
    <col min="3597" max="3597" width="1.6640625" style="95" customWidth="1"/>
    <col min="3598" max="3598" width="6.83203125" style="95" customWidth="1"/>
    <col min="3599" max="3599" width="9.33203125" style="95" customWidth="1"/>
    <col min="3600" max="3600" width="1.6640625" style="95" customWidth="1"/>
    <col min="3601" max="3601" width="6.6640625" style="95" customWidth="1"/>
    <col min="3602" max="3602" width="9.33203125" style="95" customWidth="1"/>
    <col min="3603" max="3603" width="1.6640625" style="95" customWidth="1"/>
    <col min="3604" max="3604" width="7.5" style="95" customWidth="1"/>
    <col min="3605" max="3605" width="9.33203125" style="95" customWidth="1"/>
    <col min="3606" max="3606" width="1.83203125" style="95" customWidth="1"/>
    <col min="3607" max="3607" width="6.6640625" style="95" customWidth="1"/>
    <col min="3608" max="3608" width="9.1640625" style="95" customWidth="1"/>
    <col min="3609" max="3609" width="1.83203125" style="95" customWidth="1"/>
    <col min="3610" max="3840" width="9.1640625" style="95"/>
    <col min="3841" max="3841" width="12.5" style="95" customWidth="1"/>
    <col min="3842" max="3843" width="7.6640625" style="95" customWidth="1"/>
    <col min="3844" max="3844" width="1.6640625" style="95" customWidth="1"/>
    <col min="3845" max="3845" width="7.6640625" style="95" customWidth="1"/>
    <col min="3846" max="3846" width="9.5" style="95" customWidth="1"/>
    <col min="3847" max="3847" width="1.6640625" style="95" customWidth="1"/>
    <col min="3848" max="3848" width="6.6640625" style="95" customWidth="1"/>
    <col min="3849" max="3849" width="9.33203125" style="95" customWidth="1"/>
    <col min="3850" max="3850" width="1.6640625" style="95" customWidth="1"/>
    <col min="3851" max="3851" width="6.6640625" style="95" customWidth="1"/>
    <col min="3852" max="3852" width="9.33203125" style="95" customWidth="1"/>
    <col min="3853" max="3853" width="1.6640625" style="95" customWidth="1"/>
    <col min="3854" max="3854" width="6.83203125" style="95" customWidth="1"/>
    <col min="3855" max="3855" width="9.33203125" style="95" customWidth="1"/>
    <col min="3856" max="3856" width="1.6640625" style="95" customWidth="1"/>
    <col min="3857" max="3857" width="6.6640625" style="95" customWidth="1"/>
    <col min="3858" max="3858" width="9.33203125" style="95" customWidth="1"/>
    <col min="3859" max="3859" width="1.6640625" style="95" customWidth="1"/>
    <col min="3860" max="3860" width="7.5" style="95" customWidth="1"/>
    <col min="3861" max="3861" width="9.33203125" style="95" customWidth="1"/>
    <col min="3862" max="3862" width="1.83203125" style="95" customWidth="1"/>
    <col min="3863" max="3863" width="6.6640625" style="95" customWidth="1"/>
    <col min="3864" max="3864" width="9.1640625" style="95" customWidth="1"/>
    <col min="3865" max="3865" width="1.83203125" style="95" customWidth="1"/>
    <col min="3866" max="4096" width="9.1640625" style="95"/>
    <col min="4097" max="4097" width="12.5" style="95" customWidth="1"/>
    <col min="4098" max="4099" width="7.6640625" style="95" customWidth="1"/>
    <col min="4100" max="4100" width="1.6640625" style="95" customWidth="1"/>
    <col min="4101" max="4101" width="7.6640625" style="95" customWidth="1"/>
    <col min="4102" max="4102" width="9.5" style="95" customWidth="1"/>
    <col min="4103" max="4103" width="1.6640625" style="95" customWidth="1"/>
    <col min="4104" max="4104" width="6.6640625" style="95" customWidth="1"/>
    <col min="4105" max="4105" width="9.33203125" style="95" customWidth="1"/>
    <col min="4106" max="4106" width="1.6640625" style="95" customWidth="1"/>
    <col min="4107" max="4107" width="6.6640625" style="95" customWidth="1"/>
    <col min="4108" max="4108" width="9.33203125" style="95" customWidth="1"/>
    <col min="4109" max="4109" width="1.6640625" style="95" customWidth="1"/>
    <col min="4110" max="4110" width="6.83203125" style="95" customWidth="1"/>
    <col min="4111" max="4111" width="9.33203125" style="95" customWidth="1"/>
    <col min="4112" max="4112" width="1.6640625" style="95" customWidth="1"/>
    <col min="4113" max="4113" width="6.6640625" style="95" customWidth="1"/>
    <col min="4114" max="4114" width="9.33203125" style="95" customWidth="1"/>
    <col min="4115" max="4115" width="1.6640625" style="95" customWidth="1"/>
    <col min="4116" max="4116" width="7.5" style="95" customWidth="1"/>
    <col min="4117" max="4117" width="9.33203125" style="95" customWidth="1"/>
    <col min="4118" max="4118" width="1.83203125" style="95" customWidth="1"/>
    <col min="4119" max="4119" width="6.6640625" style="95" customWidth="1"/>
    <col min="4120" max="4120" width="9.1640625" style="95" customWidth="1"/>
    <col min="4121" max="4121" width="1.83203125" style="95" customWidth="1"/>
    <col min="4122" max="4352" width="9.1640625" style="95"/>
    <col min="4353" max="4353" width="12.5" style="95" customWidth="1"/>
    <col min="4354" max="4355" width="7.6640625" style="95" customWidth="1"/>
    <col min="4356" max="4356" width="1.6640625" style="95" customWidth="1"/>
    <col min="4357" max="4357" width="7.6640625" style="95" customWidth="1"/>
    <col min="4358" max="4358" width="9.5" style="95" customWidth="1"/>
    <col min="4359" max="4359" width="1.6640625" style="95" customWidth="1"/>
    <col min="4360" max="4360" width="6.6640625" style="95" customWidth="1"/>
    <col min="4361" max="4361" width="9.33203125" style="95" customWidth="1"/>
    <col min="4362" max="4362" width="1.6640625" style="95" customWidth="1"/>
    <col min="4363" max="4363" width="6.6640625" style="95" customWidth="1"/>
    <col min="4364" max="4364" width="9.33203125" style="95" customWidth="1"/>
    <col min="4365" max="4365" width="1.6640625" style="95" customWidth="1"/>
    <col min="4366" max="4366" width="6.83203125" style="95" customWidth="1"/>
    <col min="4367" max="4367" width="9.33203125" style="95" customWidth="1"/>
    <col min="4368" max="4368" width="1.6640625" style="95" customWidth="1"/>
    <col min="4369" max="4369" width="6.6640625" style="95" customWidth="1"/>
    <col min="4370" max="4370" width="9.33203125" style="95" customWidth="1"/>
    <col min="4371" max="4371" width="1.6640625" style="95" customWidth="1"/>
    <col min="4372" max="4372" width="7.5" style="95" customWidth="1"/>
    <col min="4373" max="4373" width="9.33203125" style="95" customWidth="1"/>
    <col min="4374" max="4374" width="1.83203125" style="95" customWidth="1"/>
    <col min="4375" max="4375" width="6.6640625" style="95" customWidth="1"/>
    <col min="4376" max="4376" width="9.1640625" style="95" customWidth="1"/>
    <col min="4377" max="4377" width="1.83203125" style="95" customWidth="1"/>
    <col min="4378" max="4608" width="9.1640625" style="95"/>
    <col min="4609" max="4609" width="12.5" style="95" customWidth="1"/>
    <col min="4610" max="4611" width="7.6640625" style="95" customWidth="1"/>
    <col min="4612" max="4612" width="1.6640625" style="95" customWidth="1"/>
    <col min="4613" max="4613" width="7.6640625" style="95" customWidth="1"/>
    <col min="4614" max="4614" width="9.5" style="95" customWidth="1"/>
    <col min="4615" max="4615" width="1.6640625" style="95" customWidth="1"/>
    <col min="4616" max="4616" width="6.6640625" style="95" customWidth="1"/>
    <col min="4617" max="4617" width="9.33203125" style="95" customWidth="1"/>
    <col min="4618" max="4618" width="1.6640625" style="95" customWidth="1"/>
    <col min="4619" max="4619" width="6.6640625" style="95" customWidth="1"/>
    <col min="4620" max="4620" width="9.33203125" style="95" customWidth="1"/>
    <col min="4621" max="4621" width="1.6640625" style="95" customWidth="1"/>
    <col min="4622" max="4622" width="6.83203125" style="95" customWidth="1"/>
    <col min="4623" max="4623" width="9.33203125" style="95" customWidth="1"/>
    <col min="4624" max="4624" width="1.6640625" style="95" customWidth="1"/>
    <col min="4625" max="4625" width="6.6640625" style="95" customWidth="1"/>
    <col min="4626" max="4626" width="9.33203125" style="95" customWidth="1"/>
    <col min="4627" max="4627" width="1.6640625" style="95" customWidth="1"/>
    <col min="4628" max="4628" width="7.5" style="95" customWidth="1"/>
    <col min="4629" max="4629" width="9.33203125" style="95" customWidth="1"/>
    <col min="4630" max="4630" width="1.83203125" style="95" customWidth="1"/>
    <col min="4631" max="4631" width="6.6640625" style="95" customWidth="1"/>
    <col min="4632" max="4632" width="9.1640625" style="95" customWidth="1"/>
    <col min="4633" max="4633" width="1.83203125" style="95" customWidth="1"/>
    <col min="4634" max="4864" width="9.1640625" style="95"/>
    <col min="4865" max="4865" width="12.5" style="95" customWidth="1"/>
    <col min="4866" max="4867" width="7.6640625" style="95" customWidth="1"/>
    <col min="4868" max="4868" width="1.6640625" style="95" customWidth="1"/>
    <col min="4869" max="4869" width="7.6640625" style="95" customWidth="1"/>
    <col min="4870" max="4870" width="9.5" style="95" customWidth="1"/>
    <col min="4871" max="4871" width="1.6640625" style="95" customWidth="1"/>
    <col min="4872" max="4872" width="6.6640625" style="95" customWidth="1"/>
    <col min="4873" max="4873" width="9.33203125" style="95" customWidth="1"/>
    <col min="4874" max="4874" width="1.6640625" style="95" customWidth="1"/>
    <col min="4875" max="4875" width="6.6640625" style="95" customWidth="1"/>
    <col min="4876" max="4876" width="9.33203125" style="95" customWidth="1"/>
    <col min="4877" max="4877" width="1.6640625" style="95" customWidth="1"/>
    <col min="4878" max="4878" width="6.83203125" style="95" customWidth="1"/>
    <col min="4879" max="4879" width="9.33203125" style="95" customWidth="1"/>
    <col min="4880" max="4880" width="1.6640625" style="95" customWidth="1"/>
    <col min="4881" max="4881" width="6.6640625" style="95" customWidth="1"/>
    <col min="4882" max="4882" width="9.33203125" style="95" customWidth="1"/>
    <col min="4883" max="4883" width="1.6640625" style="95" customWidth="1"/>
    <col min="4884" max="4884" width="7.5" style="95" customWidth="1"/>
    <col min="4885" max="4885" width="9.33203125" style="95" customWidth="1"/>
    <col min="4886" max="4886" width="1.83203125" style="95" customWidth="1"/>
    <col min="4887" max="4887" width="6.6640625" style="95" customWidth="1"/>
    <col min="4888" max="4888" width="9.1640625" style="95" customWidth="1"/>
    <col min="4889" max="4889" width="1.83203125" style="95" customWidth="1"/>
    <col min="4890" max="5120" width="9.1640625" style="95"/>
    <col min="5121" max="5121" width="12.5" style="95" customWidth="1"/>
    <col min="5122" max="5123" width="7.6640625" style="95" customWidth="1"/>
    <col min="5124" max="5124" width="1.6640625" style="95" customWidth="1"/>
    <col min="5125" max="5125" width="7.6640625" style="95" customWidth="1"/>
    <col min="5126" max="5126" width="9.5" style="95" customWidth="1"/>
    <col min="5127" max="5127" width="1.6640625" style="95" customWidth="1"/>
    <col min="5128" max="5128" width="6.6640625" style="95" customWidth="1"/>
    <col min="5129" max="5129" width="9.33203125" style="95" customWidth="1"/>
    <col min="5130" max="5130" width="1.6640625" style="95" customWidth="1"/>
    <col min="5131" max="5131" width="6.6640625" style="95" customWidth="1"/>
    <col min="5132" max="5132" width="9.33203125" style="95" customWidth="1"/>
    <col min="5133" max="5133" width="1.6640625" style="95" customWidth="1"/>
    <col min="5134" max="5134" width="6.83203125" style="95" customWidth="1"/>
    <col min="5135" max="5135" width="9.33203125" style="95" customWidth="1"/>
    <col min="5136" max="5136" width="1.6640625" style="95" customWidth="1"/>
    <col min="5137" max="5137" width="6.6640625" style="95" customWidth="1"/>
    <col min="5138" max="5138" width="9.33203125" style="95" customWidth="1"/>
    <col min="5139" max="5139" width="1.6640625" style="95" customWidth="1"/>
    <col min="5140" max="5140" width="7.5" style="95" customWidth="1"/>
    <col min="5141" max="5141" width="9.33203125" style="95" customWidth="1"/>
    <col min="5142" max="5142" width="1.83203125" style="95" customWidth="1"/>
    <col min="5143" max="5143" width="6.6640625" style="95" customWidth="1"/>
    <col min="5144" max="5144" width="9.1640625" style="95" customWidth="1"/>
    <col min="5145" max="5145" width="1.83203125" style="95" customWidth="1"/>
    <col min="5146" max="5376" width="9.1640625" style="95"/>
    <col min="5377" max="5377" width="12.5" style="95" customWidth="1"/>
    <col min="5378" max="5379" width="7.6640625" style="95" customWidth="1"/>
    <col min="5380" max="5380" width="1.6640625" style="95" customWidth="1"/>
    <col min="5381" max="5381" width="7.6640625" style="95" customWidth="1"/>
    <col min="5382" max="5382" width="9.5" style="95" customWidth="1"/>
    <col min="5383" max="5383" width="1.6640625" style="95" customWidth="1"/>
    <col min="5384" max="5384" width="6.6640625" style="95" customWidth="1"/>
    <col min="5385" max="5385" width="9.33203125" style="95" customWidth="1"/>
    <col min="5386" max="5386" width="1.6640625" style="95" customWidth="1"/>
    <col min="5387" max="5387" width="6.6640625" style="95" customWidth="1"/>
    <col min="5388" max="5388" width="9.33203125" style="95" customWidth="1"/>
    <col min="5389" max="5389" width="1.6640625" style="95" customWidth="1"/>
    <col min="5390" max="5390" width="6.83203125" style="95" customWidth="1"/>
    <col min="5391" max="5391" width="9.33203125" style="95" customWidth="1"/>
    <col min="5392" max="5392" width="1.6640625" style="95" customWidth="1"/>
    <col min="5393" max="5393" width="6.6640625" style="95" customWidth="1"/>
    <col min="5394" max="5394" width="9.33203125" style="95" customWidth="1"/>
    <col min="5395" max="5395" width="1.6640625" style="95" customWidth="1"/>
    <col min="5396" max="5396" width="7.5" style="95" customWidth="1"/>
    <col min="5397" max="5397" width="9.33203125" style="95" customWidth="1"/>
    <col min="5398" max="5398" width="1.83203125" style="95" customWidth="1"/>
    <col min="5399" max="5399" width="6.6640625" style="95" customWidth="1"/>
    <col min="5400" max="5400" width="9.1640625" style="95" customWidth="1"/>
    <col min="5401" max="5401" width="1.83203125" style="95" customWidth="1"/>
    <col min="5402" max="5632" width="9.1640625" style="95"/>
    <col min="5633" max="5633" width="12.5" style="95" customWidth="1"/>
    <col min="5634" max="5635" width="7.6640625" style="95" customWidth="1"/>
    <col min="5636" max="5636" width="1.6640625" style="95" customWidth="1"/>
    <col min="5637" max="5637" width="7.6640625" style="95" customWidth="1"/>
    <col min="5638" max="5638" width="9.5" style="95" customWidth="1"/>
    <col min="5639" max="5639" width="1.6640625" style="95" customWidth="1"/>
    <col min="5640" max="5640" width="6.6640625" style="95" customWidth="1"/>
    <col min="5641" max="5641" width="9.33203125" style="95" customWidth="1"/>
    <col min="5642" max="5642" width="1.6640625" style="95" customWidth="1"/>
    <col min="5643" max="5643" width="6.6640625" style="95" customWidth="1"/>
    <col min="5644" max="5644" width="9.33203125" style="95" customWidth="1"/>
    <col min="5645" max="5645" width="1.6640625" style="95" customWidth="1"/>
    <col min="5646" max="5646" width="6.83203125" style="95" customWidth="1"/>
    <col min="5647" max="5647" width="9.33203125" style="95" customWidth="1"/>
    <col min="5648" max="5648" width="1.6640625" style="95" customWidth="1"/>
    <col min="5649" max="5649" width="6.6640625" style="95" customWidth="1"/>
    <col min="5650" max="5650" width="9.33203125" style="95" customWidth="1"/>
    <col min="5651" max="5651" width="1.6640625" style="95" customWidth="1"/>
    <col min="5652" max="5652" width="7.5" style="95" customWidth="1"/>
    <col min="5653" max="5653" width="9.33203125" style="95" customWidth="1"/>
    <col min="5654" max="5654" width="1.83203125" style="95" customWidth="1"/>
    <col min="5655" max="5655" width="6.6640625" style="95" customWidth="1"/>
    <col min="5656" max="5656" width="9.1640625" style="95" customWidth="1"/>
    <col min="5657" max="5657" width="1.83203125" style="95" customWidth="1"/>
    <col min="5658" max="5888" width="9.1640625" style="95"/>
    <col min="5889" max="5889" width="12.5" style="95" customWidth="1"/>
    <col min="5890" max="5891" width="7.6640625" style="95" customWidth="1"/>
    <col min="5892" max="5892" width="1.6640625" style="95" customWidth="1"/>
    <col min="5893" max="5893" width="7.6640625" style="95" customWidth="1"/>
    <col min="5894" max="5894" width="9.5" style="95" customWidth="1"/>
    <col min="5895" max="5895" width="1.6640625" style="95" customWidth="1"/>
    <col min="5896" max="5896" width="6.6640625" style="95" customWidth="1"/>
    <col min="5897" max="5897" width="9.33203125" style="95" customWidth="1"/>
    <col min="5898" max="5898" width="1.6640625" style="95" customWidth="1"/>
    <col min="5899" max="5899" width="6.6640625" style="95" customWidth="1"/>
    <col min="5900" max="5900" width="9.33203125" style="95" customWidth="1"/>
    <col min="5901" max="5901" width="1.6640625" style="95" customWidth="1"/>
    <col min="5902" max="5902" width="6.83203125" style="95" customWidth="1"/>
    <col min="5903" max="5903" width="9.33203125" style="95" customWidth="1"/>
    <col min="5904" max="5904" width="1.6640625" style="95" customWidth="1"/>
    <col min="5905" max="5905" width="6.6640625" style="95" customWidth="1"/>
    <col min="5906" max="5906" width="9.33203125" style="95" customWidth="1"/>
    <col min="5907" max="5907" width="1.6640625" style="95" customWidth="1"/>
    <col min="5908" max="5908" width="7.5" style="95" customWidth="1"/>
    <col min="5909" max="5909" width="9.33203125" style="95" customWidth="1"/>
    <col min="5910" max="5910" width="1.83203125" style="95" customWidth="1"/>
    <col min="5911" max="5911" width="6.6640625" style="95" customWidth="1"/>
    <col min="5912" max="5912" width="9.1640625" style="95" customWidth="1"/>
    <col min="5913" max="5913" width="1.83203125" style="95" customWidth="1"/>
    <col min="5914" max="6144" width="9.1640625" style="95"/>
    <col min="6145" max="6145" width="12.5" style="95" customWidth="1"/>
    <col min="6146" max="6147" width="7.6640625" style="95" customWidth="1"/>
    <col min="6148" max="6148" width="1.6640625" style="95" customWidth="1"/>
    <col min="6149" max="6149" width="7.6640625" style="95" customWidth="1"/>
    <col min="6150" max="6150" width="9.5" style="95" customWidth="1"/>
    <col min="6151" max="6151" width="1.6640625" style="95" customWidth="1"/>
    <col min="6152" max="6152" width="6.6640625" style="95" customWidth="1"/>
    <col min="6153" max="6153" width="9.33203125" style="95" customWidth="1"/>
    <col min="6154" max="6154" width="1.6640625" style="95" customWidth="1"/>
    <col min="6155" max="6155" width="6.6640625" style="95" customWidth="1"/>
    <col min="6156" max="6156" width="9.33203125" style="95" customWidth="1"/>
    <col min="6157" max="6157" width="1.6640625" style="95" customWidth="1"/>
    <col min="6158" max="6158" width="6.83203125" style="95" customWidth="1"/>
    <col min="6159" max="6159" width="9.33203125" style="95" customWidth="1"/>
    <col min="6160" max="6160" width="1.6640625" style="95" customWidth="1"/>
    <col min="6161" max="6161" width="6.6640625" style="95" customWidth="1"/>
    <col min="6162" max="6162" width="9.33203125" style="95" customWidth="1"/>
    <col min="6163" max="6163" width="1.6640625" style="95" customWidth="1"/>
    <col min="6164" max="6164" width="7.5" style="95" customWidth="1"/>
    <col min="6165" max="6165" width="9.33203125" style="95" customWidth="1"/>
    <col min="6166" max="6166" width="1.83203125" style="95" customWidth="1"/>
    <col min="6167" max="6167" width="6.6640625" style="95" customWidth="1"/>
    <col min="6168" max="6168" width="9.1640625" style="95" customWidth="1"/>
    <col min="6169" max="6169" width="1.83203125" style="95" customWidth="1"/>
    <col min="6170" max="6400" width="9.1640625" style="95"/>
    <col min="6401" max="6401" width="12.5" style="95" customWidth="1"/>
    <col min="6402" max="6403" width="7.6640625" style="95" customWidth="1"/>
    <col min="6404" max="6404" width="1.6640625" style="95" customWidth="1"/>
    <col min="6405" max="6405" width="7.6640625" style="95" customWidth="1"/>
    <col min="6406" max="6406" width="9.5" style="95" customWidth="1"/>
    <col min="6407" max="6407" width="1.6640625" style="95" customWidth="1"/>
    <col min="6408" max="6408" width="6.6640625" style="95" customWidth="1"/>
    <col min="6409" max="6409" width="9.33203125" style="95" customWidth="1"/>
    <col min="6410" max="6410" width="1.6640625" style="95" customWidth="1"/>
    <col min="6411" max="6411" width="6.6640625" style="95" customWidth="1"/>
    <col min="6412" max="6412" width="9.33203125" style="95" customWidth="1"/>
    <col min="6413" max="6413" width="1.6640625" style="95" customWidth="1"/>
    <col min="6414" max="6414" width="6.83203125" style="95" customWidth="1"/>
    <col min="6415" max="6415" width="9.33203125" style="95" customWidth="1"/>
    <col min="6416" max="6416" width="1.6640625" style="95" customWidth="1"/>
    <col min="6417" max="6417" width="6.6640625" style="95" customWidth="1"/>
    <col min="6418" max="6418" width="9.33203125" style="95" customWidth="1"/>
    <col min="6419" max="6419" width="1.6640625" style="95" customWidth="1"/>
    <col min="6420" max="6420" width="7.5" style="95" customWidth="1"/>
    <col min="6421" max="6421" width="9.33203125" style="95" customWidth="1"/>
    <col min="6422" max="6422" width="1.83203125" style="95" customWidth="1"/>
    <col min="6423" max="6423" width="6.6640625" style="95" customWidth="1"/>
    <col min="6424" max="6424" width="9.1640625" style="95" customWidth="1"/>
    <col min="6425" max="6425" width="1.83203125" style="95" customWidth="1"/>
    <col min="6426" max="6656" width="9.1640625" style="95"/>
    <col min="6657" max="6657" width="12.5" style="95" customWidth="1"/>
    <col min="6658" max="6659" width="7.6640625" style="95" customWidth="1"/>
    <col min="6660" max="6660" width="1.6640625" style="95" customWidth="1"/>
    <col min="6661" max="6661" width="7.6640625" style="95" customWidth="1"/>
    <col min="6662" max="6662" width="9.5" style="95" customWidth="1"/>
    <col min="6663" max="6663" width="1.6640625" style="95" customWidth="1"/>
    <col min="6664" max="6664" width="6.6640625" style="95" customWidth="1"/>
    <col min="6665" max="6665" width="9.33203125" style="95" customWidth="1"/>
    <col min="6666" max="6666" width="1.6640625" style="95" customWidth="1"/>
    <col min="6667" max="6667" width="6.6640625" style="95" customWidth="1"/>
    <col min="6668" max="6668" width="9.33203125" style="95" customWidth="1"/>
    <col min="6669" max="6669" width="1.6640625" style="95" customWidth="1"/>
    <col min="6670" max="6670" width="6.83203125" style="95" customWidth="1"/>
    <col min="6671" max="6671" width="9.33203125" style="95" customWidth="1"/>
    <col min="6672" max="6672" width="1.6640625" style="95" customWidth="1"/>
    <col min="6673" max="6673" width="6.6640625" style="95" customWidth="1"/>
    <col min="6674" max="6674" width="9.33203125" style="95" customWidth="1"/>
    <col min="6675" max="6675" width="1.6640625" style="95" customWidth="1"/>
    <col min="6676" max="6676" width="7.5" style="95" customWidth="1"/>
    <col min="6677" max="6677" width="9.33203125" style="95" customWidth="1"/>
    <col min="6678" max="6678" width="1.83203125" style="95" customWidth="1"/>
    <col min="6679" max="6679" width="6.6640625" style="95" customWidth="1"/>
    <col min="6680" max="6680" width="9.1640625" style="95" customWidth="1"/>
    <col min="6681" max="6681" width="1.83203125" style="95" customWidth="1"/>
    <col min="6682" max="6912" width="9.1640625" style="95"/>
    <col min="6913" max="6913" width="12.5" style="95" customWidth="1"/>
    <col min="6914" max="6915" width="7.6640625" style="95" customWidth="1"/>
    <col min="6916" max="6916" width="1.6640625" style="95" customWidth="1"/>
    <col min="6917" max="6917" width="7.6640625" style="95" customWidth="1"/>
    <col min="6918" max="6918" width="9.5" style="95" customWidth="1"/>
    <col min="6919" max="6919" width="1.6640625" style="95" customWidth="1"/>
    <col min="6920" max="6920" width="6.6640625" style="95" customWidth="1"/>
    <col min="6921" max="6921" width="9.33203125" style="95" customWidth="1"/>
    <col min="6922" max="6922" width="1.6640625" style="95" customWidth="1"/>
    <col min="6923" max="6923" width="6.6640625" style="95" customWidth="1"/>
    <col min="6924" max="6924" width="9.33203125" style="95" customWidth="1"/>
    <col min="6925" max="6925" width="1.6640625" style="95" customWidth="1"/>
    <col min="6926" max="6926" width="6.83203125" style="95" customWidth="1"/>
    <col min="6927" max="6927" width="9.33203125" style="95" customWidth="1"/>
    <col min="6928" max="6928" width="1.6640625" style="95" customWidth="1"/>
    <col min="6929" max="6929" width="6.6640625" style="95" customWidth="1"/>
    <col min="6930" max="6930" width="9.33203125" style="95" customWidth="1"/>
    <col min="6931" max="6931" width="1.6640625" style="95" customWidth="1"/>
    <col min="6932" max="6932" width="7.5" style="95" customWidth="1"/>
    <col min="6933" max="6933" width="9.33203125" style="95" customWidth="1"/>
    <col min="6934" max="6934" width="1.83203125" style="95" customWidth="1"/>
    <col min="6935" max="6935" width="6.6640625" style="95" customWidth="1"/>
    <col min="6936" max="6936" width="9.1640625" style="95" customWidth="1"/>
    <col min="6937" max="6937" width="1.83203125" style="95" customWidth="1"/>
    <col min="6938" max="7168" width="9.1640625" style="95"/>
    <col min="7169" max="7169" width="12.5" style="95" customWidth="1"/>
    <col min="7170" max="7171" width="7.6640625" style="95" customWidth="1"/>
    <col min="7172" max="7172" width="1.6640625" style="95" customWidth="1"/>
    <col min="7173" max="7173" width="7.6640625" style="95" customWidth="1"/>
    <col min="7174" max="7174" width="9.5" style="95" customWidth="1"/>
    <col min="7175" max="7175" width="1.6640625" style="95" customWidth="1"/>
    <col min="7176" max="7176" width="6.6640625" style="95" customWidth="1"/>
    <col min="7177" max="7177" width="9.33203125" style="95" customWidth="1"/>
    <col min="7178" max="7178" width="1.6640625" style="95" customWidth="1"/>
    <col min="7179" max="7179" width="6.6640625" style="95" customWidth="1"/>
    <col min="7180" max="7180" width="9.33203125" style="95" customWidth="1"/>
    <col min="7181" max="7181" width="1.6640625" style="95" customWidth="1"/>
    <col min="7182" max="7182" width="6.83203125" style="95" customWidth="1"/>
    <col min="7183" max="7183" width="9.33203125" style="95" customWidth="1"/>
    <col min="7184" max="7184" width="1.6640625" style="95" customWidth="1"/>
    <col min="7185" max="7185" width="6.6640625" style="95" customWidth="1"/>
    <col min="7186" max="7186" width="9.33203125" style="95" customWidth="1"/>
    <col min="7187" max="7187" width="1.6640625" style="95" customWidth="1"/>
    <col min="7188" max="7188" width="7.5" style="95" customWidth="1"/>
    <col min="7189" max="7189" width="9.33203125" style="95" customWidth="1"/>
    <col min="7190" max="7190" width="1.83203125" style="95" customWidth="1"/>
    <col min="7191" max="7191" width="6.6640625" style="95" customWidth="1"/>
    <col min="7192" max="7192" width="9.1640625" style="95" customWidth="1"/>
    <col min="7193" max="7193" width="1.83203125" style="95" customWidth="1"/>
    <col min="7194" max="7424" width="9.1640625" style="95"/>
    <col min="7425" max="7425" width="12.5" style="95" customWidth="1"/>
    <col min="7426" max="7427" width="7.6640625" style="95" customWidth="1"/>
    <col min="7428" max="7428" width="1.6640625" style="95" customWidth="1"/>
    <col min="7429" max="7429" width="7.6640625" style="95" customWidth="1"/>
    <col min="7430" max="7430" width="9.5" style="95" customWidth="1"/>
    <col min="7431" max="7431" width="1.6640625" style="95" customWidth="1"/>
    <col min="7432" max="7432" width="6.6640625" style="95" customWidth="1"/>
    <col min="7433" max="7433" width="9.33203125" style="95" customWidth="1"/>
    <col min="7434" max="7434" width="1.6640625" style="95" customWidth="1"/>
    <col min="7435" max="7435" width="6.6640625" style="95" customWidth="1"/>
    <col min="7436" max="7436" width="9.33203125" style="95" customWidth="1"/>
    <col min="7437" max="7437" width="1.6640625" style="95" customWidth="1"/>
    <col min="7438" max="7438" width="6.83203125" style="95" customWidth="1"/>
    <col min="7439" max="7439" width="9.33203125" style="95" customWidth="1"/>
    <col min="7440" max="7440" width="1.6640625" style="95" customWidth="1"/>
    <col min="7441" max="7441" width="6.6640625" style="95" customWidth="1"/>
    <col min="7442" max="7442" width="9.33203125" style="95" customWidth="1"/>
    <col min="7443" max="7443" width="1.6640625" style="95" customWidth="1"/>
    <col min="7444" max="7444" width="7.5" style="95" customWidth="1"/>
    <col min="7445" max="7445" width="9.33203125" style="95" customWidth="1"/>
    <col min="7446" max="7446" width="1.83203125" style="95" customWidth="1"/>
    <col min="7447" max="7447" width="6.6640625" style="95" customWidth="1"/>
    <col min="7448" max="7448" width="9.1640625" style="95" customWidth="1"/>
    <col min="7449" max="7449" width="1.83203125" style="95" customWidth="1"/>
    <col min="7450" max="7680" width="9.1640625" style="95"/>
    <col min="7681" max="7681" width="12.5" style="95" customWidth="1"/>
    <col min="7682" max="7683" width="7.6640625" style="95" customWidth="1"/>
    <col min="7684" max="7684" width="1.6640625" style="95" customWidth="1"/>
    <col min="7685" max="7685" width="7.6640625" style="95" customWidth="1"/>
    <col min="7686" max="7686" width="9.5" style="95" customWidth="1"/>
    <col min="7687" max="7687" width="1.6640625" style="95" customWidth="1"/>
    <col min="7688" max="7688" width="6.6640625" style="95" customWidth="1"/>
    <col min="7689" max="7689" width="9.33203125" style="95" customWidth="1"/>
    <col min="7690" max="7690" width="1.6640625" style="95" customWidth="1"/>
    <col min="7691" max="7691" width="6.6640625" style="95" customWidth="1"/>
    <col min="7692" max="7692" width="9.33203125" style="95" customWidth="1"/>
    <col min="7693" max="7693" width="1.6640625" style="95" customWidth="1"/>
    <col min="7694" max="7694" width="6.83203125" style="95" customWidth="1"/>
    <col min="7695" max="7695" width="9.33203125" style="95" customWidth="1"/>
    <col min="7696" max="7696" width="1.6640625" style="95" customWidth="1"/>
    <col min="7697" max="7697" width="6.6640625" style="95" customWidth="1"/>
    <col min="7698" max="7698" width="9.33203125" style="95" customWidth="1"/>
    <col min="7699" max="7699" width="1.6640625" style="95" customWidth="1"/>
    <col min="7700" max="7700" width="7.5" style="95" customWidth="1"/>
    <col min="7701" max="7701" width="9.33203125" style="95" customWidth="1"/>
    <col min="7702" max="7702" width="1.83203125" style="95" customWidth="1"/>
    <col min="7703" max="7703" width="6.6640625" style="95" customWidth="1"/>
    <col min="7704" max="7704" width="9.1640625" style="95" customWidth="1"/>
    <col min="7705" max="7705" width="1.83203125" style="95" customWidth="1"/>
    <col min="7706" max="7936" width="9.1640625" style="95"/>
    <col min="7937" max="7937" width="12.5" style="95" customWidth="1"/>
    <col min="7938" max="7939" width="7.6640625" style="95" customWidth="1"/>
    <col min="7940" max="7940" width="1.6640625" style="95" customWidth="1"/>
    <col min="7941" max="7941" width="7.6640625" style="95" customWidth="1"/>
    <col min="7942" max="7942" width="9.5" style="95" customWidth="1"/>
    <col min="7943" max="7943" width="1.6640625" style="95" customWidth="1"/>
    <col min="7944" max="7944" width="6.6640625" style="95" customWidth="1"/>
    <col min="7945" max="7945" width="9.33203125" style="95" customWidth="1"/>
    <col min="7946" max="7946" width="1.6640625" style="95" customWidth="1"/>
    <col min="7947" max="7947" width="6.6640625" style="95" customWidth="1"/>
    <col min="7948" max="7948" width="9.33203125" style="95" customWidth="1"/>
    <col min="7949" max="7949" width="1.6640625" style="95" customWidth="1"/>
    <col min="7950" max="7950" width="6.83203125" style="95" customWidth="1"/>
    <col min="7951" max="7951" width="9.33203125" style="95" customWidth="1"/>
    <col min="7952" max="7952" width="1.6640625" style="95" customWidth="1"/>
    <col min="7953" max="7953" width="6.6640625" style="95" customWidth="1"/>
    <col min="7954" max="7954" width="9.33203125" style="95" customWidth="1"/>
    <col min="7955" max="7955" width="1.6640625" style="95" customWidth="1"/>
    <col min="7956" max="7956" width="7.5" style="95" customWidth="1"/>
    <col min="7957" max="7957" width="9.33203125" style="95" customWidth="1"/>
    <col min="7958" max="7958" width="1.83203125" style="95" customWidth="1"/>
    <col min="7959" max="7959" width="6.6640625" style="95" customWidth="1"/>
    <col min="7960" max="7960" width="9.1640625" style="95" customWidth="1"/>
    <col min="7961" max="7961" width="1.83203125" style="95" customWidth="1"/>
    <col min="7962" max="8192" width="9.1640625" style="95"/>
    <col min="8193" max="8193" width="12.5" style="95" customWidth="1"/>
    <col min="8194" max="8195" width="7.6640625" style="95" customWidth="1"/>
    <col min="8196" max="8196" width="1.6640625" style="95" customWidth="1"/>
    <col min="8197" max="8197" width="7.6640625" style="95" customWidth="1"/>
    <col min="8198" max="8198" width="9.5" style="95" customWidth="1"/>
    <col min="8199" max="8199" width="1.6640625" style="95" customWidth="1"/>
    <col min="8200" max="8200" width="6.6640625" style="95" customWidth="1"/>
    <col min="8201" max="8201" width="9.33203125" style="95" customWidth="1"/>
    <col min="8202" max="8202" width="1.6640625" style="95" customWidth="1"/>
    <col min="8203" max="8203" width="6.6640625" style="95" customWidth="1"/>
    <col min="8204" max="8204" width="9.33203125" style="95" customWidth="1"/>
    <col min="8205" max="8205" width="1.6640625" style="95" customWidth="1"/>
    <col min="8206" max="8206" width="6.83203125" style="95" customWidth="1"/>
    <col min="8207" max="8207" width="9.33203125" style="95" customWidth="1"/>
    <col min="8208" max="8208" width="1.6640625" style="95" customWidth="1"/>
    <col min="8209" max="8209" width="6.6640625" style="95" customWidth="1"/>
    <col min="8210" max="8210" width="9.33203125" style="95" customWidth="1"/>
    <col min="8211" max="8211" width="1.6640625" style="95" customWidth="1"/>
    <col min="8212" max="8212" width="7.5" style="95" customWidth="1"/>
    <col min="8213" max="8213" width="9.33203125" style="95" customWidth="1"/>
    <col min="8214" max="8214" width="1.83203125" style="95" customWidth="1"/>
    <col min="8215" max="8215" width="6.6640625" style="95" customWidth="1"/>
    <col min="8216" max="8216" width="9.1640625" style="95" customWidth="1"/>
    <col min="8217" max="8217" width="1.83203125" style="95" customWidth="1"/>
    <col min="8218" max="8448" width="9.1640625" style="95"/>
    <col min="8449" max="8449" width="12.5" style="95" customWidth="1"/>
    <col min="8450" max="8451" width="7.6640625" style="95" customWidth="1"/>
    <col min="8452" max="8452" width="1.6640625" style="95" customWidth="1"/>
    <col min="8453" max="8453" width="7.6640625" style="95" customWidth="1"/>
    <col min="8454" max="8454" width="9.5" style="95" customWidth="1"/>
    <col min="8455" max="8455" width="1.6640625" style="95" customWidth="1"/>
    <col min="8456" max="8456" width="6.6640625" style="95" customWidth="1"/>
    <col min="8457" max="8457" width="9.33203125" style="95" customWidth="1"/>
    <col min="8458" max="8458" width="1.6640625" style="95" customWidth="1"/>
    <col min="8459" max="8459" width="6.6640625" style="95" customWidth="1"/>
    <col min="8460" max="8460" width="9.33203125" style="95" customWidth="1"/>
    <col min="8461" max="8461" width="1.6640625" style="95" customWidth="1"/>
    <col min="8462" max="8462" width="6.83203125" style="95" customWidth="1"/>
    <col min="8463" max="8463" width="9.33203125" style="95" customWidth="1"/>
    <col min="8464" max="8464" width="1.6640625" style="95" customWidth="1"/>
    <col min="8465" max="8465" width="6.6640625" style="95" customWidth="1"/>
    <col min="8466" max="8466" width="9.33203125" style="95" customWidth="1"/>
    <col min="8467" max="8467" width="1.6640625" style="95" customWidth="1"/>
    <col min="8468" max="8468" width="7.5" style="95" customWidth="1"/>
    <col min="8469" max="8469" width="9.33203125" style="95" customWidth="1"/>
    <col min="8470" max="8470" width="1.83203125" style="95" customWidth="1"/>
    <col min="8471" max="8471" width="6.6640625" style="95" customWidth="1"/>
    <col min="8472" max="8472" width="9.1640625" style="95" customWidth="1"/>
    <col min="8473" max="8473" width="1.83203125" style="95" customWidth="1"/>
    <col min="8474" max="8704" width="9.1640625" style="95"/>
    <col min="8705" max="8705" width="12.5" style="95" customWidth="1"/>
    <col min="8706" max="8707" width="7.6640625" style="95" customWidth="1"/>
    <col min="8708" max="8708" width="1.6640625" style="95" customWidth="1"/>
    <col min="8709" max="8709" width="7.6640625" style="95" customWidth="1"/>
    <col min="8710" max="8710" width="9.5" style="95" customWidth="1"/>
    <col min="8711" max="8711" width="1.6640625" style="95" customWidth="1"/>
    <col min="8712" max="8712" width="6.6640625" style="95" customWidth="1"/>
    <col min="8713" max="8713" width="9.33203125" style="95" customWidth="1"/>
    <col min="8714" max="8714" width="1.6640625" style="95" customWidth="1"/>
    <col min="8715" max="8715" width="6.6640625" style="95" customWidth="1"/>
    <col min="8716" max="8716" width="9.33203125" style="95" customWidth="1"/>
    <col min="8717" max="8717" width="1.6640625" style="95" customWidth="1"/>
    <col min="8718" max="8718" width="6.83203125" style="95" customWidth="1"/>
    <col min="8719" max="8719" width="9.33203125" style="95" customWidth="1"/>
    <col min="8720" max="8720" width="1.6640625" style="95" customWidth="1"/>
    <col min="8721" max="8721" width="6.6640625" style="95" customWidth="1"/>
    <col min="8722" max="8722" width="9.33203125" style="95" customWidth="1"/>
    <col min="8723" max="8723" width="1.6640625" style="95" customWidth="1"/>
    <col min="8724" max="8724" width="7.5" style="95" customWidth="1"/>
    <col min="8725" max="8725" width="9.33203125" style="95" customWidth="1"/>
    <col min="8726" max="8726" width="1.83203125" style="95" customWidth="1"/>
    <col min="8727" max="8727" width="6.6640625" style="95" customWidth="1"/>
    <col min="8728" max="8728" width="9.1640625" style="95" customWidth="1"/>
    <col min="8729" max="8729" width="1.83203125" style="95" customWidth="1"/>
    <col min="8730" max="8960" width="9.1640625" style="95"/>
    <col min="8961" max="8961" width="12.5" style="95" customWidth="1"/>
    <col min="8962" max="8963" width="7.6640625" style="95" customWidth="1"/>
    <col min="8964" max="8964" width="1.6640625" style="95" customWidth="1"/>
    <col min="8965" max="8965" width="7.6640625" style="95" customWidth="1"/>
    <col min="8966" max="8966" width="9.5" style="95" customWidth="1"/>
    <col min="8967" max="8967" width="1.6640625" style="95" customWidth="1"/>
    <col min="8968" max="8968" width="6.6640625" style="95" customWidth="1"/>
    <col min="8969" max="8969" width="9.33203125" style="95" customWidth="1"/>
    <col min="8970" max="8970" width="1.6640625" style="95" customWidth="1"/>
    <col min="8971" max="8971" width="6.6640625" style="95" customWidth="1"/>
    <col min="8972" max="8972" width="9.33203125" style="95" customWidth="1"/>
    <col min="8973" max="8973" width="1.6640625" style="95" customWidth="1"/>
    <col min="8974" max="8974" width="6.83203125" style="95" customWidth="1"/>
    <col min="8975" max="8975" width="9.33203125" style="95" customWidth="1"/>
    <col min="8976" max="8976" width="1.6640625" style="95" customWidth="1"/>
    <col min="8977" max="8977" width="6.6640625" style="95" customWidth="1"/>
    <col min="8978" max="8978" width="9.33203125" style="95" customWidth="1"/>
    <col min="8979" max="8979" width="1.6640625" style="95" customWidth="1"/>
    <col min="8980" max="8980" width="7.5" style="95" customWidth="1"/>
    <col min="8981" max="8981" width="9.33203125" style="95" customWidth="1"/>
    <col min="8982" max="8982" width="1.83203125" style="95" customWidth="1"/>
    <col min="8983" max="8983" width="6.6640625" style="95" customWidth="1"/>
    <col min="8984" max="8984" width="9.1640625" style="95" customWidth="1"/>
    <col min="8985" max="8985" width="1.83203125" style="95" customWidth="1"/>
    <col min="8986" max="9216" width="9.1640625" style="95"/>
    <col min="9217" max="9217" width="12.5" style="95" customWidth="1"/>
    <col min="9218" max="9219" width="7.6640625" style="95" customWidth="1"/>
    <col min="9220" max="9220" width="1.6640625" style="95" customWidth="1"/>
    <col min="9221" max="9221" width="7.6640625" style="95" customWidth="1"/>
    <col min="9222" max="9222" width="9.5" style="95" customWidth="1"/>
    <col min="9223" max="9223" width="1.6640625" style="95" customWidth="1"/>
    <col min="9224" max="9224" width="6.6640625" style="95" customWidth="1"/>
    <col min="9225" max="9225" width="9.33203125" style="95" customWidth="1"/>
    <col min="9226" max="9226" width="1.6640625" style="95" customWidth="1"/>
    <col min="9227" max="9227" width="6.6640625" style="95" customWidth="1"/>
    <col min="9228" max="9228" width="9.33203125" style="95" customWidth="1"/>
    <col min="9229" max="9229" width="1.6640625" style="95" customWidth="1"/>
    <col min="9230" max="9230" width="6.83203125" style="95" customWidth="1"/>
    <col min="9231" max="9231" width="9.33203125" style="95" customWidth="1"/>
    <col min="9232" max="9232" width="1.6640625" style="95" customWidth="1"/>
    <col min="9233" max="9233" width="6.6640625" style="95" customWidth="1"/>
    <col min="9234" max="9234" width="9.33203125" style="95" customWidth="1"/>
    <col min="9235" max="9235" width="1.6640625" style="95" customWidth="1"/>
    <col min="9236" max="9236" width="7.5" style="95" customWidth="1"/>
    <col min="9237" max="9237" width="9.33203125" style="95" customWidth="1"/>
    <col min="9238" max="9238" width="1.83203125" style="95" customWidth="1"/>
    <col min="9239" max="9239" width="6.6640625" style="95" customWidth="1"/>
    <col min="9240" max="9240" width="9.1640625" style="95" customWidth="1"/>
    <col min="9241" max="9241" width="1.83203125" style="95" customWidth="1"/>
    <col min="9242" max="9472" width="9.1640625" style="95"/>
    <col min="9473" max="9473" width="12.5" style="95" customWidth="1"/>
    <col min="9474" max="9475" width="7.6640625" style="95" customWidth="1"/>
    <col min="9476" max="9476" width="1.6640625" style="95" customWidth="1"/>
    <col min="9477" max="9477" width="7.6640625" style="95" customWidth="1"/>
    <col min="9478" max="9478" width="9.5" style="95" customWidth="1"/>
    <col min="9479" max="9479" width="1.6640625" style="95" customWidth="1"/>
    <col min="9480" max="9480" width="6.6640625" style="95" customWidth="1"/>
    <col min="9481" max="9481" width="9.33203125" style="95" customWidth="1"/>
    <col min="9482" max="9482" width="1.6640625" style="95" customWidth="1"/>
    <col min="9483" max="9483" width="6.6640625" style="95" customWidth="1"/>
    <col min="9484" max="9484" width="9.33203125" style="95" customWidth="1"/>
    <col min="9485" max="9485" width="1.6640625" style="95" customWidth="1"/>
    <col min="9486" max="9486" width="6.83203125" style="95" customWidth="1"/>
    <col min="9487" max="9487" width="9.33203125" style="95" customWidth="1"/>
    <col min="9488" max="9488" width="1.6640625" style="95" customWidth="1"/>
    <col min="9489" max="9489" width="6.6640625" style="95" customWidth="1"/>
    <col min="9490" max="9490" width="9.33203125" style="95" customWidth="1"/>
    <col min="9491" max="9491" width="1.6640625" style="95" customWidth="1"/>
    <col min="9492" max="9492" width="7.5" style="95" customWidth="1"/>
    <col min="9493" max="9493" width="9.33203125" style="95" customWidth="1"/>
    <col min="9494" max="9494" width="1.83203125" style="95" customWidth="1"/>
    <col min="9495" max="9495" width="6.6640625" style="95" customWidth="1"/>
    <col min="9496" max="9496" width="9.1640625" style="95" customWidth="1"/>
    <col min="9497" max="9497" width="1.83203125" style="95" customWidth="1"/>
    <col min="9498" max="9728" width="9.1640625" style="95"/>
    <col min="9729" max="9729" width="12.5" style="95" customWidth="1"/>
    <col min="9730" max="9731" width="7.6640625" style="95" customWidth="1"/>
    <col min="9732" max="9732" width="1.6640625" style="95" customWidth="1"/>
    <col min="9733" max="9733" width="7.6640625" style="95" customWidth="1"/>
    <col min="9734" max="9734" width="9.5" style="95" customWidth="1"/>
    <col min="9735" max="9735" width="1.6640625" style="95" customWidth="1"/>
    <col min="9736" max="9736" width="6.6640625" style="95" customWidth="1"/>
    <col min="9737" max="9737" width="9.33203125" style="95" customWidth="1"/>
    <col min="9738" max="9738" width="1.6640625" style="95" customWidth="1"/>
    <col min="9739" max="9739" width="6.6640625" style="95" customWidth="1"/>
    <col min="9740" max="9740" width="9.33203125" style="95" customWidth="1"/>
    <col min="9741" max="9741" width="1.6640625" style="95" customWidth="1"/>
    <col min="9742" max="9742" width="6.83203125" style="95" customWidth="1"/>
    <col min="9743" max="9743" width="9.33203125" style="95" customWidth="1"/>
    <col min="9744" max="9744" width="1.6640625" style="95" customWidth="1"/>
    <col min="9745" max="9745" width="6.6640625" style="95" customWidth="1"/>
    <col min="9746" max="9746" width="9.33203125" style="95" customWidth="1"/>
    <col min="9747" max="9747" width="1.6640625" style="95" customWidth="1"/>
    <col min="9748" max="9748" width="7.5" style="95" customWidth="1"/>
    <col min="9749" max="9749" width="9.33203125" style="95" customWidth="1"/>
    <col min="9750" max="9750" width="1.83203125" style="95" customWidth="1"/>
    <col min="9751" max="9751" width="6.6640625" style="95" customWidth="1"/>
    <col min="9752" max="9752" width="9.1640625" style="95" customWidth="1"/>
    <col min="9753" max="9753" width="1.83203125" style="95" customWidth="1"/>
    <col min="9754" max="9984" width="9.1640625" style="95"/>
    <col min="9985" max="9985" width="12.5" style="95" customWidth="1"/>
    <col min="9986" max="9987" width="7.6640625" style="95" customWidth="1"/>
    <col min="9988" max="9988" width="1.6640625" style="95" customWidth="1"/>
    <col min="9989" max="9989" width="7.6640625" style="95" customWidth="1"/>
    <col min="9990" max="9990" width="9.5" style="95" customWidth="1"/>
    <col min="9991" max="9991" width="1.6640625" style="95" customWidth="1"/>
    <col min="9992" max="9992" width="6.6640625" style="95" customWidth="1"/>
    <col min="9993" max="9993" width="9.33203125" style="95" customWidth="1"/>
    <col min="9994" max="9994" width="1.6640625" style="95" customWidth="1"/>
    <col min="9995" max="9995" width="6.6640625" style="95" customWidth="1"/>
    <col min="9996" max="9996" width="9.33203125" style="95" customWidth="1"/>
    <col min="9997" max="9997" width="1.6640625" style="95" customWidth="1"/>
    <col min="9998" max="9998" width="6.83203125" style="95" customWidth="1"/>
    <col min="9999" max="9999" width="9.33203125" style="95" customWidth="1"/>
    <col min="10000" max="10000" width="1.6640625" style="95" customWidth="1"/>
    <col min="10001" max="10001" width="6.6640625" style="95" customWidth="1"/>
    <col min="10002" max="10002" width="9.33203125" style="95" customWidth="1"/>
    <col min="10003" max="10003" width="1.6640625" style="95" customWidth="1"/>
    <col min="10004" max="10004" width="7.5" style="95" customWidth="1"/>
    <col min="10005" max="10005" width="9.33203125" style="95" customWidth="1"/>
    <col min="10006" max="10006" width="1.83203125" style="95" customWidth="1"/>
    <col min="10007" max="10007" width="6.6640625" style="95" customWidth="1"/>
    <col min="10008" max="10008" width="9.1640625" style="95" customWidth="1"/>
    <col min="10009" max="10009" width="1.83203125" style="95" customWidth="1"/>
    <col min="10010" max="10240" width="9.1640625" style="95"/>
    <col min="10241" max="10241" width="12.5" style="95" customWidth="1"/>
    <col min="10242" max="10243" width="7.6640625" style="95" customWidth="1"/>
    <col min="10244" max="10244" width="1.6640625" style="95" customWidth="1"/>
    <col min="10245" max="10245" width="7.6640625" style="95" customWidth="1"/>
    <col min="10246" max="10246" width="9.5" style="95" customWidth="1"/>
    <col min="10247" max="10247" width="1.6640625" style="95" customWidth="1"/>
    <col min="10248" max="10248" width="6.6640625" style="95" customWidth="1"/>
    <col min="10249" max="10249" width="9.33203125" style="95" customWidth="1"/>
    <col min="10250" max="10250" width="1.6640625" style="95" customWidth="1"/>
    <col min="10251" max="10251" width="6.6640625" style="95" customWidth="1"/>
    <col min="10252" max="10252" width="9.33203125" style="95" customWidth="1"/>
    <col min="10253" max="10253" width="1.6640625" style="95" customWidth="1"/>
    <col min="10254" max="10254" width="6.83203125" style="95" customWidth="1"/>
    <col min="10255" max="10255" width="9.33203125" style="95" customWidth="1"/>
    <col min="10256" max="10256" width="1.6640625" style="95" customWidth="1"/>
    <col min="10257" max="10257" width="6.6640625" style="95" customWidth="1"/>
    <col min="10258" max="10258" width="9.33203125" style="95" customWidth="1"/>
    <col min="10259" max="10259" width="1.6640625" style="95" customWidth="1"/>
    <col min="10260" max="10260" width="7.5" style="95" customWidth="1"/>
    <col min="10261" max="10261" width="9.33203125" style="95" customWidth="1"/>
    <col min="10262" max="10262" width="1.83203125" style="95" customWidth="1"/>
    <col min="10263" max="10263" width="6.6640625" style="95" customWidth="1"/>
    <col min="10264" max="10264" width="9.1640625" style="95" customWidth="1"/>
    <col min="10265" max="10265" width="1.83203125" style="95" customWidth="1"/>
    <col min="10266" max="10496" width="9.1640625" style="95"/>
    <col min="10497" max="10497" width="12.5" style="95" customWidth="1"/>
    <col min="10498" max="10499" width="7.6640625" style="95" customWidth="1"/>
    <col min="10500" max="10500" width="1.6640625" style="95" customWidth="1"/>
    <col min="10501" max="10501" width="7.6640625" style="95" customWidth="1"/>
    <col min="10502" max="10502" width="9.5" style="95" customWidth="1"/>
    <col min="10503" max="10503" width="1.6640625" style="95" customWidth="1"/>
    <col min="10504" max="10504" width="6.6640625" style="95" customWidth="1"/>
    <col min="10505" max="10505" width="9.33203125" style="95" customWidth="1"/>
    <col min="10506" max="10506" width="1.6640625" style="95" customWidth="1"/>
    <col min="10507" max="10507" width="6.6640625" style="95" customWidth="1"/>
    <col min="10508" max="10508" width="9.33203125" style="95" customWidth="1"/>
    <col min="10509" max="10509" width="1.6640625" style="95" customWidth="1"/>
    <col min="10510" max="10510" width="6.83203125" style="95" customWidth="1"/>
    <col min="10511" max="10511" width="9.33203125" style="95" customWidth="1"/>
    <col min="10512" max="10512" width="1.6640625" style="95" customWidth="1"/>
    <col min="10513" max="10513" width="6.6640625" style="95" customWidth="1"/>
    <col min="10514" max="10514" width="9.33203125" style="95" customWidth="1"/>
    <col min="10515" max="10515" width="1.6640625" style="95" customWidth="1"/>
    <col min="10516" max="10516" width="7.5" style="95" customWidth="1"/>
    <col min="10517" max="10517" width="9.33203125" style="95" customWidth="1"/>
    <col min="10518" max="10518" width="1.83203125" style="95" customWidth="1"/>
    <col min="10519" max="10519" width="6.6640625" style="95" customWidth="1"/>
    <col min="10520" max="10520" width="9.1640625" style="95" customWidth="1"/>
    <col min="10521" max="10521" width="1.83203125" style="95" customWidth="1"/>
    <col min="10522" max="10752" width="9.1640625" style="95"/>
    <col min="10753" max="10753" width="12.5" style="95" customWidth="1"/>
    <col min="10754" max="10755" width="7.6640625" style="95" customWidth="1"/>
    <col min="10756" max="10756" width="1.6640625" style="95" customWidth="1"/>
    <col min="10757" max="10757" width="7.6640625" style="95" customWidth="1"/>
    <col min="10758" max="10758" width="9.5" style="95" customWidth="1"/>
    <col min="10759" max="10759" width="1.6640625" style="95" customWidth="1"/>
    <col min="10760" max="10760" width="6.6640625" style="95" customWidth="1"/>
    <col min="10761" max="10761" width="9.33203125" style="95" customWidth="1"/>
    <col min="10762" max="10762" width="1.6640625" style="95" customWidth="1"/>
    <col min="10763" max="10763" width="6.6640625" style="95" customWidth="1"/>
    <col min="10764" max="10764" width="9.33203125" style="95" customWidth="1"/>
    <col min="10765" max="10765" width="1.6640625" style="95" customWidth="1"/>
    <col min="10766" max="10766" width="6.83203125" style="95" customWidth="1"/>
    <col min="10767" max="10767" width="9.33203125" style="95" customWidth="1"/>
    <col min="10768" max="10768" width="1.6640625" style="95" customWidth="1"/>
    <col min="10769" max="10769" width="6.6640625" style="95" customWidth="1"/>
    <col min="10770" max="10770" width="9.33203125" style="95" customWidth="1"/>
    <col min="10771" max="10771" width="1.6640625" style="95" customWidth="1"/>
    <col min="10772" max="10772" width="7.5" style="95" customWidth="1"/>
    <col min="10773" max="10773" width="9.33203125" style="95" customWidth="1"/>
    <col min="10774" max="10774" width="1.83203125" style="95" customWidth="1"/>
    <col min="10775" max="10775" width="6.6640625" style="95" customWidth="1"/>
    <col min="10776" max="10776" width="9.1640625" style="95" customWidth="1"/>
    <col min="10777" max="10777" width="1.83203125" style="95" customWidth="1"/>
    <col min="10778" max="11008" width="9.1640625" style="95"/>
    <col min="11009" max="11009" width="12.5" style="95" customWidth="1"/>
    <col min="11010" max="11011" width="7.6640625" style="95" customWidth="1"/>
    <col min="11012" max="11012" width="1.6640625" style="95" customWidth="1"/>
    <col min="11013" max="11013" width="7.6640625" style="95" customWidth="1"/>
    <col min="11014" max="11014" width="9.5" style="95" customWidth="1"/>
    <col min="11015" max="11015" width="1.6640625" style="95" customWidth="1"/>
    <col min="11016" max="11016" width="6.6640625" style="95" customWidth="1"/>
    <col min="11017" max="11017" width="9.33203125" style="95" customWidth="1"/>
    <col min="11018" max="11018" width="1.6640625" style="95" customWidth="1"/>
    <col min="11019" max="11019" width="6.6640625" style="95" customWidth="1"/>
    <col min="11020" max="11020" width="9.33203125" style="95" customWidth="1"/>
    <col min="11021" max="11021" width="1.6640625" style="95" customWidth="1"/>
    <col min="11022" max="11022" width="6.83203125" style="95" customWidth="1"/>
    <col min="11023" max="11023" width="9.33203125" style="95" customWidth="1"/>
    <col min="11024" max="11024" width="1.6640625" style="95" customWidth="1"/>
    <col min="11025" max="11025" width="6.6640625" style="95" customWidth="1"/>
    <col min="11026" max="11026" width="9.33203125" style="95" customWidth="1"/>
    <col min="11027" max="11027" width="1.6640625" style="95" customWidth="1"/>
    <col min="11028" max="11028" width="7.5" style="95" customWidth="1"/>
    <col min="11029" max="11029" width="9.33203125" style="95" customWidth="1"/>
    <col min="11030" max="11030" width="1.83203125" style="95" customWidth="1"/>
    <col min="11031" max="11031" width="6.6640625" style="95" customWidth="1"/>
    <col min="11032" max="11032" width="9.1640625" style="95" customWidth="1"/>
    <col min="11033" max="11033" width="1.83203125" style="95" customWidth="1"/>
    <col min="11034" max="11264" width="9.1640625" style="95"/>
    <col min="11265" max="11265" width="12.5" style="95" customWidth="1"/>
    <col min="11266" max="11267" width="7.6640625" style="95" customWidth="1"/>
    <col min="11268" max="11268" width="1.6640625" style="95" customWidth="1"/>
    <col min="11269" max="11269" width="7.6640625" style="95" customWidth="1"/>
    <col min="11270" max="11270" width="9.5" style="95" customWidth="1"/>
    <col min="11271" max="11271" width="1.6640625" style="95" customWidth="1"/>
    <col min="11272" max="11272" width="6.6640625" style="95" customWidth="1"/>
    <col min="11273" max="11273" width="9.33203125" style="95" customWidth="1"/>
    <col min="11274" max="11274" width="1.6640625" style="95" customWidth="1"/>
    <col min="11275" max="11275" width="6.6640625" style="95" customWidth="1"/>
    <col min="11276" max="11276" width="9.33203125" style="95" customWidth="1"/>
    <col min="11277" max="11277" width="1.6640625" style="95" customWidth="1"/>
    <col min="11278" max="11278" width="6.83203125" style="95" customWidth="1"/>
    <col min="11279" max="11279" width="9.33203125" style="95" customWidth="1"/>
    <col min="11280" max="11280" width="1.6640625" style="95" customWidth="1"/>
    <col min="11281" max="11281" width="6.6640625" style="95" customWidth="1"/>
    <col min="11282" max="11282" width="9.33203125" style="95" customWidth="1"/>
    <col min="11283" max="11283" width="1.6640625" style="95" customWidth="1"/>
    <col min="11284" max="11284" width="7.5" style="95" customWidth="1"/>
    <col min="11285" max="11285" width="9.33203125" style="95" customWidth="1"/>
    <col min="11286" max="11286" width="1.83203125" style="95" customWidth="1"/>
    <col min="11287" max="11287" width="6.6640625" style="95" customWidth="1"/>
    <col min="11288" max="11288" width="9.1640625" style="95" customWidth="1"/>
    <col min="11289" max="11289" width="1.83203125" style="95" customWidth="1"/>
    <col min="11290" max="11520" width="9.1640625" style="95"/>
    <col min="11521" max="11521" width="12.5" style="95" customWidth="1"/>
    <col min="11522" max="11523" width="7.6640625" style="95" customWidth="1"/>
    <col min="11524" max="11524" width="1.6640625" style="95" customWidth="1"/>
    <col min="11525" max="11525" width="7.6640625" style="95" customWidth="1"/>
    <col min="11526" max="11526" width="9.5" style="95" customWidth="1"/>
    <col min="11527" max="11527" width="1.6640625" style="95" customWidth="1"/>
    <col min="11528" max="11528" width="6.6640625" style="95" customWidth="1"/>
    <col min="11529" max="11529" width="9.33203125" style="95" customWidth="1"/>
    <col min="11530" max="11530" width="1.6640625" style="95" customWidth="1"/>
    <col min="11531" max="11531" width="6.6640625" style="95" customWidth="1"/>
    <col min="11532" max="11532" width="9.33203125" style="95" customWidth="1"/>
    <col min="11533" max="11533" width="1.6640625" style="95" customWidth="1"/>
    <col min="11534" max="11534" width="6.83203125" style="95" customWidth="1"/>
    <col min="11535" max="11535" width="9.33203125" style="95" customWidth="1"/>
    <col min="11536" max="11536" width="1.6640625" style="95" customWidth="1"/>
    <col min="11537" max="11537" width="6.6640625" style="95" customWidth="1"/>
    <col min="11538" max="11538" width="9.33203125" style="95" customWidth="1"/>
    <col min="11539" max="11539" width="1.6640625" style="95" customWidth="1"/>
    <col min="11540" max="11540" width="7.5" style="95" customWidth="1"/>
    <col min="11541" max="11541" width="9.33203125" style="95" customWidth="1"/>
    <col min="11542" max="11542" width="1.83203125" style="95" customWidth="1"/>
    <col min="11543" max="11543" width="6.6640625" style="95" customWidth="1"/>
    <col min="11544" max="11544" width="9.1640625" style="95" customWidth="1"/>
    <col min="11545" max="11545" width="1.83203125" style="95" customWidth="1"/>
    <col min="11546" max="11776" width="9.1640625" style="95"/>
    <col min="11777" max="11777" width="12.5" style="95" customWidth="1"/>
    <col min="11778" max="11779" width="7.6640625" style="95" customWidth="1"/>
    <col min="11780" max="11780" width="1.6640625" style="95" customWidth="1"/>
    <col min="11781" max="11781" width="7.6640625" style="95" customWidth="1"/>
    <col min="11782" max="11782" width="9.5" style="95" customWidth="1"/>
    <col min="11783" max="11783" width="1.6640625" style="95" customWidth="1"/>
    <col min="11784" max="11784" width="6.6640625" style="95" customWidth="1"/>
    <col min="11785" max="11785" width="9.33203125" style="95" customWidth="1"/>
    <col min="11786" max="11786" width="1.6640625" style="95" customWidth="1"/>
    <col min="11787" max="11787" width="6.6640625" style="95" customWidth="1"/>
    <col min="11788" max="11788" width="9.33203125" style="95" customWidth="1"/>
    <col min="11789" max="11789" width="1.6640625" style="95" customWidth="1"/>
    <col min="11790" max="11790" width="6.83203125" style="95" customWidth="1"/>
    <col min="11791" max="11791" width="9.33203125" style="95" customWidth="1"/>
    <col min="11792" max="11792" width="1.6640625" style="95" customWidth="1"/>
    <col min="11793" max="11793" width="6.6640625" style="95" customWidth="1"/>
    <col min="11794" max="11794" width="9.33203125" style="95" customWidth="1"/>
    <col min="11795" max="11795" width="1.6640625" style="95" customWidth="1"/>
    <col min="11796" max="11796" width="7.5" style="95" customWidth="1"/>
    <col min="11797" max="11797" width="9.33203125" style="95" customWidth="1"/>
    <col min="11798" max="11798" width="1.83203125" style="95" customWidth="1"/>
    <col min="11799" max="11799" width="6.6640625" style="95" customWidth="1"/>
    <col min="11800" max="11800" width="9.1640625" style="95" customWidth="1"/>
    <col min="11801" max="11801" width="1.83203125" style="95" customWidth="1"/>
    <col min="11802" max="12032" width="9.1640625" style="95"/>
    <col min="12033" max="12033" width="12.5" style="95" customWidth="1"/>
    <col min="12034" max="12035" width="7.6640625" style="95" customWidth="1"/>
    <col min="12036" max="12036" width="1.6640625" style="95" customWidth="1"/>
    <col min="12037" max="12037" width="7.6640625" style="95" customWidth="1"/>
    <col min="12038" max="12038" width="9.5" style="95" customWidth="1"/>
    <col min="12039" max="12039" width="1.6640625" style="95" customWidth="1"/>
    <col min="12040" max="12040" width="6.6640625" style="95" customWidth="1"/>
    <col min="12041" max="12041" width="9.33203125" style="95" customWidth="1"/>
    <col min="12042" max="12042" width="1.6640625" style="95" customWidth="1"/>
    <col min="12043" max="12043" width="6.6640625" style="95" customWidth="1"/>
    <col min="12044" max="12044" width="9.33203125" style="95" customWidth="1"/>
    <col min="12045" max="12045" width="1.6640625" style="95" customWidth="1"/>
    <col min="12046" max="12046" width="6.83203125" style="95" customWidth="1"/>
    <col min="12047" max="12047" width="9.33203125" style="95" customWidth="1"/>
    <col min="12048" max="12048" width="1.6640625" style="95" customWidth="1"/>
    <col min="12049" max="12049" width="6.6640625" style="95" customWidth="1"/>
    <col min="12050" max="12050" width="9.33203125" style="95" customWidth="1"/>
    <col min="12051" max="12051" width="1.6640625" style="95" customWidth="1"/>
    <col min="12052" max="12052" width="7.5" style="95" customWidth="1"/>
    <col min="12053" max="12053" width="9.33203125" style="95" customWidth="1"/>
    <col min="12054" max="12054" width="1.83203125" style="95" customWidth="1"/>
    <col min="12055" max="12055" width="6.6640625" style="95" customWidth="1"/>
    <col min="12056" max="12056" width="9.1640625" style="95" customWidth="1"/>
    <col min="12057" max="12057" width="1.83203125" style="95" customWidth="1"/>
    <col min="12058" max="12288" width="9.1640625" style="95"/>
    <col min="12289" max="12289" width="12.5" style="95" customWidth="1"/>
    <col min="12290" max="12291" width="7.6640625" style="95" customWidth="1"/>
    <col min="12292" max="12292" width="1.6640625" style="95" customWidth="1"/>
    <col min="12293" max="12293" width="7.6640625" style="95" customWidth="1"/>
    <col min="12294" max="12294" width="9.5" style="95" customWidth="1"/>
    <col min="12295" max="12295" width="1.6640625" style="95" customWidth="1"/>
    <col min="12296" max="12296" width="6.6640625" style="95" customWidth="1"/>
    <col min="12297" max="12297" width="9.33203125" style="95" customWidth="1"/>
    <col min="12298" max="12298" width="1.6640625" style="95" customWidth="1"/>
    <col min="12299" max="12299" width="6.6640625" style="95" customWidth="1"/>
    <col min="12300" max="12300" width="9.33203125" style="95" customWidth="1"/>
    <col min="12301" max="12301" width="1.6640625" style="95" customWidth="1"/>
    <col min="12302" max="12302" width="6.83203125" style="95" customWidth="1"/>
    <col min="12303" max="12303" width="9.33203125" style="95" customWidth="1"/>
    <col min="12304" max="12304" width="1.6640625" style="95" customWidth="1"/>
    <col min="12305" max="12305" width="6.6640625" style="95" customWidth="1"/>
    <col min="12306" max="12306" width="9.33203125" style="95" customWidth="1"/>
    <col min="12307" max="12307" width="1.6640625" style="95" customWidth="1"/>
    <col min="12308" max="12308" width="7.5" style="95" customWidth="1"/>
    <col min="12309" max="12309" width="9.33203125" style="95" customWidth="1"/>
    <col min="12310" max="12310" width="1.83203125" style="95" customWidth="1"/>
    <col min="12311" max="12311" width="6.6640625" style="95" customWidth="1"/>
    <col min="12312" max="12312" width="9.1640625" style="95" customWidth="1"/>
    <col min="12313" max="12313" width="1.83203125" style="95" customWidth="1"/>
    <col min="12314" max="12544" width="9.1640625" style="95"/>
    <col min="12545" max="12545" width="12.5" style="95" customWidth="1"/>
    <col min="12546" max="12547" width="7.6640625" style="95" customWidth="1"/>
    <col min="12548" max="12548" width="1.6640625" style="95" customWidth="1"/>
    <col min="12549" max="12549" width="7.6640625" style="95" customWidth="1"/>
    <col min="12550" max="12550" width="9.5" style="95" customWidth="1"/>
    <col min="12551" max="12551" width="1.6640625" style="95" customWidth="1"/>
    <col min="12552" max="12552" width="6.6640625" style="95" customWidth="1"/>
    <col min="12553" max="12553" width="9.33203125" style="95" customWidth="1"/>
    <col min="12554" max="12554" width="1.6640625" style="95" customWidth="1"/>
    <col min="12555" max="12555" width="6.6640625" style="95" customWidth="1"/>
    <col min="12556" max="12556" width="9.33203125" style="95" customWidth="1"/>
    <col min="12557" max="12557" width="1.6640625" style="95" customWidth="1"/>
    <col min="12558" max="12558" width="6.83203125" style="95" customWidth="1"/>
    <col min="12559" max="12559" width="9.33203125" style="95" customWidth="1"/>
    <col min="12560" max="12560" width="1.6640625" style="95" customWidth="1"/>
    <col min="12561" max="12561" width="6.6640625" style="95" customWidth="1"/>
    <col min="12562" max="12562" width="9.33203125" style="95" customWidth="1"/>
    <col min="12563" max="12563" width="1.6640625" style="95" customWidth="1"/>
    <col min="12564" max="12564" width="7.5" style="95" customWidth="1"/>
    <col min="12565" max="12565" width="9.33203125" style="95" customWidth="1"/>
    <col min="12566" max="12566" width="1.83203125" style="95" customWidth="1"/>
    <col min="12567" max="12567" width="6.6640625" style="95" customWidth="1"/>
    <col min="12568" max="12568" width="9.1640625" style="95" customWidth="1"/>
    <col min="12569" max="12569" width="1.83203125" style="95" customWidth="1"/>
    <col min="12570" max="12800" width="9.1640625" style="95"/>
    <col min="12801" max="12801" width="12.5" style="95" customWidth="1"/>
    <col min="12802" max="12803" width="7.6640625" style="95" customWidth="1"/>
    <col min="12804" max="12804" width="1.6640625" style="95" customWidth="1"/>
    <col min="12805" max="12805" width="7.6640625" style="95" customWidth="1"/>
    <col min="12806" max="12806" width="9.5" style="95" customWidth="1"/>
    <col min="12807" max="12807" width="1.6640625" style="95" customWidth="1"/>
    <col min="12808" max="12808" width="6.6640625" style="95" customWidth="1"/>
    <col min="12809" max="12809" width="9.33203125" style="95" customWidth="1"/>
    <col min="12810" max="12810" width="1.6640625" style="95" customWidth="1"/>
    <col min="12811" max="12811" width="6.6640625" style="95" customWidth="1"/>
    <col min="12812" max="12812" width="9.33203125" style="95" customWidth="1"/>
    <col min="12813" max="12813" width="1.6640625" style="95" customWidth="1"/>
    <col min="12814" max="12814" width="6.83203125" style="95" customWidth="1"/>
    <col min="12815" max="12815" width="9.33203125" style="95" customWidth="1"/>
    <col min="12816" max="12816" width="1.6640625" style="95" customWidth="1"/>
    <col min="12817" max="12817" width="6.6640625" style="95" customWidth="1"/>
    <col min="12818" max="12818" width="9.33203125" style="95" customWidth="1"/>
    <col min="12819" max="12819" width="1.6640625" style="95" customWidth="1"/>
    <col min="12820" max="12820" width="7.5" style="95" customWidth="1"/>
    <col min="12821" max="12821" width="9.33203125" style="95" customWidth="1"/>
    <col min="12822" max="12822" width="1.83203125" style="95" customWidth="1"/>
    <col min="12823" max="12823" width="6.6640625" style="95" customWidth="1"/>
    <col min="12824" max="12824" width="9.1640625" style="95" customWidth="1"/>
    <col min="12825" max="12825" width="1.83203125" style="95" customWidth="1"/>
    <col min="12826" max="13056" width="9.1640625" style="95"/>
    <col min="13057" max="13057" width="12.5" style="95" customWidth="1"/>
    <col min="13058" max="13059" width="7.6640625" style="95" customWidth="1"/>
    <col min="13060" max="13060" width="1.6640625" style="95" customWidth="1"/>
    <col min="13061" max="13061" width="7.6640625" style="95" customWidth="1"/>
    <col min="13062" max="13062" width="9.5" style="95" customWidth="1"/>
    <col min="13063" max="13063" width="1.6640625" style="95" customWidth="1"/>
    <col min="13064" max="13064" width="6.6640625" style="95" customWidth="1"/>
    <col min="13065" max="13065" width="9.33203125" style="95" customWidth="1"/>
    <col min="13066" max="13066" width="1.6640625" style="95" customWidth="1"/>
    <col min="13067" max="13067" width="6.6640625" style="95" customWidth="1"/>
    <col min="13068" max="13068" width="9.33203125" style="95" customWidth="1"/>
    <col min="13069" max="13069" width="1.6640625" style="95" customWidth="1"/>
    <col min="13070" max="13070" width="6.83203125" style="95" customWidth="1"/>
    <col min="13071" max="13071" width="9.33203125" style="95" customWidth="1"/>
    <col min="13072" max="13072" width="1.6640625" style="95" customWidth="1"/>
    <col min="13073" max="13073" width="6.6640625" style="95" customWidth="1"/>
    <col min="13074" max="13074" width="9.33203125" style="95" customWidth="1"/>
    <col min="13075" max="13075" width="1.6640625" style="95" customWidth="1"/>
    <col min="13076" max="13076" width="7.5" style="95" customWidth="1"/>
    <col min="13077" max="13077" width="9.33203125" style="95" customWidth="1"/>
    <col min="13078" max="13078" width="1.83203125" style="95" customWidth="1"/>
    <col min="13079" max="13079" width="6.6640625" style="95" customWidth="1"/>
    <col min="13080" max="13080" width="9.1640625" style="95" customWidth="1"/>
    <col min="13081" max="13081" width="1.83203125" style="95" customWidth="1"/>
    <col min="13082" max="13312" width="9.1640625" style="95"/>
    <col min="13313" max="13313" width="12.5" style="95" customWidth="1"/>
    <col min="13314" max="13315" width="7.6640625" style="95" customWidth="1"/>
    <col min="13316" max="13316" width="1.6640625" style="95" customWidth="1"/>
    <col min="13317" max="13317" width="7.6640625" style="95" customWidth="1"/>
    <col min="13318" max="13318" width="9.5" style="95" customWidth="1"/>
    <col min="13319" max="13319" width="1.6640625" style="95" customWidth="1"/>
    <col min="13320" max="13320" width="6.6640625" style="95" customWidth="1"/>
    <col min="13321" max="13321" width="9.33203125" style="95" customWidth="1"/>
    <col min="13322" max="13322" width="1.6640625" style="95" customWidth="1"/>
    <col min="13323" max="13323" width="6.6640625" style="95" customWidth="1"/>
    <col min="13324" max="13324" width="9.33203125" style="95" customWidth="1"/>
    <col min="13325" max="13325" width="1.6640625" style="95" customWidth="1"/>
    <col min="13326" max="13326" width="6.83203125" style="95" customWidth="1"/>
    <col min="13327" max="13327" width="9.33203125" style="95" customWidth="1"/>
    <col min="13328" max="13328" width="1.6640625" style="95" customWidth="1"/>
    <col min="13329" max="13329" width="6.6640625" style="95" customWidth="1"/>
    <col min="13330" max="13330" width="9.33203125" style="95" customWidth="1"/>
    <col min="13331" max="13331" width="1.6640625" style="95" customWidth="1"/>
    <col min="13332" max="13332" width="7.5" style="95" customWidth="1"/>
    <col min="13333" max="13333" width="9.33203125" style="95" customWidth="1"/>
    <col min="13334" max="13334" width="1.83203125" style="95" customWidth="1"/>
    <col min="13335" max="13335" width="6.6640625" style="95" customWidth="1"/>
    <col min="13336" max="13336" width="9.1640625" style="95" customWidth="1"/>
    <col min="13337" max="13337" width="1.83203125" style="95" customWidth="1"/>
    <col min="13338" max="13568" width="9.1640625" style="95"/>
    <col min="13569" max="13569" width="12.5" style="95" customWidth="1"/>
    <col min="13570" max="13571" width="7.6640625" style="95" customWidth="1"/>
    <col min="13572" max="13572" width="1.6640625" style="95" customWidth="1"/>
    <col min="13573" max="13573" width="7.6640625" style="95" customWidth="1"/>
    <col min="13574" max="13574" width="9.5" style="95" customWidth="1"/>
    <col min="13575" max="13575" width="1.6640625" style="95" customWidth="1"/>
    <col min="13576" max="13576" width="6.6640625" style="95" customWidth="1"/>
    <col min="13577" max="13577" width="9.33203125" style="95" customWidth="1"/>
    <col min="13578" max="13578" width="1.6640625" style="95" customWidth="1"/>
    <col min="13579" max="13579" width="6.6640625" style="95" customWidth="1"/>
    <col min="13580" max="13580" width="9.33203125" style="95" customWidth="1"/>
    <col min="13581" max="13581" width="1.6640625" style="95" customWidth="1"/>
    <col min="13582" max="13582" width="6.83203125" style="95" customWidth="1"/>
    <col min="13583" max="13583" width="9.33203125" style="95" customWidth="1"/>
    <col min="13584" max="13584" width="1.6640625" style="95" customWidth="1"/>
    <col min="13585" max="13585" width="6.6640625" style="95" customWidth="1"/>
    <col min="13586" max="13586" width="9.33203125" style="95" customWidth="1"/>
    <col min="13587" max="13587" width="1.6640625" style="95" customWidth="1"/>
    <col min="13588" max="13588" width="7.5" style="95" customWidth="1"/>
    <col min="13589" max="13589" width="9.33203125" style="95" customWidth="1"/>
    <col min="13590" max="13590" width="1.83203125" style="95" customWidth="1"/>
    <col min="13591" max="13591" width="6.6640625" style="95" customWidth="1"/>
    <col min="13592" max="13592" width="9.1640625" style="95" customWidth="1"/>
    <col min="13593" max="13593" width="1.83203125" style="95" customWidth="1"/>
    <col min="13594" max="13824" width="9.1640625" style="95"/>
    <col min="13825" max="13825" width="12.5" style="95" customWidth="1"/>
    <col min="13826" max="13827" width="7.6640625" style="95" customWidth="1"/>
    <col min="13828" max="13828" width="1.6640625" style="95" customWidth="1"/>
    <col min="13829" max="13829" width="7.6640625" style="95" customWidth="1"/>
    <col min="13830" max="13830" width="9.5" style="95" customWidth="1"/>
    <col min="13831" max="13831" width="1.6640625" style="95" customWidth="1"/>
    <col min="13832" max="13832" width="6.6640625" style="95" customWidth="1"/>
    <col min="13833" max="13833" width="9.33203125" style="95" customWidth="1"/>
    <col min="13834" max="13834" width="1.6640625" style="95" customWidth="1"/>
    <col min="13835" max="13835" width="6.6640625" style="95" customWidth="1"/>
    <col min="13836" max="13836" width="9.33203125" style="95" customWidth="1"/>
    <col min="13837" max="13837" width="1.6640625" style="95" customWidth="1"/>
    <col min="13838" max="13838" width="6.83203125" style="95" customWidth="1"/>
    <col min="13839" max="13839" width="9.33203125" style="95" customWidth="1"/>
    <col min="13840" max="13840" width="1.6640625" style="95" customWidth="1"/>
    <col min="13841" max="13841" width="6.6640625" style="95" customWidth="1"/>
    <col min="13842" max="13842" width="9.33203125" style="95" customWidth="1"/>
    <col min="13843" max="13843" width="1.6640625" style="95" customWidth="1"/>
    <col min="13844" max="13844" width="7.5" style="95" customWidth="1"/>
    <col min="13845" max="13845" width="9.33203125" style="95" customWidth="1"/>
    <col min="13846" max="13846" width="1.83203125" style="95" customWidth="1"/>
    <col min="13847" max="13847" width="6.6640625" style="95" customWidth="1"/>
    <col min="13848" max="13848" width="9.1640625" style="95" customWidth="1"/>
    <col min="13849" max="13849" width="1.83203125" style="95" customWidth="1"/>
    <col min="13850" max="14080" width="9.1640625" style="95"/>
    <col min="14081" max="14081" width="12.5" style="95" customWidth="1"/>
    <col min="14082" max="14083" width="7.6640625" style="95" customWidth="1"/>
    <col min="14084" max="14084" width="1.6640625" style="95" customWidth="1"/>
    <col min="14085" max="14085" width="7.6640625" style="95" customWidth="1"/>
    <col min="14086" max="14086" width="9.5" style="95" customWidth="1"/>
    <col min="14087" max="14087" width="1.6640625" style="95" customWidth="1"/>
    <col min="14088" max="14088" width="6.6640625" style="95" customWidth="1"/>
    <col min="14089" max="14089" width="9.33203125" style="95" customWidth="1"/>
    <col min="14090" max="14090" width="1.6640625" style="95" customWidth="1"/>
    <col min="14091" max="14091" width="6.6640625" style="95" customWidth="1"/>
    <col min="14092" max="14092" width="9.33203125" style="95" customWidth="1"/>
    <col min="14093" max="14093" width="1.6640625" style="95" customWidth="1"/>
    <col min="14094" max="14094" width="6.83203125" style="95" customWidth="1"/>
    <col min="14095" max="14095" width="9.33203125" style="95" customWidth="1"/>
    <col min="14096" max="14096" width="1.6640625" style="95" customWidth="1"/>
    <col min="14097" max="14097" width="6.6640625" style="95" customWidth="1"/>
    <col min="14098" max="14098" width="9.33203125" style="95" customWidth="1"/>
    <col min="14099" max="14099" width="1.6640625" style="95" customWidth="1"/>
    <col min="14100" max="14100" width="7.5" style="95" customWidth="1"/>
    <col min="14101" max="14101" width="9.33203125" style="95" customWidth="1"/>
    <col min="14102" max="14102" width="1.83203125" style="95" customWidth="1"/>
    <col min="14103" max="14103" width="6.6640625" style="95" customWidth="1"/>
    <col min="14104" max="14104" width="9.1640625" style="95" customWidth="1"/>
    <col min="14105" max="14105" width="1.83203125" style="95" customWidth="1"/>
    <col min="14106" max="14336" width="9.1640625" style="95"/>
    <col min="14337" max="14337" width="12.5" style="95" customWidth="1"/>
    <col min="14338" max="14339" width="7.6640625" style="95" customWidth="1"/>
    <col min="14340" max="14340" width="1.6640625" style="95" customWidth="1"/>
    <col min="14341" max="14341" width="7.6640625" style="95" customWidth="1"/>
    <col min="14342" max="14342" width="9.5" style="95" customWidth="1"/>
    <col min="14343" max="14343" width="1.6640625" style="95" customWidth="1"/>
    <col min="14344" max="14344" width="6.6640625" style="95" customWidth="1"/>
    <col min="14345" max="14345" width="9.33203125" style="95" customWidth="1"/>
    <col min="14346" max="14346" width="1.6640625" style="95" customWidth="1"/>
    <col min="14347" max="14347" width="6.6640625" style="95" customWidth="1"/>
    <col min="14348" max="14348" width="9.33203125" style="95" customWidth="1"/>
    <col min="14349" max="14349" width="1.6640625" style="95" customWidth="1"/>
    <col min="14350" max="14350" width="6.83203125" style="95" customWidth="1"/>
    <col min="14351" max="14351" width="9.33203125" style="95" customWidth="1"/>
    <col min="14352" max="14352" width="1.6640625" style="95" customWidth="1"/>
    <col min="14353" max="14353" width="6.6640625" style="95" customWidth="1"/>
    <col min="14354" max="14354" width="9.33203125" style="95" customWidth="1"/>
    <col min="14355" max="14355" width="1.6640625" style="95" customWidth="1"/>
    <col min="14356" max="14356" width="7.5" style="95" customWidth="1"/>
    <col min="14357" max="14357" width="9.33203125" style="95" customWidth="1"/>
    <col min="14358" max="14358" width="1.83203125" style="95" customWidth="1"/>
    <col min="14359" max="14359" width="6.6640625" style="95" customWidth="1"/>
    <col min="14360" max="14360" width="9.1640625" style="95" customWidth="1"/>
    <col min="14361" max="14361" width="1.83203125" style="95" customWidth="1"/>
    <col min="14362" max="14592" width="9.1640625" style="95"/>
    <col min="14593" max="14593" width="12.5" style="95" customWidth="1"/>
    <col min="14594" max="14595" width="7.6640625" style="95" customWidth="1"/>
    <col min="14596" max="14596" width="1.6640625" style="95" customWidth="1"/>
    <col min="14597" max="14597" width="7.6640625" style="95" customWidth="1"/>
    <col min="14598" max="14598" width="9.5" style="95" customWidth="1"/>
    <col min="14599" max="14599" width="1.6640625" style="95" customWidth="1"/>
    <col min="14600" max="14600" width="6.6640625" style="95" customWidth="1"/>
    <col min="14601" max="14601" width="9.33203125" style="95" customWidth="1"/>
    <col min="14602" max="14602" width="1.6640625" style="95" customWidth="1"/>
    <col min="14603" max="14603" width="6.6640625" style="95" customWidth="1"/>
    <col min="14604" max="14604" width="9.33203125" style="95" customWidth="1"/>
    <col min="14605" max="14605" width="1.6640625" style="95" customWidth="1"/>
    <col min="14606" max="14606" width="6.83203125" style="95" customWidth="1"/>
    <col min="14607" max="14607" width="9.33203125" style="95" customWidth="1"/>
    <col min="14608" max="14608" width="1.6640625" style="95" customWidth="1"/>
    <col min="14609" max="14609" width="6.6640625" style="95" customWidth="1"/>
    <col min="14610" max="14610" width="9.33203125" style="95" customWidth="1"/>
    <col min="14611" max="14611" width="1.6640625" style="95" customWidth="1"/>
    <col min="14612" max="14612" width="7.5" style="95" customWidth="1"/>
    <col min="14613" max="14613" width="9.33203125" style="95" customWidth="1"/>
    <col min="14614" max="14614" width="1.83203125" style="95" customWidth="1"/>
    <col min="14615" max="14615" width="6.6640625" style="95" customWidth="1"/>
    <col min="14616" max="14616" width="9.1640625" style="95" customWidth="1"/>
    <col min="14617" max="14617" width="1.83203125" style="95" customWidth="1"/>
    <col min="14618" max="14848" width="9.1640625" style="95"/>
    <col min="14849" max="14849" width="12.5" style="95" customWidth="1"/>
    <col min="14850" max="14851" width="7.6640625" style="95" customWidth="1"/>
    <col min="14852" max="14852" width="1.6640625" style="95" customWidth="1"/>
    <col min="14853" max="14853" width="7.6640625" style="95" customWidth="1"/>
    <col min="14854" max="14854" width="9.5" style="95" customWidth="1"/>
    <col min="14855" max="14855" width="1.6640625" style="95" customWidth="1"/>
    <col min="14856" max="14856" width="6.6640625" style="95" customWidth="1"/>
    <col min="14857" max="14857" width="9.33203125" style="95" customWidth="1"/>
    <col min="14858" max="14858" width="1.6640625" style="95" customWidth="1"/>
    <col min="14859" max="14859" width="6.6640625" style="95" customWidth="1"/>
    <col min="14860" max="14860" width="9.33203125" style="95" customWidth="1"/>
    <col min="14861" max="14861" width="1.6640625" style="95" customWidth="1"/>
    <col min="14862" max="14862" width="6.83203125" style="95" customWidth="1"/>
    <col min="14863" max="14863" width="9.33203125" style="95" customWidth="1"/>
    <col min="14864" max="14864" width="1.6640625" style="95" customWidth="1"/>
    <col min="14865" max="14865" width="6.6640625" style="95" customWidth="1"/>
    <col min="14866" max="14866" width="9.33203125" style="95" customWidth="1"/>
    <col min="14867" max="14867" width="1.6640625" style="95" customWidth="1"/>
    <col min="14868" max="14868" width="7.5" style="95" customWidth="1"/>
    <col min="14869" max="14869" width="9.33203125" style="95" customWidth="1"/>
    <col min="14870" max="14870" width="1.83203125" style="95" customWidth="1"/>
    <col min="14871" max="14871" width="6.6640625" style="95" customWidth="1"/>
    <col min="14872" max="14872" width="9.1640625" style="95" customWidth="1"/>
    <col min="14873" max="14873" width="1.83203125" style="95" customWidth="1"/>
    <col min="14874" max="15104" width="9.1640625" style="95"/>
    <col min="15105" max="15105" width="12.5" style="95" customWidth="1"/>
    <col min="15106" max="15107" width="7.6640625" style="95" customWidth="1"/>
    <col min="15108" max="15108" width="1.6640625" style="95" customWidth="1"/>
    <col min="15109" max="15109" width="7.6640625" style="95" customWidth="1"/>
    <col min="15110" max="15110" width="9.5" style="95" customWidth="1"/>
    <col min="15111" max="15111" width="1.6640625" style="95" customWidth="1"/>
    <col min="15112" max="15112" width="6.6640625" style="95" customWidth="1"/>
    <col min="15113" max="15113" width="9.33203125" style="95" customWidth="1"/>
    <col min="15114" max="15114" width="1.6640625" style="95" customWidth="1"/>
    <col min="15115" max="15115" width="6.6640625" style="95" customWidth="1"/>
    <col min="15116" max="15116" width="9.33203125" style="95" customWidth="1"/>
    <col min="15117" max="15117" width="1.6640625" style="95" customWidth="1"/>
    <col min="15118" max="15118" width="6.83203125" style="95" customWidth="1"/>
    <col min="15119" max="15119" width="9.33203125" style="95" customWidth="1"/>
    <col min="15120" max="15120" width="1.6640625" style="95" customWidth="1"/>
    <col min="15121" max="15121" width="6.6640625" style="95" customWidth="1"/>
    <col min="15122" max="15122" width="9.33203125" style="95" customWidth="1"/>
    <col min="15123" max="15123" width="1.6640625" style="95" customWidth="1"/>
    <col min="15124" max="15124" width="7.5" style="95" customWidth="1"/>
    <col min="15125" max="15125" width="9.33203125" style="95" customWidth="1"/>
    <col min="15126" max="15126" width="1.83203125" style="95" customWidth="1"/>
    <col min="15127" max="15127" width="6.6640625" style="95" customWidth="1"/>
    <col min="15128" max="15128" width="9.1640625" style="95" customWidth="1"/>
    <col min="15129" max="15129" width="1.83203125" style="95" customWidth="1"/>
    <col min="15130" max="15360" width="9.1640625" style="95"/>
    <col min="15361" max="15361" width="12.5" style="95" customWidth="1"/>
    <col min="15362" max="15363" width="7.6640625" style="95" customWidth="1"/>
    <col min="15364" max="15364" width="1.6640625" style="95" customWidth="1"/>
    <col min="15365" max="15365" width="7.6640625" style="95" customWidth="1"/>
    <col min="15366" max="15366" width="9.5" style="95" customWidth="1"/>
    <col min="15367" max="15367" width="1.6640625" style="95" customWidth="1"/>
    <col min="15368" max="15368" width="6.6640625" style="95" customWidth="1"/>
    <col min="15369" max="15369" width="9.33203125" style="95" customWidth="1"/>
    <col min="15370" max="15370" width="1.6640625" style="95" customWidth="1"/>
    <col min="15371" max="15371" width="6.6640625" style="95" customWidth="1"/>
    <col min="15372" max="15372" width="9.33203125" style="95" customWidth="1"/>
    <col min="15373" max="15373" width="1.6640625" style="95" customWidth="1"/>
    <col min="15374" max="15374" width="6.83203125" style="95" customWidth="1"/>
    <col min="15375" max="15375" width="9.33203125" style="95" customWidth="1"/>
    <col min="15376" max="15376" width="1.6640625" style="95" customWidth="1"/>
    <col min="15377" max="15377" width="6.6640625" style="95" customWidth="1"/>
    <col min="15378" max="15378" width="9.33203125" style="95" customWidth="1"/>
    <col min="15379" max="15379" width="1.6640625" style="95" customWidth="1"/>
    <col min="15380" max="15380" width="7.5" style="95" customWidth="1"/>
    <col min="15381" max="15381" width="9.33203125" style="95" customWidth="1"/>
    <col min="15382" max="15382" width="1.83203125" style="95" customWidth="1"/>
    <col min="15383" max="15383" width="6.6640625" style="95" customWidth="1"/>
    <col min="15384" max="15384" width="9.1640625" style="95" customWidth="1"/>
    <col min="15385" max="15385" width="1.83203125" style="95" customWidth="1"/>
    <col min="15386" max="15616" width="9.1640625" style="95"/>
    <col min="15617" max="15617" width="12.5" style="95" customWidth="1"/>
    <col min="15618" max="15619" width="7.6640625" style="95" customWidth="1"/>
    <col min="15620" max="15620" width="1.6640625" style="95" customWidth="1"/>
    <col min="15621" max="15621" width="7.6640625" style="95" customWidth="1"/>
    <col min="15622" max="15622" width="9.5" style="95" customWidth="1"/>
    <col min="15623" max="15623" width="1.6640625" style="95" customWidth="1"/>
    <col min="15624" max="15624" width="6.6640625" style="95" customWidth="1"/>
    <col min="15625" max="15625" width="9.33203125" style="95" customWidth="1"/>
    <col min="15626" max="15626" width="1.6640625" style="95" customWidth="1"/>
    <col min="15627" max="15627" width="6.6640625" style="95" customWidth="1"/>
    <col min="15628" max="15628" width="9.33203125" style="95" customWidth="1"/>
    <col min="15629" max="15629" width="1.6640625" style="95" customWidth="1"/>
    <col min="15630" max="15630" width="6.83203125" style="95" customWidth="1"/>
    <col min="15631" max="15631" width="9.33203125" style="95" customWidth="1"/>
    <col min="15632" max="15632" width="1.6640625" style="95" customWidth="1"/>
    <col min="15633" max="15633" width="6.6640625" style="95" customWidth="1"/>
    <col min="15634" max="15634" width="9.33203125" style="95" customWidth="1"/>
    <col min="15635" max="15635" width="1.6640625" style="95" customWidth="1"/>
    <col min="15636" max="15636" width="7.5" style="95" customWidth="1"/>
    <col min="15637" max="15637" width="9.33203125" style="95" customWidth="1"/>
    <col min="15638" max="15638" width="1.83203125" style="95" customWidth="1"/>
    <col min="15639" max="15639" width="6.6640625" style="95" customWidth="1"/>
    <col min="15640" max="15640" width="9.1640625" style="95" customWidth="1"/>
    <col min="15641" max="15641" width="1.83203125" style="95" customWidth="1"/>
    <col min="15642" max="15872" width="9.1640625" style="95"/>
    <col min="15873" max="15873" width="12.5" style="95" customWidth="1"/>
    <col min="15874" max="15875" width="7.6640625" style="95" customWidth="1"/>
    <col min="15876" max="15876" width="1.6640625" style="95" customWidth="1"/>
    <col min="15877" max="15877" width="7.6640625" style="95" customWidth="1"/>
    <col min="15878" max="15878" width="9.5" style="95" customWidth="1"/>
    <col min="15879" max="15879" width="1.6640625" style="95" customWidth="1"/>
    <col min="15880" max="15880" width="6.6640625" style="95" customWidth="1"/>
    <col min="15881" max="15881" width="9.33203125" style="95" customWidth="1"/>
    <col min="15882" max="15882" width="1.6640625" style="95" customWidth="1"/>
    <col min="15883" max="15883" width="6.6640625" style="95" customWidth="1"/>
    <col min="15884" max="15884" width="9.33203125" style="95" customWidth="1"/>
    <col min="15885" max="15885" width="1.6640625" style="95" customWidth="1"/>
    <col min="15886" max="15886" width="6.83203125" style="95" customWidth="1"/>
    <col min="15887" max="15887" width="9.33203125" style="95" customWidth="1"/>
    <col min="15888" max="15888" width="1.6640625" style="95" customWidth="1"/>
    <col min="15889" max="15889" width="6.6640625" style="95" customWidth="1"/>
    <col min="15890" max="15890" width="9.33203125" style="95" customWidth="1"/>
    <col min="15891" max="15891" width="1.6640625" style="95" customWidth="1"/>
    <col min="15892" max="15892" width="7.5" style="95" customWidth="1"/>
    <col min="15893" max="15893" width="9.33203125" style="95" customWidth="1"/>
    <col min="15894" max="15894" width="1.83203125" style="95" customWidth="1"/>
    <col min="15895" max="15895" width="6.6640625" style="95" customWidth="1"/>
    <col min="15896" max="15896" width="9.1640625" style="95" customWidth="1"/>
    <col min="15897" max="15897" width="1.83203125" style="95" customWidth="1"/>
    <col min="15898" max="16128" width="9.1640625" style="95"/>
    <col min="16129" max="16129" width="12.5" style="95" customWidth="1"/>
    <col min="16130" max="16131" width="7.6640625" style="95" customWidth="1"/>
    <col min="16132" max="16132" width="1.6640625" style="95" customWidth="1"/>
    <col min="16133" max="16133" width="7.6640625" style="95" customWidth="1"/>
    <col min="16134" max="16134" width="9.5" style="95" customWidth="1"/>
    <col min="16135" max="16135" width="1.6640625" style="95" customWidth="1"/>
    <col min="16136" max="16136" width="6.6640625" style="95" customWidth="1"/>
    <col min="16137" max="16137" width="9.33203125" style="95" customWidth="1"/>
    <col min="16138" max="16138" width="1.6640625" style="95" customWidth="1"/>
    <col min="16139" max="16139" width="6.6640625" style="95" customWidth="1"/>
    <col min="16140" max="16140" width="9.33203125" style="95" customWidth="1"/>
    <col min="16141" max="16141" width="1.6640625" style="95" customWidth="1"/>
    <col min="16142" max="16142" width="6.83203125" style="95" customWidth="1"/>
    <col min="16143" max="16143" width="9.33203125" style="95" customWidth="1"/>
    <col min="16144" max="16144" width="1.6640625" style="95" customWidth="1"/>
    <col min="16145" max="16145" width="6.6640625" style="95" customWidth="1"/>
    <col min="16146" max="16146" width="9.33203125" style="95" customWidth="1"/>
    <col min="16147" max="16147" width="1.6640625" style="95" customWidth="1"/>
    <col min="16148" max="16148" width="7.5" style="95" customWidth="1"/>
    <col min="16149" max="16149" width="9.33203125" style="95" customWidth="1"/>
    <col min="16150" max="16150" width="1.83203125" style="95" customWidth="1"/>
    <col min="16151" max="16151" width="6.6640625" style="95" customWidth="1"/>
    <col min="16152" max="16152" width="9.1640625" style="95" customWidth="1"/>
    <col min="16153" max="16153" width="1.83203125" style="95" customWidth="1"/>
    <col min="16154" max="16384" width="9.1640625" style="95"/>
  </cols>
  <sheetData>
    <row r="1" spans="1:25">
      <c r="A1" s="95" t="s">
        <v>466</v>
      </c>
    </row>
    <row r="2" spans="1:25">
      <c r="A2" s="95" t="s">
        <v>467</v>
      </c>
      <c r="E2" s="155"/>
      <c r="F2" s="139"/>
    </row>
    <row r="4" spans="1:25">
      <c r="A4" s="998" t="s">
        <v>2167</v>
      </c>
    </row>
    <row r="5" spans="1:25" ht="14" thickBot="1">
      <c r="L5" s="105"/>
      <c r="O5" s="105"/>
      <c r="P5" s="105"/>
      <c r="R5" s="105"/>
      <c r="S5" s="105"/>
    </row>
    <row r="6" spans="1:25">
      <c r="A6" s="97"/>
      <c r="B6" s="144"/>
      <c r="C6" s="99"/>
      <c r="D6" s="97"/>
      <c r="E6" s="144"/>
      <c r="F6" s="99"/>
      <c r="G6" s="97"/>
      <c r="H6" s="144"/>
      <c r="I6" s="99"/>
      <c r="J6" s="99"/>
      <c r="K6" s="144"/>
      <c r="L6" s="99"/>
      <c r="M6" s="97"/>
      <c r="N6" s="144"/>
      <c r="O6" s="99"/>
      <c r="P6" s="99"/>
      <c r="Q6" s="144"/>
      <c r="R6" s="99"/>
      <c r="S6" s="99"/>
      <c r="T6" s="99"/>
      <c r="U6" s="99"/>
      <c r="V6" s="99"/>
      <c r="W6" s="99"/>
      <c r="X6" s="99"/>
      <c r="Y6" s="99"/>
    </row>
    <row r="7" spans="1:25">
      <c r="A7" s="116" t="s">
        <v>1604</v>
      </c>
      <c r="B7" s="1019" t="s">
        <v>1474</v>
      </c>
      <c r="C7" s="1019"/>
      <c r="D7" s="116"/>
      <c r="E7" s="1019" t="s">
        <v>1381</v>
      </c>
      <c r="F7" s="1019"/>
      <c r="G7" s="116"/>
      <c r="H7" s="1021" t="s">
        <v>1632</v>
      </c>
      <c r="I7" s="1019"/>
      <c r="J7" s="135"/>
      <c r="K7" s="1021" t="s">
        <v>1606</v>
      </c>
      <c r="L7" s="1019"/>
      <c r="M7" s="116"/>
      <c r="N7" s="1019" t="s">
        <v>1607</v>
      </c>
      <c r="O7" s="1019"/>
      <c r="Q7" s="1021" t="s">
        <v>1608</v>
      </c>
      <c r="R7" s="1019"/>
      <c r="T7" s="1019" t="s">
        <v>1609</v>
      </c>
      <c r="U7" s="1019"/>
      <c r="W7" s="1021" t="s">
        <v>1633</v>
      </c>
      <c r="X7" s="1019"/>
    </row>
    <row r="8" spans="1:25">
      <c r="A8" s="95" t="s">
        <v>1611</v>
      </c>
      <c r="B8" s="149" t="s">
        <v>400</v>
      </c>
      <c r="C8" s="101" t="s">
        <v>401</v>
      </c>
      <c r="D8" s="116"/>
      <c r="E8" s="149" t="s">
        <v>1634</v>
      </c>
      <c r="F8" s="101" t="s">
        <v>1635</v>
      </c>
      <c r="G8" s="116"/>
      <c r="H8" s="149" t="s">
        <v>1634</v>
      </c>
      <c r="I8" s="101" t="s">
        <v>1635</v>
      </c>
      <c r="J8" s="150"/>
      <c r="K8" s="149" t="s">
        <v>1634</v>
      </c>
      <c r="L8" s="101" t="s">
        <v>1635</v>
      </c>
      <c r="M8" s="116"/>
      <c r="N8" s="149" t="s">
        <v>1634</v>
      </c>
      <c r="O8" s="101" t="s">
        <v>1635</v>
      </c>
      <c r="Q8" s="149" t="s">
        <v>1634</v>
      </c>
      <c r="R8" s="101" t="s">
        <v>1635</v>
      </c>
      <c r="T8" s="149" t="s">
        <v>1634</v>
      </c>
      <c r="U8" s="101" t="s">
        <v>1635</v>
      </c>
      <c r="W8" s="149" t="s">
        <v>1634</v>
      </c>
      <c r="X8" s="101" t="s">
        <v>1635</v>
      </c>
    </row>
    <row r="9" spans="1:25" ht="14" thickBot="1">
      <c r="A9" s="102"/>
      <c r="B9" s="153"/>
      <c r="C9" s="96"/>
      <c r="D9" s="102"/>
      <c r="E9" s="153"/>
      <c r="F9" s="96"/>
      <c r="G9" s="102"/>
      <c r="H9" s="153"/>
      <c r="I9" s="96"/>
      <c r="J9" s="96"/>
      <c r="K9" s="153"/>
      <c r="L9" s="96"/>
      <c r="M9" s="102"/>
      <c r="N9" s="153"/>
      <c r="O9" s="96"/>
      <c r="P9" s="96"/>
      <c r="Q9" s="153"/>
      <c r="R9" s="96"/>
      <c r="S9" s="96"/>
      <c r="T9" s="96"/>
      <c r="U9" s="96"/>
      <c r="V9" s="96"/>
      <c r="W9" s="96"/>
      <c r="X9" s="96"/>
      <c r="Y9" s="96"/>
    </row>
    <row r="10" spans="1:25">
      <c r="A10" s="116"/>
      <c r="B10" s="154"/>
      <c r="C10" s="135"/>
      <c r="D10" s="116"/>
      <c r="E10" s="154"/>
      <c r="F10" s="135"/>
      <c r="G10" s="116"/>
      <c r="H10" s="154"/>
      <c r="I10" s="135"/>
      <c r="J10" s="135"/>
      <c r="K10" s="154"/>
      <c r="L10" s="135"/>
      <c r="M10" s="116"/>
      <c r="N10" s="154"/>
      <c r="O10" s="135"/>
      <c r="Q10" s="154"/>
      <c r="R10" s="135"/>
    </row>
    <row r="11" spans="1:25">
      <c r="A11" s="607" t="s">
        <v>148</v>
      </c>
      <c r="B11" s="154">
        <f t="shared" ref="B11:B17" si="0">IF(A11&lt;&gt;"",E11+F11+H11+I11+K11+L11+N11+O11+Q11+R11+T11+U11+W11+X11,"")</f>
        <v>16267</v>
      </c>
      <c r="C11" s="134">
        <f>IF($A11&lt;&gt;0,SUM(C13:C17),"")</f>
        <v>100</v>
      </c>
      <c r="D11" s="116"/>
      <c r="E11" s="154">
        <f>IF($A11&lt;&gt;0,SUM(E13:E17),"")</f>
        <v>4457</v>
      </c>
      <c r="F11" s="154">
        <f>IF($A11&lt;&gt;0,SUM(F13:F17),"")</f>
        <v>5383</v>
      </c>
      <c r="G11" s="116"/>
      <c r="H11" s="154">
        <f>IF($A11&lt;&gt;0,SUM(H13:H17),"")</f>
        <v>829</v>
      </c>
      <c r="I11" s="154">
        <f>IF($A11&lt;&gt;0,SUM(I13:I17),"")</f>
        <v>976</v>
      </c>
      <c r="J11" s="135"/>
      <c r="K11" s="154">
        <f>IF($A11&lt;&gt;0,SUM(K13:K17),"")</f>
        <v>695</v>
      </c>
      <c r="L11" s="154">
        <f>IF($A11&lt;&gt;0,SUM(L13:L17),"")</f>
        <v>566</v>
      </c>
      <c r="M11" s="116"/>
      <c r="N11" s="154">
        <f>IF($A11&lt;&gt;0,SUM(N13:N17),"")</f>
        <v>308</v>
      </c>
      <c r="O11" s="154">
        <f>IF($A11&lt;&gt;0,SUM(O13:O17),"")</f>
        <v>1000</v>
      </c>
      <c r="Q11" s="154">
        <f>IF($A11&lt;&gt;0,SUM(Q13:Q17),"")</f>
        <v>222</v>
      </c>
      <c r="R11" s="154">
        <f>IF($A11&lt;&gt;0,SUM(R13:R17),"")</f>
        <v>689</v>
      </c>
      <c r="T11" s="154">
        <f>IF($A11&lt;&gt;0,SUM(T13:T17),"")</f>
        <v>260</v>
      </c>
      <c r="U11" s="154">
        <f>IF($A11&lt;&gt;0,SUM(U13:U17),"")</f>
        <v>576</v>
      </c>
      <c r="W11" s="154">
        <f>IF($A11&lt;&gt;0,SUM(W13:W17),"")</f>
        <v>186</v>
      </c>
      <c r="X11" s="154">
        <f>IF($A11&lt;&gt;0,SUM(X13:X17),"")</f>
        <v>120</v>
      </c>
    </row>
    <row r="12" spans="1:25">
      <c r="A12" s="107"/>
      <c r="B12" s="154" t="str">
        <f t="shared" si="0"/>
        <v/>
      </c>
      <c r="C12" s="135" t="str">
        <f>IF($A12&lt;&gt;0,B12/$B$11*100,"")</f>
        <v/>
      </c>
      <c r="D12" s="116"/>
      <c r="E12" s="119"/>
      <c r="F12" s="119" t="str">
        <f>IF(E12&lt;&gt;0,I12+L12+O12+R12+U12,"")</f>
        <v/>
      </c>
      <c r="G12" s="121"/>
      <c r="H12" s="119"/>
      <c r="I12" s="119" t="str">
        <f>IF(A12&lt;&gt;0,H12/B12*100,"")</f>
        <v/>
      </c>
      <c r="J12" s="146"/>
      <c r="K12" s="119"/>
      <c r="L12" s="651" t="str">
        <f>IF(A12&lt;&gt;0,K12/B12*100,"")</f>
        <v/>
      </c>
      <c r="M12" s="116"/>
      <c r="N12" s="154"/>
      <c r="O12" s="651" t="str">
        <f>IF(A12&lt;&gt;0,N12/B12*100,"")</f>
        <v/>
      </c>
      <c r="Q12" s="154"/>
      <c r="R12" s="651" t="str">
        <f>IF(A12&lt;&gt;0,Q12/B12*100,"")</f>
        <v/>
      </c>
      <c r="T12" s="140"/>
      <c r="U12" s="175"/>
      <c r="W12" s="140"/>
      <c r="X12" s="175"/>
    </row>
    <row r="13" spans="1:25">
      <c r="A13" s="61">
        <v>3</v>
      </c>
      <c r="B13" s="154">
        <f t="shared" si="0"/>
        <v>982</v>
      </c>
      <c r="C13" s="135">
        <f>IF($A13&lt;&gt;"",B13/$B$11*100,"")</f>
        <v>6.0367615417716847</v>
      </c>
      <c r="D13" s="116"/>
      <c r="E13" s="996">
        <v>700</v>
      </c>
      <c r="F13" s="996">
        <v>0</v>
      </c>
      <c r="G13" s="627"/>
      <c r="H13" s="996">
        <v>94</v>
      </c>
      <c r="I13" s="996">
        <v>0</v>
      </c>
      <c r="J13" s="627"/>
      <c r="K13" s="996">
        <v>63</v>
      </c>
      <c r="L13" s="996">
        <v>0</v>
      </c>
      <c r="M13" s="627"/>
      <c r="N13" s="996">
        <v>40</v>
      </c>
      <c r="O13" s="996">
        <v>0</v>
      </c>
      <c r="P13" s="627"/>
      <c r="Q13" s="996">
        <v>20</v>
      </c>
      <c r="R13" s="996">
        <v>0</v>
      </c>
      <c r="S13" s="650"/>
      <c r="T13" s="996">
        <v>34</v>
      </c>
      <c r="U13" s="996">
        <v>0</v>
      </c>
      <c r="V13" s="650"/>
      <c r="W13" s="996">
        <v>31</v>
      </c>
      <c r="X13" s="996">
        <v>0</v>
      </c>
    </row>
    <row r="14" spans="1:25">
      <c r="A14" s="61"/>
      <c r="B14" s="154" t="str">
        <f t="shared" si="0"/>
        <v/>
      </c>
      <c r="C14" s="135" t="str">
        <f>IF($A14&lt;&gt;"",B14/$B$11*100,"")</f>
        <v/>
      </c>
      <c r="D14" s="116"/>
      <c r="E14" s="996"/>
      <c r="F14" s="996"/>
      <c r="G14" s="627"/>
      <c r="H14" s="996"/>
      <c r="I14" s="996"/>
      <c r="J14" s="627"/>
      <c r="K14" s="996"/>
      <c r="L14" s="996"/>
      <c r="M14" s="627"/>
      <c r="N14" s="996"/>
      <c r="O14" s="996"/>
      <c r="P14" s="627"/>
      <c r="Q14" s="996"/>
      <c r="R14" s="996"/>
      <c r="S14" s="650"/>
      <c r="T14" s="996"/>
      <c r="U14" s="996"/>
      <c r="V14" s="650"/>
      <c r="W14" s="996"/>
      <c r="X14" s="996"/>
    </row>
    <row r="15" spans="1:25">
      <c r="A15" s="61">
        <v>4</v>
      </c>
      <c r="B15" s="154">
        <f t="shared" si="0"/>
        <v>1812</v>
      </c>
      <c r="C15" s="135">
        <f>IF($A15&lt;&gt;"",B15/$B$11*100,"")</f>
        <v>11.139116001721277</v>
      </c>
      <c r="D15" s="116"/>
      <c r="E15" s="996">
        <v>690</v>
      </c>
      <c r="F15" s="996">
        <v>559</v>
      </c>
      <c r="G15" s="627"/>
      <c r="H15" s="996">
        <v>81</v>
      </c>
      <c r="I15" s="996">
        <v>77</v>
      </c>
      <c r="J15" s="627"/>
      <c r="K15" s="996">
        <v>59</v>
      </c>
      <c r="L15" s="996">
        <v>37</v>
      </c>
      <c r="M15" s="627"/>
      <c r="N15" s="996">
        <v>28</v>
      </c>
      <c r="O15" s="996">
        <v>93</v>
      </c>
      <c r="P15" s="627"/>
      <c r="Q15" s="996">
        <v>20</v>
      </c>
      <c r="R15" s="996">
        <v>43</v>
      </c>
      <c r="S15" s="650"/>
      <c r="T15" s="996">
        <v>25</v>
      </c>
      <c r="U15" s="996">
        <v>43</v>
      </c>
      <c r="V15" s="650"/>
      <c r="W15" s="996">
        <v>44</v>
      </c>
      <c r="X15" s="996">
        <v>13</v>
      </c>
    </row>
    <row r="16" spans="1:25">
      <c r="A16" s="61"/>
      <c r="B16" s="154" t="str">
        <f t="shared" si="0"/>
        <v/>
      </c>
      <c r="C16" s="135" t="str">
        <f>IF($A16&lt;&gt;"",B16/$B$11*100,"")</f>
        <v/>
      </c>
      <c r="D16" s="116"/>
      <c r="E16" s="996"/>
      <c r="F16" s="996"/>
      <c r="G16" s="627"/>
      <c r="H16" s="996"/>
      <c r="I16" s="996"/>
      <c r="J16" s="627"/>
      <c r="K16" s="996"/>
      <c r="L16" s="996"/>
      <c r="M16" s="627"/>
      <c r="N16" s="996"/>
      <c r="O16" s="996"/>
      <c r="P16" s="627"/>
      <c r="Q16" s="996"/>
      <c r="R16" s="996"/>
      <c r="S16" s="650"/>
      <c r="T16" s="996"/>
      <c r="U16" s="996"/>
      <c r="V16" s="650"/>
      <c r="W16" s="996"/>
      <c r="X16" s="996"/>
    </row>
    <row r="17" spans="1:25">
      <c r="A17" s="61">
        <v>5</v>
      </c>
      <c r="B17" s="154">
        <f t="shared" si="0"/>
        <v>13473</v>
      </c>
      <c r="C17" s="135">
        <f>IF($A17&lt;&gt;"",B17/$B$11*100,"")</f>
        <v>82.824122456507041</v>
      </c>
      <c r="D17" s="116"/>
      <c r="E17" s="996">
        <v>3067</v>
      </c>
      <c r="F17" s="996">
        <v>4824</v>
      </c>
      <c r="G17" s="627"/>
      <c r="H17" s="996">
        <v>654</v>
      </c>
      <c r="I17" s="996">
        <v>899</v>
      </c>
      <c r="J17" s="627"/>
      <c r="K17" s="996">
        <v>573</v>
      </c>
      <c r="L17" s="996">
        <v>529</v>
      </c>
      <c r="M17" s="627"/>
      <c r="N17" s="996">
        <v>240</v>
      </c>
      <c r="O17" s="996">
        <v>907</v>
      </c>
      <c r="P17" s="627"/>
      <c r="Q17" s="996">
        <v>182</v>
      </c>
      <c r="R17" s="996">
        <v>646</v>
      </c>
      <c r="S17" s="650"/>
      <c r="T17" s="996">
        <v>201</v>
      </c>
      <c r="U17" s="996">
        <v>533</v>
      </c>
      <c r="V17" s="650"/>
      <c r="W17" s="996">
        <v>111</v>
      </c>
      <c r="X17" s="996">
        <v>107</v>
      </c>
    </row>
    <row r="18" spans="1:25" ht="14" thickBot="1">
      <c r="E18" s="155"/>
      <c r="F18" s="139"/>
      <c r="G18" s="111"/>
      <c r="H18" s="155"/>
      <c r="I18" s="139"/>
    </row>
    <row r="19" spans="1:25">
      <c r="A19" s="97"/>
      <c r="B19" s="144"/>
      <c r="C19" s="99"/>
      <c r="D19" s="97"/>
      <c r="E19" s="144"/>
      <c r="F19" s="99"/>
      <c r="G19" s="97"/>
      <c r="H19" s="144"/>
      <c r="I19" s="99"/>
      <c r="J19" s="99"/>
      <c r="K19" s="144"/>
      <c r="L19" s="97"/>
      <c r="M19" s="97"/>
      <c r="N19" s="144"/>
      <c r="O19" s="97"/>
      <c r="P19" s="97"/>
      <c r="Q19" s="144"/>
      <c r="R19" s="97"/>
      <c r="S19" s="97"/>
      <c r="T19" s="97"/>
      <c r="U19" s="97"/>
      <c r="V19" s="97"/>
      <c r="W19" s="97"/>
      <c r="X19" s="97"/>
      <c r="Y19" s="97"/>
    </row>
    <row r="20" spans="1:25">
      <c r="A20" s="33" t="s">
        <v>1636</v>
      </c>
      <c r="B20" s="33"/>
      <c r="C20" s="33"/>
      <c r="D20" s="33"/>
      <c r="E20" s="33"/>
      <c r="F20" s="33"/>
      <c r="G20" s="33"/>
      <c r="H20" s="33"/>
      <c r="I20" s="33"/>
      <c r="J20" s="33"/>
      <c r="K20" s="33"/>
      <c r="L20" s="33"/>
      <c r="M20" s="33"/>
      <c r="N20" s="33"/>
      <c r="O20" s="33"/>
      <c r="P20" s="33"/>
      <c r="Q20" s="33"/>
      <c r="R20" s="33"/>
      <c r="S20" s="33"/>
      <c r="T20" s="33"/>
      <c r="U20" s="33"/>
      <c r="V20" s="33"/>
      <c r="W20" s="33"/>
      <c r="X20" s="33"/>
    </row>
    <row r="21" spans="1:25">
      <c r="A21" s="116"/>
      <c r="B21" s="154"/>
      <c r="C21" s="135"/>
      <c r="D21" s="116"/>
      <c r="E21" s="154"/>
      <c r="F21" s="135"/>
      <c r="G21" s="116"/>
      <c r="H21" s="154"/>
      <c r="I21" s="135"/>
      <c r="J21" s="135"/>
      <c r="K21" s="154"/>
      <c r="L21" s="116"/>
      <c r="M21" s="116"/>
      <c r="N21" s="154"/>
      <c r="O21" s="116"/>
      <c r="P21" s="116"/>
      <c r="Q21" s="154"/>
      <c r="R21" s="116"/>
      <c r="S21" s="116"/>
      <c r="T21" s="116"/>
      <c r="U21" s="116"/>
      <c r="V21" s="116"/>
    </row>
    <row r="22" spans="1:25">
      <c r="A22" s="72" t="s">
        <v>1637</v>
      </c>
    </row>
    <row r="23" spans="1:25">
      <c r="A23" s="72" t="s">
        <v>2166</v>
      </c>
    </row>
    <row r="24" spans="1:25">
      <c r="A24" s="1076"/>
      <c r="B24" s="1077"/>
      <c r="C24" s="1077"/>
      <c r="D24" s="1077"/>
      <c r="E24" s="1077"/>
      <c r="F24" s="1077"/>
      <c r="G24" s="1077"/>
      <c r="H24" s="1077"/>
      <c r="I24" s="1077"/>
      <c r="J24" s="1077"/>
      <c r="K24" s="1077"/>
      <c r="L24" s="1077"/>
      <c r="M24" s="1077"/>
    </row>
    <row r="25" spans="1:25">
      <c r="A25" s="95" t="s">
        <v>1563</v>
      </c>
    </row>
    <row r="26" spans="1:25">
      <c r="A26" s="95" t="s">
        <v>452</v>
      </c>
    </row>
  </sheetData>
  <mergeCells count="9">
    <mergeCell ref="T7:U7"/>
    <mergeCell ref="W7:X7"/>
    <mergeCell ref="A24:M24"/>
    <mergeCell ref="B7:C7"/>
    <mergeCell ref="E7:F7"/>
    <mergeCell ref="H7:I7"/>
    <mergeCell ref="K7:L7"/>
    <mergeCell ref="N7:O7"/>
    <mergeCell ref="Q7:R7"/>
  </mergeCells>
  <pageMargins left="0.70866141732283472" right="0.70866141732283472" top="0.74803149606299213" bottom="0.74803149606299213" header="0.31496062992125984" footer="0.31496062992125984"/>
  <pageSetup scale="75" orientation="landscape"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119"/>
  <sheetViews>
    <sheetView topLeftCell="A64" workbookViewId="0"/>
  </sheetViews>
  <sheetFormatPr baseColWidth="10" defaultColWidth="9.1640625" defaultRowHeight="13"/>
  <cols>
    <col min="1" max="1" width="36" style="95" customWidth="1"/>
    <col min="2" max="2" width="8.5" style="138" customWidth="1"/>
    <col min="3" max="3" width="8.33203125" style="105"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83203125" style="95" customWidth="1"/>
    <col min="19" max="19" width="1.832031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83203125" style="95" customWidth="1"/>
    <col min="275" max="275" width="1.832031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83203125" style="95" customWidth="1"/>
    <col min="531" max="531" width="1.832031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83203125" style="95" customWidth="1"/>
    <col min="787" max="787" width="1.832031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83203125" style="95" customWidth="1"/>
    <col min="1043" max="1043" width="1.832031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83203125" style="95" customWidth="1"/>
    <col min="1299" max="1299" width="1.832031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83203125" style="95" customWidth="1"/>
    <col min="1555" max="1555" width="1.832031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83203125" style="95" customWidth="1"/>
    <col min="1811" max="1811" width="1.832031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83203125" style="95" customWidth="1"/>
    <col min="2067" max="2067" width="1.832031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83203125" style="95" customWidth="1"/>
    <col min="2323" max="2323" width="1.832031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83203125" style="95" customWidth="1"/>
    <col min="2579" max="2579" width="1.832031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83203125" style="95" customWidth="1"/>
    <col min="2835" max="2835" width="1.832031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83203125" style="95" customWidth="1"/>
    <col min="3091" max="3091" width="1.832031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83203125" style="95" customWidth="1"/>
    <col min="3347" max="3347" width="1.832031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83203125" style="95" customWidth="1"/>
    <col min="3603" max="3603" width="1.832031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83203125" style="95" customWidth="1"/>
    <col min="3859" max="3859" width="1.832031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83203125" style="95" customWidth="1"/>
    <col min="4115" max="4115" width="1.832031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83203125" style="95" customWidth="1"/>
    <col min="4371" max="4371" width="1.832031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83203125" style="95" customWidth="1"/>
    <col min="4627" max="4627" width="1.832031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83203125" style="95" customWidth="1"/>
    <col min="4883" max="4883" width="1.832031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83203125" style="95" customWidth="1"/>
    <col min="5139" max="5139" width="1.832031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83203125" style="95" customWidth="1"/>
    <col min="5395" max="5395" width="1.832031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83203125" style="95" customWidth="1"/>
    <col min="5651" max="5651" width="1.832031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83203125" style="95" customWidth="1"/>
    <col min="5907" max="5907" width="1.832031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83203125" style="95" customWidth="1"/>
    <col min="6163" max="6163" width="1.832031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83203125" style="95" customWidth="1"/>
    <col min="6419" max="6419" width="1.832031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83203125" style="95" customWidth="1"/>
    <col min="6675" max="6675" width="1.832031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83203125" style="95" customWidth="1"/>
    <col min="6931" max="6931" width="1.832031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83203125" style="95" customWidth="1"/>
    <col min="7187" max="7187" width="1.832031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83203125" style="95" customWidth="1"/>
    <col min="7443" max="7443" width="1.832031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83203125" style="95" customWidth="1"/>
    <col min="7699" max="7699" width="1.832031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83203125" style="95" customWidth="1"/>
    <col min="7955" max="7955" width="1.832031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83203125" style="95" customWidth="1"/>
    <col min="8211" max="8211" width="1.832031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83203125" style="95" customWidth="1"/>
    <col min="8467" max="8467" width="1.832031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83203125" style="95" customWidth="1"/>
    <col min="8723" max="8723" width="1.832031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83203125" style="95" customWidth="1"/>
    <col min="8979" max="8979" width="1.832031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83203125" style="95" customWidth="1"/>
    <col min="9235" max="9235" width="1.832031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83203125" style="95" customWidth="1"/>
    <col min="9491" max="9491" width="1.832031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83203125" style="95" customWidth="1"/>
    <col min="9747" max="9747" width="1.832031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83203125" style="95" customWidth="1"/>
    <col min="10003" max="10003" width="1.832031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83203125" style="95" customWidth="1"/>
    <col min="10259" max="10259" width="1.832031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83203125" style="95" customWidth="1"/>
    <col min="10515" max="10515" width="1.832031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83203125" style="95" customWidth="1"/>
    <col min="10771" max="10771" width="1.832031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83203125" style="95" customWidth="1"/>
    <col min="11027" max="11027" width="1.832031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83203125" style="95" customWidth="1"/>
    <col min="11283" max="11283" width="1.832031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83203125" style="95" customWidth="1"/>
    <col min="11539" max="11539" width="1.832031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83203125" style="95" customWidth="1"/>
    <col min="11795" max="11795" width="1.832031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83203125" style="95" customWidth="1"/>
    <col min="12051" max="12051" width="1.832031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83203125" style="95" customWidth="1"/>
    <col min="12307" max="12307" width="1.832031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83203125" style="95" customWidth="1"/>
    <col min="12563" max="12563" width="1.832031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83203125" style="95" customWidth="1"/>
    <col min="12819" max="12819" width="1.832031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83203125" style="95" customWidth="1"/>
    <col min="13075" max="13075" width="1.832031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83203125" style="95" customWidth="1"/>
    <col min="13331" max="13331" width="1.832031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83203125" style="95" customWidth="1"/>
    <col min="13587" max="13587" width="1.832031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83203125" style="95" customWidth="1"/>
    <col min="13843" max="13843" width="1.832031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83203125" style="95" customWidth="1"/>
    <col min="14099" max="14099" width="1.832031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83203125" style="95" customWidth="1"/>
    <col min="14355" max="14355" width="1.832031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83203125" style="95" customWidth="1"/>
    <col min="14611" max="14611" width="1.832031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83203125" style="95" customWidth="1"/>
    <col min="14867" max="14867" width="1.832031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83203125" style="95" customWidth="1"/>
    <col min="15123" max="15123" width="1.832031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83203125" style="95" customWidth="1"/>
    <col min="15379" max="15379" width="1.832031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83203125" style="95" customWidth="1"/>
    <col min="15635" max="15635" width="1.832031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83203125" style="95" customWidth="1"/>
    <col min="15891" max="15891" width="1.832031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83203125" style="95" customWidth="1"/>
    <col min="16147" max="16147" width="1.83203125" style="95" customWidth="1"/>
    <col min="16148" max="16384" width="9.1640625" style="95"/>
  </cols>
  <sheetData>
    <row r="1" spans="1:19">
      <c r="A1" s="95" t="s">
        <v>453</v>
      </c>
    </row>
    <row r="2" spans="1:19">
      <c r="A2" s="95" t="s">
        <v>454</v>
      </c>
    </row>
    <row r="3" spans="1:19" ht="10" customHeight="1"/>
    <row r="4" spans="1:19">
      <c r="A4" s="14" t="s">
        <v>1852</v>
      </c>
      <c r="L4" s="141"/>
      <c r="O4" s="141"/>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3.5" customHeight="1">
      <c r="A7" s="116" t="s">
        <v>473</v>
      </c>
      <c r="B7" s="145" t="s">
        <v>457</v>
      </c>
      <c r="C7" s="135"/>
      <c r="D7" s="116"/>
      <c r="E7" s="763" t="s">
        <v>474</v>
      </c>
      <c r="F7" s="135"/>
      <c r="G7" s="116"/>
      <c r="H7" s="154" t="s">
        <v>475</v>
      </c>
      <c r="I7" s="135"/>
      <c r="J7" s="135"/>
      <c r="K7" s="763" t="s">
        <v>476</v>
      </c>
      <c r="L7" s="135"/>
      <c r="M7" s="116"/>
      <c r="N7" s="1021" t="s">
        <v>492</v>
      </c>
      <c r="O7" s="1021"/>
      <c r="Q7" s="1021" t="s">
        <v>493</v>
      </c>
      <c r="R7" s="1021"/>
    </row>
    <row r="8" spans="1:19"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0"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481</v>
      </c>
      <c r="B11" s="138">
        <f>IF($A11&lt;&gt;"",E11+H11+K11+N11+Q11,"")</f>
        <v>1888</v>
      </c>
      <c r="C11" s="105">
        <f>SUM(C13+C106)</f>
        <v>100</v>
      </c>
      <c r="E11" s="140">
        <f>E13+E106</f>
        <v>688</v>
      </c>
      <c r="F11" s="105">
        <f>IF($A11&lt;&gt;0,E11/$B11*100,"")</f>
        <v>36.440677966101696</v>
      </c>
      <c r="H11" s="140">
        <f>H13+H106</f>
        <v>1050</v>
      </c>
      <c r="I11" s="105">
        <f t="shared" ref="I11:I76" si="0">IF($A11&lt;&gt;0,H11/$B11*100,"")</f>
        <v>55.614406779661017</v>
      </c>
      <c r="K11" s="140">
        <f>K13+K106</f>
        <v>137</v>
      </c>
      <c r="L11" s="105">
        <f t="shared" ref="L11:L76" si="1">IF($A11&lt;&gt;0,K11/$B11*100,"")</f>
        <v>7.2563559322033901</v>
      </c>
      <c r="M11" s="116"/>
      <c r="N11" s="140">
        <f>N13+N106</f>
        <v>3</v>
      </c>
      <c r="O11" s="105">
        <f t="shared" ref="O11:O74" si="2">IF($A11&lt;&gt;0,N11/$B11*100,"")</f>
        <v>0.15889830508474578</v>
      </c>
      <c r="P11" s="135"/>
      <c r="Q11" s="140">
        <f>Q13+Q106</f>
        <v>10</v>
      </c>
      <c r="R11" s="105">
        <f t="shared" ref="R11:R74" si="3">IF($A11&lt;&gt;0,Q11/$B11*100,"")</f>
        <v>0.52966101694915246</v>
      </c>
    </row>
    <row r="12" spans="1:19" ht="10" customHeight="1">
      <c r="C12" s="105" t="str">
        <f>IF(A12&lt;&gt;0,B12/$B$10*100,"")</f>
        <v/>
      </c>
      <c r="E12" s="95"/>
      <c r="F12" s="95"/>
      <c r="H12" s="95"/>
      <c r="I12" s="95"/>
      <c r="J12" s="95"/>
      <c r="K12" s="95"/>
      <c r="L12" s="95"/>
      <c r="N12" s="95"/>
    </row>
    <row r="13" spans="1:19" ht="14" customHeight="1">
      <c r="A13" s="55" t="s">
        <v>403</v>
      </c>
      <c r="B13" s="138">
        <f t="shared" ref="B13:B76" si="4">IF($A13&lt;&gt;"",E13+H13+K13+N13+Q13,"")</f>
        <v>1700</v>
      </c>
      <c r="C13" s="105">
        <f>IF(A13&lt;&gt;0,B13/$B$11*100,"")</f>
        <v>90.042372881355931</v>
      </c>
      <c r="E13" s="140">
        <f>E15+E98</f>
        <v>643</v>
      </c>
      <c r="F13" s="105">
        <f t="shared" ref="F13:F76" si="5">IF($A13&lt;&gt;0,E13/$B13*100,"")</f>
        <v>37.823529411764703</v>
      </c>
      <c r="H13" s="140">
        <f>H15+H98</f>
        <v>919</v>
      </c>
      <c r="I13" s="105">
        <f t="shared" si="0"/>
        <v>54.058823529411761</v>
      </c>
      <c r="K13" s="140">
        <f>K15+K98</f>
        <v>127</v>
      </c>
      <c r="L13" s="105">
        <f t="shared" si="1"/>
        <v>7.4705882352941178</v>
      </c>
      <c r="M13" s="116"/>
      <c r="N13" s="140">
        <f>N15+N98</f>
        <v>3</v>
      </c>
      <c r="O13" s="105">
        <f t="shared" si="2"/>
        <v>0.17647058823529413</v>
      </c>
      <c r="P13" s="135"/>
      <c r="Q13" s="140">
        <f>Q15+Q98</f>
        <v>8</v>
      </c>
      <c r="R13" s="105">
        <f t="shared" si="3"/>
        <v>0.47058823529411759</v>
      </c>
    </row>
    <row r="14" spans="1:19" ht="9" customHeight="1">
      <c r="A14" s="55"/>
      <c r="B14" s="138" t="str">
        <f t="shared" si="4"/>
        <v/>
      </c>
      <c r="C14" s="105" t="str">
        <f t="shared" ref="C14:C77" si="6">IF(A14&lt;&gt;0,B14/$B$11*100,"")</f>
        <v/>
      </c>
      <c r="F14" s="105" t="str">
        <f t="shared" si="5"/>
        <v/>
      </c>
      <c r="I14" s="105" t="str">
        <f t="shared" si="0"/>
        <v/>
      </c>
      <c r="L14" s="105" t="str">
        <f t="shared" si="1"/>
        <v/>
      </c>
      <c r="M14" s="116"/>
      <c r="O14" s="105" t="str">
        <f t="shared" si="2"/>
        <v/>
      </c>
      <c r="P14" s="135"/>
      <c r="Q14" s="140"/>
      <c r="R14" s="105" t="str">
        <f t="shared" si="3"/>
        <v/>
      </c>
    </row>
    <row r="15" spans="1:19" ht="14" customHeight="1">
      <c r="A15" s="55" t="s">
        <v>80</v>
      </c>
      <c r="B15" s="138">
        <f t="shared" si="4"/>
        <v>1558</v>
      </c>
      <c r="C15" s="105">
        <f t="shared" si="6"/>
        <v>82.521186440677965</v>
      </c>
      <c r="E15" s="140">
        <f>E17+E28+E36+E62+E76+E83+E95+E96</f>
        <v>534</v>
      </c>
      <c r="F15" s="105">
        <f t="shared" si="5"/>
        <v>34.274711168164309</v>
      </c>
      <c r="H15" s="140">
        <f>H17+H28+H36+H62+H76+H83+H95+H96</f>
        <v>889</v>
      </c>
      <c r="I15" s="105">
        <f t="shared" si="0"/>
        <v>57.06033376123235</v>
      </c>
      <c r="K15" s="140">
        <f>K17+K28+K36+K62+K76+K83+K95+K96</f>
        <v>124</v>
      </c>
      <c r="L15" s="105">
        <f t="shared" si="1"/>
        <v>7.9589216944801038</v>
      </c>
      <c r="M15" s="116"/>
      <c r="N15" s="140">
        <f>N17+N28+N36+N62+N76+N83+N95+N96</f>
        <v>3</v>
      </c>
      <c r="O15" s="105">
        <f t="shared" si="2"/>
        <v>0.19255455712451863</v>
      </c>
      <c r="P15" s="135"/>
      <c r="Q15" s="140">
        <f>Q17+Q28+Q36+Q62+Q76+Q83+Q95+Q96</f>
        <v>8</v>
      </c>
      <c r="R15" s="105">
        <f t="shared" si="3"/>
        <v>0.51347881899871628</v>
      </c>
    </row>
    <row r="16" spans="1:19" ht="10" customHeight="1">
      <c r="B16" s="138" t="str">
        <f t="shared" si="4"/>
        <v/>
      </c>
      <c r="C16" s="105" t="str">
        <f t="shared" si="6"/>
        <v/>
      </c>
      <c r="F16" s="105" t="str">
        <f t="shared" si="5"/>
        <v/>
      </c>
      <c r="I16" s="105" t="str">
        <f t="shared" si="0"/>
        <v/>
      </c>
      <c r="L16" s="105" t="str">
        <f t="shared" si="1"/>
        <v/>
      </c>
      <c r="M16" s="116"/>
      <c r="O16" s="105" t="str">
        <f t="shared" si="2"/>
        <v/>
      </c>
      <c r="P16" s="135"/>
      <c r="Q16" s="140"/>
      <c r="R16" s="105" t="str">
        <f t="shared" si="3"/>
        <v/>
      </c>
    </row>
    <row r="17" spans="1:18" ht="13.25" customHeight="1">
      <c r="A17" s="55" t="s">
        <v>404</v>
      </c>
      <c r="B17" s="138">
        <f t="shared" si="4"/>
        <v>154</v>
      </c>
      <c r="C17" s="105">
        <f t="shared" si="6"/>
        <v>8.1567796610169498</v>
      </c>
      <c r="E17" s="140">
        <f>E18+E23</f>
        <v>53</v>
      </c>
      <c r="F17" s="105">
        <f t="shared" si="5"/>
        <v>34.415584415584419</v>
      </c>
      <c r="H17" s="140">
        <f>H18+H23</f>
        <v>95</v>
      </c>
      <c r="I17" s="105">
        <f t="shared" si="0"/>
        <v>61.688311688311693</v>
      </c>
      <c r="K17" s="140">
        <f>K18+K23</f>
        <v>5</v>
      </c>
      <c r="L17" s="105">
        <f t="shared" si="1"/>
        <v>3.2467532467532463</v>
      </c>
      <c r="M17" s="116"/>
      <c r="N17" s="140">
        <f>N18+N23</f>
        <v>1</v>
      </c>
      <c r="O17" s="105">
        <f t="shared" si="2"/>
        <v>0.64935064935064934</v>
      </c>
      <c r="P17" s="135"/>
      <c r="Q17" s="140">
        <f>Q18+Q23</f>
        <v>0</v>
      </c>
      <c r="R17" s="105">
        <f t="shared" si="3"/>
        <v>0</v>
      </c>
    </row>
    <row r="18" spans="1:18" ht="13.25" customHeight="1">
      <c r="A18" s="95" t="s">
        <v>162</v>
      </c>
      <c r="B18" s="138">
        <f t="shared" si="4"/>
        <v>59</v>
      </c>
      <c r="C18" s="105">
        <f t="shared" si="6"/>
        <v>3.125</v>
      </c>
      <c r="E18" s="140">
        <f>SUM(E19:E21)</f>
        <v>17</v>
      </c>
      <c r="F18" s="105">
        <f t="shared" si="5"/>
        <v>28.8135593220339</v>
      </c>
      <c r="H18" s="140">
        <f>SUM(H19:H21)</f>
        <v>41</v>
      </c>
      <c r="I18" s="105">
        <f t="shared" si="0"/>
        <v>69.491525423728817</v>
      </c>
      <c r="K18" s="140">
        <f>SUM(K19:K21)</f>
        <v>1</v>
      </c>
      <c r="L18" s="105">
        <f t="shared" si="1"/>
        <v>1.6949152542372881</v>
      </c>
      <c r="M18" s="116"/>
      <c r="N18" s="140">
        <f>SUM(N19:N21)</f>
        <v>0</v>
      </c>
      <c r="O18" s="105">
        <f t="shared" si="2"/>
        <v>0</v>
      </c>
      <c r="P18" s="135"/>
      <c r="Q18" s="140">
        <f>SUM(Q19:Q21)</f>
        <v>0</v>
      </c>
      <c r="R18" s="105">
        <f t="shared" si="3"/>
        <v>0</v>
      </c>
    </row>
    <row r="19" spans="1:18" ht="13.25" customHeight="1">
      <c r="A19" s="95" t="s">
        <v>163</v>
      </c>
      <c r="B19" s="138">
        <f t="shared" si="4"/>
        <v>6</v>
      </c>
      <c r="C19" s="105">
        <f t="shared" si="6"/>
        <v>0.31779661016949157</v>
      </c>
      <c r="E19" s="304">
        <v>3</v>
      </c>
      <c r="F19" s="105">
        <f t="shared" si="5"/>
        <v>50</v>
      </c>
      <c r="G19" s="304"/>
      <c r="H19" s="304">
        <v>3</v>
      </c>
      <c r="I19" s="105">
        <f t="shared" si="0"/>
        <v>50</v>
      </c>
      <c r="J19" s="304"/>
      <c r="K19" s="304">
        <v>0</v>
      </c>
      <c r="L19" s="105">
        <f t="shared" si="1"/>
        <v>0</v>
      </c>
      <c r="M19" s="304"/>
      <c r="N19" s="304">
        <v>0</v>
      </c>
      <c r="O19" s="105">
        <f t="shared" si="2"/>
        <v>0</v>
      </c>
      <c r="P19" s="304"/>
      <c r="Q19" s="304">
        <v>0</v>
      </c>
      <c r="R19" s="105">
        <f t="shared" si="3"/>
        <v>0</v>
      </c>
    </row>
    <row r="20" spans="1:18" ht="13.25" customHeight="1">
      <c r="A20" s="95" t="s">
        <v>164</v>
      </c>
      <c r="B20" s="138">
        <f t="shared" si="4"/>
        <v>35</v>
      </c>
      <c r="C20" s="105">
        <f t="shared" si="6"/>
        <v>1.8538135593220337</v>
      </c>
      <c r="E20" s="304">
        <v>10</v>
      </c>
      <c r="F20" s="105">
        <f t="shared" si="5"/>
        <v>28.571428571428569</v>
      </c>
      <c r="G20" s="304"/>
      <c r="H20" s="304">
        <v>24</v>
      </c>
      <c r="I20" s="105">
        <f t="shared" si="0"/>
        <v>68.571428571428569</v>
      </c>
      <c r="J20" s="304"/>
      <c r="K20" s="304">
        <v>1</v>
      </c>
      <c r="L20" s="105">
        <f t="shared" si="1"/>
        <v>2.8571428571428572</v>
      </c>
      <c r="M20" s="304"/>
      <c r="N20" s="304">
        <v>0</v>
      </c>
      <c r="O20" s="105">
        <f t="shared" si="2"/>
        <v>0</v>
      </c>
      <c r="P20" s="304"/>
      <c r="Q20" s="304">
        <v>0</v>
      </c>
      <c r="R20" s="105">
        <f t="shared" si="3"/>
        <v>0</v>
      </c>
    </row>
    <row r="21" spans="1:18" ht="12" customHeight="1">
      <c r="A21" s="95" t="s">
        <v>165</v>
      </c>
      <c r="B21" s="138">
        <f t="shared" si="4"/>
        <v>18</v>
      </c>
      <c r="C21" s="105">
        <f t="shared" si="6"/>
        <v>0.95338983050847459</v>
      </c>
      <c r="E21" s="304">
        <v>4</v>
      </c>
      <c r="F21" s="105">
        <f t="shared" si="5"/>
        <v>22.222222222222221</v>
      </c>
      <c r="G21" s="304"/>
      <c r="H21" s="304">
        <v>14</v>
      </c>
      <c r="I21" s="105">
        <f t="shared" si="0"/>
        <v>77.777777777777786</v>
      </c>
      <c r="J21" s="304"/>
      <c r="K21" s="304">
        <v>0</v>
      </c>
      <c r="L21" s="105">
        <f t="shared" si="1"/>
        <v>0</v>
      </c>
      <c r="M21" s="304"/>
      <c r="N21" s="304">
        <v>0</v>
      </c>
      <c r="O21" s="105">
        <f t="shared" si="2"/>
        <v>0</v>
      </c>
      <c r="P21" s="304"/>
      <c r="Q21" s="304">
        <v>0</v>
      </c>
      <c r="R21" s="105">
        <f t="shared" si="3"/>
        <v>0</v>
      </c>
    </row>
    <row r="22" spans="1:18" ht="10" customHeight="1">
      <c r="B22" s="138" t="str">
        <f t="shared" si="4"/>
        <v/>
      </c>
      <c r="C22" s="105" t="str">
        <f t="shared" si="6"/>
        <v/>
      </c>
      <c r="F22" s="105" t="str">
        <f t="shared" si="5"/>
        <v/>
      </c>
      <c r="I22" s="105" t="str">
        <f t="shared" si="0"/>
        <v/>
      </c>
      <c r="L22" s="105" t="str">
        <f t="shared" si="1"/>
        <v/>
      </c>
      <c r="M22" s="116"/>
      <c r="O22" s="105" t="str">
        <f t="shared" si="2"/>
        <v/>
      </c>
      <c r="P22" s="135"/>
      <c r="Q22" s="140"/>
      <c r="R22" s="105" t="str">
        <f t="shared" si="3"/>
        <v/>
      </c>
    </row>
    <row r="23" spans="1:18" ht="13.25" customHeight="1">
      <c r="A23" s="95" t="s">
        <v>166</v>
      </c>
      <c r="B23" s="138">
        <f t="shared" si="4"/>
        <v>95</v>
      </c>
      <c r="C23" s="105">
        <f t="shared" si="6"/>
        <v>5.031779661016949</v>
      </c>
      <c r="E23" s="140">
        <f>SUM(E24:E26)</f>
        <v>36</v>
      </c>
      <c r="F23" s="105">
        <f t="shared" si="5"/>
        <v>37.894736842105267</v>
      </c>
      <c r="H23" s="140">
        <f>SUM(H24:H26)</f>
        <v>54</v>
      </c>
      <c r="I23" s="105">
        <f t="shared" si="0"/>
        <v>56.84210526315789</v>
      </c>
      <c r="K23" s="140">
        <f>SUM(K24:K26)</f>
        <v>4</v>
      </c>
      <c r="L23" s="105">
        <f t="shared" si="1"/>
        <v>4.2105263157894735</v>
      </c>
      <c r="M23" s="116"/>
      <c r="N23" s="140">
        <f>SUM(N24:N26)</f>
        <v>1</v>
      </c>
      <c r="O23" s="105">
        <f t="shared" si="2"/>
        <v>1.0526315789473684</v>
      </c>
      <c r="P23" s="135"/>
      <c r="Q23" s="140">
        <f>SUM(Q24:Q26)</f>
        <v>0</v>
      </c>
      <c r="R23" s="105">
        <f t="shared" si="3"/>
        <v>0</v>
      </c>
    </row>
    <row r="24" spans="1:18" ht="13.25" customHeight="1">
      <c r="A24" s="95" t="s">
        <v>167</v>
      </c>
      <c r="B24" s="138">
        <f t="shared" si="4"/>
        <v>24</v>
      </c>
      <c r="C24" s="105">
        <f t="shared" si="6"/>
        <v>1.2711864406779663</v>
      </c>
      <c r="E24" s="304">
        <v>10</v>
      </c>
      <c r="F24" s="105">
        <f t="shared" si="5"/>
        <v>41.666666666666671</v>
      </c>
      <c r="G24" s="304"/>
      <c r="H24" s="304">
        <v>12</v>
      </c>
      <c r="I24" s="105">
        <f t="shared" si="0"/>
        <v>50</v>
      </c>
      <c r="J24" s="304"/>
      <c r="K24" s="304">
        <v>1</v>
      </c>
      <c r="L24" s="105">
        <f t="shared" si="1"/>
        <v>4.1666666666666661</v>
      </c>
      <c r="M24" s="304"/>
      <c r="N24" s="304">
        <v>1</v>
      </c>
      <c r="O24" s="105">
        <f t="shared" si="2"/>
        <v>4.1666666666666661</v>
      </c>
      <c r="P24" s="304"/>
      <c r="Q24" s="304">
        <v>0</v>
      </c>
      <c r="R24" s="105">
        <f t="shared" si="3"/>
        <v>0</v>
      </c>
    </row>
    <row r="25" spans="1:18" ht="13.25" customHeight="1">
      <c r="A25" s="95" t="s">
        <v>168</v>
      </c>
      <c r="B25" s="138">
        <f t="shared" si="4"/>
        <v>23</v>
      </c>
      <c r="C25" s="105">
        <f t="shared" si="6"/>
        <v>1.2182203389830508</v>
      </c>
      <c r="E25" s="304">
        <v>15</v>
      </c>
      <c r="F25" s="105">
        <f t="shared" si="5"/>
        <v>65.217391304347828</v>
      </c>
      <c r="G25" s="304"/>
      <c r="H25" s="304">
        <v>6</v>
      </c>
      <c r="I25" s="105">
        <f t="shared" si="0"/>
        <v>26.086956521739129</v>
      </c>
      <c r="J25" s="304"/>
      <c r="K25" s="304">
        <v>2</v>
      </c>
      <c r="L25" s="105">
        <f t="shared" si="1"/>
        <v>8.695652173913043</v>
      </c>
      <c r="M25" s="304"/>
      <c r="N25" s="304">
        <v>0</v>
      </c>
      <c r="O25" s="105">
        <f t="shared" si="2"/>
        <v>0</v>
      </c>
      <c r="P25" s="304"/>
      <c r="Q25" s="304">
        <v>0</v>
      </c>
      <c r="R25" s="105">
        <f t="shared" si="3"/>
        <v>0</v>
      </c>
    </row>
    <row r="26" spans="1:18" ht="12" customHeight="1">
      <c r="A26" s="95" t="s">
        <v>169</v>
      </c>
      <c r="B26" s="138">
        <f t="shared" si="4"/>
        <v>48</v>
      </c>
      <c r="C26" s="105">
        <f t="shared" si="6"/>
        <v>2.5423728813559325</v>
      </c>
      <c r="E26" s="304">
        <v>11</v>
      </c>
      <c r="F26" s="105">
        <f t="shared" si="5"/>
        <v>22.916666666666664</v>
      </c>
      <c r="G26" s="304"/>
      <c r="H26" s="304">
        <v>36</v>
      </c>
      <c r="I26" s="105">
        <f t="shared" si="0"/>
        <v>75</v>
      </c>
      <c r="J26" s="304"/>
      <c r="K26" s="304">
        <v>1</v>
      </c>
      <c r="L26" s="105">
        <f t="shared" si="1"/>
        <v>2.083333333333333</v>
      </c>
      <c r="M26" s="304"/>
      <c r="N26" s="304">
        <v>0</v>
      </c>
      <c r="O26" s="105">
        <f t="shared" si="2"/>
        <v>0</v>
      </c>
      <c r="P26" s="304"/>
      <c r="Q26" s="304">
        <v>0</v>
      </c>
      <c r="R26" s="105">
        <f t="shared" si="3"/>
        <v>0</v>
      </c>
    </row>
    <row r="27" spans="1:18" ht="10" customHeight="1">
      <c r="B27" s="138" t="str">
        <f t="shared" si="4"/>
        <v/>
      </c>
      <c r="C27" s="105" t="str">
        <f t="shared" si="6"/>
        <v/>
      </c>
      <c r="F27" s="105" t="str">
        <f t="shared" si="5"/>
        <v/>
      </c>
      <c r="I27" s="105" t="str">
        <f t="shared" si="0"/>
        <v/>
      </c>
      <c r="L27" s="105" t="str">
        <f t="shared" si="1"/>
        <v/>
      </c>
      <c r="M27" s="116"/>
      <c r="O27" s="105" t="str">
        <f t="shared" si="2"/>
        <v/>
      </c>
      <c r="P27" s="135"/>
      <c r="Q27" s="140"/>
      <c r="R27" s="105" t="str">
        <f t="shared" si="3"/>
        <v/>
      </c>
    </row>
    <row r="28" spans="1:18" ht="13.25" customHeight="1">
      <c r="A28" s="55" t="s">
        <v>464</v>
      </c>
      <c r="B28" s="138">
        <f t="shared" si="4"/>
        <v>144</v>
      </c>
      <c r="C28" s="105">
        <f t="shared" si="6"/>
        <v>7.6271186440677967</v>
      </c>
      <c r="E28" s="140">
        <f>SUM(E30:E34)</f>
        <v>114</v>
      </c>
      <c r="F28" s="105">
        <f t="shared" si="5"/>
        <v>79.166666666666657</v>
      </c>
      <c r="H28" s="140">
        <f>SUM(H30:H34)</f>
        <v>26</v>
      </c>
      <c r="I28" s="105">
        <f t="shared" si="0"/>
        <v>18.055555555555554</v>
      </c>
      <c r="K28" s="140">
        <f>SUM(K30:K34)</f>
        <v>3</v>
      </c>
      <c r="L28" s="105">
        <f t="shared" si="1"/>
        <v>2.083333333333333</v>
      </c>
      <c r="M28" s="116"/>
      <c r="N28" s="140">
        <f>SUM(N30:N34)</f>
        <v>0</v>
      </c>
      <c r="O28" s="105">
        <f t="shared" si="2"/>
        <v>0</v>
      </c>
      <c r="P28" s="135"/>
      <c r="Q28" s="140">
        <f>SUM(Q30:Q34)</f>
        <v>1</v>
      </c>
      <c r="R28" s="105">
        <f t="shared" si="3"/>
        <v>0.69444444444444442</v>
      </c>
    </row>
    <row r="29" spans="1:18" ht="13.25" customHeight="1">
      <c r="A29" s="95" t="s">
        <v>171</v>
      </c>
      <c r="B29" s="138">
        <f t="shared" si="4"/>
        <v>144</v>
      </c>
      <c r="C29" s="105">
        <f t="shared" si="6"/>
        <v>7.6271186440677967</v>
      </c>
      <c r="E29" s="140">
        <f>SUM(E30:E34)</f>
        <v>114</v>
      </c>
      <c r="F29" s="105">
        <f t="shared" si="5"/>
        <v>79.166666666666657</v>
      </c>
      <c r="H29" s="140">
        <f>SUM(H30:H34)</f>
        <v>26</v>
      </c>
      <c r="I29" s="105">
        <f t="shared" si="0"/>
        <v>18.055555555555554</v>
      </c>
      <c r="K29" s="140">
        <f>SUM(K30:K34)</f>
        <v>3</v>
      </c>
      <c r="L29" s="105">
        <f t="shared" si="1"/>
        <v>2.083333333333333</v>
      </c>
      <c r="M29" s="116"/>
      <c r="N29" s="140">
        <f>SUM(N30:N34)</f>
        <v>0</v>
      </c>
      <c r="O29" s="105">
        <f t="shared" si="2"/>
        <v>0</v>
      </c>
      <c r="P29" s="135"/>
      <c r="Q29" s="140">
        <f>SUM(Q30:Q34)</f>
        <v>1</v>
      </c>
      <c r="R29" s="105">
        <f t="shared" si="3"/>
        <v>0.69444444444444442</v>
      </c>
    </row>
    <row r="30" spans="1:18" ht="13.25" customHeight="1">
      <c r="A30" s="95" t="s">
        <v>172</v>
      </c>
      <c r="B30" s="138">
        <f>IF($A30&lt;&gt;"",E30+H30+K30+N30+Q30,"")</f>
        <v>38</v>
      </c>
      <c r="C30" s="105">
        <f t="shared" si="6"/>
        <v>2.0127118644067794</v>
      </c>
      <c r="E30" s="304">
        <v>30</v>
      </c>
      <c r="F30" s="105">
        <f t="shared" si="5"/>
        <v>78.94736842105263</v>
      </c>
      <c r="G30" s="304"/>
      <c r="H30" s="304">
        <v>8</v>
      </c>
      <c r="I30" s="105">
        <f t="shared" si="0"/>
        <v>21.052631578947366</v>
      </c>
      <c r="J30" s="304"/>
      <c r="K30" s="304">
        <v>0</v>
      </c>
      <c r="L30" s="105">
        <f t="shared" si="1"/>
        <v>0</v>
      </c>
      <c r="M30" s="304"/>
      <c r="N30" s="304">
        <v>0</v>
      </c>
      <c r="O30" s="105">
        <f t="shared" si="2"/>
        <v>0</v>
      </c>
      <c r="P30" s="304"/>
      <c r="Q30" s="304">
        <v>0</v>
      </c>
      <c r="R30" s="105">
        <f t="shared" si="3"/>
        <v>0</v>
      </c>
    </row>
    <row r="31" spans="1:18" ht="13.25" customHeight="1">
      <c r="A31" s="95" t="s">
        <v>173</v>
      </c>
      <c r="B31" s="138">
        <f>IF($A31&lt;&gt;"",E31+H31+K31+N31+Q31,"")</f>
        <v>28</v>
      </c>
      <c r="C31" s="105">
        <f t="shared" si="6"/>
        <v>1.4830508474576272</v>
      </c>
      <c r="E31" s="304">
        <v>28</v>
      </c>
      <c r="F31" s="105">
        <f t="shared" si="5"/>
        <v>100</v>
      </c>
      <c r="G31" s="304"/>
      <c r="H31" s="304">
        <v>0</v>
      </c>
      <c r="I31" s="105">
        <f t="shared" si="0"/>
        <v>0</v>
      </c>
      <c r="J31" s="304"/>
      <c r="K31" s="304">
        <v>0</v>
      </c>
      <c r="L31" s="105">
        <f t="shared" si="1"/>
        <v>0</v>
      </c>
      <c r="M31" s="304"/>
      <c r="N31" s="304">
        <v>0</v>
      </c>
      <c r="O31" s="105">
        <f t="shared" si="2"/>
        <v>0</v>
      </c>
      <c r="P31" s="304"/>
      <c r="Q31" s="304">
        <v>0</v>
      </c>
      <c r="R31" s="105">
        <f t="shared" si="3"/>
        <v>0</v>
      </c>
    </row>
    <row r="32" spans="1:18" ht="13.25" customHeight="1">
      <c r="A32" s="95" t="s">
        <v>174</v>
      </c>
      <c r="B32" s="138">
        <f>IF($A32&lt;&gt;"",E32+H32+K32+N32+Q32,"")</f>
        <v>17</v>
      </c>
      <c r="C32" s="105">
        <f t="shared" si="6"/>
        <v>0.90042372881355937</v>
      </c>
      <c r="E32" s="304">
        <v>9</v>
      </c>
      <c r="F32" s="105">
        <f t="shared" si="5"/>
        <v>52.941176470588239</v>
      </c>
      <c r="G32" s="304"/>
      <c r="H32" s="304">
        <v>7</v>
      </c>
      <c r="I32" s="105">
        <f t="shared" si="0"/>
        <v>41.17647058823529</v>
      </c>
      <c r="J32" s="304"/>
      <c r="K32" s="304">
        <v>0</v>
      </c>
      <c r="L32" s="105">
        <f t="shared" si="1"/>
        <v>0</v>
      </c>
      <c r="M32" s="304"/>
      <c r="N32" s="304">
        <v>0</v>
      </c>
      <c r="O32" s="105">
        <f t="shared" si="2"/>
        <v>0</v>
      </c>
      <c r="P32" s="304"/>
      <c r="Q32" s="304">
        <v>1</v>
      </c>
      <c r="R32" s="105">
        <f t="shared" si="3"/>
        <v>5.8823529411764701</v>
      </c>
    </row>
    <row r="33" spans="1:18" ht="13.25" customHeight="1">
      <c r="A33" s="95" t="s">
        <v>175</v>
      </c>
      <c r="B33" s="138">
        <f>IF($A33&lt;&gt;"",E33+H33+K33+N33+Q33,"")</f>
        <v>31</v>
      </c>
      <c r="C33" s="105">
        <f t="shared" si="6"/>
        <v>1.6419491525423731</v>
      </c>
      <c r="E33" s="304">
        <v>27</v>
      </c>
      <c r="F33" s="105">
        <f t="shared" si="5"/>
        <v>87.096774193548384</v>
      </c>
      <c r="G33" s="304"/>
      <c r="H33" s="304">
        <v>3</v>
      </c>
      <c r="I33" s="105">
        <f t="shared" si="0"/>
        <v>9.67741935483871</v>
      </c>
      <c r="J33" s="304"/>
      <c r="K33" s="304">
        <v>1</v>
      </c>
      <c r="L33" s="105">
        <f t="shared" si="1"/>
        <v>3.225806451612903</v>
      </c>
      <c r="M33" s="304"/>
      <c r="N33" s="304">
        <v>0</v>
      </c>
      <c r="O33" s="105">
        <f t="shared" si="2"/>
        <v>0</v>
      </c>
      <c r="P33" s="304"/>
      <c r="Q33" s="304">
        <v>0</v>
      </c>
      <c r="R33" s="105">
        <f t="shared" si="3"/>
        <v>0</v>
      </c>
    </row>
    <row r="34" spans="1:18" ht="12" customHeight="1">
      <c r="A34" s="95" t="s">
        <v>176</v>
      </c>
      <c r="B34" s="138">
        <f>IF($A34&lt;&gt;"",E34+H34+K34+N34+Q34,"")</f>
        <v>30</v>
      </c>
      <c r="C34" s="105">
        <f t="shared" si="6"/>
        <v>1.5889830508474576</v>
      </c>
      <c r="E34" s="304">
        <v>20</v>
      </c>
      <c r="F34" s="105">
        <f t="shared" si="5"/>
        <v>66.666666666666657</v>
      </c>
      <c r="G34" s="304"/>
      <c r="H34" s="304">
        <v>8</v>
      </c>
      <c r="I34" s="105">
        <f t="shared" si="0"/>
        <v>26.666666666666668</v>
      </c>
      <c r="J34" s="304"/>
      <c r="K34" s="304">
        <v>2</v>
      </c>
      <c r="L34" s="105">
        <f t="shared" si="1"/>
        <v>6.666666666666667</v>
      </c>
      <c r="M34" s="304"/>
      <c r="N34" s="304">
        <v>0</v>
      </c>
      <c r="O34" s="105">
        <f t="shared" si="2"/>
        <v>0</v>
      </c>
      <c r="P34" s="304"/>
      <c r="Q34" s="304">
        <v>0</v>
      </c>
      <c r="R34" s="105">
        <f t="shared" si="3"/>
        <v>0</v>
      </c>
    </row>
    <row r="35" spans="1:18" ht="10" customHeight="1">
      <c r="B35" s="138" t="str">
        <f t="shared" si="4"/>
        <v/>
      </c>
      <c r="C35" s="105" t="str">
        <f t="shared" si="6"/>
        <v/>
      </c>
      <c r="F35" s="105" t="str">
        <f t="shared" si="5"/>
        <v/>
      </c>
      <c r="I35" s="105" t="str">
        <f t="shared" si="0"/>
        <v/>
      </c>
      <c r="L35" s="105" t="str">
        <f t="shared" si="1"/>
        <v/>
      </c>
      <c r="M35" s="116"/>
      <c r="O35" s="105" t="str">
        <f t="shared" si="2"/>
        <v/>
      </c>
      <c r="P35" s="135"/>
      <c r="Q35" s="140"/>
      <c r="R35" s="105" t="str">
        <f t="shared" si="3"/>
        <v/>
      </c>
    </row>
    <row r="36" spans="1:18" ht="13.25" customHeight="1">
      <c r="A36" s="55" t="s">
        <v>406</v>
      </c>
      <c r="B36" s="138">
        <f t="shared" si="4"/>
        <v>427</v>
      </c>
      <c r="C36" s="105">
        <f t="shared" si="6"/>
        <v>22.616525423728813</v>
      </c>
      <c r="E36" s="140">
        <f>E37+E43+E53+E55</f>
        <v>192</v>
      </c>
      <c r="F36" s="105">
        <f t="shared" si="5"/>
        <v>44.964871194379391</v>
      </c>
      <c r="H36" s="140">
        <f>H37+H43+H53+H55</f>
        <v>196</v>
      </c>
      <c r="I36" s="105">
        <f t="shared" si="0"/>
        <v>45.901639344262293</v>
      </c>
      <c r="K36" s="140">
        <f>K37+K43+K53+K55</f>
        <v>37</v>
      </c>
      <c r="L36" s="105">
        <f t="shared" si="1"/>
        <v>8.6651053864168617</v>
      </c>
      <c r="M36" s="116"/>
      <c r="N36" s="140">
        <f>N37+N43+N53+N55</f>
        <v>1</v>
      </c>
      <c r="O36" s="105">
        <f t="shared" si="2"/>
        <v>0.23419203747072601</v>
      </c>
      <c r="P36" s="135"/>
      <c r="Q36" s="140">
        <f>Q37+Q43+Q53+Q55</f>
        <v>1</v>
      </c>
      <c r="R36" s="105">
        <f t="shared" si="3"/>
        <v>0.23419203747072601</v>
      </c>
    </row>
    <row r="37" spans="1:18" ht="13.25" customHeight="1">
      <c r="A37" s="95" t="s">
        <v>178</v>
      </c>
      <c r="B37" s="138">
        <f t="shared" si="4"/>
        <v>107</v>
      </c>
      <c r="C37" s="105">
        <f t="shared" si="6"/>
        <v>5.6673728813559325</v>
      </c>
      <c r="E37" s="140">
        <f>SUM(E38:E41)</f>
        <v>31</v>
      </c>
      <c r="F37" s="105">
        <f t="shared" si="5"/>
        <v>28.971962616822427</v>
      </c>
      <c r="H37" s="140">
        <f>SUM(H38:H41)</f>
        <v>67</v>
      </c>
      <c r="I37" s="105">
        <f t="shared" si="0"/>
        <v>62.616822429906534</v>
      </c>
      <c r="K37" s="140">
        <f>SUM(K38:K41)</f>
        <v>9</v>
      </c>
      <c r="L37" s="105">
        <f t="shared" si="1"/>
        <v>8.4112149532710276</v>
      </c>
      <c r="M37" s="116"/>
      <c r="N37" s="140">
        <f>SUM(N38:N41)</f>
        <v>0</v>
      </c>
      <c r="O37" s="105">
        <f t="shared" si="2"/>
        <v>0</v>
      </c>
      <c r="P37" s="135"/>
      <c r="Q37" s="140">
        <f>SUM(Q38:Q41)</f>
        <v>0</v>
      </c>
      <c r="R37" s="105">
        <f t="shared" si="3"/>
        <v>0</v>
      </c>
    </row>
    <row r="38" spans="1:18" ht="13.25" customHeight="1">
      <c r="A38" s="95" t="s">
        <v>179</v>
      </c>
      <c r="B38" s="138">
        <f t="shared" si="4"/>
        <v>47</v>
      </c>
      <c r="C38" s="105">
        <f t="shared" si="6"/>
        <v>2.4894067796610169</v>
      </c>
      <c r="E38" s="304">
        <v>3</v>
      </c>
      <c r="F38" s="105">
        <f t="shared" si="5"/>
        <v>6.3829787234042552</v>
      </c>
      <c r="G38" s="304"/>
      <c r="H38" s="304">
        <v>39</v>
      </c>
      <c r="I38" s="105">
        <f t="shared" si="0"/>
        <v>82.978723404255319</v>
      </c>
      <c r="J38" s="304"/>
      <c r="K38" s="304">
        <v>5</v>
      </c>
      <c r="L38" s="105">
        <f t="shared" si="1"/>
        <v>10.638297872340425</v>
      </c>
      <c r="M38" s="304"/>
      <c r="N38" s="304">
        <v>0</v>
      </c>
      <c r="O38" s="105">
        <f t="shared" si="2"/>
        <v>0</v>
      </c>
      <c r="P38" s="304"/>
      <c r="Q38" s="304">
        <v>0</v>
      </c>
      <c r="R38" s="105">
        <f t="shared" si="3"/>
        <v>0</v>
      </c>
    </row>
    <row r="39" spans="1:18" ht="13.25" customHeight="1">
      <c r="A39" s="95" t="s">
        <v>180</v>
      </c>
      <c r="B39" s="138">
        <f t="shared" si="4"/>
        <v>27</v>
      </c>
      <c r="C39" s="105">
        <f t="shared" si="6"/>
        <v>1.4300847457627119</v>
      </c>
      <c r="E39" s="304">
        <v>8</v>
      </c>
      <c r="F39" s="105">
        <f t="shared" si="5"/>
        <v>29.629629629629626</v>
      </c>
      <c r="G39" s="304"/>
      <c r="H39" s="304">
        <v>17</v>
      </c>
      <c r="I39" s="105">
        <f t="shared" si="0"/>
        <v>62.962962962962962</v>
      </c>
      <c r="J39" s="304"/>
      <c r="K39" s="304">
        <v>2</v>
      </c>
      <c r="L39" s="105">
        <f t="shared" si="1"/>
        <v>7.4074074074074066</v>
      </c>
      <c r="M39" s="304"/>
      <c r="N39" s="304">
        <v>0</v>
      </c>
      <c r="O39" s="105">
        <f t="shared" si="2"/>
        <v>0</v>
      </c>
      <c r="P39" s="304"/>
      <c r="Q39" s="304">
        <v>0</v>
      </c>
      <c r="R39" s="105">
        <f t="shared" si="3"/>
        <v>0</v>
      </c>
    </row>
    <row r="40" spans="1:18" ht="13.25" customHeight="1">
      <c r="A40" s="95" t="s">
        <v>181</v>
      </c>
      <c r="B40" s="138">
        <f t="shared" si="4"/>
        <v>20</v>
      </c>
      <c r="C40" s="105">
        <f t="shared" si="6"/>
        <v>1.0593220338983049</v>
      </c>
      <c r="E40" s="304">
        <v>14</v>
      </c>
      <c r="F40" s="105">
        <f t="shared" si="5"/>
        <v>70</v>
      </c>
      <c r="G40" s="304"/>
      <c r="H40" s="304">
        <v>5</v>
      </c>
      <c r="I40" s="105">
        <f t="shared" si="0"/>
        <v>25</v>
      </c>
      <c r="J40" s="304"/>
      <c r="K40" s="304">
        <v>1</v>
      </c>
      <c r="L40" s="105">
        <f t="shared" si="1"/>
        <v>5</v>
      </c>
      <c r="M40" s="304"/>
      <c r="N40" s="304">
        <v>0</v>
      </c>
      <c r="O40" s="105">
        <f t="shared" si="2"/>
        <v>0</v>
      </c>
      <c r="P40" s="304"/>
      <c r="Q40" s="304">
        <v>0</v>
      </c>
      <c r="R40" s="105">
        <f t="shared" si="3"/>
        <v>0</v>
      </c>
    </row>
    <row r="41" spans="1:18" ht="12" customHeight="1">
      <c r="A41" s="95" t="s">
        <v>182</v>
      </c>
      <c r="B41" s="138">
        <f t="shared" si="4"/>
        <v>13</v>
      </c>
      <c r="C41" s="105">
        <f t="shared" si="6"/>
        <v>0.68855932203389825</v>
      </c>
      <c r="E41" s="304">
        <v>6</v>
      </c>
      <c r="F41" s="105">
        <f t="shared" si="5"/>
        <v>46.153846153846153</v>
      </c>
      <c r="G41" s="304"/>
      <c r="H41" s="304">
        <v>6</v>
      </c>
      <c r="I41" s="105">
        <f t="shared" si="0"/>
        <v>46.153846153846153</v>
      </c>
      <c r="J41" s="304"/>
      <c r="K41" s="304">
        <v>1</v>
      </c>
      <c r="L41" s="105">
        <f t="shared" si="1"/>
        <v>7.6923076923076925</v>
      </c>
      <c r="M41" s="304"/>
      <c r="N41" s="304">
        <v>0</v>
      </c>
      <c r="O41" s="105">
        <f t="shared" si="2"/>
        <v>0</v>
      </c>
      <c r="P41" s="304"/>
      <c r="Q41" s="304">
        <v>0</v>
      </c>
      <c r="R41" s="105">
        <f t="shared" si="3"/>
        <v>0</v>
      </c>
    </row>
    <row r="42" spans="1:18" ht="10" customHeight="1">
      <c r="B42" s="138" t="str">
        <f t="shared" si="4"/>
        <v/>
      </c>
      <c r="C42" s="105" t="str">
        <f t="shared" si="6"/>
        <v/>
      </c>
      <c r="F42" s="105" t="str">
        <f t="shared" si="5"/>
        <v/>
      </c>
      <c r="I42" s="105" t="str">
        <f t="shared" si="0"/>
        <v/>
      </c>
      <c r="L42" s="105" t="str">
        <f t="shared" si="1"/>
        <v/>
      </c>
      <c r="M42" s="116"/>
      <c r="O42" s="105" t="str">
        <f t="shared" si="2"/>
        <v/>
      </c>
      <c r="P42" s="135"/>
      <c r="Q42" s="140"/>
      <c r="R42" s="105" t="str">
        <f t="shared" si="3"/>
        <v/>
      </c>
    </row>
    <row r="43" spans="1:18" ht="13.25" customHeight="1">
      <c r="A43" s="95" t="s">
        <v>183</v>
      </c>
      <c r="B43" s="138">
        <f t="shared" si="4"/>
        <v>188</v>
      </c>
      <c r="C43" s="105">
        <f t="shared" si="6"/>
        <v>9.9576271186440675</v>
      </c>
      <c r="E43" s="140">
        <f>SUM(E44:E51)</f>
        <v>100</v>
      </c>
      <c r="F43" s="105">
        <f t="shared" si="5"/>
        <v>53.191489361702125</v>
      </c>
      <c r="H43" s="140">
        <f>SUM(H44:H51)</f>
        <v>75</v>
      </c>
      <c r="I43" s="105">
        <f t="shared" si="0"/>
        <v>39.893617021276597</v>
      </c>
      <c r="K43" s="140">
        <f>SUM(K44:K51)</f>
        <v>11</v>
      </c>
      <c r="L43" s="105">
        <f t="shared" si="1"/>
        <v>5.8510638297872344</v>
      </c>
      <c r="M43" s="116"/>
      <c r="N43" s="140">
        <f>SUM(N44:N51)</f>
        <v>1</v>
      </c>
      <c r="O43" s="105">
        <f t="shared" si="2"/>
        <v>0.53191489361702127</v>
      </c>
      <c r="P43" s="135"/>
      <c r="Q43" s="140">
        <f>SUM(Q44:Q51)</f>
        <v>1</v>
      </c>
      <c r="R43" s="105">
        <f t="shared" si="3"/>
        <v>0.53191489361702127</v>
      </c>
    </row>
    <row r="44" spans="1:18" ht="13.25" customHeight="1">
      <c r="A44" s="95" t="s">
        <v>185</v>
      </c>
      <c r="B44" s="138">
        <f t="shared" si="4"/>
        <v>33</v>
      </c>
      <c r="C44" s="105">
        <f t="shared" si="6"/>
        <v>1.7478813559322033</v>
      </c>
      <c r="E44" s="304">
        <v>8</v>
      </c>
      <c r="F44" s="105">
        <f t="shared" si="5"/>
        <v>24.242424242424242</v>
      </c>
      <c r="G44" s="304"/>
      <c r="H44" s="304">
        <v>21</v>
      </c>
      <c r="I44" s="105">
        <f t="shared" si="0"/>
        <v>63.636363636363633</v>
      </c>
      <c r="J44" s="304"/>
      <c r="K44" s="304">
        <v>4</v>
      </c>
      <c r="L44" s="105">
        <f t="shared" si="1"/>
        <v>12.121212121212121</v>
      </c>
      <c r="M44" s="304"/>
      <c r="N44" s="304">
        <v>0</v>
      </c>
      <c r="O44" s="105">
        <f t="shared" si="2"/>
        <v>0</v>
      </c>
      <c r="P44" s="304"/>
      <c r="Q44" s="304">
        <v>0</v>
      </c>
      <c r="R44" s="105">
        <f t="shared" si="3"/>
        <v>0</v>
      </c>
    </row>
    <row r="45" spans="1:18" ht="13.25" customHeight="1">
      <c r="A45" s="95" t="s">
        <v>407</v>
      </c>
      <c r="B45" s="138">
        <f t="shared" si="4"/>
        <v>19</v>
      </c>
      <c r="C45" s="105">
        <f t="shared" si="6"/>
        <v>1.0063559322033897</v>
      </c>
      <c r="E45" s="304">
        <v>16</v>
      </c>
      <c r="F45" s="105">
        <f t="shared" si="5"/>
        <v>84.210526315789465</v>
      </c>
      <c r="G45" s="304"/>
      <c r="H45" s="304">
        <v>3</v>
      </c>
      <c r="I45" s="105">
        <f t="shared" si="0"/>
        <v>15.789473684210526</v>
      </c>
      <c r="J45" s="304"/>
      <c r="K45" s="304">
        <v>0</v>
      </c>
      <c r="L45" s="105">
        <f t="shared" si="1"/>
        <v>0</v>
      </c>
      <c r="M45" s="304"/>
      <c r="N45" s="304">
        <v>0</v>
      </c>
      <c r="O45" s="105">
        <f t="shared" si="2"/>
        <v>0</v>
      </c>
      <c r="P45" s="304"/>
      <c r="Q45" s="304">
        <v>0</v>
      </c>
      <c r="R45" s="105">
        <f t="shared" si="3"/>
        <v>0</v>
      </c>
    </row>
    <row r="46" spans="1:18" ht="13.25" customHeight="1">
      <c r="A46" s="95" t="s">
        <v>184</v>
      </c>
      <c r="B46" s="138">
        <f t="shared" si="4"/>
        <v>19</v>
      </c>
      <c r="C46" s="105">
        <f t="shared" si="6"/>
        <v>1.0063559322033897</v>
      </c>
      <c r="E46" s="304">
        <v>14</v>
      </c>
      <c r="F46" s="105">
        <f t="shared" si="5"/>
        <v>73.68421052631578</v>
      </c>
      <c r="G46" s="304"/>
      <c r="H46" s="304">
        <v>4</v>
      </c>
      <c r="I46" s="105">
        <f t="shared" si="0"/>
        <v>21.052631578947366</v>
      </c>
      <c r="J46" s="304"/>
      <c r="K46" s="304">
        <v>0</v>
      </c>
      <c r="L46" s="105">
        <f t="shared" si="1"/>
        <v>0</v>
      </c>
      <c r="M46" s="304"/>
      <c r="N46" s="304">
        <v>1</v>
      </c>
      <c r="O46" s="105">
        <f t="shared" si="2"/>
        <v>5.2631578947368416</v>
      </c>
      <c r="P46" s="304"/>
      <c r="Q46" s="304">
        <v>0</v>
      </c>
      <c r="R46" s="105">
        <f t="shared" si="3"/>
        <v>0</v>
      </c>
    </row>
    <row r="47" spans="1:18" ht="13.25" customHeight="1">
      <c r="A47" s="95" t="s">
        <v>186</v>
      </c>
      <c r="B47" s="138">
        <f t="shared" si="4"/>
        <v>21</v>
      </c>
      <c r="C47" s="105">
        <f t="shared" si="6"/>
        <v>1.1122881355932204</v>
      </c>
      <c r="E47" s="304">
        <v>13</v>
      </c>
      <c r="F47" s="105">
        <f t="shared" si="5"/>
        <v>61.904761904761905</v>
      </c>
      <c r="G47" s="304"/>
      <c r="H47" s="304">
        <v>8</v>
      </c>
      <c r="I47" s="105">
        <f t="shared" si="0"/>
        <v>38.095238095238095</v>
      </c>
      <c r="J47" s="304"/>
      <c r="K47" s="304">
        <v>0</v>
      </c>
      <c r="L47" s="105">
        <f t="shared" si="1"/>
        <v>0</v>
      </c>
      <c r="M47" s="304"/>
      <c r="N47" s="304">
        <v>0</v>
      </c>
      <c r="O47" s="105">
        <f t="shared" si="2"/>
        <v>0</v>
      </c>
      <c r="P47" s="304"/>
      <c r="Q47" s="304">
        <v>0</v>
      </c>
      <c r="R47" s="105">
        <f t="shared" si="3"/>
        <v>0</v>
      </c>
    </row>
    <row r="48" spans="1:18" ht="13.25" customHeight="1">
      <c r="A48" s="95" t="s">
        <v>408</v>
      </c>
      <c r="B48" s="138">
        <f t="shared" si="4"/>
        <v>23</v>
      </c>
      <c r="C48" s="105">
        <f t="shared" si="6"/>
        <v>1.2182203389830508</v>
      </c>
      <c r="E48" s="304">
        <v>18</v>
      </c>
      <c r="F48" s="105">
        <f t="shared" si="5"/>
        <v>78.260869565217391</v>
      </c>
      <c r="G48" s="304"/>
      <c r="H48" s="304">
        <v>2</v>
      </c>
      <c r="I48" s="105">
        <f t="shared" si="0"/>
        <v>8.695652173913043</v>
      </c>
      <c r="J48" s="304"/>
      <c r="K48" s="304">
        <v>2</v>
      </c>
      <c r="L48" s="105">
        <f t="shared" si="1"/>
        <v>8.695652173913043</v>
      </c>
      <c r="M48" s="304"/>
      <c r="N48" s="304">
        <v>0</v>
      </c>
      <c r="O48" s="105">
        <f t="shared" si="2"/>
        <v>0</v>
      </c>
      <c r="P48" s="304"/>
      <c r="Q48" s="304">
        <v>1</v>
      </c>
      <c r="R48" s="105">
        <f t="shared" si="3"/>
        <v>4.3478260869565215</v>
      </c>
    </row>
    <row r="49" spans="1:18" ht="13.25" customHeight="1">
      <c r="A49" s="95" t="s">
        <v>190</v>
      </c>
      <c r="B49" s="138">
        <f t="shared" si="4"/>
        <v>14</v>
      </c>
      <c r="C49" s="105">
        <f t="shared" si="6"/>
        <v>0.74152542372881358</v>
      </c>
      <c r="E49" s="304">
        <v>6</v>
      </c>
      <c r="F49" s="105">
        <f t="shared" si="5"/>
        <v>42.857142857142854</v>
      </c>
      <c r="G49" s="304"/>
      <c r="H49" s="304">
        <v>8</v>
      </c>
      <c r="I49" s="105">
        <f t="shared" si="0"/>
        <v>57.142857142857139</v>
      </c>
      <c r="J49" s="304"/>
      <c r="K49" s="304">
        <v>0</v>
      </c>
      <c r="L49" s="105">
        <f t="shared" si="1"/>
        <v>0</v>
      </c>
      <c r="M49" s="304"/>
      <c r="N49" s="304">
        <v>0</v>
      </c>
      <c r="O49" s="105">
        <f t="shared" si="2"/>
        <v>0</v>
      </c>
      <c r="P49" s="304"/>
      <c r="Q49" s="304">
        <v>0</v>
      </c>
      <c r="R49" s="105">
        <f t="shared" si="3"/>
        <v>0</v>
      </c>
    </row>
    <row r="50" spans="1:18" ht="13.25" customHeight="1">
      <c r="A50" s="95" t="s">
        <v>189</v>
      </c>
      <c r="B50" s="138">
        <f t="shared" si="4"/>
        <v>40</v>
      </c>
      <c r="C50" s="105">
        <f t="shared" si="6"/>
        <v>2.1186440677966099</v>
      </c>
      <c r="E50" s="304">
        <v>21</v>
      </c>
      <c r="F50" s="105">
        <f t="shared" si="5"/>
        <v>52.5</v>
      </c>
      <c r="G50" s="304"/>
      <c r="H50" s="304">
        <v>16</v>
      </c>
      <c r="I50" s="105">
        <f t="shared" si="0"/>
        <v>40</v>
      </c>
      <c r="J50" s="304"/>
      <c r="K50" s="304">
        <v>3</v>
      </c>
      <c r="L50" s="105">
        <f t="shared" si="1"/>
        <v>7.5</v>
      </c>
      <c r="M50" s="304"/>
      <c r="N50" s="304">
        <v>0</v>
      </c>
      <c r="O50" s="105">
        <f t="shared" si="2"/>
        <v>0</v>
      </c>
      <c r="P50" s="304"/>
      <c r="Q50" s="304">
        <v>0</v>
      </c>
      <c r="R50" s="105">
        <f t="shared" si="3"/>
        <v>0</v>
      </c>
    </row>
    <row r="51" spans="1:18" ht="12" customHeight="1">
      <c r="A51" s="95" t="s">
        <v>188</v>
      </c>
      <c r="B51" s="138">
        <f t="shared" si="4"/>
        <v>19</v>
      </c>
      <c r="C51" s="105">
        <f t="shared" si="6"/>
        <v>1.0063559322033897</v>
      </c>
      <c r="E51" s="304">
        <v>4</v>
      </c>
      <c r="F51" s="105">
        <f t="shared" si="5"/>
        <v>21.052631578947366</v>
      </c>
      <c r="G51" s="304"/>
      <c r="H51" s="304">
        <v>13</v>
      </c>
      <c r="I51" s="105">
        <f t="shared" si="0"/>
        <v>68.421052631578945</v>
      </c>
      <c r="J51" s="304"/>
      <c r="K51" s="304">
        <v>2</v>
      </c>
      <c r="L51" s="105">
        <f t="shared" si="1"/>
        <v>10.526315789473683</v>
      </c>
      <c r="M51" s="304"/>
      <c r="N51" s="304">
        <v>0</v>
      </c>
      <c r="O51" s="105">
        <f t="shared" si="2"/>
        <v>0</v>
      </c>
      <c r="P51" s="304"/>
      <c r="Q51" s="304">
        <v>0</v>
      </c>
      <c r="R51" s="105">
        <f t="shared" si="3"/>
        <v>0</v>
      </c>
    </row>
    <row r="52" spans="1:18" ht="10" customHeight="1">
      <c r="B52" s="138" t="str">
        <f t="shared" si="4"/>
        <v/>
      </c>
      <c r="C52" s="105" t="str">
        <f t="shared" si="6"/>
        <v/>
      </c>
      <c r="E52" s="304"/>
      <c r="F52" s="105" t="str">
        <f t="shared" si="5"/>
        <v/>
      </c>
      <c r="G52" s="304"/>
      <c r="H52" s="304"/>
      <c r="I52" s="105" t="str">
        <f t="shared" si="0"/>
        <v/>
      </c>
      <c r="J52" s="304"/>
      <c r="K52" s="304"/>
      <c r="L52" s="105" t="str">
        <f t="shared" si="1"/>
        <v/>
      </c>
      <c r="M52" s="304"/>
      <c r="N52" s="304"/>
      <c r="O52" s="105" t="str">
        <f t="shared" si="2"/>
        <v/>
      </c>
      <c r="P52" s="304"/>
      <c r="Q52" s="304"/>
      <c r="R52" s="105" t="str">
        <f t="shared" si="3"/>
        <v/>
      </c>
    </row>
    <row r="53" spans="1:18" ht="12" customHeight="1">
      <c r="A53" s="95" t="s">
        <v>192</v>
      </c>
      <c r="B53" s="138">
        <f t="shared" si="4"/>
        <v>52</v>
      </c>
      <c r="C53" s="105">
        <f t="shared" si="6"/>
        <v>2.754237288135593</v>
      </c>
      <c r="E53" s="304">
        <v>29</v>
      </c>
      <c r="F53" s="105">
        <f t="shared" si="5"/>
        <v>55.769230769230774</v>
      </c>
      <c r="G53" s="304"/>
      <c r="H53" s="304">
        <v>12</v>
      </c>
      <c r="I53" s="105">
        <f t="shared" si="0"/>
        <v>23.076923076923077</v>
      </c>
      <c r="J53" s="304"/>
      <c r="K53" s="304">
        <v>11</v>
      </c>
      <c r="L53" s="105">
        <f t="shared" si="1"/>
        <v>21.153846153846153</v>
      </c>
      <c r="M53" s="304"/>
      <c r="N53" s="304">
        <v>0</v>
      </c>
      <c r="O53" s="105">
        <f t="shared" si="2"/>
        <v>0</v>
      </c>
      <c r="P53" s="304"/>
      <c r="Q53" s="304">
        <v>0</v>
      </c>
      <c r="R53" s="105">
        <f t="shared" si="3"/>
        <v>0</v>
      </c>
    </row>
    <row r="54" spans="1:18" ht="10" customHeight="1">
      <c r="B54" s="138" t="str">
        <f t="shared" si="4"/>
        <v/>
      </c>
      <c r="C54" s="105" t="str">
        <f t="shared" si="6"/>
        <v/>
      </c>
      <c r="F54" s="105" t="str">
        <f t="shared" si="5"/>
        <v/>
      </c>
      <c r="I54" s="105" t="str">
        <f t="shared" si="0"/>
        <v/>
      </c>
      <c r="L54" s="105" t="str">
        <f t="shared" si="1"/>
        <v/>
      </c>
      <c r="M54" s="116"/>
      <c r="O54" s="105" t="str">
        <f t="shared" si="2"/>
        <v/>
      </c>
      <c r="P54" s="135"/>
      <c r="Q54" s="140"/>
      <c r="R54" s="105" t="str">
        <f t="shared" si="3"/>
        <v/>
      </c>
    </row>
    <row r="55" spans="1:18" ht="13.25" customHeight="1">
      <c r="A55" s="95" t="s">
        <v>193</v>
      </c>
      <c r="B55" s="138">
        <f t="shared" si="4"/>
        <v>80</v>
      </c>
      <c r="C55" s="105">
        <f t="shared" si="6"/>
        <v>4.2372881355932197</v>
      </c>
      <c r="E55" s="140">
        <f>SUM(E56:E60)</f>
        <v>32</v>
      </c>
      <c r="F55" s="105">
        <f t="shared" si="5"/>
        <v>40</v>
      </c>
      <c r="H55" s="140">
        <f>SUM(H56:H60)</f>
        <v>42</v>
      </c>
      <c r="I55" s="105">
        <f t="shared" si="0"/>
        <v>52.5</v>
      </c>
      <c r="K55" s="140">
        <f>SUM(K56:K60)</f>
        <v>6</v>
      </c>
      <c r="L55" s="105">
        <f t="shared" si="1"/>
        <v>7.5</v>
      </c>
      <c r="M55" s="116"/>
      <c r="N55" s="140">
        <f>SUM(N56:N60)</f>
        <v>0</v>
      </c>
      <c r="O55" s="105">
        <f t="shared" si="2"/>
        <v>0</v>
      </c>
      <c r="P55" s="135"/>
      <c r="Q55" s="140">
        <f>SUM(Q56:Q60)</f>
        <v>0</v>
      </c>
      <c r="R55" s="105">
        <f t="shared" si="3"/>
        <v>0</v>
      </c>
    </row>
    <row r="56" spans="1:18" ht="13.25" customHeight="1">
      <c r="A56" s="95" t="s">
        <v>194</v>
      </c>
      <c r="B56" s="138">
        <f t="shared" si="4"/>
        <v>13</v>
      </c>
      <c r="C56" s="105">
        <f t="shared" si="6"/>
        <v>0.68855932203389825</v>
      </c>
      <c r="E56" s="304">
        <v>7</v>
      </c>
      <c r="F56" s="105">
        <f t="shared" si="5"/>
        <v>53.846153846153847</v>
      </c>
      <c r="G56" s="304"/>
      <c r="H56" s="304">
        <v>5</v>
      </c>
      <c r="I56" s="105">
        <f t="shared" si="0"/>
        <v>38.461538461538467</v>
      </c>
      <c r="J56" s="304"/>
      <c r="K56" s="304">
        <v>1</v>
      </c>
      <c r="L56" s="105">
        <f t="shared" si="1"/>
        <v>7.6923076923076925</v>
      </c>
      <c r="M56" s="304"/>
      <c r="N56" s="304">
        <v>0</v>
      </c>
      <c r="O56" s="105">
        <f t="shared" si="2"/>
        <v>0</v>
      </c>
      <c r="P56" s="304"/>
      <c r="Q56" s="304">
        <v>0</v>
      </c>
      <c r="R56" s="105">
        <f t="shared" si="3"/>
        <v>0</v>
      </c>
    </row>
    <row r="57" spans="1:18" ht="13.25" customHeight="1">
      <c r="A57" s="95" t="s">
        <v>195</v>
      </c>
      <c r="B57" s="138">
        <f t="shared" si="4"/>
        <v>21</v>
      </c>
      <c r="C57" s="105">
        <f t="shared" si="6"/>
        <v>1.1122881355932204</v>
      </c>
      <c r="E57" s="304">
        <v>6</v>
      </c>
      <c r="F57" s="105">
        <f t="shared" si="5"/>
        <v>28.571428571428569</v>
      </c>
      <c r="G57" s="304"/>
      <c r="H57" s="304">
        <v>14</v>
      </c>
      <c r="I57" s="105">
        <f t="shared" si="0"/>
        <v>66.666666666666657</v>
      </c>
      <c r="J57" s="304"/>
      <c r="K57" s="304">
        <v>1</v>
      </c>
      <c r="L57" s="105">
        <f t="shared" si="1"/>
        <v>4.7619047619047619</v>
      </c>
      <c r="M57" s="304"/>
      <c r="N57" s="304">
        <v>0</v>
      </c>
      <c r="O57" s="105">
        <f t="shared" si="2"/>
        <v>0</v>
      </c>
      <c r="P57" s="304"/>
      <c r="Q57" s="304">
        <v>0</v>
      </c>
      <c r="R57" s="105">
        <f t="shared" si="3"/>
        <v>0</v>
      </c>
    </row>
    <row r="58" spans="1:18" ht="13.25" customHeight="1">
      <c r="A58" s="95" t="s">
        <v>196</v>
      </c>
      <c r="B58" s="138">
        <f t="shared" si="4"/>
        <v>19</v>
      </c>
      <c r="C58" s="105">
        <f t="shared" si="6"/>
        <v>1.0063559322033897</v>
      </c>
      <c r="E58" s="304">
        <v>7</v>
      </c>
      <c r="F58" s="105">
        <f t="shared" si="5"/>
        <v>36.84210526315789</v>
      </c>
      <c r="G58" s="304"/>
      <c r="H58" s="304">
        <v>10</v>
      </c>
      <c r="I58" s="105">
        <f t="shared" si="0"/>
        <v>52.631578947368418</v>
      </c>
      <c r="J58" s="304"/>
      <c r="K58" s="304">
        <v>2</v>
      </c>
      <c r="L58" s="105">
        <f t="shared" si="1"/>
        <v>10.526315789473683</v>
      </c>
      <c r="M58" s="304"/>
      <c r="N58" s="304">
        <v>0</v>
      </c>
      <c r="O58" s="105">
        <f t="shared" si="2"/>
        <v>0</v>
      </c>
      <c r="P58" s="304"/>
      <c r="Q58" s="304">
        <v>0</v>
      </c>
      <c r="R58" s="105">
        <f t="shared" si="3"/>
        <v>0</v>
      </c>
    </row>
    <row r="59" spans="1:18" ht="13.25" customHeight="1">
      <c r="A59" s="95" t="s">
        <v>409</v>
      </c>
      <c r="B59" s="138">
        <f t="shared" si="4"/>
        <v>10</v>
      </c>
      <c r="C59" s="105">
        <f t="shared" si="6"/>
        <v>0.52966101694915246</v>
      </c>
      <c r="E59" s="304">
        <v>1</v>
      </c>
      <c r="F59" s="105">
        <f t="shared" si="5"/>
        <v>10</v>
      </c>
      <c r="G59" s="304"/>
      <c r="H59" s="304">
        <v>8</v>
      </c>
      <c r="I59" s="105">
        <f t="shared" si="0"/>
        <v>80</v>
      </c>
      <c r="J59" s="304"/>
      <c r="K59" s="304">
        <v>1</v>
      </c>
      <c r="L59" s="105">
        <f t="shared" si="1"/>
        <v>10</v>
      </c>
      <c r="M59" s="304"/>
      <c r="N59" s="304">
        <v>0</v>
      </c>
      <c r="O59" s="105">
        <f t="shared" si="2"/>
        <v>0</v>
      </c>
      <c r="P59" s="304"/>
      <c r="Q59" s="304">
        <v>0</v>
      </c>
      <c r="R59" s="105">
        <f t="shared" si="3"/>
        <v>0</v>
      </c>
    </row>
    <row r="60" spans="1:18" ht="12" customHeight="1">
      <c r="A60" s="95" t="s">
        <v>198</v>
      </c>
      <c r="B60" s="138">
        <f t="shared" si="4"/>
        <v>17</v>
      </c>
      <c r="C60" s="105">
        <f t="shared" si="6"/>
        <v>0.90042372881355937</v>
      </c>
      <c r="E60" s="304">
        <v>11</v>
      </c>
      <c r="F60" s="105">
        <f t="shared" si="5"/>
        <v>64.705882352941174</v>
      </c>
      <c r="G60" s="304"/>
      <c r="H60" s="304">
        <v>5</v>
      </c>
      <c r="I60" s="105">
        <f t="shared" si="0"/>
        <v>29.411764705882355</v>
      </c>
      <c r="J60" s="304"/>
      <c r="K60" s="304">
        <v>1</v>
      </c>
      <c r="L60" s="105">
        <f t="shared" si="1"/>
        <v>5.8823529411764701</v>
      </c>
      <c r="M60" s="304"/>
      <c r="N60" s="304">
        <v>0</v>
      </c>
      <c r="O60" s="105">
        <f t="shared" si="2"/>
        <v>0</v>
      </c>
      <c r="P60" s="304"/>
      <c r="Q60" s="304">
        <v>0</v>
      </c>
      <c r="R60" s="105">
        <f t="shared" si="3"/>
        <v>0</v>
      </c>
    </row>
    <row r="61" spans="1:18" ht="10" customHeight="1">
      <c r="B61" s="138" t="str">
        <f t="shared" si="4"/>
        <v/>
      </c>
      <c r="C61" s="105" t="str">
        <f t="shared" si="6"/>
        <v/>
      </c>
      <c r="F61" s="105" t="str">
        <f t="shared" si="5"/>
        <v/>
      </c>
      <c r="I61" s="105" t="str">
        <f t="shared" si="0"/>
        <v/>
      </c>
      <c r="L61" s="105" t="str">
        <f t="shared" si="1"/>
        <v/>
      </c>
      <c r="M61" s="116"/>
      <c r="O61" s="105" t="str">
        <f t="shared" si="2"/>
        <v/>
      </c>
      <c r="P61" s="135"/>
      <c r="Q61" s="140"/>
      <c r="R61" s="105" t="str">
        <f t="shared" si="3"/>
        <v/>
      </c>
    </row>
    <row r="62" spans="1:18" ht="13.25" customHeight="1">
      <c r="A62" s="55" t="s">
        <v>410</v>
      </c>
      <c r="B62" s="138">
        <f t="shared" si="4"/>
        <v>519</v>
      </c>
      <c r="C62" s="105">
        <f t="shared" si="6"/>
        <v>27.489406779661017</v>
      </c>
      <c r="E62" s="140">
        <f>E63+E65+E72+E74</f>
        <v>53</v>
      </c>
      <c r="F62" s="105">
        <f t="shared" si="5"/>
        <v>10.211946050096339</v>
      </c>
      <c r="H62" s="140">
        <f>H63+H65+H72+H74</f>
        <v>426</v>
      </c>
      <c r="I62" s="105">
        <f t="shared" si="0"/>
        <v>82.080924855491332</v>
      </c>
      <c r="K62" s="140">
        <f>K63+K65+K72+K74</f>
        <v>34</v>
      </c>
      <c r="L62" s="105">
        <f t="shared" si="1"/>
        <v>6.5510597302504818</v>
      </c>
      <c r="M62" s="116"/>
      <c r="N62" s="140">
        <f>N63+N65+N72+N74</f>
        <v>0</v>
      </c>
      <c r="O62" s="105">
        <f t="shared" si="2"/>
        <v>0</v>
      </c>
      <c r="P62" s="135"/>
      <c r="Q62" s="140">
        <f>Q63+Q65+Q72+Q74</f>
        <v>6</v>
      </c>
      <c r="R62" s="105">
        <f t="shared" si="3"/>
        <v>1.1560693641618496</v>
      </c>
    </row>
    <row r="63" spans="1:18" ht="12" customHeight="1">
      <c r="A63" s="95" t="s">
        <v>411</v>
      </c>
      <c r="B63" s="138">
        <f t="shared" si="4"/>
        <v>28</v>
      </c>
      <c r="C63" s="105">
        <f t="shared" si="6"/>
        <v>1.4830508474576272</v>
      </c>
      <c r="E63" s="304">
        <v>5</v>
      </c>
      <c r="F63" s="105">
        <f t="shared" si="5"/>
        <v>17.857142857142858</v>
      </c>
      <c r="G63" s="304"/>
      <c r="H63" s="304">
        <v>21</v>
      </c>
      <c r="I63" s="105">
        <f t="shared" si="0"/>
        <v>75</v>
      </c>
      <c r="J63" s="304"/>
      <c r="K63" s="304">
        <v>2</v>
      </c>
      <c r="L63" s="105">
        <f t="shared" si="1"/>
        <v>7.1428571428571423</v>
      </c>
      <c r="M63" s="304"/>
      <c r="N63" s="304">
        <v>0</v>
      </c>
      <c r="O63" s="105">
        <f t="shared" si="2"/>
        <v>0</v>
      </c>
      <c r="P63" s="304"/>
      <c r="Q63" s="304">
        <v>0</v>
      </c>
      <c r="R63" s="105">
        <f t="shared" si="3"/>
        <v>0</v>
      </c>
    </row>
    <row r="64" spans="1:18" ht="10" customHeight="1">
      <c r="B64" s="138" t="str">
        <f t="shared" si="4"/>
        <v/>
      </c>
      <c r="C64" s="105" t="str">
        <f t="shared" si="6"/>
        <v/>
      </c>
      <c r="F64" s="105" t="str">
        <f t="shared" si="5"/>
        <v/>
      </c>
      <c r="I64" s="105" t="str">
        <f t="shared" si="0"/>
        <v/>
      </c>
      <c r="L64" s="105" t="str">
        <f t="shared" si="1"/>
        <v/>
      </c>
      <c r="M64" s="116"/>
      <c r="O64" s="105" t="str">
        <f t="shared" si="2"/>
        <v/>
      </c>
      <c r="P64" s="135"/>
      <c r="Q64" s="140"/>
      <c r="R64" s="105" t="str">
        <f t="shared" si="3"/>
        <v/>
      </c>
    </row>
    <row r="65" spans="1:18" ht="13.25" customHeight="1">
      <c r="A65" s="95" t="s">
        <v>202</v>
      </c>
      <c r="B65" s="138">
        <f t="shared" si="4"/>
        <v>377</v>
      </c>
      <c r="C65" s="105">
        <f t="shared" si="6"/>
        <v>19.968220338983052</v>
      </c>
      <c r="E65" s="140">
        <f>SUM(E66:E70)</f>
        <v>28</v>
      </c>
      <c r="F65" s="105">
        <f t="shared" si="5"/>
        <v>7.4270557029177713</v>
      </c>
      <c r="H65" s="140">
        <f>SUM(H66:H70)</f>
        <v>320</v>
      </c>
      <c r="I65" s="105">
        <f t="shared" si="0"/>
        <v>84.880636604774537</v>
      </c>
      <c r="K65" s="140">
        <f>SUM(K66:K70)</f>
        <v>23</v>
      </c>
      <c r="L65" s="105">
        <f t="shared" si="1"/>
        <v>6.1007957559681696</v>
      </c>
      <c r="M65" s="116"/>
      <c r="N65" s="140">
        <f>SUM(N66:N70)</f>
        <v>0</v>
      </c>
      <c r="O65" s="105">
        <f t="shared" si="2"/>
        <v>0</v>
      </c>
      <c r="P65" s="135"/>
      <c r="Q65" s="140">
        <f>SUM(Q66:Q70)</f>
        <v>6</v>
      </c>
      <c r="R65" s="105">
        <f t="shared" si="3"/>
        <v>1.5915119363395225</v>
      </c>
    </row>
    <row r="66" spans="1:18" ht="13.25" customHeight="1">
      <c r="A66" s="95" t="s">
        <v>482</v>
      </c>
      <c r="B66" s="138">
        <f t="shared" si="4"/>
        <v>302</v>
      </c>
      <c r="C66" s="105">
        <f t="shared" si="6"/>
        <v>15.995762711864407</v>
      </c>
      <c r="E66" s="304">
        <v>15</v>
      </c>
      <c r="F66" s="105">
        <f t="shared" si="5"/>
        <v>4.9668874172185431</v>
      </c>
      <c r="G66" s="304"/>
      <c r="H66" s="304">
        <v>263</v>
      </c>
      <c r="I66" s="105">
        <f t="shared" si="0"/>
        <v>87.086092715231786</v>
      </c>
      <c r="J66" s="304"/>
      <c r="K66" s="304">
        <v>18</v>
      </c>
      <c r="L66" s="105">
        <f t="shared" si="1"/>
        <v>5.9602649006622519</v>
      </c>
      <c r="M66" s="304"/>
      <c r="N66" s="304">
        <v>0</v>
      </c>
      <c r="O66" s="105">
        <f t="shared" si="2"/>
        <v>0</v>
      </c>
      <c r="P66" s="304"/>
      <c r="Q66" s="304">
        <v>6</v>
      </c>
      <c r="R66" s="105">
        <f t="shared" si="3"/>
        <v>1.9867549668874174</v>
      </c>
    </row>
    <row r="67" spans="1:18" ht="13.25" customHeight="1">
      <c r="A67" s="95" t="s">
        <v>204</v>
      </c>
      <c r="B67" s="138">
        <f t="shared" si="4"/>
        <v>35</v>
      </c>
      <c r="C67" s="105">
        <f t="shared" si="6"/>
        <v>1.8538135593220337</v>
      </c>
      <c r="E67" s="304">
        <v>5</v>
      </c>
      <c r="F67" s="105">
        <f t="shared" si="5"/>
        <v>14.285714285714285</v>
      </c>
      <c r="G67" s="304"/>
      <c r="H67" s="304">
        <v>29</v>
      </c>
      <c r="I67" s="105">
        <f t="shared" si="0"/>
        <v>82.857142857142861</v>
      </c>
      <c r="J67" s="304"/>
      <c r="K67" s="304">
        <v>1</v>
      </c>
      <c r="L67" s="105">
        <f t="shared" si="1"/>
        <v>2.8571428571428572</v>
      </c>
      <c r="M67" s="304"/>
      <c r="N67" s="304">
        <v>0</v>
      </c>
      <c r="O67" s="105">
        <f t="shared" si="2"/>
        <v>0</v>
      </c>
      <c r="P67" s="304"/>
      <c r="Q67" s="304">
        <v>0</v>
      </c>
      <c r="R67" s="105">
        <f t="shared" si="3"/>
        <v>0</v>
      </c>
    </row>
    <row r="68" spans="1:18" ht="13.25" customHeight="1">
      <c r="A68" s="95" t="s">
        <v>206</v>
      </c>
      <c r="B68" s="138">
        <f t="shared" si="4"/>
        <v>19</v>
      </c>
      <c r="C68" s="105">
        <f t="shared" si="6"/>
        <v>1.0063559322033897</v>
      </c>
      <c r="E68" s="304">
        <v>5</v>
      </c>
      <c r="F68" s="105">
        <f t="shared" si="5"/>
        <v>26.315789473684209</v>
      </c>
      <c r="G68" s="304"/>
      <c r="H68" s="304">
        <v>12</v>
      </c>
      <c r="I68" s="105">
        <f t="shared" si="0"/>
        <v>63.157894736842103</v>
      </c>
      <c r="J68" s="304"/>
      <c r="K68" s="304">
        <v>2</v>
      </c>
      <c r="L68" s="105">
        <f t="shared" si="1"/>
        <v>10.526315789473683</v>
      </c>
      <c r="M68" s="304"/>
      <c r="N68" s="304">
        <v>0</v>
      </c>
      <c r="O68" s="105">
        <f t="shared" si="2"/>
        <v>0</v>
      </c>
      <c r="P68" s="304"/>
      <c r="Q68" s="304">
        <v>0</v>
      </c>
      <c r="R68" s="105">
        <f t="shared" si="3"/>
        <v>0</v>
      </c>
    </row>
    <row r="69" spans="1:18" ht="13.25" customHeight="1">
      <c r="A69" s="111" t="s">
        <v>494</v>
      </c>
      <c r="B69" s="138">
        <f t="shared" si="4"/>
        <v>11</v>
      </c>
      <c r="C69" s="105">
        <f t="shared" si="6"/>
        <v>0.5826271186440678</v>
      </c>
      <c r="E69" s="304">
        <v>1</v>
      </c>
      <c r="F69" s="105">
        <f t="shared" si="5"/>
        <v>9.0909090909090917</v>
      </c>
      <c r="G69" s="304"/>
      <c r="H69" s="304">
        <v>8</v>
      </c>
      <c r="I69" s="105">
        <f t="shared" si="0"/>
        <v>72.727272727272734</v>
      </c>
      <c r="J69" s="304"/>
      <c r="K69" s="304">
        <v>2</v>
      </c>
      <c r="L69" s="105">
        <f t="shared" si="1"/>
        <v>18.181818181818183</v>
      </c>
      <c r="M69" s="304"/>
      <c r="N69" s="304">
        <v>0</v>
      </c>
      <c r="O69" s="105">
        <f t="shared" si="2"/>
        <v>0</v>
      </c>
      <c r="P69" s="304"/>
      <c r="Q69" s="304">
        <v>0</v>
      </c>
      <c r="R69" s="105">
        <f t="shared" si="3"/>
        <v>0</v>
      </c>
    </row>
    <row r="70" spans="1:18" ht="12" customHeight="1">
      <c r="A70" s="95" t="s">
        <v>205</v>
      </c>
      <c r="B70" s="138">
        <f t="shared" si="4"/>
        <v>10</v>
      </c>
      <c r="C70" s="105">
        <f t="shared" si="6"/>
        <v>0.52966101694915246</v>
      </c>
      <c r="E70" s="304">
        <v>2</v>
      </c>
      <c r="F70" s="105">
        <f t="shared" si="5"/>
        <v>20</v>
      </c>
      <c r="G70" s="304"/>
      <c r="H70" s="304">
        <v>8</v>
      </c>
      <c r="I70" s="105">
        <f t="shared" si="0"/>
        <v>80</v>
      </c>
      <c r="J70" s="304"/>
      <c r="K70" s="304">
        <v>0</v>
      </c>
      <c r="L70" s="105">
        <f t="shared" si="1"/>
        <v>0</v>
      </c>
      <c r="M70" s="304"/>
      <c r="N70" s="304">
        <v>0</v>
      </c>
      <c r="O70" s="105">
        <f t="shared" si="2"/>
        <v>0</v>
      </c>
      <c r="P70" s="304"/>
      <c r="Q70" s="304">
        <v>0</v>
      </c>
      <c r="R70" s="105">
        <f t="shared" si="3"/>
        <v>0</v>
      </c>
    </row>
    <row r="71" spans="1:18" ht="10" customHeight="1">
      <c r="B71" s="138" t="str">
        <f t="shared" si="4"/>
        <v/>
      </c>
      <c r="C71" s="105" t="str">
        <f t="shared" si="6"/>
        <v/>
      </c>
      <c r="E71" s="234"/>
      <c r="F71" s="105" t="str">
        <f t="shared" si="5"/>
        <v/>
      </c>
      <c r="G71" s="234"/>
      <c r="H71" s="234"/>
      <c r="I71" s="105" t="str">
        <f t="shared" si="0"/>
        <v/>
      </c>
      <c r="J71" s="234"/>
      <c r="K71" s="234"/>
      <c r="L71" s="105" t="str">
        <f t="shared" si="1"/>
        <v/>
      </c>
      <c r="M71" s="234"/>
      <c r="N71" s="234"/>
      <c r="O71" s="105" t="str">
        <f t="shared" si="2"/>
        <v/>
      </c>
      <c r="P71" s="234"/>
      <c r="Q71" s="234"/>
      <c r="R71" s="105" t="str">
        <f t="shared" si="3"/>
        <v/>
      </c>
    </row>
    <row r="72" spans="1:18" ht="13.25" customHeight="1">
      <c r="A72" s="95" t="s">
        <v>208</v>
      </c>
      <c r="B72" s="138">
        <f t="shared" si="4"/>
        <v>25</v>
      </c>
      <c r="C72" s="105">
        <f t="shared" si="6"/>
        <v>1.3241525423728813</v>
      </c>
      <c r="E72" s="304">
        <v>15</v>
      </c>
      <c r="F72" s="105">
        <f t="shared" si="5"/>
        <v>60</v>
      </c>
      <c r="G72" s="304"/>
      <c r="H72" s="304">
        <v>10</v>
      </c>
      <c r="I72" s="105">
        <f t="shared" si="0"/>
        <v>40</v>
      </c>
      <c r="J72" s="304"/>
      <c r="K72" s="304">
        <v>0</v>
      </c>
      <c r="L72" s="105">
        <f t="shared" si="1"/>
        <v>0</v>
      </c>
      <c r="M72" s="304"/>
      <c r="N72" s="304">
        <v>0</v>
      </c>
      <c r="O72" s="105">
        <f t="shared" si="2"/>
        <v>0</v>
      </c>
      <c r="P72" s="304"/>
      <c r="Q72" s="304">
        <v>0</v>
      </c>
      <c r="R72" s="105">
        <f t="shared" si="3"/>
        <v>0</v>
      </c>
    </row>
    <row r="73" spans="1:18" ht="10" customHeight="1">
      <c r="B73" s="138" t="str">
        <f t="shared" si="4"/>
        <v/>
      </c>
      <c r="C73" s="105" t="str">
        <f t="shared" si="6"/>
        <v/>
      </c>
      <c r="E73" s="234"/>
      <c r="F73" s="105" t="str">
        <f t="shared" si="5"/>
        <v/>
      </c>
      <c r="G73" s="234"/>
      <c r="H73" s="234"/>
      <c r="I73" s="105" t="str">
        <f t="shared" si="0"/>
        <v/>
      </c>
      <c r="J73" s="234"/>
      <c r="K73" s="234"/>
      <c r="L73" s="105" t="str">
        <f t="shared" si="1"/>
        <v/>
      </c>
      <c r="M73" s="234"/>
      <c r="N73" s="234"/>
      <c r="O73" s="105" t="str">
        <f t="shared" si="2"/>
        <v/>
      </c>
      <c r="P73" s="234"/>
      <c r="Q73" s="234"/>
      <c r="R73" s="105" t="str">
        <f t="shared" si="3"/>
        <v/>
      </c>
    </row>
    <row r="74" spans="1:18" ht="13.25" customHeight="1">
      <c r="A74" s="95" t="s">
        <v>209</v>
      </c>
      <c r="B74" s="138">
        <f t="shared" si="4"/>
        <v>89</v>
      </c>
      <c r="C74" s="105">
        <f t="shared" si="6"/>
        <v>4.7139830508474576</v>
      </c>
      <c r="E74" s="304">
        <v>5</v>
      </c>
      <c r="F74" s="105">
        <f t="shared" si="5"/>
        <v>5.6179775280898872</v>
      </c>
      <c r="G74" s="304"/>
      <c r="H74" s="304">
        <v>75</v>
      </c>
      <c r="I74" s="105">
        <f t="shared" si="0"/>
        <v>84.269662921348313</v>
      </c>
      <c r="J74" s="304"/>
      <c r="K74" s="304">
        <v>9</v>
      </c>
      <c r="L74" s="105">
        <f t="shared" si="1"/>
        <v>10.112359550561797</v>
      </c>
      <c r="M74" s="304"/>
      <c r="N74" s="304">
        <v>0</v>
      </c>
      <c r="O74" s="105">
        <f t="shared" si="2"/>
        <v>0</v>
      </c>
      <c r="P74" s="304"/>
      <c r="Q74" s="304">
        <v>0</v>
      </c>
      <c r="R74" s="105">
        <f t="shared" si="3"/>
        <v>0</v>
      </c>
    </row>
    <row r="75" spans="1:18" ht="10" customHeight="1">
      <c r="B75" s="138" t="str">
        <f t="shared" si="4"/>
        <v/>
      </c>
      <c r="C75" s="105" t="str">
        <f t="shared" si="6"/>
        <v/>
      </c>
      <c r="F75" s="105" t="str">
        <f t="shared" si="5"/>
        <v/>
      </c>
      <c r="I75" s="105" t="str">
        <f t="shared" si="0"/>
        <v/>
      </c>
      <c r="L75" s="105" t="str">
        <f t="shared" si="1"/>
        <v/>
      </c>
      <c r="M75" s="116"/>
      <c r="O75" s="105" t="str">
        <f t="shared" ref="O75:O111" si="7">IF($A75&lt;&gt;0,N75/$B75*100,"")</f>
        <v/>
      </c>
      <c r="P75" s="135"/>
      <c r="Q75" s="140"/>
      <c r="R75" s="105" t="str">
        <f t="shared" ref="R75:R110" si="8">IF($A75&lt;&gt;0,Q75/$B75*100,"")</f>
        <v/>
      </c>
    </row>
    <row r="76" spans="1:18" ht="13.25" customHeight="1">
      <c r="A76" s="55" t="s">
        <v>413</v>
      </c>
      <c r="B76" s="138">
        <f t="shared" si="4"/>
        <v>57</v>
      </c>
      <c r="C76" s="105">
        <f t="shared" si="6"/>
        <v>3.0190677966101696</v>
      </c>
      <c r="E76" s="140">
        <f>E77</f>
        <v>22</v>
      </c>
      <c r="F76" s="105">
        <f t="shared" si="5"/>
        <v>38.596491228070171</v>
      </c>
      <c r="H76" s="140">
        <f>H77</f>
        <v>33</v>
      </c>
      <c r="I76" s="105">
        <f t="shared" si="0"/>
        <v>57.894736842105267</v>
      </c>
      <c r="K76" s="140">
        <f>K77</f>
        <v>2</v>
      </c>
      <c r="L76" s="105">
        <f t="shared" si="1"/>
        <v>3.5087719298245612</v>
      </c>
      <c r="M76" s="116"/>
      <c r="N76" s="140">
        <f>N77</f>
        <v>0</v>
      </c>
      <c r="O76" s="105">
        <f t="shared" si="7"/>
        <v>0</v>
      </c>
      <c r="P76" s="135"/>
      <c r="Q76" s="140">
        <f>Q77</f>
        <v>0</v>
      </c>
      <c r="R76" s="105">
        <f t="shared" si="8"/>
        <v>0</v>
      </c>
    </row>
    <row r="77" spans="1:18" ht="13.25" customHeight="1">
      <c r="A77" s="95" t="s">
        <v>414</v>
      </c>
      <c r="B77" s="138">
        <f t="shared" ref="B77:B111" si="9">IF($A77&lt;&gt;"",E77+H77+K77+N77+Q77,"")</f>
        <v>57</v>
      </c>
      <c r="C77" s="105">
        <f t="shared" si="6"/>
        <v>3.0190677966101696</v>
      </c>
      <c r="E77" s="140">
        <f>SUM(E78:E81)</f>
        <v>22</v>
      </c>
      <c r="F77" s="105">
        <f t="shared" ref="F77:F111" si="10">IF($A77&lt;&gt;0,E77/$B77*100,"")</f>
        <v>38.596491228070171</v>
      </c>
      <c r="H77" s="140">
        <f>SUM(H78:H81)</f>
        <v>33</v>
      </c>
      <c r="I77" s="105">
        <f t="shared" ref="I77:I111" si="11">IF($A77&lt;&gt;0,H77/$B77*100,"")</f>
        <v>57.894736842105267</v>
      </c>
      <c r="K77" s="140">
        <f>SUM(K78:K81)</f>
        <v>2</v>
      </c>
      <c r="L77" s="105">
        <f t="shared" ref="L77:L111" si="12">IF($A77&lt;&gt;0,K77/$B77*100,"")</f>
        <v>3.5087719298245612</v>
      </c>
      <c r="M77" s="116"/>
      <c r="N77" s="140">
        <f>SUM(N78:N81)</f>
        <v>0</v>
      </c>
      <c r="O77" s="105">
        <f t="shared" si="7"/>
        <v>0</v>
      </c>
      <c r="P77" s="135"/>
      <c r="Q77" s="140">
        <f>SUM(Q78:Q81)</f>
        <v>0</v>
      </c>
      <c r="R77" s="105">
        <f t="shared" si="8"/>
        <v>0</v>
      </c>
    </row>
    <row r="78" spans="1:18" ht="13.25" customHeight="1">
      <c r="A78" s="95" t="s">
        <v>212</v>
      </c>
      <c r="B78" s="138">
        <f t="shared" si="9"/>
        <v>14</v>
      </c>
      <c r="C78" s="105">
        <f t="shared" ref="C78:C110" si="13">IF(A78&lt;&gt;0,B78/$B$11*100,"")</f>
        <v>0.74152542372881358</v>
      </c>
      <c r="E78" s="304">
        <v>3</v>
      </c>
      <c r="F78" s="105">
        <f t="shared" si="10"/>
        <v>21.428571428571427</v>
      </c>
      <c r="G78" s="304"/>
      <c r="H78" s="304">
        <v>11</v>
      </c>
      <c r="I78" s="105">
        <f t="shared" si="11"/>
        <v>78.571428571428569</v>
      </c>
      <c r="J78" s="304"/>
      <c r="K78" s="304">
        <v>0</v>
      </c>
      <c r="L78" s="105">
        <f t="shared" si="12"/>
        <v>0</v>
      </c>
      <c r="M78" s="304"/>
      <c r="N78" s="304">
        <v>0</v>
      </c>
      <c r="O78" s="105">
        <f t="shared" si="7"/>
        <v>0</v>
      </c>
      <c r="P78" s="304"/>
      <c r="Q78" s="304">
        <v>0</v>
      </c>
      <c r="R78" s="105">
        <f t="shared" si="8"/>
        <v>0</v>
      </c>
    </row>
    <row r="79" spans="1:18" ht="13.25" customHeight="1">
      <c r="A79" s="95" t="s">
        <v>213</v>
      </c>
      <c r="B79" s="138">
        <f t="shared" si="9"/>
        <v>21</v>
      </c>
      <c r="C79" s="105">
        <f t="shared" si="13"/>
        <v>1.1122881355932204</v>
      </c>
      <c r="E79" s="304">
        <v>11</v>
      </c>
      <c r="F79" s="105">
        <f t="shared" si="10"/>
        <v>52.380952380952387</v>
      </c>
      <c r="G79" s="304"/>
      <c r="H79" s="304">
        <v>8</v>
      </c>
      <c r="I79" s="105">
        <f t="shared" si="11"/>
        <v>38.095238095238095</v>
      </c>
      <c r="J79" s="304"/>
      <c r="K79" s="304">
        <v>2</v>
      </c>
      <c r="L79" s="105">
        <f t="shared" si="12"/>
        <v>9.5238095238095237</v>
      </c>
      <c r="M79" s="304"/>
      <c r="N79" s="304">
        <v>0</v>
      </c>
      <c r="O79" s="105">
        <f t="shared" si="7"/>
        <v>0</v>
      </c>
      <c r="P79" s="304"/>
      <c r="Q79" s="304">
        <v>0</v>
      </c>
      <c r="R79" s="105">
        <f t="shared" si="8"/>
        <v>0</v>
      </c>
    </row>
    <row r="80" spans="1:18" ht="12" customHeight="1">
      <c r="A80" s="95" t="s">
        <v>214</v>
      </c>
      <c r="B80" s="138">
        <f t="shared" si="9"/>
        <v>9</v>
      </c>
      <c r="C80" s="105">
        <f t="shared" si="13"/>
        <v>0.47669491525423729</v>
      </c>
      <c r="E80" s="304">
        <v>3</v>
      </c>
      <c r="F80" s="105">
        <f t="shared" si="10"/>
        <v>33.333333333333329</v>
      </c>
      <c r="G80" s="304"/>
      <c r="H80" s="304">
        <v>6</v>
      </c>
      <c r="I80" s="105">
        <f t="shared" si="11"/>
        <v>66.666666666666657</v>
      </c>
      <c r="J80" s="304"/>
      <c r="K80" s="304">
        <v>0</v>
      </c>
      <c r="L80" s="105">
        <f t="shared" si="12"/>
        <v>0</v>
      </c>
      <c r="M80" s="304"/>
      <c r="N80" s="304">
        <v>0</v>
      </c>
      <c r="O80" s="105">
        <f t="shared" si="7"/>
        <v>0</v>
      </c>
      <c r="P80" s="304"/>
      <c r="Q80" s="304">
        <v>0</v>
      </c>
      <c r="R80" s="105">
        <f t="shared" si="8"/>
        <v>0</v>
      </c>
    </row>
    <row r="81" spans="1:18" ht="13.25" customHeight="1">
      <c r="A81" s="95" t="s">
        <v>215</v>
      </c>
      <c r="B81" s="138">
        <f t="shared" si="9"/>
        <v>13</v>
      </c>
      <c r="C81" s="105">
        <f t="shared" si="13"/>
        <v>0.68855932203389825</v>
      </c>
      <c r="E81" s="304">
        <v>5</v>
      </c>
      <c r="F81" s="105">
        <f t="shared" si="10"/>
        <v>38.461538461538467</v>
      </c>
      <c r="G81" s="304"/>
      <c r="H81" s="304">
        <v>8</v>
      </c>
      <c r="I81" s="105">
        <f t="shared" si="11"/>
        <v>61.53846153846154</v>
      </c>
      <c r="J81" s="304"/>
      <c r="K81" s="304">
        <v>0</v>
      </c>
      <c r="L81" s="105">
        <f t="shared" si="12"/>
        <v>0</v>
      </c>
      <c r="M81" s="304"/>
      <c r="N81" s="304">
        <v>0</v>
      </c>
      <c r="O81" s="105">
        <f t="shared" si="7"/>
        <v>0</v>
      </c>
      <c r="P81" s="304"/>
      <c r="Q81" s="304">
        <v>0</v>
      </c>
      <c r="R81" s="105">
        <f t="shared" si="8"/>
        <v>0</v>
      </c>
    </row>
    <row r="82" spans="1:18" ht="12.75" customHeight="1">
      <c r="B82" s="138" t="str">
        <f t="shared" si="9"/>
        <v/>
      </c>
      <c r="C82" s="105" t="str">
        <f t="shared" si="13"/>
        <v/>
      </c>
      <c r="F82" s="105" t="str">
        <f t="shared" si="10"/>
        <v/>
      </c>
      <c r="I82" s="105" t="str">
        <f t="shared" si="11"/>
        <v/>
      </c>
      <c r="L82" s="105" t="str">
        <f t="shared" si="12"/>
        <v/>
      </c>
      <c r="M82" s="116"/>
      <c r="O82" s="105" t="str">
        <f t="shared" si="7"/>
        <v/>
      </c>
      <c r="P82" s="135"/>
      <c r="Q82" s="140"/>
      <c r="R82" s="105" t="str">
        <f t="shared" si="8"/>
        <v/>
      </c>
    </row>
    <row r="83" spans="1:18" s="55" customFormat="1" ht="12.75" customHeight="1">
      <c r="A83" s="55" t="s">
        <v>483</v>
      </c>
      <c r="B83" s="138">
        <f t="shared" si="9"/>
        <v>161</v>
      </c>
      <c r="C83" s="105">
        <f t="shared" si="13"/>
        <v>8.5275423728813546</v>
      </c>
      <c r="E83" s="72">
        <f>SUM(E84)</f>
        <v>63</v>
      </c>
      <c r="F83" s="105">
        <f t="shared" si="10"/>
        <v>39.130434782608695</v>
      </c>
      <c r="G83" s="33"/>
      <c r="H83" s="72">
        <f>SUM(H84)</f>
        <v>66</v>
      </c>
      <c r="I83" s="105">
        <f t="shared" si="11"/>
        <v>40.993788819875775</v>
      </c>
      <c r="J83" s="73"/>
      <c r="K83" s="72">
        <f>SUM(K84)</f>
        <v>31</v>
      </c>
      <c r="L83" s="105">
        <f t="shared" si="12"/>
        <v>19.254658385093169</v>
      </c>
      <c r="M83" s="57"/>
      <c r="N83" s="72">
        <f>SUM(N84)</f>
        <v>1</v>
      </c>
      <c r="O83" s="105">
        <f t="shared" si="7"/>
        <v>0.6211180124223602</v>
      </c>
      <c r="P83" s="74"/>
      <c r="Q83" s="72">
        <f>SUM(Q84)</f>
        <v>0</v>
      </c>
      <c r="R83" s="105">
        <f t="shared" si="8"/>
        <v>0</v>
      </c>
    </row>
    <row r="84" spans="1:18" ht="13.25" customHeight="1">
      <c r="A84" s="95" t="s">
        <v>217</v>
      </c>
      <c r="B84" s="138">
        <f t="shared" si="9"/>
        <v>161</v>
      </c>
      <c r="C84" s="105">
        <f t="shared" si="13"/>
        <v>8.5275423728813546</v>
      </c>
      <c r="E84" s="140">
        <f>SUM(E85:E93)</f>
        <v>63</v>
      </c>
      <c r="F84" s="105">
        <f t="shared" si="10"/>
        <v>39.130434782608695</v>
      </c>
      <c r="H84" s="140">
        <f>SUM(H85:H93)</f>
        <v>66</v>
      </c>
      <c r="I84" s="105">
        <f t="shared" si="11"/>
        <v>40.993788819875775</v>
      </c>
      <c r="K84" s="140">
        <f>SUM(K85:K93)</f>
        <v>31</v>
      </c>
      <c r="L84" s="105">
        <f t="shared" si="12"/>
        <v>19.254658385093169</v>
      </c>
      <c r="M84" s="116"/>
      <c r="N84" s="140">
        <f>SUM(N85:N93)</f>
        <v>1</v>
      </c>
      <c r="O84" s="105">
        <f t="shared" si="7"/>
        <v>0.6211180124223602</v>
      </c>
      <c r="P84" s="135"/>
      <c r="Q84" s="140">
        <f>SUM(Q85:Q93)</f>
        <v>0</v>
      </c>
      <c r="R84" s="105">
        <f t="shared" si="8"/>
        <v>0</v>
      </c>
    </row>
    <row r="85" spans="1:18" ht="13.25" customHeight="1">
      <c r="A85" s="95" t="s">
        <v>415</v>
      </c>
      <c r="B85" s="138">
        <f t="shared" si="9"/>
        <v>9</v>
      </c>
      <c r="C85" s="105">
        <f t="shared" si="13"/>
        <v>0.47669491525423729</v>
      </c>
      <c r="E85" s="304">
        <v>5</v>
      </c>
      <c r="F85" s="105">
        <f t="shared" si="10"/>
        <v>55.555555555555557</v>
      </c>
      <c r="G85" s="304"/>
      <c r="H85" s="304">
        <v>3</v>
      </c>
      <c r="I85" s="105">
        <f t="shared" si="11"/>
        <v>33.333333333333329</v>
      </c>
      <c r="J85" s="304"/>
      <c r="K85" s="304">
        <v>1</v>
      </c>
      <c r="L85" s="105">
        <f t="shared" si="12"/>
        <v>11.111111111111111</v>
      </c>
      <c r="M85" s="304"/>
      <c r="N85" s="304">
        <v>0</v>
      </c>
      <c r="O85" s="105">
        <f t="shared" si="7"/>
        <v>0</v>
      </c>
      <c r="P85" s="304"/>
      <c r="Q85" s="304">
        <v>0</v>
      </c>
      <c r="R85" s="105">
        <f t="shared" si="8"/>
        <v>0</v>
      </c>
    </row>
    <row r="86" spans="1:18" ht="13.25" customHeight="1">
      <c r="A86" s="95" t="s">
        <v>218</v>
      </c>
      <c r="B86" s="138">
        <f t="shared" si="9"/>
        <v>30</v>
      </c>
      <c r="C86" s="105">
        <f t="shared" si="13"/>
        <v>1.5889830508474576</v>
      </c>
      <c r="E86" s="304">
        <v>12</v>
      </c>
      <c r="F86" s="105">
        <f t="shared" si="10"/>
        <v>40</v>
      </c>
      <c r="G86" s="304"/>
      <c r="H86" s="304">
        <v>14</v>
      </c>
      <c r="I86" s="105">
        <f t="shared" si="11"/>
        <v>46.666666666666664</v>
      </c>
      <c r="J86" s="304"/>
      <c r="K86" s="304">
        <v>4</v>
      </c>
      <c r="L86" s="105">
        <f t="shared" si="12"/>
        <v>13.333333333333334</v>
      </c>
      <c r="M86" s="304"/>
      <c r="N86" s="304">
        <v>0</v>
      </c>
      <c r="O86" s="105">
        <f t="shared" si="7"/>
        <v>0</v>
      </c>
      <c r="P86" s="304"/>
      <c r="Q86" s="304">
        <v>0</v>
      </c>
      <c r="R86" s="105">
        <f t="shared" si="8"/>
        <v>0</v>
      </c>
    </row>
    <row r="87" spans="1:18" ht="13.25" customHeight="1">
      <c r="A87" s="95" t="s">
        <v>220</v>
      </c>
      <c r="B87" s="138">
        <f t="shared" si="9"/>
        <v>19</v>
      </c>
      <c r="C87" s="105">
        <f t="shared" si="13"/>
        <v>1.0063559322033897</v>
      </c>
      <c r="E87" s="304">
        <v>12</v>
      </c>
      <c r="F87" s="105">
        <f t="shared" si="10"/>
        <v>63.157894736842103</v>
      </c>
      <c r="G87" s="304"/>
      <c r="H87" s="304">
        <v>6</v>
      </c>
      <c r="I87" s="105">
        <f t="shared" si="11"/>
        <v>31.578947368421051</v>
      </c>
      <c r="J87" s="304"/>
      <c r="K87" s="304">
        <v>1</v>
      </c>
      <c r="L87" s="105">
        <f t="shared" si="12"/>
        <v>5.2631578947368416</v>
      </c>
      <c r="M87" s="304"/>
      <c r="N87" s="304">
        <v>0</v>
      </c>
      <c r="O87" s="105">
        <f t="shared" si="7"/>
        <v>0</v>
      </c>
      <c r="P87" s="304"/>
      <c r="Q87" s="304">
        <v>0</v>
      </c>
      <c r="R87" s="105">
        <f t="shared" si="8"/>
        <v>0</v>
      </c>
    </row>
    <row r="88" spans="1:18" ht="13.25" customHeight="1">
      <c r="A88" s="95" t="s">
        <v>222</v>
      </c>
      <c r="B88" s="138">
        <f t="shared" si="9"/>
        <v>16</v>
      </c>
      <c r="C88" s="105">
        <f t="shared" si="13"/>
        <v>0.84745762711864403</v>
      </c>
      <c r="E88" s="304">
        <v>4</v>
      </c>
      <c r="F88" s="105">
        <f t="shared" si="10"/>
        <v>25</v>
      </c>
      <c r="G88" s="304"/>
      <c r="H88" s="304">
        <v>7</v>
      </c>
      <c r="I88" s="105">
        <f t="shared" si="11"/>
        <v>43.75</v>
      </c>
      <c r="J88" s="304"/>
      <c r="K88" s="304">
        <v>5</v>
      </c>
      <c r="L88" s="105">
        <f t="shared" si="12"/>
        <v>31.25</v>
      </c>
      <c r="M88" s="304"/>
      <c r="N88" s="304">
        <v>0</v>
      </c>
      <c r="O88" s="105">
        <f t="shared" si="7"/>
        <v>0</v>
      </c>
      <c r="P88" s="304"/>
      <c r="Q88" s="304">
        <v>0</v>
      </c>
      <c r="R88" s="105">
        <f t="shared" si="8"/>
        <v>0</v>
      </c>
    </row>
    <row r="89" spans="1:18" ht="13.25" customHeight="1">
      <c r="A89" s="95" t="s">
        <v>221</v>
      </c>
      <c r="B89" s="138">
        <f t="shared" si="9"/>
        <v>14</v>
      </c>
      <c r="C89" s="105">
        <f t="shared" si="13"/>
        <v>0.74152542372881358</v>
      </c>
      <c r="E89" s="304">
        <v>4</v>
      </c>
      <c r="F89" s="105">
        <f t="shared" si="10"/>
        <v>28.571428571428569</v>
      </c>
      <c r="G89" s="304"/>
      <c r="H89" s="304">
        <v>9</v>
      </c>
      <c r="I89" s="105">
        <f t="shared" si="11"/>
        <v>64.285714285714292</v>
      </c>
      <c r="J89" s="304"/>
      <c r="K89" s="304">
        <v>1</v>
      </c>
      <c r="L89" s="105">
        <f t="shared" si="12"/>
        <v>7.1428571428571423</v>
      </c>
      <c r="M89" s="304"/>
      <c r="N89" s="304">
        <v>0</v>
      </c>
      <c r="O89" s="105">
        <f t="shared" si="7"/>
        <v>0</v>
      </c>
      <c r="P89" s="304"/>
      <c r="Q89" s="304">
        <v>0</v>
      </c>
      <c r="R89" s="105">
        <f t="shared" si="8"/>
        <v>0</v>
      </c>
    </row>
    <row r="90" spans="1:18" ht="13.25" customHeight="1">
      <c r="A90" s="95" t="s">
        <v>219</v>
      </c>
      <c r="B90" s="138">
        <f t="shared" si="9"/>
        <v>11</v>
      </c>
      <c r="C90" s="105">
        <f t="shared" si="13"/>
        <v>0.5826271186440678</v>
      </c>
      <c r="E90" s="304">
        <v>5</v>
      </c>
      <c r="F90" s="105">
        <f t="shared" si="10"/>
        <v>45.454545454545453</v>
      </c>
      <c r="G90" s="304"/>
      <c r="H90" s="304">
        <v>5</v>
      </c>
      <c r="I90" s="105">
        <f t="shared" si="11"/>
        <v>45.454545454545453</v>
      </c>
      <c r="J90" s="304"/>
      <c r="K90" s="304">
        <v>1</v>
      </c>
      <c r="L90" s="105">
        <f t="shared" si="12"/>
        <v>9.0909090909090917</v>
      </c>
      <c r="M90" s="304"/>
      <c r="N90" s="304">
        <v>0</v>
      </c>
      <c r="O90" s="105">
        <f t="shared" si="7"/>
        <v>0</v>
      </c>
      <c r="P90" s="304"/>
      <c r="Q90" s="304">
        <v>0</v>
      </c>
      <c r="R90" s="105">
        <f t="shared" si="8"/>
        <v>0</v>
      </c>
    </row>
    <row r="91" spans="1:18" ht="13.25" customHeight="1">
      <c r="A91" s="95" t="s">
        <v>223</v>
      </c>
      <c r="B91" s="138">
        <f t="shared" si="9"/>
        <v>30</v>
      </c>
      <c r="C91" s="105">
        <f t="shared" si="13"/>
        <v>1.5889830508474576</v>
      </c>
      <c r="E91" s="304">
        <v>6</v>
      </c>
      <c r="F91" s="105">
        <f t="shared" si="10"/>
        <v>20</v>
      </c>
      <c r="G91" s="304"/>
      <c r="H91" s="304">
        <v>11</v>
      </c>
      <c r="I91" s="105">
        <f t="shared" si="11"/>
        <v>36.666666666666664</v>
      </c>
      <c r="J91" s="304"/>
      <c r="K91" s="304">
        <v>13</v>
      </c>
      <c r="L91" s="105">
        <f t="shared" si="12"/>
        <v>43.333333333333336</v>
      </c>
      <c r="M91" s="304"/>
      <c r="N91" s="304">
        <v>0</v>
      </c>
      <c r="O91" s="105">
        <f t="shared" si="7"/>
        <v>0</v>
      </c>
      <c r="P91" s="304"/>
      <c r="Q91" s="304">
        <v>0</v>
      </c>
      <c r="R91" s="105">
        <f t="shared" si="8"/>
        <v>0</v>
      </c>
    </row>
    <row r="92" spans="1:18" ht="12" customHeight="1">
      <c r="A92" s="95" t="s">
        <v>226</v>
      </c>
      <c r="B92" s="138">
        <f t="shared" si="9"/>
        <v>9</v>
      </c>
      <c r="C92" s="105">
        <f t="shared" si="13"/>
        <v>0.47669491525423729</v>
      </c>
      <c r="E92" s="304">
        <v>0</v>
      </c>
      <c r="F92" s="105">
        <f t="shared" si="10"/>
        <v>0</v>
      </c>
      <c r="G92" s="304"/>
      <c r="H92" s="304">
        <v>6</v>
      </c>
      <c r="I92" s="105">
        <f t="shared" si="11"/>
        <v>66.666666666666657</v>
      </c>
      <c r="J92" s="304"/>
      <c r="K92" s="304">
        <v>2</v>
      </c>
      <c r="L92" s="105">
        <f t="shared" si="12"/>
        <v>22.222222222222221</v>
      </c>
      <c r="M92" s="304"/>
      <c r="N92" s="304">
        <v>1</v>
      </c>
      <c r="O92" s="105">
        <f t="shared" si="7"/>
        <v>11.111111111111111</v>
      </c>
      <c r="P92" s="304"/>
      <c r="Q92" s="304">
        <v>0</v>
      </c>
      <c r="R92" s="105">
        <f t="shared" si="8"/>
        <v>0</v>
      </c>
    </row>
    <row r="93" spans="1:18" ht="13.25" customHeight="1">
      <c r="A93" s="95" t="s">
        <v>416</v>
      </c>
      <c r="B93" s="138">
        <f t="shared" si="9"/>
        <v>23</v>
      </c>
      <c r="C93" s="105">
        <f t="shared" si="13"/>
        <v>1.2182203389830508</v>
      </c>
      <c r="E93" s="304">
        <v>15</v>
      </c>
      <c r="F93" s="105">
        <f t="shared" si="10"/>
        <v>65.217391304347828</v>
      </c>
      <c r="G93" s="304"/>
      <c r="H93" s="304">
        <v>5</v>
      </c>
      <c r="I93" s="105">
        <f t="shared" si="11"/>
        <v>21.739130434782609</v>
      </c>
      <c r="J93" s="304"/>
      <c r="K93" s="304">
        <v>3</v>
      </c>
      <c r="L93" s="105">
        <f t="shared" si="12"/>
        <v>13.043478260869565</v>
      </c>
      <c r="M93" s="304"/>
      <c r="N93" s="304">
        <v>0</v>
      </c>
      <c r="O93" s="105">
        <f t="shared" si="7"/>
        <v>0</v>
      </c>
      <c r="P93" s="304"/>
      <c r="Q93" s="304">
        <v>0</v>
      </c>
      <c r="R93" s="105">
        <f t="shared" si="8"/>
        <v>0</v>
      </c>
    </row>
    <row r="94" spans="1:18" ht="10" customHeight="1">
      <c r="B94" s="138" t="str">
        <f t="shared" si="9"/>
        <v/>
      </c>
      <c r="C94" s="105" t="str">
        <f t="shared" si="13"/>
        <v/>
      </c>
      <c r="E94" s="234"/>
      <c r="F94" s="105" t="str">
        <f t="shared" si="10"/>
        <v/>
      </c>
      <c r="G94" s="234"/>
      <c r="H94" s="234"/>
      <c r="I94" s="105" t="str">
        <f t="shared" si="11"/>
        <v/>
      </c>
      <c r="J94" s="234"/>
      <c r="K94" s="234"/>
      <c r="L94" s="105" t="str">
        <f t="shared" si="12"/>
        <v/>
      </c>
      <c r="M94" s="234"/>
      <c r="N94" s="234"/>
      <c r="O94" s="105" t="str">
        <f t="shared" si="7"/>
        <v/>
      </c>
      <c r="P94" s="234"/>
      <c r="Q94" s="234"/>
      <c r="R94" s="105" t="str">
        <f t="shared" si="8"/>
        <v/>
      </c>
    </row>
    <row r="95" spans="1:18" ht="12" customHeight="1">
      <c r="A95" s="95" t="s">
        <v>227</v>
      </c>
      <c r="B95" s="138">
        <f t="shared" si="9"/>
        <v>95</v>
      </c>
      <c r="C95" s="105">
        <f t="shared" si="13"/>
        <v>5.031779661016949</v>
      </c>
      <c r="E95" s="304">
        <v>37</v>
      </c>
      <c r="F95" s="105">
        <f t="shared" si="10"/>
        <v>38.94736842105263</v>
      </c>
      <c r="G95" s="304"/>
      <c r="H95" s="304">
        <v>46</v>
      </c>
      <c r="I95" s="105">
        <f t="shared" si="11"/>
        <v>48.421052631578945</v>
      </c>
      <c r="J95" s="304"/>
      <c r="K95" s="304">
        <v>12</v>
      </c>
      <c r="L95" s="105">
        <f t="shared" si="12"/>
        <v>12.631578947368421</v>
      </c>
      <c r="M95" s="304"/>
      <c r="N95" s="304">
        <v>0</v>
      </c>
      <c r="O95" s="105">
        <f t="shared" si="7"/>
        <v>0</v>
      </c>
      <c r="P95" s="304"/>
      <c r="Q95" s="304">
        <v>0</v>
      </c>
      <c r="R95" s="105">
        <f t="shared" si="8"/>
        <v>0</v>
      </c>
    </row>
    <row r="96" spans="1:18" ht="12" customHeight="1">
      <c r="A96" s="33" t="s">
        <v>1853</v>
      </c>
      <c r="B96" s="138">
        <f t="shared" si="9"/>
        <v>1</v>
      </c>
      <c r="C96" s="105">
        <f t="shared" si="13"/>
        <v>5.2966101694915252E-2</v>
      </c>
      <c r="E96" s="304">
        <v>0</v>
      </c>
      <c r="F96" s="105">
        <f t="shared" si="10"/>
        <v>0</v>
      </c>
      <c r="G96" s="304"/>
      <c r="H96" s="304">
        <v>1</v>
      </c>
      <c r="I96" s="105">
        <f t="shared" si="11"/>
        <v>100</v>
      </c>
      <c r="J96" s="304"/>
      <c r="K96" s="304">
        <v>0</v>
      </c>
      <c r="L96" s="105">
        <f t="shared" si="12"/>
        <v>0</v>
      </c>
      <c r="M96" s="304"/>
      <c r="N96" s="304">
        <v>0</v>
      </c>
      <c r="O96" s="105">
        <f t="shared" si="7"/>
        <v>0</v>
      </c>
      <c r="P96" s="304"/>
      <c r="Q96" s="304">
        <v>0</v>
      </c>
      <c r="R96" s="105">
        <f t="shared" si="8"/>
        <v>0</v>
      </c>
    </row>
    <row r="97" spans="1:19" ht="9" customHeight="1">
      <c r="B97" s="138" t="str">
        <f t="shared" si="9"/>
        <v/>
      </c>
      <c r="C97" s="105" t="str">
        <f t="shared" si="13"/>
        <v/>
      </c>
      <c r="F97" s="105" t="str">
        <f t="shared" si="10"/>
        <v/>
      </c>
      <c r="I97" s="105" t="str">
        <f t="shared" si="11"/>
        <v/>
      </c>
      <c r="L97" s="105" t="str">
        <f t="shared" si="12"/>
        <v/>
      </c>
      <c r="M97" s="116"/>
      <c r="O97" s="105" t="str">
        <f t="shared" si="7"/>
        <v/>
      </c>
      <c r="P97" s="135"/>
      <c r="Q97" s="140"/>
      <c r="R97" s="105" t="str">
        <f t="shared" si="8"/>
        <v/>
      </c>
    </row>
    <row r="98" spans="1:19" s="111" customFormat="1" ht="12" customHeight="1">
      <c r="A98" s="17" t="s">
        <v>84</v>
      </c>
      <c r="B98" s="138">
        <f t="shared" si="9"/>
        <v>142</v>
      </c>
      <c r="C98" s="105">
        <f t="shared" si="13"/>
        <v>7.5211864406779654</v>
      </c>
      <c r="E98" s="155">
        <f>SUM(E100:E104)</f>
        <v>109</v>
      </c>
      <c r="F98" s="105">
        <f t="shared" si="10"/>
        <v>76.760563380281681</v>
      </c>
      <c r="G98" s="155"/>
      <c r="H98" s="155">
        <f>SUM(H100:H104)</f>
        <v>30</v>
      </c>
      <c r="I98" s="105">
        <f t="shared" si="11"/>
        <v>21.12676056338028</v>
      </c>
      <c r="J98" s="139"/>
      <c r="K98" s="155">
        <f>SUM(K100:K104)</f>
        <v>3</v>
      </c>
      <c r="L98" s="105">
        <f t="shared" si="12"/>
        <v>2.112676056338028</v>
      </c>
      <c r="M98" s="121"/>
      <c r="N98" s="155">
        <f>SUM(N100:N104)</f>
        <v>0</v>
      </c>
      <c r="O98" s="105">
        <f t="shared" si="7"/>
        <v>0</v>
      </c>
      <c r="P98" s="146"/>
      <c r="Q98" s="155">
        <f>SUM(Q100:Q104)</f>
        <v>0</v>
      </c>
      <c r="R98" s="105">
        <f t="shared" si="8"/>
        <v>0</v>
      </c>
    </row>
    <row r="99" spans="1:19" s="111" customFormat="1" ht="9" customHeight="1">
      <c r="B99" s="138" t="str">
        <f t="shared" si="9"/>
        <v/>
      </c>
      <c r="C99" s="105" t="str">
        <f t="shared" si="13"/>
        <v/>
      </c>
      <c r="E99" s="155"/>
      <c r="F99" s="105" t="str">
        <f t="shared" si="10"/>
        <v/>
      </c>
      <c r="H99" s="155"/>
      <c r="I99" s="105" t="str">
        <f t="shared" si="11"/>
        <v/>
      </c>
      <c r="J99" s="139"/>
      <c r="K99" s="155"/>
      <c r="L99" s="105" t="str">
        <f t="shared" si="12"/>
        <v/>
      </c>
      <c r="M99" s="121"/>
      <c r="N99" s="155"/>
      <c r="O99" s="105" t="str">
        <f t="shared" si="7"/>
        <v/>
      </c>
      <c r="P99" s="155"/>
      <c r="Q99" s="155"/>
      <c r="R99" s="105" t="str">
        <f t="shared" si="8"/>
        <v/>
      </c>
    </row>
    <row r="100" spans="1:19" s="111" customFormat="1" ht="11.25" customHeight="1">
      <c r="A100" s="111" t="s">
        <v>487</v>
      </c>
      <c r="B100" s="138">
        <f t="shared" si="9"/>
        <v>14</v>
      </c>
      <c r="C100" s="139">
        <f t="shared" si="13"/>
        <v>0.74152542372881358</v>
      </c>
      <c r="E100" s="304">
        <v>9</v>
      </c>
      <c r="F100" s="105">
        <f t="shared" si="10"/>
        <v>64.285714285714292</v>
      </c>
      <c r="G100" s="304"/>
      <c r="H100" s="304">
        <v>5</v>
      </c>
      <c r="I100" s="105">
        <f t="shared" si="11"/>
        <v>35.714285714285715</v>
      </c>
      <c r="J100" s="304"/>
      <c r="K100" s="304">
        <v>0</v>
      </c>
      <c r="L100" s="105">
        <f t="shared" si="12"/>
        <v>0</v>
      </c>
      <c r="M100" s="304"/>
      <c r="N100" s="304">
        <v>0</v>
      </c>
      <c r="O100" s="105">
        <f t="shared" si="7"/>
        <v>0</v>
      </c>
      <c r="P100" s="304"/>
      <c r="Q100" s="304">
        <v>0</v>
      </c>
      <c r="R100" s="105">
        <f t="shared" si="8"/>
        <v>0</v>
      </c>
    </row>
    <row r="101" spans="1:19" s="111" customFormat="1" ht="12" customHeight="1">
      <c r="A101" s="111" t="s">
        <v>485</v>
      </c>
      <c r="B101" s="138">
        <f t="shared" si="9"/>
        <v>55</v>
      </c>
      <c r="C101" s="139">
        <f t="shared" si="13"/>
        <v>2.9131355932203387</v>
      </c>
      <c r="E101" s="304">
        <v>50</v>
      </c>
      <c r="F101" s="105">
        <f t="shared" si="10"/>
        <v>90.909090909090907</v>
      </c>
      <c r="G101" s="304"/>
      <c r="H101" s="304">
        <v>5</v>
      </c>
      <c r="I101" s="105">
        <f t="shared" si="11"/>
        <v>9.0909090909090917</v>
      </c>
      <c r="J101" s="304"/>
      <c r="K101" s="304">
        <v>0</v>
      </c>
      <c r="L101" s="105">
        <f t="shared" si="12"/>
        <v>0</v>
      </c>
      <c r="M101" s="304"/>
      <c r="N101" s="304">
        <v>0</v>
      </c>
      <c r="O101" s="105">
        <f t="shared" si="7"/>
        <v>0</v>
      </c>
      <c r="P101" s="304"/>
      <c r="Q101" s="304">
        <v>0</v>
      </c>
      <c r="R101" s="105">
        <f t="shared" si="8"/>
        <v>0</v>
      </c>
    </row>
    <row r="102" spans="1:19" s="111" customFormat="1" ht="12" customHeight="1">
      <c r="A102" s="111" t="s">
        <v>486</v>
      </c>
      <c r="B102" s="138">
        <f t="shared" si="9"/>
        <v>73</v>
      </c>
      <c r="C102" s="139">
        <f t="shared" si="13"/>
        <v>3.8665254237288136</v>
      </c>
      <c r="E102" s="304">
        <v>50</v>
      </c>
      <c r="F102" s="105">
        <f t="shared" si="10"/>
        <v>68.493150684931507</v>
      </c>
      <c r="G102" s="304"/>
      <c r="H102" s="304">
        <v>20</v>
      </c>
      <c r="I102" s="105">
        <f t="shared" si="11"/>
        <v>27.397260273972602</v>
      </c>
      <c r="J102" s="304"/>
      <c r="K102" s="304">
        <v>3</v>
      </c>
      <c r="L102" s="105">
        <f t="shared" si="12"/>
        <v>4.10958904109589</v>
      </c>
      <c r="M102" s="304"/>
      <c r="N102" s="304">
        <v>0</v>
      </c>
      <c r="O102" s="105">
        <f t="shared" si="7"/>
        <v>0</v>
      </c>
      <c r="P102" s="304"/>
      <c r="Q102" s="304">
        <v>0</v>
      </c>
      <c r="R102" s="105">
        <f t="shared" si="8"/>
        <v>0</v>
      </c>
    </row>
    <row r="103" spans="1:19" s="111" customFormat="1" ht="9" customHeight="1">
      <c r="B103" s="138" t="str">
        <f t="shared" si="9"/>
        <v/>
      </c>
      <c r="C103" s="139" t="str">
        <f t="shared" si="13"/>
        <v/>
      </c>
      <c r="E103" s="116"/>
      <c r="F103" s="105" t="str">
        <f t="shared" si="10"/>
        <v/>
      </c>
      <c r="G103" s="116"/>
      <c r="H103" s="116"/>
      <c r="I103" s="105" t="str">
        <f t="shared" si="11"/>
        <v/>
      </c>
      <c r="J103" s="116"/>
      <c r="K103" s="116"/>
      <c r="L103" s="105" t="str">
        <f t="shared" si="12"/>
        <v/>
      </c>
      <c r="M103" s="116"/>
      <c r="N103" s="116"/>
      <c r="O103" s="105" t="str">
        <f t="shared" si="7"/>
        <v/>
      </c>
      <c r="P103" s="116"/>
      <c r="Q103" s="116"/>
      <c r="R103" s="105" t="str">
        <f t="shared" si="8"/>
        <v/>
      </c>
    </row>
    <row r="104" spans="1:19" s="111" customFormat="1" ht="12" hidden="1" customHeight="1">
      <c r="A104" s="111" t="s">
        <v>290</v>
      </c>
      <c r="B104" s="138">
        <f t="shared" si="9"/>
        <v>0</v>
      </c>
      <c r="C104" s="139">
        <f t="shared" si="13"/>
        <v>0</v>
      </c>
      <c r="E104" s="116">
        <v>0</v>
      </c>
      <c r="F104" s="105" t="e">
        <f t="shared" si="10"/>
        <v>#DIV/0!</v>
      </c>
      <c r="G104" s="116"/>
      <c r="H104" s="116"/>
      <c r="I104" s="105" t="e">
        <f t="shared" si="11"/>
        <v>#DIV/0!</v>
      </c>
      <c r="J104" s="116"/>
      <c r="K104" s="116">
        <v>0</v>
      </c>
      <c r="L104" s="105" t="e">
        <f t="shared" si="12"/>
        <v>#DIV/0!</v>
      </c>
      <c r="M104" s="116"/>
      <c r="N104" s="116">
        <v>0</v>
      </c>
      <c r="O104" s="105" t="e">
        <f t="shared" si="7"/>
        <v>#DIV/0!</v>
      </c>
      <c r="P104" s="116"/>
      <c r="Q104" s="116">
        <v>0</v>
      </c>
      <c r="R104" s="105" t="e">
        <f t="shared" si="8"/>
        <v>#DIV/0!</v>
      </c>
    </row>
    <row r="105" spans="1:19" s="111" customFormat="1" ht="10" hidden="1" customHeight="1">
      <c r="B105" s="138" t="str">
        <f t="shared" si="9"/>
        <v/>
      </c>
      <c r="C105" s="139" t="str">
        <f t="shared" si="13"/>
        <v/>
      </c>
      <c r="E105" s="155"/>
      <c r="F105" s="105" t="str">
        <f t="shared" si="10"/>
        <v/>
      </c>
      <c r="H105" s="155"/>
      <c r="I105" s="105" t="str">
        <f t="shared" si="11"/>
        <v/>
      </c>
      <c r="J105" s="139"/>
      <c r="K105" s="155"/>
      <c r="L105" s="105" t="str">
        <f t="shared" si="12"/>
        <v/>
      </c>
      <c r="M105" s="121"/>
      <c r="N105" s="155"/>
      <c r="O105" s="105" t="str">
        <f t="shared" si="7"/>
        <v/>
      </c>
      <c r="P105" s="146"/>
      <c r="Q105" s="155"/>
      <c r="R105" s="105" t="str">
        <f t="shared" si="8"/>
        <v/>
      </c>
    </row>
    <row r="106" spans="1:19" ht="12" customHeight="1">
      <c r="A106" s="55" t="s">
        <v>423</v>
      </c>
      <c r="B106" s="138">
        <f t="shared" si="9"/>
        <v>188</v>
      </c>
      <c r="C106" s="105">
        <f t="shared" si="13"/>
        <v>9.9576271186440675</v>
      </c>
      <c r="E106" s="140">
        <f>SUM(E107:E111)</f>
        <v>45</v>
      </c>
      <c r="F106" s="105">
        <f t="shared" si="10"/>
        <v>23.936170212765958</v>
      </c>
      <c r="H106" s="140">
        <f>SUM(H107:H111)</f>
        <v>131</v>
      </c>
      <c r="I106" s="105">
        <f t="shared" si="11"/>
        <v>69.680851063829792</v>
      </c>
      <c r="K106" s="140">
        <f>SUM(K107:K111)</f>
        <v>10</v>
      </c>
      <c r="L106" s="105">
        <f t="shared" si="12"/>
        <v>5.3191489361702127</v>
      </c>
      <c r="M106" s="116"/>
      <c r="N106" s="140">
        <f>SUM(N107:N111)</f>
        <v>0</v>
      </c>
      <c r="O106" s="105">
        <f t="shared" si="7"/>
        <v>0</v>
      </c>
      <c r="P106" s="135"/>
      <c r="Q106" s="140">
        <f>SUM(Q107:Q111)</f>
        <v>2</v>
      </c>
      <c r="R106" s="105">
        <f t="shared" si="8"/>
        <v>1.0638297872340425</v>
      </c>
    </row>
    <row r="107" spans="1:19" ht="12" customHeight="1">
      <c r="A107" s="95" t="s">
        <v>424</v>
      </c>
      <c r="B107" s="138">
        <f t="shared" si="9"/>
        <v>75</v>
      </c>
      <c r="C107" s="105">
        <f t="shared" si="13"/>
        <v>3.972457627118644</v>
      </c>
      <c r="E107" s="304">
        <v>21</v>
      </c>
      <c r="F107" s="105">
        <f t="shared" si="10"/>
        <v>28.000000000000004</v>
      </c>
      <c r="G107" s="304"/>
      <c r="H107" s="304">
        <v>49</v>
      </c>
      <c r="I107" s="105">
        <f t="shared" si="11"/>
        <v>65.333333333333329</v>
      </c>
      <c r="J107" s="304"/>
      <c r="K107" s="304">
        <v>5</v>
      </c>
      <c r="L107" s="105">
        <f t="shared" si="12"/>
        <v>6.666666666666667</v>
      </c>
      <c r="M107" s="304"/>
      <c r="N107" s="304">
        <v>0</v>
      </c>
      <c r="O107" s="105">
        <f t="shared" si="7"/>
        <v>0</v>
      </c>
      <c r="P107" s="304"/>
      <c r="Q107" s="304">
        <v>0</v>
      </c>
      <c r="R107" s="105">
        <f t="shared" si="8"/>
        <v>0</v>
      </c>
    </row>
    <row r="108" spans="1:19" ht="12" customHeight="1">
      <c r="A108" s="95" t="s">
        <v>425</v>
      </c>
      <c r="B108" s="138">
        <f t="shared" si="9"/>
        <v>31</v>
      </c>
      <c r="C108" s="105">
        <f t="shared" si="13"/>
        <v>1.6419491525423731</v>
      </c>
      <c r="E108" s="304">
        <v>8</v>
      </c>
      <c r="F108" s="105">
        <f t="shared" si="10"/>
        <v>25.806451612903224</v>
      </c>
      <c r="G108" s="304"/>
      <c r="H108" s="304">
        <v>22</v>
      </c>
      <c r="I108" s="105">
        <f t="shared" si="11"/>
        <v>70.967741935483872</v>
      </c>
      <c r="J108" s="304"/>
      <c r="K108" s="304">
        <v>1</v>
      </c>
      <c r="L108" s="105">
        <f t="shared" si="12"/>
        <v>3.225806451612903</v>
      </c>
      <c r="M108" s="304"/>
      <c r="N108" s="304">
        <v>0</v>
      </c>
      <c r="O108" s="105">
        <f t="shared" si="7"/>
        <v>0</v>
      </c>
      <c r="P108" s="304"/>
      <c r="Q108" s="304">
        <v>0</v>
      </c>
      <c r="R108" s="105">
        <f t="shared" si="8"/>
        <v>0</v>
      </c>
    </row>
    <row r="109" spans="1:19" ht="12" customHeight="1">
      <c r="A109" s="95" t="s">
        <v>426</v>
      </c>
      <c r="B109" s="138">
        <f t="shared" si="9"/>
        <v>28</v>
      </c>
      <c r="C109" s="105">
        <f t="shared" si="13"/>
        <v>1.4830508474576272</v>
      </c>
      <c r="E109" s="304">
        <v>3</v>
      </c>
      <c r="F109" s="105">
        <f t="shared" si="10"/>
        <v>10.714285714285714</v>
      </c>
      <c r="G109" s="304"/>
      <c r="H109" s="304">
        <v>23</v>
      </c>
      <c r="I109" s="105">
        <f t="shared" si="11"/>
        <v>82.142857142857139</v>
      </c>
      <c r="J109" s="304"/>
      <c r="K109" s="304">
        <v>2</v>
      </c>
      <c r="L109" s="105">
        <f t="shared" si="12"/>
        <v>7.1428571428571423</v>
      </c>
      <c r="M109" s="304"/>
      <c r="N109" s="304">
        <v>0</v>
      </c>
      <c r="O109" s="105">
        <f t="shared" si="7"/>
        <v>0</v>
      </c>
      <c r="P109" s="304"/>
      <c r="Q109" s="304">
        <v>0</v>
      </c>
      <c r="R109" s="105">
        <f t="shared" si="8"/>
        <v>0</v>
      </c>
    </row>
    <row r="110" spans="1:19" ht="12" customHeight="1">
      <c r="A110" s="33" t="s">
        <v>427</v>
      </c>
      <c r="B110" s="138">
        <f t="shared" si="9"/>
        <v>24</v>
      </c>
      <c r="C110" s="105">
        <f t="shared" si="13"/>
        <v>1.2711864406779663</v>
      </c>
      <c r="E110" s="304">
        <v>8</v>
      </c>
      <c r="F110" s="105">
        <f t="shared" si="10"/>
        <v>33.333333333333329</v>
      </c>
      <c r="G110" s="304"/>
      <c r="H110" s="304">
        <v>14</v>
      </c>
      <c r="I110" s="105">
        <f t="shared" si="11"/>
        <v>58.333333333333336</v>
      </c>
      <c r="J110" s="304"/>
      <c r="K110" s="304">
        <v>0</v>
      </c>
      <c r="L110" s="105">
        <f t="shared" si="12"/>
        <v>0</v>
      </c>
      <c r="M110" s="304"/>
      <c r="N110" s="304">
        <v>0</v>
      </c>
      <c r="O110" s="105">
        <f t="shared" si="7"/>
        <v>0</v>
      </c>
      <c r="P110" s="304"/>
      <c r="Q110" s="304">
        <v>2</v>
      </c>
      <c r="R110" s="105">
        <f t="shared" si="8"/>
        <v>8.3333333333333321</v>
      </c>
    </row>
    <row r="111" spans="1:19" ht="12" customHeight="1">
      <c r="A111" s="95" t="s">
        <v>428</v>
      </c>
      <c r="B111" s="138">
        <f t="shared" si="9"/>
        <v>30</v>
      </c>
      <c r="C111" s="105">
        <f>IF(A111&lt;&gt;0,B111/$B$11*100,"")</f>
        <v>1.5889830508474576</v>
      </c>
      <c r="E111" s="304">
        <v>5</v>
      </c>
      <c r="F111" s="105">
        <f t="shared" si="10"/>
        <v>16.666666666666664</v>
      </c>
      <c r="G111" s="304"/>
      <c r="H111" s="304">
        <v>23</v>
      </c>
      <c r="I111" s="105">
        <f t="shared" si="11"/>
        <v>76.666666666666671</v>
      </c>
      <c r="J111" s="304"/>
      <c r="K111" s="304">
        <v>2</v>
      </c>
      <c r="L111" s="105">
        <f t="shared" si="12"/>
        <v>6.666666666666667</v>
      </c>
      <c r="M111" s="304"/>
      <c r="N111" s="304">
        <v>0</v>
      </c>
      <c r="O111" s="105">
        <f t="shared" si="7"/>
        <v>0</v>
      </c>
      <c r="P111" s="304"/>
      <c r="Q111" s="304">
        <v>0</v>
      </c>
      <c r="R111" s="105">
        <f>IF($A111&lt;&gt;0,Q111/$B111*100,"")</f>
        <v>0</v>
      </c>
    </row>
    <row r="112" spans="1:19" ht="10" customHeight="1" thickBot="1">
      <c r="O112" s="105"/>
      <c r="P112" s="105"/>
      <c r="Q112" s="105"/>
      <c r="R112" s="105"/>
      <c r="S112" s="105"/>
    </row>
    <row r="113" spans="1:19" ht="6" customHeight="1">
      <c r="A113" s="97"/>
      <c r="B113" s="142"/>
      <c r="C113" s="99"/>
      <c r="D113" s="97"/>
      <c r="E113" s="144"/>
      <c r="F113" s="99"/>
      <c r="G113" s="97"/>
      <c r="H113" s="144"/>
      <c r="I113" s="99"/>
      <c r="J113" s="99"/>
      <c r="K113" s="144"/>
      <c r="L113" s="99"/>
      <c r="M113" s="97"/>
      <c r="N113" s="144"/>
      <c r="O113" s="99"/>
      <c r="P113" s="99"/>
      <c r="Q113" s="99"/>
      <c r="R113" s="99"/>
      <c r="S113" s="99"/>
    </row>
    <row r="114" spans="1:19" ht="12" customHeight="1">
      <c r="A114" s="121" t="s">
        <v>488</v>
      </c>
      <c r="B114" s="145"/>
      <c r="C114" s="135"/>
      <c r="D114" s="116"/>
      <c r="E114" s="154"/>
      <c r="F114" s="135"/>
      <c r="G114" s="116"/>
      <c r="H114" s="154"/>
      <c r="I114" s="135"/>
      <c r="J114" s="135"/>
      <c r="K114" s="154"/>
      <c r="L114" s="135"/>
      <c r="M114" s="116"/>
      <c r="N114" s="154"/>
      <c r="O114" s="135"/>
      <c r="P114" s="135"/>
    </row>
    <row r="115" spans="1:19" ht="12" customHeight="1">
      <c r="A115" s="121" t="s">
        <v>496</v>
      </c>
      <c r="B115" s="145"/>
      <c r="C115" s="135"/>
      <c r="D115" s="116"/>
      <c r="E115" s="154"/>
      <c r="F115" s="135"/>
      <c r="G115" s="116"/>
      <c r="H115" s="154"/>
      <c r="I115" s="135"/>
      <c r="J115" s="135"/>
      <c r="K115" s="154"/>
      <c r="L115" s="135"/>
      <c r="M115" s="116"/>
      <c r="N115" s="154"/>
      <c r="O115" s="135"/>
      <c r="P115" s="135"/>
    </row>
    <row r="116" spans="1:19" ht="12" customHeight="1">
      <c r="A116" s="57" t="s">
        <v>490</v>
      </c>
      <c r="B116" s="145"/>
      <c r="C116" s="135"/>
      <c r="D116" s="116"/>
      <c r="E116" s="154"/>
      <c r="F116" s="135"/>
      <c r="G116" s="116"/>
      <c r="H116" s="154"/>
      <c r="I116" s="135"/>
      <c r="J116" s="135"/>
      <c r="K116" s="154"/>
      <c r="L116" s="135"/>
      <c r="M116" s="116"/>
      <c r="N116" s="154"/>
      <c r="O116" s="135"/>
      <c r="P116" s="135"/>
    </row>
    <row r="117" spans="1:19" ht="5.25" customHeight="1"/>
    <row r="118" spans="1:19" ht="12" customHeight="1">
      <c r="A118" s="95" t="s">
        <v>491</v>
      </c>
    </row>
    <row r="119" spans="1:19" ht="12" customHeight="1">
      <c r="A119" s="95" t="s">
        <v>471</v>
      </c>
    </row>
  </sheetData>
  <mergeCells count="2">
    <mergeCell ref="N7:O7"/>
    <mergeCell ref="Q7:R7"/>
  </mergeCells>
  <pageMargins left="0.7" right="0.7" top="0.75" bottom="0.75" header="0.3" footer="0.3"/>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Y30"/>
  <sheetViews>
    <sheetView workbookViewId="0"/>
  </sheetViews>
  <sheetFormatPr baseColWidth="10" defaultColWidth="9.1640625" defaultRowHeight="13"/>
  <cols>
    <col min="1" max="1" width="11.33203125" style="95" customWidth="1"/>
    <col min="2" max="2" width="7.6640625" style="155" customWidth="1"/>
    <col min="3" max="3" width="7.6640625" style="105" customWidth="1"/>
    <col min="4" max="4" width="1.6640625" style="95" customWidth="1"/>
    <col min="5" max="5" width="7.6640625" style="140" customWidth="1"/>
    <col min="6" max="6" width="7.6640625" style="105" customWidth="1"/>
    <col min="7" max="7" width="1.6640625" style="95" customWidth="1"/>
    <col min="8" max="8" width="6.6640625" style="140" customWidth="1"/>
    <col min="9" max="9" width="7.6640625" style="105" customWidth="1"/>
    <col min="10" max="10" width="1.6640625" style="105" customWidth="1"/>
    <col min="11" max="11" width="6.6640625" style="140" customWidth="1"/>
    <col min="12" max="12" width="7.6640625" style="95" customWidth="1"/>
    <col min="13" max="13" width="1.6640625" style="95" customWidth="1"/>
    <col min="14" max="14" width="6.6640625" style="140" customWidth="1"/>
    <col min="15" max="15" width="7.6640625" style="95" customWidth="1"/>
    <col min="16" max="16" width="1.6640625" style="95" customWidth="1"/>
    <col min="17" max="17" width="6.6640625" style="140" customWidth="1"/>
    <col min="18" max="18" width="7.6640625" style="95" customWidth="1"/>
    <col min="19" max="19" width="1.6640625" style="95" customWidth="1"/>
    <col min="20" max="20" width="6.6640625" style="95" customWidth="1"/>
    <col min="21" max="21" width="7.6640625" style="95" customWidth="1"/>
    <col min="22" max="22" width="1.83203125" style="95" customWidth="1"/>
    <col min="23" max="23" width="6.6640625" style="95" customWidth="1"/>
    <col min="24" max="24" width="7.6640625" style="95" customWidth="1"/>
    <col min="25" max="25" width="1.6640625" style="95" customWidth="1"/>
    <col min="26" max="256" width="9.1640625" style="95"/>
    <col min="257" max="257" width="11.33203125" style="95" customWidth="1"/>
    <col min="258" max="259" width="7.6640625" style="95" customWidth="1"/>
    <col min="260" max="260" width="1.6640625" style="95" customWidth="1"/>
    <col min="261" max="262" width="7.6640625" style="95" customWidth="1"/>
    <col min="263" max="263" width="1.6640625" style="95" customWidth="1"/>
    <col min="264" max="264" width="6.6640625" style="95" customWidth="1"/>
    <col min="265" max="265" width="7.6640625" style="95" customWidth="1"/>
    <col min="266" max="266" width="1.6640625" style="95" customWidth="1"/>
    <col min="267" max="267" width="6.6640625" style="95" customWidth="1"/>
    <col min="268" max="268" width="7.6640625" style="95" customWidth="1"/>
    <col min="269" max="269" width="1.6640625" style="95" customWidth="1"/>
    <col min="270" max="270" width="6.6640625" style="95" customWidth="1"/>
    <col min="271" max="271" width="7.6640625" style="95" customWidth="1"/>
    <col min="272" max="272" width="1.6640625" style="95" customWidth="1"/>
    <col min="273" max="273" width="6.6640625" style="95" customWidth="1"/>
    <col min="274" max="274" width="7.6640625" style="95" customWidth="1"/>
    <col min="275" max="275" width="1.6640625" style="95" customWidth="1"/>
    <col min="276" max="276" width="6.6640625" style="95" customWidth="1"/>
    <col min="277" max="277" width="7.6640625" style="95" customWidth="1"/>
    <col min="278" max="278" width="1.83203125" style="95" customWidth="1"/>
    <col min="279" max="279" width="6.6640625" style="95" customWidth="1"/>
    <col min="280" max="280" width="7.6640625" style="95" customWidth="1"/>
    <col min="281" max="281" width="1.6640625" style="95" customWidth="1"/>
    <col min="282" max="512" width="9.1640625" style="95"/>
    <col min="513" max="513" width="11.33203125" style="95" customWidth="1"/>
    <col min="514" max="515" width="7.6640625" style="95" customWidth="1"/>
    <col min="516" max="516" width="1.6640625" style="95" customWidth="1"/>
    <col min="517" max="518" width="7.6640625" style="95" customWidth="1"/>
    <col min="519" max="519" width="1.6640625" style="95" customWidth="1"/>
    <col min="520" max="520" width="6.6640625" style="95" customWidth="1"/>
    <col min="521" max="521" width="7.6640625" style="95" customWidth="1"/>
    <col min="522" max="522" width="1.6640625" style="95" customWidth="1"/>
    <col min="523" max="523" width="6.6640625" style="95" customWidth="1"/>
    <col min="524" max="524" width="7.6640625" style="95" customWidth="1"/>
    <col min="525" max="525" width="1.6640625" style="95" customWidth="1"/>
    <col min="526" max="526" width="6.6640625" style="95" customWidth="1"/>
    <col min="527" max="527" width="7.6640625" style="95" customWidth="1"/>
    <col min="528" max="528" width="1.6640625" style="95" customWidth="1"/>
    <col min="529" max="529" width="6.6640625" style="95" customWidth="1"/>
    <col min="530" max="530" width="7.6640625" style="95" customWidth="1"/>
    <col min="531" max="531" width="1.6640625" style="95" customWidth="1"/>
    <col min="532" max="532" width="6.6640625" style="95" customWidth="1"/>
    <col min="533" max="533" width="7.6640625" style="95" customWidth="1"/>
    <col min="534" max="534" width="1.83203125" style="95" customWidth="1"/>
    <col min="535" max="535" width="6.6640625" style="95" customWidth="1"/>
    <col min="536" max="536" width="7.6640625" style="95" customWidth="1"/>
    <col min="537" max="537" width="1.6640625" style="95" customWidth="1"/>
    <col min="538" max="768" width="9.1640625" style="95"/>
    <col min="769" max="769" width="11.33203125" style="95" customWidth="1"/>
    <col min="770" max="771" width="7.6640625" style="95" customWidth="1"/>
    <col min="772" max="772" width="1.6640625" style="95" customWidth="1"/>
    <col min="773" max="774" width="7.6640625" style="95" customWidth="1"/>
    <col min="775" max="775" width="1.6640625" style="95" customWidth="1"/>
    <col min="776" max="776" width="6.6640625" style="95" customWidth="1"/>
    <col min="777" max="777" width="7.6640625" style="95" customWidth="1"/>
    <col min="778" max="778" width="1.6640625" style="95" customWidth="1"/>
    <col min="779" max="779" width="6.6640625" style="95" customWidth="1"/>
    <col min="780" max="780" width="7.6640625" style="95" customWidth="1"/>
    <col min="781" max="781" width="1.6640625" style="95" customWidth="1"/>
    <col min="782" max="782" width="6.6640625" style="95" customWidth="1"/>
    <col min="783" max="783" width="7.6640625" style="95" customWidth="1"/>
    <col min="784" max="784" width="1.6640625" style="95" customWidth="1"/>
    <col min="785" max="785" width="6.6640625" style="95" customWidth="1"/>
    <col min="786" max="786" width="7.6640625" style="95" customWidth="1"/>
    <col min="787" max="787" width="1.6640625" style="95" customWidth="1"/>
    <col min="788" max="788" width="6.6640625" style="95" customWidth="1"/>
    <col min="789" max="789" width="7.6640625" style="95" customWidth="1"/>
    <col min="790" max="790" width="1.83203125" style="95" customWidth="1"/>
    <col min="791" max="791" width="6.6640625" style="95" customWidth="1"/>
    <col min="792" max="792" width="7.6640625" style="95" customWidth="1"/>
    <col min="793" max="793" width="1.6640625" style="95" customWidth="1"/>
    <col min="794" max="1024" width="9.1640625" style="95"/>
    <col min="1025" max="1025" width="11.33203125" style="95" customWidth="1"/>
    <col min="1026" max="1027" width="7.6640625" style="95" customWidth="1"/>
    <col min="1028" max="1028" width="1.6640625" style="95" customWidth="1"/>
    <col min="1029" max="1030" width="7.6640625" style="95" customWidth="1"/>
    <col min="1031" max="1031" width="1.6640625" style="95" customWidth="1"/>
    <col min="1032" max="1032" width="6.6640625" style="95" customWidth="1"/>
    <col min="1033" max="1033" width="7.6640625" style="95" customWidth="1"/>
    <col min="1034" max="1034" width="1.6640625" style="95" customWidth="1"/>
    <col min="1035" max="1035" width="6.6640625" style="95" customWidth="1"/>
    <col min="1036" max="1036" width="7.6640625" style="95" customWidth="1"/>
    <col min="1037" max="1037" width="1.6640625" style="95" customWidth="1"/>
    <col min="1038" max="1038" width="6.6640625" style="95" customWidth="1"/>
    <col min="1039" max="1039" width="7.6640625" style="95" customWidth="1"/>
    <col min="1040" max="1040" width="1.6640625" style="95" customWidth="1"/>
    <col min="1041" max="1041" width="6.6640625" style="95" customWidth="1"/>
    <col min="1042" max="1042" width="7.6640625" style="95" customWidth="1"/>
    <col min="1043" max="1043" width="1.6640625" style="95" customWidth="1"/>
    <col min="1044" max="1044" width="6.6640625" style="95" customWidth="1"/>
    <col min="1045" max="1045" width="7.6640625" style="95" customWidth="1"/>
    <col min="1046" max="1046" width="1.83203125" style="95" customWidth="1"/>
    <col min="1047" max="1047" width="6.6640625" style="95" customWidth="1"/>
    <col min="1048" max="1048" width="7.6640625" style="95" customWidth="1"/>
    <col min="1049" max="1049" width="1.6640625" style="95" customWidth="1"/>
    <col min="1050" max="1280" width="9.1640625" style="95"/>
    <col min="1281" max="1281" width="11.33203125" style="95" customWidth="1"/>
    <col min="1282" max="1283" width="7.6640625" style="95" customWidth="1"/>
    <col min="1284" max="1284" width="1.6640625" style="95" customWidth="1"/>
    <col min="1285" max="1286" width="7.6640625" style="95" customWidth="1"/>
    <col min="1287" max="1287" width="1.6640625" style="95" customWidth="1"/>
    <col min="1288" max="1288" width="6.6640625" style="95" customWidth="1"/>
    <col min="1289" max="1289" width="7.6640625" style="95" customWidth="1"/>
    <col min="1290" max="1290" width="1.6640625" style="95" customWidth="1"/>
    <col min="1291" max="1291" width="6.6640625" style="95" customWidth="1"/>
    <col min="1292" max="1292" width="7.6640625" style="95" customWidth="1"/>
    <col min="1293" max="1293" width="1.6640625" style="95" customWidth="1"/>
    <col min="1294" max="1294" width="6.6640625" style="95" customWidth="1"/>
    <col min="1295" max="1295" width="7.6640625" style="95" customWidth="1"/>
    <col min="1296" max="1296" width="1.6640625" style="95" customWidth="1"/>
    <col min="1297" max="1297" width="6.6640625" style="95" customWidth="1"/>
    <col min="1298" max="1298" width="7.6640625" style="95" customWidth="1"/>
    <col min="1299" max="1299" width="1.6640625" style="95" customWidth="1"/>
    <col min="1300" max="1300" width="6.6640625" style="95" customWidth="1"/>
    <col min="1301" max="1301" width="7.6640625" style="95" customWidth="1"/>
    <col min="1302" max="1302" width="1.83203125" style="95" customWidth="1"/>
    <col min="1303" max="1303" width="6.6640625" style="95" customWidth="1"/>
    <col min="1304" max="1304" width="7.6640625" style="95" customWidth="1"/>
    <col min="1305" max="1305" width="1.6640625" style="95" customWidth="1"/>
    <col min="1306" max="1536" width="9.1640625" style="95"/>
    <col min="1537" max="1537" width="11.33203125" style="95" customWidth="1"/>
    <col min="1538" max="1539" width="7.6640625" style="95" customWidth="1"/>
    <col min="1540" max="1540" width="1.6640625" style="95" customWidth="1"/>
    <col min="1541" max="1542" width="7.6640625" style="95" customWidth="1"/>
    <col min="1543" max="1543" width="1.6640625" style="95" customWidth="1"/>
    <col min="1544" max="1544" width="6.6640625" style="95" customWidth="1"/>
    <col min="1545" max="1545" width="7.6640625" style="95" customWidth="1"/>
    <col min="1546" max="1546" width="1.6640625" style="95" customWidth="1"/>
    <col min="1547" max="1547" width="6.6640625" style="95" customWidth="1"/>
    <col min="1548" max="1548" width="7.6640625" style="95" customWidth="1"/>
    <col min="1549" max="1549" width="1.6640625" style="95" customWidth="1"/>
    <col min="1550" max="1550" width="6.6640625" style="95" customWidth="1"/>
    <col min="1551" max="1551" width="7.6640625" style="95" customWidth="1"/>
    <col min="1552" max="1552" width="1.6640625" style="95" customWidth="1"/>
    <col min="1553" max="1553" width="6.6640625" style="95" customWidth="1"/>
    <col min="1554" max="1554" width="7.6640625" style="95" customWidth="1"/>
    <col min="1555" max="1555" width="1.6640625" style="95" customWidth="1"/>
    <col min="1556" max="1556" width="6.6640625" style="95" customWidth="1"/>
    <col min="1557" max="1557" width="7.6640625" style="95" customWidth="1"/>
    <col min="1558" max="1558" width="1.83203125" style="95" customWidth="1"/>
    <col min="1559" max="1559" width="6.6640625" style="95" customWidth="1"/>
    <col min="1560" max="1560" width="7.6640625" style="95" customWidth="1"/>
    <col min="1561" max="1561" width="1.6640625" style="95" customWidth="1"/>
    <col min="1562" max="1792" width="9.1640625" style="95"/>
    <col min="1793" max="1793" width="11.33203125" style="95" customWidth="1"/>
    <col min="1794" max="1795" width="7.6640625" style="95" customWidth="1"/>
    <col min="1796" max="1796" width="1.6640625" style="95" customWidth="1"/>
    <col min="1797" max="1798" width="7.6640625" style="95" customWidth="1"/>
    <col min="1799" max="1799" width="1.6640625" style="95" customWidth="1"/>
    <col min="1800" max="1800" width="6.6640625" style="95" customWidth="1"/>
    <col min="1801" max="1801" width="7.6640625" style="95" customWidth="1"/>
    <col min="1802" max="1802" width="1.6640625" style="95" customWidth="1"/>
    <col min="1803" max="1803" width="6.6640625" style="95" customWidth="1"/>
    <col min="1804" max="1804" width="7.6640625" style="95" customWidth="1"/>
    <col min="1805" max="1805" width="1.6640625" style="95" customWidth="1"/>
    <col min="1806" max="1806" width="6.6640625" style="95" customWidth="1"/>
    <col min="1807" max="1807" width="7.6640625" style="95" customWidth="1"/>
    <col min="1808" max="1808" width="1.6640625" style="95" customWidth="1"/>
    <col min="1809" max="1809" width="6.6640625" style="95" customWidth="1"/>
    <col min="1810" max="1810" width="7.6640625" style="95" customWidth="1"/>
    <col min="1811" max="1811" width="1.6640625" style="95" customWidth="1"/>
    <col min="1812" max="1812" width="6.6640625" style="95" customWidth="1"/>
    <col min="1813" max="1813" width="7.6640625" style="95" customWidth="1"/>
    <col min="1814" max="1814" width="1.83203125" style="95" customWidth="1"/>
    <col min="1815" max="1815" width="6.6640625" style="95" customWidth="1"/>
    <col min="1816" max="1816" width="7.6640625" style="95" customWidth="1"/>
    <col min="1817" max="1817" width="1.6640625" style="95" customWidth="1"/>
    <col min="1818" max="2048" width="9.1640625" style="95"/>
    <col min="2049" max="2049" width="11.33203125" style="95" customWidth="1"/>
    <col min="2050" max="2051" width="7.6640625" style="95" customWidth="1"/>
    <col min="2052" max="2052" width="1.6640625" style="95" customWidth="1"/>
    <col min="2053" max="2054" width="7.6640625" style="95" customWidth="1"/>
    <col min="2055" max="2055" width="1.6640625" style="95" customWidth="1"/>
    <col min="2056" max="2056" width="6.6640625" style="95" customWidth="1"/>
    <col min="2057" max="2057" width="7.6640625" style="95" customWidth="1"/>
    <col min="2058" max="2058" width="1.6640625" style="95" customWidth="1"/>
    <col min="2059" max="2059" width="6.6640625" style="95" customWidth="1"/>
    <col min="2060" max="2060" width="7.6640625" style="95" customWidth="1"/>
    <col min="2061" max="2061" width="1.6640625" style="95" customWidth="1"/>
    <col min="2062" max="2062" width="6.6640625" style="95" customWidth="1"/>
    <col min="2063" max="2063" width="7.6640625" style="95" customWidth="1"/>
    <col min="2064" max="2064" width="1.6640625" style="95" customWidth="1"/>
    <col min="2065" max="2065" width="6.6640625" style="95" customWidth="1"/>
    <col min="2066" max="2066" width="7.6640625" style="95" customWidth="1"/>
    <col min="2067" max="2067" width="1.6640625" style="95" customWidth="1"/>
    <col min="2068" max="2068" width="6.6640625" style="95" customWidth="1"/>
    <col min="2069" max="2069" width="7.6640625" style="95" customWidth="1"/>
    <col min="2070" max="2070" width="1.83203125" style="95" customWidth="1"/>
    <col min="2071" max="2071" width="6.6640625" style="95" customWidth="1"/>
    <col min="2072" max="2072" width="7.6640625" style="95" customWidth="1"/>
    <col min="2073" max="2073" width="1.6640625" style="95" customWidth="1"/>
    <col min="2074" max="2304" width="9.1640625" style="95"/>
    <col min="2305" max="2305" width="11.33203125" style="95" customWidth="1"/>
    <col min="2306" max="2307" width="7.6640625" style="95" customWidth="1"/>
    <col min="2308" max="2308" width="1.6640625" style="95" customWidth="1"/>
    <col min="2309" max="2310" width="7.6640625" style="95" customWidth="1"/>
    <col min="2311" max="2311" width="1.6640625" style="95" customWidth="1"/>
    <col min="2312" max="2312" width="6.6640625" style="95" customWidth="1"/>
    <col min="2313" max="2313" width="7.6640625" style="95" customWidth="1"/>
    <col min="2314" max="2314" width="1.6640625" style="95" customWidth="1"/>
    <col min="2315" max="2315" width="6.6640625" style="95" customWidth="1"/>
    <col min="2316" max="2316" width="7.6640625" style="95" customWidth="1"/>
    <col min="2317" max="2317" width="1.6640625" style="95" customWidth="1"/>
    <col min="2318" max="2318" width="6.6640625" style="95" customWidth="1"/>
    <col min="2319" max="2319" width="7.6640625" style="95" customWidth="1"/>
    <col min="2320" max="2320" width="1.6640625" style="95" customWidth="1"/>
    <col min="2321" max="2321" width="6.6640625" style="95" customWidth="1"/>
    <col min="2322" max="2322" width="7.6640625" style="95" customWidth="1"/>
    <col min="2323" max="2323" width="1.6640625" style="95" customWidth="1"/>
    <col min="2324" max="2324" width="6.6640625" style="95" customWidth="1"/>
    <col min="2325" max="2325" width="7.6640625" style="95" customWidth="1"/>
    <col min="2326" max="2326" width="1.83203125" style="95" customWidth="1"/>
    <col min="2327" max="2327" width="6.6640625" style="95" customWidth="1"/>
    <col min="2328" max="2328" width="7.6640625" style="95" customWidth="1"/>
    <col min="2329" max="2329" width="1.6640625" style="95" customWidth="1"/>
    <col min="2330" max="2560" width="9.1640625" style="95"/>
    <col min="2561" max="2561" width="11.33203125" style="95" customWidth="1"/>
    <col min="2562" max="2563" width="7.6640625" style="95" customWidth="1"/>
    <col min="2564" max="2564" width="1.6640625" style="95" customWidth="1"/>
    <col min="2565" max="2566" width="7.6640625" style="95" customWidth="1"/>
    <col min="2567" max="2567" width="1.6640625" style="95" customWidth="1"/>
    <col min="2568" max="2568" width="6.6640625" style="95" customWidth="1"/>
    <col min="2569" max="2569" width="7.6640625" style="95" customWidth="1"/>
    <col min="2570" max="2570" width="1.6640625" style="95" customWidth="1"/>
    <col min="2571" max="2571" width="6.6640625" style="95" customWidth="1"/>
    <col min="2572" max="2572" width="7.6640625" style="95" customWidth="1"/>
    <col min="2573" max="2573" width="1.6640625" style="95" customWidth="1"/>
    <col min="2574" max="2574" width="6.6640625" style="95" customWidth="1"/>
    <col min="2575" max="2575" width="7.6640625" style="95" customWidth="1"/>
    <col min="2576" max="2576" width="1.6640625" style="95" customWidth="1"/>
    <col min="2577" max="2577" width="6.6640625" style="95" customWidth="1"/>
    <col min="2578" max="2578" width="7.6640625" style="95" customWidth="1"/>
    <col min="2579" max="2579" width="1.6640625" style="95" customWidth="1"/>
    <col min="2580" max="2580" width="6.6640625" style="95" customWidth="1"/>
    <col min="2581" max="2581" width="7.6640625" style="95" customWidth="1"/>
    <col min="2582" max="2582" width="1.83203125" style="95" customWidth="1"/>
    <col min="2583" max="2583" width="6.6640625" style="95" customWidth="1"/>
    <col min="2584" max="2584" width="7.6640625" style="95" customWidth="1"/>
    <col min="2585" max="2585" width="1.6640625" style="95" customWidth="1"/>
    <col min="2586" max="2816" width="9.1640625" style="95"/>
    <col min="2817" max="2817" width="11.33203125" style="95" customWidth="1"/>
    <col min="2818" max="2819" width="7.6640625" style="95" customWidth="1"/>
    <col min="2820" max="2820" width="1.6640625" style="95" customWidth="1"/>
    <col min="2821" max="2822" width="7.6640625" style="95" customWidth="1"/>
    <col min="2823" max="2823" width="1.6640625" style="95" customWidth="1"/>
    <col min="2824" max="2824" width="6.6640625" style="95" customWidth="1"/>
    <col min="2825" max="2825" width="7.6640625" style="95" customWidth="1"/>
    <col min="2826" max="2826" width="1.6640625" style="95" customWidth="1"/>
    <col min="2827" max="2827" width="6.6640625" style="95" customWidth="1"/>
    <col min="2828" max="2828" width="7.6640625" style="95" customWidth="1"/>
    <col min="2829" max="2829" width="1.6640625" style="95" customWidth="1"/>
    <col min="2830" max="2830" width="6.6640625" style="95" customWidth="1"/>
    <col min="2831" max="2831" width="7.6640625" style="95" customWidth="1"/>
    <col min="2832" max="2832" width="1.6640625" style="95" customWidth="1"/>
    <col min="2833" max="2833" width="6.6640625" style="95" customWidth="1"/>
    <col min="2834" max="2834" width="7.6640625" style="95" customWidth="1"/>
    <col min="2835" max="2835" width="1.6640625" style="95" customWidth="1"/>
    <col min="2836" max="2836" width="6.6640625" style="95" customWidth="1"/>
    <col min="2837" max="2837" width="7.6640625" style="95" customWidth="1"/>
    <col min="2838" max="2838" width="1.83203125" style="95" customWidth="1"/>
    <col min="2839" max="2839" width="6.6640625" style="95" customWidth="1"/>
    <col min="2840" max="2840" width="7.6640625" style="95" customWidth="1"/>
    <col min="2841" max="2841" width="1.6640625" style="95" customWidth="1"/>
    <col min="2842" max="3072" width="9.1640625" style="95"/>
    <col min="3073" max="3073" width="11.33203125" style="95" customWidth="1"/>
    <col min="3074" max="3075" width="7.6640625" style="95" customWidth="1"/>
    <col min="3076" max="3076" width="1.6640625" style="95" customWidth="1"/>
    <col min="3077" max="3078" width="7.6640625" style="95" customWidth="1"/>
    <col min="3079" max="3079" width="1.6640625" style="95" customWidth="1"/>
    <col min="3080" max="3080" width="6.6640625" style="95" customWidth="1"/>
    <col min="3081" max="3081" width="7.6640625" style="95" customWidth="1"/>
    <col min="3082" max="3082" width="1.6640625" style="95" customWidth="1"/>
    <col min="3083" max="3083" width="6.6640625" style="95" customWidth="1"/>
    <col min="3084" max="3084" width="7.6640625" style="95" customWidth="1"/>
    <col min="3085" max="3085" width="1.6640625" style="95" customWidth="1"/>
    <col min="3086" max="3086" width="6.6640625" style="95" customWidth="1"/>
    <col min="3087" max="3087" width="7.6640625" style="95" customWidth="1"/>
    <col min="3088" max="3088" width="1.6640625" style="95" customWidth="1"/>
    <col min="3089" max="3089" width="6.6640625" style="95" customWidth="1"/>
    <col min="3090" max="3090" width="7.6640625" style="95" customWidth="1"/>
    <col min="3091" max="3091" width="1.6640625" style="95" customWidth="1"/>
    <col min="3092" max="3092" width="6.6640625" style="95" customWidth="1"/>
    <col min="3093" max="3093" width="7.6640625" style="95" customWidth="1"/>
    <col min="3094" max="3094" width="1.83203125" style="95" customWidth="1"/>
    <col min="3095" max="3095" width="6.6640625" style="95" customWidth="1"/>
    <col min="3096" max="3096" width="7.6640625" style="95" customWidth="1"/>
    <col min="3097" max="3097" width="1.6640625" style="95" customWidth="1"/>
    <col min="3098" max="3328" width="9.1640625" style="95"/>
    <col min="3329" max="3329" width="11.33203125" style="95" customWidth="1"/>
    <col min="3330" max="3331" width="7.6640625" style="95" customWidth="1"/>
    <col min="3332" max="3332" width="1.6640625" style="95" customWidth="1"/>
    <col min="3333" max="3334" width="7.6640625" style="95" customWidth="1"/>
    <col min="3335" max="3335" width="1.6640625" style="95" customWidth="1"/>
    <col min="3336" max="3336" width="6.6640625" style="95" customWidth="1"/>
    <col min="3337" max="3337" width="7.6640625" style="95" customWidth="1"/>
    <col min="3338" max="3338" width="1.6640625" style="95" customWidth="1"/>
    <col min="3339" max="3339" width="6.6640625" style="95" customWidth="1"/>
    <col min="3340" max="3340" width="7.6640625" style="95" customWidth="1"/>
    <col min="3341" max="3341" width="1.6640625" style="95" customWidth="1"/>
    <col min="3342" max="3342" width="6.6640625" style="95" customWidth="1"/>
    <col min="3343" max="3343" width="7.6640625" style="95" customWidth="1"/>
    <col min="3344" max="3344" width="1.6640625" style="95" customWidth="1"/>
    <col min="3345" max="3345" width="6.6640625" style="95" customWidth="1"/>
    <col min="3346" max="3346" width="7.6640625" style="95" customWidth="1"/>
    <col min="3347" max="3347" width="1.6640625" style="95" customWidth="1"/>
    <col min="3348" max="3348" width="6.6640625" style="95" customWidth="1"/>
    <col min="3349" max="3349" width="7.6640625" style="95" customWidth="1"/>
    <col min="3350" max="3350" width="1.83203125" style="95" customWidth="1"/>
    <col min="3351" max="3351" width="6.6640625" style="95" customWidth="1"/>
    <col min="3352" max="3352" width="7.6640625" style="95" customWidth="1"/>
    <col min="3353" max="3353" width="1.6640625" style="95" customWidth="1"/>
    <col min="3354" max="3584" width="9.1640625" style="95"/>
    <col min="3585" max="3585" width="11.33203125" style="95" customWidth="1"/>
    <col min="3586" max="3587" width="7.6640625" style="95" customWidth="1"/>
    <col min="3588" max="3588" width="1.6640625" style="95" customWidth="1"/>
    <col min="3589" max="3590" width="7.6640625" style="95" customWidth="1"/>
    <col min="3591" max="3591" width="1.6640625" style="95" customWidth="1"/>
    <col min="3592" max="3592" width="6.6640625" style="95" customWidth="1"/>
    <col min="3593" max="3593" width="7.6640625" style="95" customWidth="1"/>
    <col min="3594" max="3594" width="1.6640625" style="95" customWidth="1"/>
    <col min="3595" max="3595" width="6.6640625" style="95" customWidth="1"/>
    <col min="3596" max="3596" width="7.6640625" style="95" customWidth="1"/>
    <col min="3597" max="3597" width="1.6640625" style="95" customWidth="1"/>
    <col min="3598" max="3598" width="6.6640625" style="95" customWidth="1"/>
    <col min="3599" max="3599" width="7.6640625" style="95" customWidth="1"/>
    <col min="3600" max="3600" width="1.6640625" style="95" customWidth="1"/>
    <col min="3601" max="3601" width="6.6640625" style="95" customWidth="1"/>
    <col min="3602" max="3602" width="7.6640625" style="95" customWidth="1"/>
    <col min="3603" max="3603" width="1.6640625" style="95" customWidth="1"/>
    <col min="3604" max="3604" width="6.6640625" style="95" customWidth="1"/>
    <col min="3605" max="3605" width="7.6640625" style="95" customWidth="1"/>
    <col min="3606" max="3606" width="1.83203125" style="95" customWidth="1"/>
    <col min="3607" max="3607" width="6.6640625" style="95" customWidth="1"/>
    <col min="3608" max="3608" width="7.6640625" style="95" customWidth="1"/>
    <col min="3609" max="3609" width="1.6640625" style="95" customWidth="1"/>
    <col min="3610" max="3840" width="9.1640625" style="95"/>
    <col min="3841" max="3841" width="11.33203125" style="95" customWidth="1"/>
    <col min="3842" max="3843" width="7.6640625" style="95" customWidth="1"/>
    <col min="3844" max="3844" width="1.6640625" style="95" customWidth="1"/>
    <col min="3845" max="3846" width="7.6640625" style="95" customWidth="1"/>
    <col min="3847" max="3847" width="1.6640625" style="95" customWidth="1"/>
    <col min="3848" max="3848" width="6.6640625" style="95" customWidth="1"/>
    <col min="3849" max="3849" width="7.6640625" style="95" customWidth="1"/>
    <col min="3850" max="3850" width="1.6640625" style="95" customWidth="1"/>
    <col min="3851" max="3851" width="6.6640625" style="95" customWidth="1"/>
    <col min="3852" max="3852" width="7.6640625" style="95" customWidth="1"/>
    <col min="3853" max="3853" width="1.6640625" style="95" customWidth="1"/>
    <col min="3854" max="3854" width="6.6640625" style="95" customWidth="1"/>
    <col min="3855" max="3855" width="7.6640625" style="95" customWidth="1"/>
    <col min="3856" max="3856" width="1.6640625" style="95" customWidth="1"/>
    <col min="3857" max="3857" width="6.6640625" style="95" customWidth="1"/>
    <col min="3858" max="3858" width="7.6640625" style="95" customWidth="1"/>
    <col min="3859" max="3859" width="1.6640625" style="95" customWidth="1"/>
    <col min="3860" max="3860" width="6.6640625" style="95" customWidth="1"/>
    <col min="3861" max="3861" width="7.6640625" style="95" customWidth="1"/>
    <col min="3862" max="3862" width="1.83203125" style="95" customWidth="1"/>
    <col min="3863" max="3863" width="6.6640625" style="95" customWidth="1"/>
    <col min="3864" max="3864" width="7.6640625" style="95" customWidth="1"/>
    <col min="3865" max="3865" width="1.6640625" style="95" customWidth="1"/>
    <col min="3866" max="4096" width="9.1640625" style="95"/>
    <col min="4097" max="4097" width="11.33203125" style="95" customWidth="1"/>
    <col min="4098" max="4099" width="7.6640625" style="95" customWidth="1"/>
    <col min="4100" max="4100" width="1.6640625" style="95" customWidth="1"/>
    <col min="4101" max="4102" width="7.6640625" style="95" customWidth="1"/>
    <col min="4103" max="4103" width="1.6640625" style="95" customWidth="1"/>
    <col min="4104" max="4104" width="6.6640625" style="95" customWidth="1"/>
    <col min="4105" max="4105" width="7.6640625" style="95" customWidth="1"/>
    <col min="4106" max="4106" width="1.6640625" style="95" customWidth="1"/>
    <col min="4107" max="4107" width="6.6640625" style="95" customWidth="1"/>
    <col min="4108" max="4108" width="7.6640625" style="95" customWidth="1"/>
    <col min="4109" max="4109" width="1.6640625" style="95" customWidth="1"/>
    <col min="4110" max="4110" width="6.6640625" style="95" customWidth="1"/>
    <col min="4111" max="4111" width="7.6640625" style="95" customWidth="1"/>
    <col min="4112" max="4112" width="1.6640625" style="95" customWidth="1"/>
    <col min="4113" max="4113" width="6.6640625" style="95" customWidth="1"/>
    <col min="4114" max="4114" width="7.6640625" style="95" customWidth="1"/>
    <col min="4115" max="4115" width="1.6640625" style="95" customWidth="1"/>
    <col min="4116" max="4116" width="6.6640625" style="95" customWidth="1"/>
    <col min="4117" max="4117" width="7.6640625" style="95" customWidth="1"/>
    <col min="4118" max="4118" width="1.83203125" style="95" customWidth="1"/>
    <col min="4119" max="4119" width="6.6640625" style="95" customWidth="1"/>
    <col min="4120" max="4120" width="7.6640625" style="95" customWidth="1"/>
    <col min="4121" max="4121" width="1.6640625" style="95" customWidth="1"/>
    <col min="4122" max="4352" width="9.1640625" style="95"/>
    <col min="4353" max="4353" width="11.33203125" style="95" customWidth="1"/>
    <col min="4354" max="4355" width="7.6640625" style="95" customWidth="1"/>
    <col min="4356" max="4356" width="1.6640625" style="95" customWidth="1"/>
    <col min="4357" max="4358" width="7.6640625" style="95" customWidth="1"/>
    <col min="4359" max="4359" width="1.6640625" style="95" customWidth="1"/>
    <col min="4360" max="4360" width="6.6640625" style="95" customWidth="1"/>
    <col min="4361" max="4361" width="7.6640625" style="95" customWidth="1"/>
    <col min="4362" max="4362" width="1.6640625" style="95" customWidth="1"/>
    <col min="4363" max="4363" width="6.6640625" style="95" customWidth="1"/>
    <col min="4364" max="4364" width="7.6640625" style="95" customWidth="1"/>
    <col min="4365" max="4365" width="1.6640625" style="95" customWidth="1"/>
    <col min="4366" max="4366" width="6.6640625" style="95" customWidth="1"/>
    <col min="4367" max="4367" width="7.6640625" style="95" customWidth="1"/>
    <col min="4368" max="4368" width="1.6640625" style="95" customWidth="1"/>
    <col min="4369" max="4369" width="6.6640625" style="95" customWidth="1"/>
    <col min="4370" max="4370" width="7.6640625" style="95" customWidth="1"/>
    <col min="4371" max="4371" width="1.6640625" style="95" customWidth="1"/>
    <col min="4372" max="4372" width="6.6640625" style="95" customWidth="1"/>
    <col min="4373" max="4373" width="7.6640625" style="95" customWidth="1"/>
    <col min="4374" max="4374" width="1.83203125" style="95" customWidth="1"/>
    <col min="4375" max="4375" width="6.6640625" style="95" customWidth="1"/>
    <col min="4376" max="4376" width="7.6640625" style="95" customWidth="1"/>
    <col min="4377" max="4377" width="1.6640625" style="95" customWidth="1"/>
    <col min="4378" max="4608" width="9.1640625" style="95"/>
    <col min="4609" max="4609" width="11.33203125" style="95" customWidth="1"/>
    <col min="4610" max="4611" width="7.6640625" style="95" customWidth="1"/>
    <col min="4612" max="4612" width="1.6640625" style="95" customWidth="1"/>
    <col min="4613" max="4614" width="7.6640625" style="95" customWidth="1"/>
    <col min="4615" max="4615" width="1.6640625" style="95" customWidth="1"/>
    <col min="4616" max="4616" width="6.6640625" style="95" customWidth="1"/>
    <col min="4617" max="4617" width="7.6640625" style="95" customWidth="1"/>
    <col min="4618" max="4618" width="1.6640625" style="95" customWidth="1"/>
    <col min="4619" max="4619" width="6.6640625" style="95" customWidth="1"/>
    <col min="4620" max="4620" width="7.6640625" style="95" customWidth="1"/>
    <col min="4621" max="4621" width="1.6640625" style="95" customWidth="1"/>
    <col min="4622" max="4622" width="6.6640625" style="95" customWidth="1"/>
    <col min="4623" max="4623" width="7.6640625" style="95" customWidth="1"/>
    <col min="4624" max="4624" width="1.6640625" style="95" customWidth="1"/>
    <col min="4625" max="4625" width="6.6640625" style="95" customWidth="1"/>
    <col min="4626" max="4626" width="7.6640625" style="95" customWidth="1"/>
    <col min="4627" max="4627" width="1.6640625" style="95" customWidth="1"/>
    <col min="4628" max="4628" width="6.6640625" style="95" customWidth="1"/>
    <col min="4629" max="4629" width="7.6640625" style="95" customWidth="1"/>
    <col min="4630" max="4630" width="1.83203125" style="95" customWidth="1"/>
    <col min="4631" max="4631" width="6.6640625" style="95" customWidth="1"/>
    <col min="4632" max="4632" width="7.6640625" style="95" customWidth="1"/>
    <col min="4633" max="4633" width="1.6640625" style="95" customWidth="1"/>
    <col min="4634" max="4864" width="9.1640625" style="95"/>
    <col min="4865" max="4865" width="11.33203125" style="95" customWidth="1"/>
    <col min="4866" max="4867" width="7.6640625" style="95" customWidth="1"/>
    <col min="4868" max="4868" width="1.6640625" style="95" customWidth="1"/>
    <col min="4869" max="4870" width="7.6640625" style="95" customWidth="1"/>
    <col min="4871" max="4871" width="1.6640625" style="95" customWidth="1"/>
    <col min="4872" max="4872" width="6.6640625" style="95" customWidth="1"/>
    <col min="4873" max="4873" width="7.6640625" style="95" customWidth="1"/>
    <col min="4874" max="4874" width="1.6640625" style="95" customWidth="1"/>
    <col min="4875" max="4875" width="6.6640625" style="95" customWidth="1"/>
    <col min="4876" max="4876" width="7.6640625" style="95" customWidth="1"/>
    <col min="4877" max="4877" width="1.6640625" style="95" customWidth="1"/>
    <col min="4878" max="4878" width="6.6640625" style="95" customWidth="1"/>
    <col min="4879" max="4879" width="7.6640625" style="95" customWidth="1"/>
    <col min="4880" max="4880" width="1.6640625" style="95" customWidth="1"/>
    <col min="4881" max="4881" width="6.6640625" style="95" customWidth="1"/>
    <col min="4882" max="4882" width="7.6640625" style="95" customWidth="1"/>
    <col min="4883" max="4883" width="1.6640625" style="95" customWidth="1"/>
    <col min="4884" max="4884" width="6.6640625" style="95" customWidth="1"/>
    <col min="4885" max="4885" width="7.6640625" style="95" customWidth="1"/>
    <col min="4886" max="4886" width="1.83203125" style="95" customWidth="1"/>
    <col min="4887" max="4887" width="6.6640625" style="95" customWidth="1"/>
    <col min="4888" max="4888" width="7.6640625" style="95" customWidth="1"/>
    <col min="4889" max="4889" width="1.6640625" style="95" customWidth="1"/>
    <col min="4890" max="5120" width="9.1640625" style="95"/>
    <col min="5121" max="5121" width="11.33203125" style="95" customWidth="1"/>
    <col min="5122" max="5123" width="7.6640625" style="95" customWidth="1"/>
    <col min="5124" max="5124" width="1.6640625" style="95" customWidth="1"/>
    <col min="5125" max="5126" width="7.6640625" style="95" customWidth="1"/>
    <col min="5127" max="5127" width="1.6640625" style="95" customWidth="1"/>
    <col min="5128" max="5128" width="6.6640625" style="95" customWidth="1"/>
    <col min="5129" max="5129" width="7.6640625" style="95" customWidth="1"/>
    <col min="5130" max="5130" width="1.6640625" style="95" customWidth="1"/>
    <col min="5131" max="5131" width="6.6640625" style="95" customWidth="1"/>
    <col min="5132" max="5132" width="7.6640625" style="95" customWidth="1"/>
    <col min="5133" max="5133" width="1.6640625" style="95" customWidth="1"/>
    <col min="5134" max="5134" width="6.6640625" style="95" customWidth="1"/>
    <col min="5135" max="5135" width="7.6640625" style="95" customWidth="1"/>
    <col min="5136" max="5136" width="1.6640625" style="95" customWidth="1"/>
    <col min="5137" max="5137" width="6.6640625" style="95" customWidth="1"/>
    <col min="5138" max="5138" width="7.6640625" style="95" customWidth="1"/>
    <col min="5139" max="5139" width="1.6640625" style="95" customWidth="1"/>
    <col min="5140" max="5140" width="6.6640625" style="95" customWidth="1"/>
    <col min="5141" max="5141" width="7.6640625" style="95" customWidth="1"/>
    <col min="5142" max="5142" width="1.83203125" style="95" customWidth="1"/>
    <col min="5143" max="5143" width="6.6640625" style="95" customWidth="1"/>
    <col min="5144" max="5144" width="7.6640625" style="95" customWidth="1"/>
    <col min="5145" max="5145" width="1.6640625" style="95" customWidth="1"/>
    <col min="5146" max="5376" width="9.1640625" style="95"/>
    <col min="5377" max="5377" width="11.33203125" style="95" customWidth="1"/>
    <col min="5378" max="5379" width="7.6640625" style="95" customWidth="1"/>
    <col min="5380" max="5380" width="1.6640625" style="95" customWidth="1"/>
    <col min="5381" max="5382" width="7.6640625" style="95" customWidth="1"/>
    <col min="5383" max="5383" width="1.6640625" style="95" customWidth="1"/>
    <col min="5384" max="5384" width="6.6640625" style="95" customWidth="1"/>
    <col min="5385" max="5385" width="7.6640625" style="95" customWidth="1"/>
    <col min="5386" max="5386" width="1.6640625" style="95" customWidth="1"/>
    <col min="5387" max="5387" width="6.6640625" style="95" customWidth="1"/>
    <col min="5388" max="5388" width="7.6640625" style="95" customWidth="1"/>
    <col min="5389" max="5389" width="1.6640625" style="95" customWidth="1"/>
    <col min="5390" max="5390" width="6.6640625" style="95" customWidth="1"/>
    <col min="5391" max="5391" width="7.6640625" style="95" customWidth="1"/>
    <col min="5392" max="5392" width="1.6640625" style="95" customWidth="1"/>
    <col min="5393" max="5393" width="6.6640625" style="95" customWidth="1"/>
    <col min="5394" max="5394" width="7.6640625" style="95" customWidth="1"/>
    <col min="5395" max="5395" width="1.6640625" style="95" customWidth="1"/>
    <col min="5396" max="5396" width="6.6640625" style="95" customWidth="1"/>
    <col min="5397" max="5397" width="7.6640625" style="95" customWidth="1"/>
    <col min="5398" max="5398" width="1.83203125" style="95" customWidth="1"/>
    <col min="5399" max="5399" width="6.6640625" style="95" customWidth="1"/>
    <col min="5400" max="5400" width="7.6640625" style="95" customWidth="1"/>
    <col min="5401" max="5401" width="1.6640625" style="95" customWidth="1"/>
    <col min="5402" max="5632" width="9.1640625" style="95"/>
    <col min="5633" max="5633" width="11.33203125" style="95" customWidth="1"/>
    <col min="5634" max="5635" width="7.6640625" style="95" customWidth="1"/>
    <col min="5636" max="5636" width="1.6640625" style="95" customWidth="1"/>
    <col min="5637" max="5638" width="7.6640625" style="95" customWidth="1"/>
    <col min="5639" max="5639" width="1.6640625" style="95" customWidth="1"/>
    <col min="5640" max="5640" width="6.6640625" style="95" customWidth="1"/>
    <col min="5641" max="5641" width="7.6640625" style="95" customWidth="1"/>
    <col min="5642" max="5642" width="1.6640625" style="95" customWidth="1"/>
    <col min="5643" max="5643" width="6.6640625" style="95" customWidth="1"/>
    <col min="5644" max="5644" width="7.6640625" style="95" customWidth="1"/>
    <col min="5645" max="5645" width="1.6640625" style="95" customWidth="1"/>
    <col min="5646" max="5646" width="6.6640625" style="95" customWidth="1"/>
    <col min="5647" max="5647" width="7.6640625" style="95" customWidth="1"/>
    <col min="5648" max="5648" width="1.6640625" style="95" customWidth="1"/>
    <col min="5649" max="5649" width="6.6640625" style="95" customWidth="1"/>
    <col min="5650" max="5650" width="7.6640625" style="95" customWidth="1"/>
    <col min="5651" max="5651" width="1.6640625" style="95" customWidth="1"/>
    <col min="5652" max="5652" width="6.6640625" style="95" customWidth="1"/>
    <col min="5653" max="5653" width="7.6640625" style="95" customWidth="1"/>
    <col min="5654" max="5654" width="1.83203125" style="95" customWidth="1"/>
    <col min="5655" max="5655" width="6.6640625" style="95" customWidth="1"/>
    <col min="5656" max="5656" width="7.6640625" style="95" customWidth="1"/>
    <col min="5657" max="5657" width="1.6640625" style="95" customWidth="1"/>
    <col min="5658" max="5888" width="9.1640625" style="95"/>
    <col min="5889" max="5889" width="11.33203125" style="95" customWidth="1"/>
    <col min="5890" max="5891" width="7.6640625" style="95" customWidth="1"/>
    <col min="5892" max="5892" width="1.6640625" style="95" customWidth="1"/>
    <col min="5893" max="5894" width="7.6640625" style="95" customWidth="1"/>
    <col min="5895" max="5895" width="1.6640625" style="95" customWidth="1"/>
    <col min="5896" max="5896" width="6.6640625" style="95" customWidth="1"/>
    <col min="5897" max="5897" width="7.6640625" style="95" customWidth="1"/>
    <col min="5898" max="5898" width="1.6640625" style="95" customWidth="1"/>
    <col min="5899" max="5899" width="6.6640625" style="95" customWidth="1"/>
    <col min="5900" max="5900" width="7.6640625" style="95" customWidth="1"/>
    <col min="5901" max="5901" width="1.6640625" style="95" customWidth="1"/>
    <col min="5902" max="5902" width="6.6640625" style="95" customWidth="1"/>
    <col min="5903" max="5903" width="7.6640625" style="95" customWidth="1"/>
    <col min="5904" max="5904" width="1.6640625" style="95" customWidth="1"/>
    <col min="5905" max="5905" width="6.6640625" style="95" customWidth="1"/>
    <col min="5906" max="5906" width="7.6640625" style="95" customWidth="1"/>
    <col min="5907" max="5907" width="1.6640625" style="95" customWidth="1"/>
    <col min="5908" max="5908" width="6.6640625" style="95" customWidth="1"/>
    <col min="5909" max="5909" width="7.6640625" style="95" customWidth="1"/>
    <col min="5910" max="5910" width="1.83203125" style="95" customWidth="1"/>
    <col min="5911" max="5911" width="6.6640625" style="95" customWidth="1"/>
    <col min="5912" max="5912" width="7.6640625" style="95" customWidth="1"/>
    <col min="5913" max="5913" width="1.6640625" style="95" customWidth="1"/>
    <col min="5914" max="6144" width="9.1640625" style="95"/>
    <col min="6145" max="6145" width="11.33203125" style="95" customWidth="1"/>
    <col min="6146" max="6147" width="7.6640625" style="95" customWidth="1"/>
    <col min="6148" max="6148" width="1.6640625" style="95" customWidth="1"/>
    <col min="6149" max="6150" width="7.6640625" style="95" customWidth="1"/>
    <col min="6151" max="6151" width="1.6640625" style="95" customWidth="1"/>
    <col min="6152" max="6152" width="6.6640625" style="95" customWidth="1"/>
    <col min="6153" max="6153" width="7.6640625" style="95" customWidth="1"/>
    <col min="6154" max="6154" width="1.6640625" style="95" customWidth="1"/>
    <col min="6155" max="6155" width="6.6640625" style="95" customWidth="1"/>
    <col min="6156" max="6156" width="7.6640625" style="95" customWidth="1"/>
    <col min="6157" max="6157" width="1.6640625" style="95" customWidth="1"/>
    <col min="6158" max="6158" width="6.6640625" style="95" customWidth="1"/>
    <col min="6159" max="6159" width="7.6640625" style="95" customWidth="1"/>
    <col min="6160" max="6160" width="1.6640625" style="95" customWidth="1"/>
    <col min="6161" max="6161" width="6.6640625" style="95" customWidth="1"/>
    <col min="6162" max="6162" width="7.6640625" style="95" customWidth="1"/>
    <col min="6163" max="6163" width="1.6640625" style="95" customWidth="1"/>
    <col min="6164" max="6164" width="6.6640625" style="95" customWidth="1"/>
    <col min="6165" max="6165" width="7.6640625" style="95" customWidth="1"/>
    <col min="6166" max="6166" width="1.83203125" style="95" customWidth="1"/>
    <col min="6167" max="6167" width="6.6640625" style="95" customWidth="1"/>
    <col min="6168" max="6168" width="7.6640625" style="95" customWidth="1"/>
    <col min="6169" max="6169" width="1.6640625" style="95" customWidth="1"/>
    <col min="6170" max="6400" width="9.1640625" style="95"/>
    <col min="6401" max="6401" width="11.33203125" style="95" customWidth="1"/>
    <col min="6402" max="6403" width="7.6640625" style="95" customWidth="1"/>
    <col min="6404" max="6404" width="1.6640625" style="95" customWidth="1"/>
    <col min="6405" max="6406" width="7.6640625" style="95" customWidth="1"/>
    <col min="6407" max="6407" width="1.6640625" style="95" customWidth="1"/>
    <col min="6408" max="6408" width="6.6640625" style="95" customWidth="1"/>
    <col min="6409" max="6409" width="7.6640625" style="95" customWidth="1"/>
    <col min="6410" max="6410" width="1.6640625" style="95" customWidth="1"/>
    <col min="6411" max="6411" width="6.6640625" style="95" customWidth="1"/>
    <col min="6412" max="6412" width="7.6640625" style="95" customWidth="1"/>
    <col min="6413" max="6413" width="1.6640625" style="95" customWidth="1"/>
    <col min="6414" max="6414" width="6.6640625" style="95" customWidth="1"/>
    <col min="6415" max="6415" width="7.6640625" style="95" customWidth="1"/>
    <col min="6416" max="6416" width="1.6640625" style="95" customWidth="1"/>
    <col min="6417" max="6417" width="6.6640625" style="95" customWidth="1"/>
    <col min="6418" max="6418" width="7.6640625" style="95" customWidth="1"/>
    <col min="6419" max="6419" width="1.6640625" style="95" customWidth="1"/>
    <col min="6420" max="6420" width="6.6640625" style="95" customWidth="1"/>
    <col min="6421" max="6421" width="7.6640625" style="95" customWidth="1"/>
    <col min="6422" max="6422" width="1.83203125" style="95" customWidth="1"/>
    <col min="6423" max="6423" width="6.6640625" style="95" customWidth="1"/>
    <col min="6424" max="6424" width="7.6640625" style="95" customWidth="1"/>
    <col min="6425" max="6425" width="1.6640625" style="95" customWidth="1"/>
    <col min="6426" max="6656" width="9.1640625" style="95"/>
    <col min="6657" max="6657" width="11.33203125" style="95" customWidth="1"/>
    <col min="6658" max="6659" width="7.6640625" style="95" customWidth="1"/>
    <col min="6660" max="6660" width="1.6640625" style="95" customWidth="1"/>
    <col min="6661" max="6662" width="7.6640625" style="95" customWidth="1"/>
    <col min="6663" max="6663" width="1.6640625" style="95" customWidth="1"/>
    <col min="6664" max="6664" width="6.6640625" style="95" customWidth="1"/>
    <col min="6665" max="6665" width="7.6640625" style="95" customWidth="1"/>
    <col min="6666" max="6666" width="1.6640625" style="95" customWidth="1"/>
    <col min="6667" max="6667" width="6.6640625" style="95" customWidth="1"/>
    <col min="6668" max="6668" width="7.6640625" style="95" customWidth="1"/>
    <col min="6669" max="6669" width="1.6640625" style="95" customWidth="1"/>
    <col min="6670" max="6670" width="6.6640625" style="95" customWidth="1"/>
    <col min="6671" max="6671" width="7.6640625" style="95" customWidth="1"/>
    <col min="6672" max="6672" width="1.6640625" style="95" customWidth="1"/>
    <col min="6673" max="6673" width="6.6640625" style="95" customWidth="1"/>
    <col min="6674" max="6674" width="7.6640625" style="95" customWidth="1"/>
    <col min="6675" max="6675" width="1.6640625" style="95" customWidth="1"/>
    <col min="6676" max="6676" width="6.6640625" style="95" customWidth="1"/>
    <col min="6677" max="6677" width="7.6640625" style="95" customWidth="1"/>
    <col min="6678" max="6678" width="1.83203125" style="95" customWidth="1"/>
    <col min="6679" max="6679" width="6.6640625" style="95" customWidth="1"/>
    <col min="6680" max="6680" width="7.6640625" style="95" customWidth="1"/>
    <col min="6681" max="6681" width="1.6640625" style="95" customWidth="1"/>
    <col min="6682" max="6912" width="9.1640625" style="95"/>
    <col min="6913" max="6913" width="11.33203125" style="95" customWidth="1"/>
    <col min="6914" max="6915" width="7.6640625" style="95" customWidth="1"/>
    <col min="6916" max="6916" width="1.6640625" style="95" customWidth="1"/>
    <col min="6917" max="6918" width="7.6640625" style="95" customWidth="1"/>
    <col min="6919" max="6919" width="1.6640625" style="95" customWidth="1"/>
    <col min="6920" max="6920" width="6.6640625" style="95" customWidth="1"/>
    <col min="6921" max="6921" width="7.6640625" style="95" customWidth="1"/>
    <col min="6922" max="6922" width="1.6640625" style="95" customWidth="1"/>
    <col min="6923" max="6923" width="6.6640625" style="95" customWidth="1"/>
    <col min="6924" max="6924" width="7.6640625" style="95" customWidth="1"/>
    <col min="6925" max="6925" width="1.6640625" style="95" customWidth="1"/>
    <col min="6926" max="6926" width="6.6640625" style="95" customWidth="1"/>
    <col min="6927" max="6927" width="7.6640625" style="95" customWidth="1"/>
    <col min="6928" max="6928" width="1.6640625" style="95" customWidth="1"/>
    <col min="6929" max="6929" width="6.6640625" style="95" customWidth="1"/>
    <col min="6930" max="6930" width="7.6640625" style="95" customWidth="1"/>
    <col min="6931" max="6931" width="1.6640625" style="95" customWidth="1"/>
    <col min="6932" max="6932" width="6.6640625" style="95" customWidth="1"/>
    <col min="6933" max="6933" width="7.6640625" style="95" customWidth="1"/>
    <col min="6934" max="6934" width="1.83203125" style="95" customWidth="1"/>
    <col min="6935" max="6935" width="6.6640625" style="95" customWidth="1"/>
    <col min="6936" max="6936" width="7.6640625" style="95" customWidth="1"/>
    <col min="6937" max="6937" width="1.6640625" style="95" customWidth="1"/>
    <col min="6938" max="7168" width="9.1640625" style="95"/>
    <col min="7169" max="7169" width="11.33203125" style="95" customWidth="1"/>
    <col min="7170" max="7171" width="7.6640625" style="95" customWidth="1"/>
    <col min="7172" max="7172" width="1.6640625" style="95" customWidth="1"/>
    <col min="7173" max="7174" width="7.6640625" style="95" customWidth="1"/>
    <col min="7175" max="7175" width="1.6640625" style="95" customWidth="1"/>
    <col min="7176" max="7176" width="6.6640625" style="95" customWidth="1"/>
    <col min="7177" max="7177" width="7.6640625" style="95" customWidth="1"/>
    <col min="7178" max="7178" width="1.6640625" style="95" customWidth="1"/>
    <col min="7179" max="7179" width="6.6640625" style="95" customWidth="1"/>
    <col min="7180" max="7180" width="7.6640625" style="95" customWidth="1"/>
    <col min="7181" max="7181" width="1.6640625" style="95" customWidth="1"/>
    <col min="7182" max="7182" width="6.6640625" style="95" customWidth="1"/>
    <col min="7183" max="7183" width="7.6640625" style="95" customWidth="1"/>
    <col min="7184" max="7184" width="1.6640625" style="95" customWidth="1"/>
    <col min="7185" max="7185" width="6.6640625" style="95" customWidth="1"/>
    <col min="7186" max="7186" width="7.6640625" style="95" customWidth="1"/>
    <col min="7187" max="7187" width="1.6640625" style="95" customWidth="1"/>
    <col min="7188" max="7188" width="6.6640625" style="95" customWidth="1"/>
    <col min="7189" max="7189" width="7.6640625" style="95" customWidth="1"/>
    <col min="7190" max="7190" width="1.83203125" style="95" customWidth="1"/>
    <col min="7191" max="7191" width="6.6640625" style="95" customWidth="1"/>
    <col min="7192" max="7192" width="7.6640625" style="95" customWidth="1"/>
    <col min="7193" max="7193" width="1.6640625" style="95" customWidth="1"/>
    <col min="7194" max="7424" width="9.1640625" style="95"/>
    <col min="7425" max="7425" width="11.33203125" style="95" customWidth="1"/>
    <col min="7426" max="7427" width="7.6640625" style="95" customWidth="1"/>
    <col min="7428" max="7428" width="1.6640625" style="95" customWidth="1"/>
    <col min="7429" max="7430" width="7.6640625" style="95" customWidth="1"/>
    <col min="7431" max="7431" width="1.6640625" style="95" customWidth="1"/>
    <col min="7432" max="7432" width="6.6640625" style="95" customWidth="1"/>
    <col min="7433" max="7433" width="7.6640625" style="95" customWidth="1"/>
    <col min="7434" max="7434" width="1.6640625" style="95" customWidth="1"/>
    <col min="7435" max="7435" width="6.6640625" style="95" customWidth="1"/>
    <col min="7436" max="7436" width="7.6640625" style="95" customWidth="1"/>
    <col min="7437" max="7437" width="1.6640625" style="95" customWidth="1"/>
    <col min="7438" max="7438" width="6.6640625" style="95" customWidth="1"/>
    <col min="7439" max="7439" width="7.6640625" style="95" customWidth="1"/>
    <col min="7440" max="7440" width="1.6640625" style="95" customWidth="1"/>
    <col min="7441" max="7441" width="6.6640625" style="95" customWidth="1"/>
    <col min="7442" max="7442" width="7.6640625" style="95" customWidth="1"/>
    <col min="7443" max="7443" width="1.6640625" style="95" customWidth="1"/>
    <col min="7444" max="7444" width="6.6640625" style="95" customWidth="1"/>
    <col min="7445" max="7445" width="7.6640625" style="95" customWidth="1"/>
    <col min="7446" max="7446" width="1.83203125" style="95" customWidth="1"/>
    <col min="7447" max="7447" width="6.6640625" style="95" customWidth="1"/>
    <col min="7448" max="7448" width="7.6640625" style="95" customWidth="1"/>
    <col min="7449" max="7449" width="1.6640625" style="95" customWidth="1"/>
    <col min="7450" max="7680" width="9.1640625" style="95"/>
    <col min="7681" max="7681" width="11.33203125" style="95" customWidth="1"/>
    <col min="7682" max="7683" width="7.6640625" style="95" customWidth="1"/>
    <col min="7684" max="7684" width="1.6640625" style="95" customWidth="1"/>
    <col min="7685" max="7686" width="7.6640625" style="95" customWidth="1"/>
    <col min="7687" max="7687" width="1.6640625" style="95" customWidth="1"/>
    <col min="7688" max="7688" width="6.6640625" style="95" customWidth="1"/>
    <col min="7689" max="7689" width="7.6640625" style="95" customWidth="1"/>
    <col min="7690" max="7690" width="1.6640625" style="95" customWidth="1"/>
    <col min="7691" max="7691" width="6.6640625" style="95" customWidth="1"/>
    <col min="7692" max="7692" width="7.6640625" style="95" customWidth="1"/>
    <col min="7693" max="7693" width="1.6640625" style="95" customWidth="1"/>
    <col min="7694" max="7694" width="6.6640625" style="95" customWidth="1"/>
    <col min="7695" max="7695" width="7.6640625" style="95" customWidth="1"/>
    <col min="7696" max="7696" width="1.6640625" style="95" customWidth="1"/>
    <col min="7697" max="7697" width="6.6640625" style="95" customWidth="1"/>
    <col min="7698" max="7698" width="7.6640625" style="95" customWidth="1"/>
    <col min="7699" max="7699" width="1.6640625" style="95" customWidth="1"/>
    <col min="7700" max="7700" width="6.6640625" style="95" customWidth="1"/>
    <col min="7701" max="7701" width="7.6640625" style="95" customWidth="1"/>
    <col min="7702" max="7702" width="1.83203125" style="95" customWidth="1"/>
    <col min="7703" max="7703" width="6.6640625" style="95" customWidth="1"/>
    <col min="7704" max="7704" width="7.6640625" style="95" customWidth="1"/>
    <col min="7705" max="7705" width="1.6640625" style="95" customWidth="1"/>
    <col min="7706" max="7936" width="9.1640625" style="95"/>
    <col min="7937" max="7937" width="11.33203125" style="95" customWidth="1"/>
    <col min="7938" max="7939" width="7.6640625" style="95" customWidth="1"/>
    <col min="7940" max="7940" width="1.6640625" style="95" customWidth="1"/>
    <col min="7941" max="7942" width="7.6640625" style="95" customWidth="1"/>
    <col min="7943" max="7943" width="1.6640625" style="95" customWidth="1"/>
    <col min="7944" max="7944" width="6.6640625" style="95" customWidth="1"/>
    <col min="7945" max="7945" width="7.6640625" style="95" customWidth="1"/>
    <col min="7946" max="7946" width="1.6640625" style="95" customWidth="1"/>
    <col min="7947" max="7947" width="6.6640625" style="95" customWidth="1"/>
    <col min="7948" max="7948" width="7.6640625" style="95" customWidth="1"/>
    <col min="7949" max="7949" width="1.6640625" style="95" customWidth="1"/>
    <col min="7950" max="7950" width="6.6640625" style="95" customWidth="1"/>
    <col min="7951" max="7951" width="7.6640625" style="95" customWidth="1"/>
    <col min="7952" max="7952" width="1.6640625" style="95" customWidth="1"/>
    <col min="7953" max="7953" width="6.6640625" style="95" customWidth="1"/>
    <col min="7954" max="7954" width="7.6640625" style="95" customWidth="1"/>
    <col min="7955" max="7955" width="1.6640625" style="95" customWidth="1"/>
    <col min="7956" max="7956" width="6.6640625" style="95" customWidth="1"/>
    <col min="7957" max="7957" width="7.6640625" style="95" customWidth="1"/>
    <col min="7958" max="7958" width="1.83203125" style="95" customWidth="1"/>
    <col min="7959" max="7959" width="6.6640625" style="95" customWidth="1"/>
    <col min="7960" max="7960" width="7.6640625" style="95" customWidth="1"/>
    <col min="7961" max="7961" width="1.6640625" style="95" customWidth="1"/>
    <col min="7962" max="8192" width="9.1640625" style="95"/>
    <col min="8193" max="8193" width="11.33203125" style="95" customWidth="1"/>
    <col min="8194" max="8195" width="7.6640625" style="95" customWidth="1"/>
    <col min="8196" max="8196" width="1.6640625" style="95" customWidth="1"/>
    <col min="8197" max="8198" width="7.6640625" style="95" customWidth="1"/>
    <col min="8199" max="8199" width="1.6640625" style="95" customWidth="1"/>
    <col min="8200" max="8200" width="6.6640625" style="95" customWidth="1"/>
    <col min="8201" max="8201" width="7.6640625" style="95" customWidth="1"/>
    <col min="8202" max="8202" width="1.6640625" style="95" customWidth="1"/>
    <col min="8203" max="8203" width="6.6640625" style="95" customWidth="1"/>
    <col min="8204" max="8204" width="7.6640625" style="95" customWidth="1"/>
    <col min="8205" max="8205" width="1.6640625" style="95" customWidth="1"/>
    <col min="8206" max="8206" width="6.6640625" style="95" customWidth="1"/>
    <col min="8207" max="8207" width="7.6640625" style="95" customWidth="1"/>
    <col min="8208" max="8208" width="1.6640625" style="95" customWidth="1"/>
    <col min="8209" max="8209" width="6.6640625" style="95" customWidth="1"/>
    <col min="8210" max="8210" width="7.6640625" style="95" customWidth="1"/>
    <col min="8211" max="8211" width="1.6640625" style="95" customWidth="1"/>
    <col min="8212" max="8212" width="6.6640625" style="95" customWidth="1"/>
    <col min="8213" max="8213" width="7.6640625" style="95" customWidth="1"/>
    <col min="8214" max="8214" width="1.83203125" style="95" customWidth="1"/>
    <col min="8215" max="8215" width="6.6640625" style="95" customWidth="1"/>
    <col min="8216" max="8216" width="7.6640625" style="95" customWidth="1"/>
    <col min="8217" max="8217" width="1.6640625" style="95" customWidth="1"/>
    <col min="8218" max="8448" width="9.1640625" style="95"/>
    <col min="8449" max="8449" width="11.33203125" style="95" customWidth="1"/>
    <col min="8450" max="8451" width="7.6640625" style="95" customWidth="1"/>
    <col min="8452" max="8452" width="1.6640625" style="95" customWidth="1"/>
    <col min="8453" max="8454" width="7.6640625" style="95" customWidth="1"/>
    <col min="8455" max="8455" width="1.6640625" style="95" customWidth="1"/>
    <col min="8456" max="8456" width="6.6640625" style="95" customWidth="1"/>
    <col min="8457" max="8457" width="7.6640625" style="95" customWidth="1"/>
    <col min="8458" max="8458" width="1.6640625" style="95" customWidth="1"/>
    <col min="8459" max="8459" width="6.6640625" style="95" customWidth="1"/>
    <col min="8460" max="8460" width="7.6640625" style="95" customWidth="1"/>
    <col min="8461" max="8461" width="1.6640625" style="95" customWidth="1"/>
    <col min="8462" max="8462" width="6.6640625" style="95" customWidth="1"/>
    <col min="8463" max="8463" width="7.6640625" style="95" customWidth="1"/>
    <col min="8464" max="8464" width="1.6640625" style="95" customWidth="1"/>
    <col min="8465" max="8465" width="6.6640625" style="95" customWidth="1"/>
    <col min="8466" max="8466" width="7.6640625" style="95" customWidth="1"/>
    <col min="8467" max="8467" width="1.6640625" style="95" customWidth="1"/>
    <col min="8468" max="8468" width="6.6640625" style="95" customWidth="1"/>
    <col min="8469" max="8469" width="7.6640625" style="95" customWidth="1"/>
    <col min="8470" max="8470" width="1.83203125" style="95" customWidth="1"/>
    <col min="8471" max="8471" width="6.6640625" style="95" customWidth="1"/>
    <col min="8472" max="8472" width="7.6640625" style="95" customWidth="1"/>
    <col min="8473" max="8473" width="1.6640625" style="95" customWidth="1"/>
    <col min="8474" max="8704" width="9.1640625" style="95"/>
    <col min="8705" max="8705" width="11.33203125" style="95" customWidth="1"/>
    <col min="8706" max="8707" width="7.6640625" style="95" customWidth="1"/>
    <col min="8708" max="8708" width="1.6640625" style="95" customWidth="1"/>
    <col min="8709" max="8710" width="7.6640625" style="95" customWidth="1"/>
    <col min="8711" max="8711" width="1.6640625" style="95" customWidth="1"/>
    <col min="8712" max="8712" width="6.6640625" style="95" customWidth="1"/>
    <col min="8713" max="8713" width="7.6640625" style="95" customWidth="1"/>
    <col min="8714" max="8714" width="1.6640625" style="95" customWidth="1"/>
    <col min="8715" max="8715" width="6.6640625" style="95" customWidth="1"/>
    <col min="8716" max="8716" width="7.6640625" style="95" customWidth="1"/>
    <col min="8717" max="8717" width="1.6640625" style="95" customWidth="1"/>
    <col min="8718" max="8718" width="6.6640625" style="95" customWidth="1"/>
    <col min="8719" max="8719" width="7.6640625" style="95" customWidth="1"/>
    <col min="8720" max="8720" width="1.6640625" style="95" customWidth="1"/>
    <col min="8721" max="8721" width="6.6640625" style="95" customWidth="1"/>
    <col min="8722" max="8722" width="7.6640625" style="95" customWidth="1"/>
    <col min="8723" max="8723" width="1.6640625" style="95" customWidth="1"/>
    <col min="8724" max="8724" width="6.6640625" style="95" customWidth="1"/>
    <col min="8725" max="8725" width="7.6640625" style="95" customWidth="1"/>
    <col min="8726" max="8726" width="1.83203125" style="95" customWidth="1"/>
    <col min="8727" max="8727" width="6.6640625" style="95" customWidth="1"/>
    <col min="8728" max="8728" width="7.6640625" style="95" customWidth="1"/>
    <col min="8729" max="8729" width="1.6640625" style="95" customWidth="1"/>
    <col min="8730" max="8960" width="9.1640625" style="95"/>
    <col min="8961" max="8961" width="11.33203125" style="95" customWidth="1"/>
    <col min="8962" max="8963" width="7.6640625" style="95" customWidth="1"/>
    <col min="8964" max="8964" width="1.6640625" style="95" customWidth="1"/>
    <col min="8965" max="8966" width="7.6640625" style="95" customWidth="1"/>
    <col min="8967" max="8967" width="1.6640625" style="95" customWidth="1"/>
    <col min="8968" max="8968" width="6.6640625" style="95" customWidth="1"/>
    <col min="8969" max="8969" width="7.6640625" style="95" customWidth="1"/>
    <col min="8970" max="8970" width="1.6640625" style="95" customWidth="1"/>
    <col min="8971" max="8971" width="6.6640625" style="95" customWidth="1"/>
    <col min="8972" max="8972" width="7.6640625" style="95" customWidth="1"/>
    <col min="8973" max="8973" width="1.6640625" style="95" customWidth="1"/>
    <col min="8974" max="8974" width="6.6640625" style="95" customWidth="1"/>
    <col min="8975" max="8975" width="7.6640625" style="95" customWidth="1"/>
    <col min="8976" max="8976" width="1.6640625" style="95" customWidth="1"/>
    <col min="8977" max="8977" width="6.6640625" style="95" customWidth="1"/>
    <col min="8978" max="8978" width="7.6640625" style="95" customWidth="1"/>
    <col min="8979" max="8979" width="1.6640625" style="95" customWidth="1"/>
    <col min="8980" max="8980" width="6.6640625" style="95" customWidth="1"/>
    <col min="8981" max="8981" width="7.6640625" style="95" customWidth="1"/>
    <col min="8982" max="8982" width="1.83203125" style="95" customWidth="1"/>
    <col min="8983" max="8983" width="6.6640625" style="95" customWidth="1"/>
    <col min="8984" max="8984" width="7.6640625" style="95" customWidth="1"/>
    <col min="8985" max="8985" width="1.6640625" style="95" customWidth="1"/>
    <col min="8986" max="9216" width="9.1640625" style="95"/>
    <col min="9217" max="9217" width="11.33203125" style="95" customWidth="1"/>
    <col min="9218" max="9219" width="7.6640625" style="95" customWidth="1"/>
    <col min="9220" max="9220" width="1.6640625" style="95" customWidth="1"/>
    <col min="9221" max="9222" width="7.6640625" style="95" customWidth="1"/>
    <col min="9223" max="9223" width="1.6640625" style="95" customWidth="1"/>
    <col min="9224" max="9224" width="6.6640625" style="95" customWidth="1"/>
    <col min="9225" max="9225" width="7.6640625" style="95" customWidth="1"/>
    <col min="9226" max="9226" width="1.6640625" style="95" customWidth="1"/>
    <col min="9227" max="9227" width="6.6640625" style="95" customWidth="1"/>
    <col min="9228" max="9228" width="7.6640625" style="95" customWidth="1"/>
    <col min="9229" max="9229" width="1.6640625" style="95" customWidth="1"/>
    <col min="9230" max="9230" width="6.6640625" style="95" customWidth="1"/>
    <col min="9231" max="9231" width="7.6640625" style="95" customWidth="1"/>
    <col min="9232" max="9232" width="1.6640625" style="95" customWidth="1"/>
    <col min="9233" max="9233" width="6.6640625" style="95" customWidth="1"/>
    <col min="9234" max="9234" width="7.6640625" style="95" customWidth="1"/>
    <col min="9235" max="9235" width="1.6640625" style="95" customWidth="1"/>
    <col min="9236" max="9236" width="6.6640625" style="95" customWidth="1"/>
    <col min="9237" max="9237" width="7.6640625" style="95" customWidth="1"/>
    <col min="9238" max="9238" width="1.83203125" style="95" customWidth="1"/>
    <col min="9239" max="9239" width="6.6640625" style="95" customWidth="1"/>
    <col min="9240" max="9240" width="7.6640625" style="95" customWidth="1"/>
    <col min="9241" max="9241" width="1.6640625" style="95" customWidth="1"/>
    <col min="9242" max="9472" width="9.1640625" style="95"/>
    <col min="9473" max="9473" width="11.33203125" style="95" customWidth="1"/>
    <col min="9474" max="9475" width="7.6640625" style="95" customWidth="1"/>
    <col min="9476" max="9476" width="1.6640625" style="95" customWidth="1"/>
    <col min="9477" max="9478" width="7.6640625" style="95" customWidth="1"/>
    <col min="9479" max="9479" width="1.6640625" style="95" customWidth="1"/>
    <col min="9480" max="9480" width="6.6640625" style="95" customWidth="1"/>
    <col min="9481" max="9481" width="7.6640625" style="95" customWidth="1"/>
    <col min="9482" max="9482" width="1.6640625" style="95" customWidth="1"/>
    <col min="9483" max="9483" width="6.6640625" style="95" customWidth="1"/>
    <col min="9484" max="9484" width="7.6640625" style="95" customWidth="1"/>
    <col min="9485" max="9485" width="1.6640625" style="95" customWidth="1"/>
    <col min="9486" max="9486" width="6.6640625" style="95" customWidth="1"/>
    <col min="9487" max="9487" width="7.6640625" style="95" customWidth="1"/>
    <col min="9488" max="9488" width="1.6640625" style="95" customWidth="1"/>
    <col min="9489" max="9489" width="6.6640625" style="95" customWidth="1"/>
    <col min="9490" max="9490" width="7.6640625" style="95" customWidth="1"/>
    <col min="9491" max="9491" width="1.6640625" style="95" customWidth="1"/>
    <col min="9492" max="9492" width="6.6640625" style="95" customWidth="1"/>
    <col min="9493" max="9493" width="7.6640625" style="95" customWidth="1"/>
    <col min="9494" max="9494" width="1.83203125" style="95" customWidth="1"/>
    <col min="9495" max="9495" width="6.6640625" style="95" customWidth="1"/>
    <col min="9496" max="9496" width="7.6640625" style="95" customWidth="1"/>
    <col min="9497" max="9497" width="1.6640625" style="95" customWidth="1"/>
    <col min="9498" max="9728" width="9.1640625" style="95"/>
    <col min="9729" max="9729" width="11.33203125" style="95" customWidth="1"/>
    <col min="9730" max="9731" width="7.6640625" style="95" customWidth="1"/>
    <col min="9732" max="9732" width="1.6640625" style="95" customWidth="1"/>
    <col min="9733" max="9734" width="7.6640625" style="95" customWidth="1"/>
    <col min="9735" max="9735" width="1.6640625" style="95" customWidth="1"/>
    <col min="9736" max="9736" width="6.6640625" style="95" customWidth="1"/>
    <col min="9737" max="9737" width="7.6640625" style="95" customWidth="1"/>
    <col min="9738" max="9738" width="1.6640625" style="95" customWidth="1"/>
    <col min="9739" max="9739" width="6.6640625" style="95" customWidth="1"/>
    <col min="9740" max="9740" width="7.6640625" style="95" customWidth="1"/>
    <col min="9741" max="9741" width="1.6640625" style="95" customWidth="1"/>
    <col min="9742" max="9742" width="6.6640625" style="95" customWidth="1"/>
    <col min="9743" max="9743" width="7.6640625" style="95" customWidth="1"/>
    <col min="9744" max="9744" width="1.6640625" style="95" customWidth="1"/>
    <col min="9745" max="9745" width="6.6640625" style="95" customWidth="1"/>
    <col min="9746" max="9746" width="7.6640625" style="95" customWidth="1"/>
    <col min="9747" max="9747" width="1.6640625" style="95" customWidth="1"/>
    <col min="9748" max="9748" width="6.6640625" style="95" customWidth="1"/>
    <col min="9749" max="9749" width="7.6640625" style="95" customWidth="1"/>
    <col min="9750" max="9750" width="1.83203125" style="95" customWidth="1"/>
    <col min="9751" max="9751" width="6.6640625" style="95" customWidth="1"/>
    <col min="9752" max="9752" width="7.6640625" style="95" customWidth="1"/>
    <col min="9753" max="9753" width="1.6640625" style="95" customWidth="1"/>
    <col min="9754" max="9984" width="9.1640625" style="95"/>
    <col min="9985" max="9985" width="11.33203125" style="95" customWidth="1"/>
    <col min="9986" max="9987" width="7.6640625" style="95" customWidth="1"/>
    <col min="9988" max="9988" width="1.6640625" style="95" customWidth="1"/>
    <col min="9989" max="9990" width="7.6640625" style="95" customWidth="1"/>
    <col min="9991" max="9991" width="1.6640625" style="95" customWidth="1"/>
    <col min="9992" max="9992" width="6.6640625" style="95" customWidth="1"/>
    <col min="9993" max="9993" width="7.6640625" style="95" customWidth="1"/>
    <col min="9994" max="9994" width="1.6640625" style="95" customWidth="1"/>
    <col min="9995" max="9995" width="6.6640625" style="95" customWidth="1"/>
    <col min="9996" max="9996" width="7.6640625" style="95" customWidth="1"/>
    <col min="9997" max="9997" width="1.6640625" style="95" customWidth="1"/>
    <col min="9998" max="9998" width="6.6640625" style="95" customWidth="1"/>
    <col min="9999" max="9999" width="7.6640625" style="95" customWidth="1"/>
    <col min="10000" max="10000" width="1.6640625" style="95" customWidth="1"/>
    <col min="10001" max="10001" width="6.6640625" style="95" customWidth="1"/>
    <col min="10002" max="10002" width="7.6640625" style="95" customWidth="1"/>
    <col min="10003" max="10003" width="1.6640625" style="95" customWidth="1"/>
    <col min="10004" max="10004" width="6.6640625" style="95" customWidth="1"/>
    <col min="10005" max="10005" width="7.6640625" style="95" customWidth="1"/>
    <col min="10006" max="10006" width="1.83203125" style="95" customWidth="1"/>
    <col min="10007" max="10007" width="6.6640625" style="95" customWidth="1"/>
    <col min="10008" max="10008" width="7.6640625" style="95" customWidth="1"/>
    <col min="10009" max="10009" width="1.6640625" style="95" customWidth="1"/>
    <col min="10010" max="10240" width="9.1640625" style="95"/>
    <col min="10241" max="10241" width="11.33203125" style="95" customWidth="1"/>
    <col min="10242" max="10243" width="7.6640625" style="95" customWidth="1"/>
    <col min="10244" max="10244" width="1.6640625" style="95" customWidth="1"/>
    <col min="10245" max="10246" width="7.6640625" style="95" customWidth="1"/>
    <col min="10247" max="10247" width="1.6640625" style="95" customWidth="1"/>
    <col min="10248" max="10248" width="6.6640625" style="95" customWidth="1"/>
    <col min="10249" max="10249" width="7.6640625" style="95" customWidth="1"/>
    <col min="10250" max="10250" width="1.6640625" style="95" customWidth="1"/>
    <col min="10251" max="10251" width="6.6640625" style="95" customWidth="1"/>
    <col min="10252" max="10252" width="7.6640625" style="95" customWidth="1"/>
    <col min="10253" max="10253" width="1.6640625" style="95" customWidth="1"/>
    <col min="10254" max="10254" width="6.6640625" style="95" customWidth="1"/>
    <col min="10255" max="10255" width="7.6640625" style="95" customWidth="1"/>
    <col min="10256" max="10256" width="1.6640625" style="95" customWidth="1"/>
    <col min="10257" max="10257" width="6.6640625" style="95" customWidth="1"/>
    <col min="10258" max="10258" width="7.6640625" style="95" customWidth="1"/>
    <col min="10259" max="10259" width="1.6640625" style="95" customWidth="1"/>
    <col min="10260" max="10260" width="6.6640625" style="95" customWidth="1"/>
    <col min="10261" max="10261" width="7.6640625" style="95" customWidth="1"/>
    <col min="10262" max="10262" width="1.83203125" style="95" customWidth="1"/>
    <col min="10263" max="10263" width="6.6640625" style="95" customWidth="1"/>
    <col min="10264" max="10264" width="7.6640625" style="95" customWidth="1"/>
    <col min="10265" max="10265" width="1.6640625" style="95" customWidth="1"/>
    <col min="10266" max="10496" width="9.1640625" style="95"/>
    <col min="10497" max="10497" width="11.33203125" style="95" customWidth="1"/>
    <col min="10498" max="10499" width="7.6640625" style="95" customWidth="1"/>
    <col min="10500" max="10500" width="1.6640625" style="95" customWidth="1"/>
    <col min="10501" max="10502" width="7.6640625" style="95" customWidth="1"/>
    <col min="10503" max="10503" width="1.6640625" style="95" customWidth="1"/>
    <col min="10504" max="10504" width="6.6640625" style="95" customWidth="1"/>
    <col min="10505" max="10505" width="7.6640625" style="95" customWidth="1"/>
    <col min="10506" max="10506" width="1.6640625" style="95" customWidth="1"/>
    <col min="10507" max="10507" width="6.6640625" style="95" customWidth="1"/>
    <col min="10508" max="10508" width="7.6640625" style="95" customWidth="1"/>
    <col min="10509" max="10509" width="1.6640625" style="95" customWidth="1"/>
    <col min="10510" max="10510" width="6.6640625" style="95" customWidth="1"/>
    <col min="10511" max="10511" width="7.6640625" style="95" customWidth="1"/>
    <col min="10512" max="10512" width="1.6640625" style="95" customWidth="1"/>
    <col min="10513" max="10513" width="6.6640625" style="95" customWidth="1"/>
    <col min="10514" max="10514" width="7.6640625" style="95" customWidth="1"/>
    <col min="10515" max="10515" width="1.6640625" style="95" customWidth="1"/>
    <col min="10516" max="10516" width="6.6640625" style="95" customWidth="1"/>
    <col min="10517" max="10517" width="7.6640625" style="95" customWidth="1"/>
    <col min="10518" max="10518" width="1.83203125" style="95" customWidth="1"/>
    <col min="10519" max="10519" width="6.6640625" style="95" customWidth="1"/>
    <col min="10520" max="10520" width="7.6640625" style="95" customWidth="1"/>
    <col min="10521" max="10521" width="1.6640625" style="95" customWidth="1"/>
    <col min="10522" max="10752" width="9.1640625" style="95"/>
    <col min="10753" max="10753" width="11.33203125" style="95" customWidth="1"/>
    <col min="10754" max="10755" width="7.6640625" style="95" customWidth="1"/>
    <col min="10756" max="10756" width="1.6640625" style="95" customWidth="1"/>
    <col min="10757" max="10758" width="7.6640625" style="95" customWidth="1"/>
    <col min="10759" max="10759" width="1.6640625" style="95" customWidth="1"/>
    <col min="10760" max="10760" width="6.6640625" style="95" customWidth="1"/>
    <col min="10761" max="10761" width="7.6640625" style="95" customWidth="1"/>
    <col min="10762" max="10762" width="1.6640625" style="95" customWidth="1"/>
    <col min="10763" max="10763" width="6.6640625" style="95" customWidth="1"/>
    <col min="10764" max="10764" width="7.6640625" style="95" customWidth="1"/>
    <col min="10765" max="10765" width="1.6640625" style="95" customWidth="1"/>
    <col min="10766" max="10766" width="6.6640625" style="95" customWidth="1"/>
    <col min="10767" max="10767" width="7.6640625" style="95" customWidth="1"/>
    <col min="10768" max="10768" width="1.6640625" style="95" customWidth="1"/>
    <col min="10769" max="10769" width="6.6640625" style="95" customWidth="1"/>
    <col min="10770" max="10770" width="7.6640625" style="95" customWidth="1"/>
    <col min="10771" max="10771" width="1.6640625" style="95" customWidth="1"/>
    <col min="10772" max="10772" width="6.6640625" style="95" customWidth="1"/>
    <col min="10773" max="10773" width="7.6640625" style="95" customWidth="1"/>
    <col min="10774" max="10774" width="1.83203125" style="95" customWidth="1"/>
    <col min="10775" max="10775" width="6.6640625" style="95" customWidth="1"/>
    <col min="10776" max="10776" width="7.6640625" style="95" customWidth="1"/>
    <col min="10777" max="10777" width="1.6640625" style="95" customWidth="1"/>
    <col min="10778" max="11008" width="9.1640625" style="95"/>
    <col min="11009" max="11009" width="11.33203125" style="95" customWidth="1"/>
    <col min="11010" max="11011" width="7.6640625" style="95" customWidth="1"/>
    <col min="11012" max="11012" width="1.6640625" style="95" customWidth="1"/>
    <col min="11013" max="11014" width="7.6640625" style="95" customWidth="1"/>
    <col min="11015" max="11015" width="1.6640625" style="95" customWidth="1"/>
    <col min="11016" max="11016" width="6.6640625" style="95" customWidth="1"/>
    <col min="11017" max="11017" width="7.6640625" style="95" customWidth="1"/>
    <col min="11018" max="11018" width="1.6640625" style="95" customWidth="1"/>
    <col min="11019" max="11019" width="6.6640625" style="95" customWidth="1"/>
    <col min="11020" max="11020" width="7.6640625" style="95" customWidth="1"/>
    <col min="11021" max="11021" width="1.6640625" style="95" customWidth="1"/>
    <col min="11022" max="11022" width="6.6640625" style="95" customWidth="1"/>
    <col min="11023" max="11023" width="7.6640625" style="95" customWidth="1"/>
    <col min="11024" max="11024" width="1.6640625" style="95" customWidth="1"/>
    <col min="11025" max="11025" width="6.6640625" style="95" customWidth="1"/>
    <col min="11026" max="11026" width="7.6640625" style="95" customWidth="1"/>
    <col min="11027" max="11027" width="1.6640625" style="95" customWidth="1"/>
    <col min="11028" max="11028" width="6.6640625" style="95" customWidth="1"/>
    <col min="11029" max="11029" width="7.6640625" style="95" customWidth="1"/>
    <col min="11030" max="11030" width="1.83203125" style="95" customWidth="1"/>
    <col min="11031" max="11031" width="6.6640625" style="95" customWidth="1"/>
    <col min="11032" max="11032" width="7.6640625" style="95" customWidth="1"/>
    <col min="11033" max="11033" width="1.6640625" style="95" customWidth="1"/>
    <col min="11034" max="11264" width="9.1640625" style="95"/>
    <col min="11265" max="11265" width="11.33203125" style="95" customWidth="1"/>
    <col min="11266" max="11267" width="7.6640625" style="95" customWidth="1"/>
    <col min="11268" max="11268" width="1.6640625" style="95" customWidth="1"/>
    <col min="11269" max="11270" width="7.6640625" style="95" customWidth="1"/>
    <col min="11271" max="11271" width="1.6640625" style="95" customWidth="1"/>
    <col min="11272" max="11272" width="6.6640625" style="95" customWidth="1"/>
    <col min="11273" max="11273" width="7.6640625" style="95" customWidth="1"/>
    <col min="11274" max="11274" width="1.6640625" style="95" customWidth="1"/>
    <col min="11275" max="11275" width="6.6640625" style="95" customWidth="1"/>
    <col min="11276" max="11276" width="7.6640625" style="95" customWidth="1"/>
    <col min="11277" max="11277" width="1.6640625" style="95" customWidth="1"/>
    <col min="11278" max="11278" width="6.6640625" style="95" customWidth="1"/>
    <col min="11279" max="11279" width="7.6640625" style="95" customWidth="1"/>
    <col min="11280" max="11280" width="1.6640625" style="95" customWidth="1"/>
    <col min="11281" max="11281" width="6.6640625" style="95" customWidth="1"/>
    <col min="11282" max="11282" width="7.6640625" style="95" customWidth="1"/>
    <col min="11283" max="11283" width="1.6640625" style="95" customWidth="1"/>
    <col min="11284" max="11284" width="6.6640625" style="95" customWidth="1"/>
    <col min="11285" max="11285" width="7.6640625" style="95" customWidth="1"/>
    <col min="11286" max="11286" width="1.83203125" style="95" customWidth="1"/>
    <col min="11287" max="11287" width="6.6640625" style="95" customWidth="1"/>
    <col min="11288" max="11288" width="7.6640625" style="95" customWidth="1"/>
    <col min="11289" max="11289" width="1.6640625" style="95" customWidth="1"/>
    <col min="11290" max="11520" width="9.1640625" style="95"/>
    <col min="11521" max="11521" width="11.33203125" style="95" customWidth="1"/>
    <col min="11522" max="11523" width="7.6640625" style="95" customWidth="1"/>
    <col min="11524" max="11524" width="1.6640625" style="95" customWidth="1"/>
    <col min="11525" max="11526" width="7.6640625" style="95" customWidth="1"/>
    <col min="11527" max="11527" width="1.6640625" style="95" customWidth="1"/>
    <col min="11528" max="11528" width="6.6640625" style="95" customWidth="1"/>
    <col min="11529" max="11529" width="7.6640625" style="95" customWidth="1"/>
    <col min="11530" max="11530" width="1.6640625" style="95" customWidth="1"/>
    <col min="11531" max="11531" width="6.6640625" style="95" customWidth="1"/>
    <col min="11532" max="11532" width="7.6640625" style="95" customWidth="1"/>
    <col min="11533" max="11533" width="1.6640625" style="95" customWidth="1"/>
    <col min="11534" max="11534" width="6.6640625" style="95" customWidth="1"/>
    <col min="11535" max="11535" width="7.6640625" style="95" customWidth="1"/>
    <col min="11536" max="11536" width="1.6640625" style="95" customWidth="1"/>
    <col min="11537" max="11537" width="6.6640625" style="95" customWidth="1"/>
    <col min="11538" max="11538" width="7.6640625" style="95" customWidth="1"/>
    <col min="11539" max="11539" width="1.6640625" style="95" customWidth="1"/>
    <col min="11540" max="11540" width="6.6640625" style="95" customWidth="1"/>
    <col min="11541" max="11541" width="7.6640625" style="95" customWidth="1"/>
    <col min="11542" max="11542" width="1.83203125" style="95" customWidth="1"/>
    <col min="11543" max="11543" width="6.6640625" style="95" customWidth="1"/>
    <col min="11544" max="11544" width="7.6640625" style="95" customWidth="1"/>
    <col min="11545" max="11545" width="1.6640625" style="95" customWidth="1"/>
    <col min="11546" max="11776" width="9.1640625" style="95"/>
    <col min="11777" max="11777" width="11.33203125" style="95" customWidth="1"/>
    <col min="11778" max="11779" width="7.6640625" style="95" customWidth="1"/>
    <col min="11780" max="11780" width="1.6640625" style="95" customWidth="1"/>
    <col min="11781" max="11782" width="7.6640625" style="95" customWidth="1"/>
    <col min="11783" max="11783" width="1.6640625" style="95" customWidth="1"/>
    <col min="11784" max="11784" width="6.6640625" style="95" customWidth="1"/>
    <col min="11785" max="11785" width="7.6640625" style="95" customWidth="1"/>
    <col min="11786" max="11786" width="1.6640625" style="95" customWidth="1"/>
    <col min="11787" max="11787" width="6.6640625" style="95" customWidth="1"/>
    <col min="11788" max="11788" width="7.6640625" style="95" customWidth="1"/>
    <col min="11789" max="11789" width="1.6640625" style="95" customWidth="1"/>
    <col min="11790" max="11790" width="6.6640625" style="95" customWidth="1"/>
    <col min="11791" max="11791" width="7.6640625" style="95" customWidth="1"/>
    <col min="11792" max="11792" width="1.6640625" style="95" customWidth="1"/>
    <col min="11793" max="11793" width="6.6640625" style="95" customWidth="1"/>
    <col min="11794" max="11794" width="7.6640625" style="95" customWidth="1"/>
    <col min="11795" max="11795" width="1.6640625" style="95" customWidth="1"/>
    <col min="11796" max="11796" width="6.6640625" style="95" customWidth="1"/>
    <col min="11797" max="11797" width="7.6640625" style="95" customWidth="1"/>
    <col min="11798" max="11798" width="1.83203125" style="95" customWidth="1"/>
    <col min="11799" max="11799" width="6.6640625" style="95" customWidth="1"/>
    <col min="11800" max="11800" width="7.6640625" style="95" customWidth="1"/>
    <col min="11801" max="11801" width="1.6640625" style="95" customWidth="1"/>
    <col min="11802" max="12032" width="9.1640625" style="95"/>
    <col min="12033" max="12033" width="11.33203125" style="95" customWidth="1"/>
    <col min="12034" max="12035" width="7.6640625" style="95" customWidth="1"/>
    <col min="12036" max="12036" width="1.6640625" style="95" customWidth="1"/>
    <col min="12037" max="12038" width="7.6640625" style="95" customWidth="1"/>
    <col min="12039" max="12039" width="1.6640625" style="95" customWidth="1"/>
    <col min="12040" max="12040" width="6.6640625" style="95" customWidth="1"/>
    <col min="12041" max="12041" width="7.6640625" style="95" customWidth="1"/>
    <col min="12042" max="12042" width="1.6640625" style="95" customWidth="1"/>
    <col min="12043" max="12043" width="6.6640625" style="95" customWidth="1"/>
    <col min="12044" max="12044" width="7.6640625" style="95" customWidth="1"/>
    <col min="12045" max="12045" width="1.6640625" style="95" customWidth="1"/>
    <col min="12046" max="12046" width="6.6640625" style="95" customWidth="1"/>
    <col min="12047" max="12047" width="7.6640625" style="95" customWidth="1"/>
    <col min="12048" max="12048" width="1.6640625" style="95" customWidth="1"/>
    <col min="12049" max="12049" width="6.6640625" style="95" customWidth="1"/>
    <col min="12050" max="12050" width="7.6640625" style="95" customWidth="1"/>
    <col min="12051" max="12051" width="1.6640625" style="95" customWidth="1"/>
    <col min="12052" max="12052" width="6.6640625" style="95" customWidth="1"/>
    <col min="12053" max="12053" width="7.6640625" style="95" customWidth="1"/>
    <col min="12054" max="12054" width="1.83203125" style="95" customWidth="1"/>
    <col min="12055" max="12055" width="6.6640625" style="95" customWidth="1"/>
    <col min="12056" max="12056" width="7.6640625" style="95" customWidth="1"/>
    <col min="12057" max="12057" width="1.6640625" style="95" customWidth="1"/>
    <col min="12058" max="12288" width="9.1640625" style="95"/>
    <col min="12289" max="12289" width="11.33203125" style="95" customWidth="1"/>
    <col min="12290" max="12291" width="7.6640625" style="95" customWidth="1"/>
    <col min="12292" max="12292" width="1.6640625" style="95" customWidth="1"/>
    <col min="12293" max="12294" width="7.6640625" style="95" customWidth="1"/>
    <col min="12295" max="12295" width="1.6640625" style="95" customWidth="1"/>
    <col min="12296" max="12296" width="6.6640625" style="95" customWidth="1"/>
    <col min="12297" max="12297" width="7.6640625" style="95" customWidth="1"/>
    <col min="12298" max="12298" width="1.6640625" style="95" customWidth="1"/>
    <col min="12299" max="12299" width="6.6640625" style="95" customWidth="1"/>
    <col min="12300" max="12300" width="7.6640625" style="95" customWidth="1"/>
    <col min="12301" max="12301" width="1.6640625" style="95" customWidth="1"/>
    <col min="12302" max="12302" width="6.6640625" style="95" customWidth="1"/>
    <col min="12303" max="12303" width="7.6640625" style="95" customWidth="1"/>
    <col min="12304" max="12304" width="1.6640625" style="95" customWidth="1"/>
    <col min="12305" max="12305" width="6.6640625" style="95" customWidth="1"/>
    <col min="12306" max="12306" width="7.6640625" style="95" customWidth="1"/>
    <col min="12307" max="12307" width="1.6640625" style="95" customWidth="1"/>
    <col min="12308" max="12308" width="6.6640625" style="95" customWidth="1"/>
    <col min="12309" max="12309" width="7.6640625" style="95" customWidth="1"/>
    <col min="12310" max="12310" width="1.83203125" style="95" customWidth="1"/>
    <col min="12311" max="12311" width="6.6640625" style="95" customWidth="1"/>
    <col min="12312" max="12312" width="7.6640625" style="95" customWidth="1"/>
    <col min="12313" max="12313" width="1.6640625" style="95" customWidth="1"/>
    <col min="12314" max="12544" width="9.1640625" style="95"/>
    <col min="12545" max="12545" width="11.33203125" style="95" customWidth="1"/>
    <col min="12546" max="12547" width="7.6640625" style="95" customWidth="1"/>
    <col min="12548" max="12548" width="1.6640625" style="95" customWidth="1"/>
    <col min="12549" max="12550" width="7.6640625" style="95" customWidth="1"/>
    <col min="12551" max="12551" width="1.6640625" style="95" customWidth="1"/>
    <col min="12552" max="12552" width="6.6640625" style="95" customWidth="1"/>
    <col min="12553" max="12553" width="7.6640625" style="95" customWidth="1"/>
    <col min="12554" max="12554" width="1.6640625" style="95" customWidth="1"/>
    <col min="12555" max="12555" width="6.6640625" style="95" customWidth="1"/>
    <col min="12556" max="12556" width="7.6640625" style="95" customWidth="1"/>
    <col min="12557" max="12557" width="1.6640625" style="95" customWidth="1"/>
    <col min="12558" max="12558" width="6.6640625" style="95" customWidth="1"/>
    <col min="12559" max="12559" width="7.6640625" style="95" customWidth="1"/>
    <col min="12560" max="12560" width="1.6640625" style="95" customWidth="1"/>
    <col min="12561" max="12561" width="6.6640625" style="95" customWidth="1"/>
    <col min="12562" max="12562" width="7.6640625" style="95" customWidth="1"/>
    <col min="12563" max="12563" width="1.6640625" style="95" customWidth="1"/>
    <col min="12564" max="12564" width="6.6640625" style="95" customWidth="1"/>
    <col min="12565" max="12565" width="7.6640625" style="95" customWidth="1"/>
    <col min="12566" max="12566" width="1.83203125" style="95" customWidth="1"/>
    <col min="12567" max="12567" width="6.6640625" style="95" customWidth="1"/>
    <col min="12568" max="12568" width="7.6640625" style="95" customWidth="1"/>
    <col min="12569" max="12569" width="1.6640625" style="95" customWidth="1"/>
    <col min="12570" max="12800" width="9.1640625" style="95"/>
    <col min="12801" max="12801" width="11.33203125" style="95" customWidth="1"/>
    <col min="12802" max="12803" width="7.6640625" style="95" customWidth="1"/>
    <col min="12804" max="12804" width="1.6640625" style="95" customWidth="1"/>
    <col min="12805" max="12806" width="7.6640625" style="95" customWidth="1"/>
    <col min="12807" max="12807" width="1.6640625" style="95" customWidth="1"/>
    <col min="12808" max="12808" width="6.6640625" style="95" customWidth="1"/>
    <col min="12809" max="12809" width="7.6640625" style="95" customWidth="1"/>
    <col min="12810" max="12810" width="1.6640625" style="95" customWidth="1"/>
    <col min="12811" max="12811" width="6.6640625" style="95" customWidth="1"/>
    <col min="12812" max="12812" width="7.6640625" style="95" customWidth="1"/>
    <col min="12813" max="12813" width="1.6640625" style="95" customWidth="1"/>
    <col min="12814" max="12814" width="6.6640625" style="95" customWidth="1"/>
    <col min="12815" max="12815" width="7.6640625" style="95" customWidth="1"/>
    <col min="12816" max="12816" width="1.6640625" style="95" customWidth="1"/>
    <col min="12817" max="12817" width="6.6640625" style="95" customWidth="1"/>
    <col min="12818" max="12818" width="7.6640625" style="95" customWidth="1"/>
    <col min="12819" max="12819" width="1.6640625" style="95" customWidth="1"/>
    <col min="12820" max="12820" width="6.6640625" style="95" customWidth="1"/>
    <col min="12821" max="12821" width="7.6640625" style="95" customWidth="1"/>
    <col min="12822" max="12822" width="1.83203125" style="95" customWidth="1"/>
    <col min="12823" max="12823" width="6.6640625" style="95" customWidth="1"/>
    <col min="12824" max="12824" width="7.6640625" style="95" customWidth="1"/>
    <col min="12825" max="12825" width="1.6640625" style="95" customWidth="1"/>
    <col min="12826" max="13056" width="9.1640625" style="95"/>
    <col min="13057" max="13057" width="11.33203125" style="95" customWidth="1"/>
    <col min="13058" max="13059" width="7.6640625" style="95" customWidth="1"/>
    <col min="13060" max="13060" width="1.6640625" style="95" customWidth="1"/>
    <col min="13061" max="13062" width="7.6640625" style="95" customWidth="1"/>
    <col min="13063" max="13063" width="1.6640625" style="95" customWidth="1"/>
    <col min="13064" max="13064" width="6.6640625" style="95" customWidth="1"/>
    <col min="13065" max="13065" width="7.6640625" style="95" customWidth="1"/>
    <col min="13066" max="13066" width="1.6640625" style="95" customWidth="1"/>
    <col min="13067" max="13067" width="6.6640625" style="95" customWidth="1"/>
    <col min="13068" max="13068" width="7.6640625" style="95" customWidth="1"/>
    <col min="13069" max="13069" width="1.6640625" style="95" customWidth="1"/>
    <col min="13070" max="13070" width="6.6640625" style="95" customWidth="1"/>
    <col min="13071" max="13071" width="7.6640625" style="95" customWidth="1"/>
    <col min="13072" max="13072" width="1.6640625" style="95" customWidth="1"/>
    <col min="13073" max="13073" width="6.6640625" style="95" customWidth="1"/>
    <col min="13074" max="13074" width="7.6640625" style="95" customWidth="1"/>
    <col min="13075" max="13075" width="1.6640625" style="95" customWidth="1"/>
    <col min="13076" max="13076" width="6.6640625" style="95" customWidth="1"/>
    <col min="13077" max="13077" width="7.6640625" style="95" customWidth="1"/>
    <col min="13078" max="13078" width="1.83203125" style="95" customWidth="1"/>
    <col min="13079" max="13079" width="6.6640625" style="95" customWidth="1"/>
    <col min="13080" max="13080" width="7.6640625" style="95" customWidth="1"/>
    <col min="13081" max="13081" width="1.6640625" style="95" customWidth="1"/>
    <col min="13082" max="13312" width="9.1640625" style="95"/>
    <col min="13313" max="13313" width="11.33203125" style="95" customWidth="1"/>
    <col min="13314" max="13315" width="7.6640625" style="95" customWidth="1"/>
    <col min="13316" max="13316" width="1.6640625" style="95" customWidth="1"/>
    <col min="13317" max="13318" width="7.6640625" style="95" customWidth="1"/>
    <col min="13319" max="13319" width="1.6640625" style="95" customWidth="1"/>
    <col min="13320" max="13320" width="6.6640625" style="95" customWidth="1"/>
    <col min="13321" max="13321" width="7.6640625" style="95" customWidth="1"/>
    <col min="13322" max="13322" width="1.6640625" style="95" customWidth="1"/>
    <col min="13323" max="13323" width="6.6640625" style="95" customWidth="1"/>
    <col min="13324" max="13324" width="7.6640625" style="95" customWidth="1"/>
    <col min="13325" max="13325" width="1.6640625" style="95" customWidth="1"/>
    <col min="13326" max="13326" width="6.6640625" style="95" customWidth="1"/>
    <col min="13327" max="13327" width="7.6640625" style="95" customWidth="1"/>
    <col min="13328" max="13328" width="1.6640625" style="95" customWidth="1"/>
    <col min="13329" max="13329" width="6.6640625" style="95" customWidth="1"/>
    <col min="13330" max="13330" width="7.6640625" style="95" customWidth="1"/>
    <col min="13331" max="13331" width="1.6640625" style="95" customWidth="1"/>
    <col min="13332" max="13332" width="6.6640625" style="95" customWidth="1"/>
    <col min="13333" max="13333" width="7.6640625" style="95" customWidth="1"/>
    <col min="13334" max="13334" width="1.83203125" style="95" customWidth="1"/>
    <col min="13335" max="13335" width="6.6640625" style="95" customWidth="1"/>
    <col min="13336" max="13336" width="7.6640625" style="95" customWidth="1"/>
    <col min="13337" max="13337" width="1.6640625" style="95" customWidth="1"/>
    <col min="13338" max="13568" width="9.1640625" style="95"/>
    <col min="13569" max="13569" width="11.33203125" style="95" customWidth="1"/>
    <col min="13570" max="13571" width="7.6640625" style="95" customWidth="1"/>
    <col min="13572" max="13572" width="1.6640625" style="95" customWidth="1"/>
    <col min="13573" max="13574" width="7.6640625" style="95" customWidth="1"/>
    <col min="13575" max="13575" width="1.6640625" style="95" customWidth="1"/>
    <col min="13576" max="13576" width="6.6640625" style="95" customWidth="1"/>
    <col min="13577" max="13577" width="7.6640625" style="95" customWidth="1"/>
    <col min="13578" max="13578" width="1.6640625" style="95" customWidth="1"/>
    <col min="13579" max="13579" width="6.6640625" style="95" customWidth="1"/>
    <col min="13580" max="13580" width="7.6640625" style="95" customWidth="1"/>
    <col min="13581" max="13581" width="1.6640625" style="95" customWidth="1"/>
    <col min="13582" max="13582" width="6.6640625" style="95" customWidth="1"/>
    <col min="13583" max="13583" width="7.6640625" style="95" customWidth="1"/>
    <col min="13584" max="13584" width="1.6640625" style="95" customWidth="1"/>
    <col min="13585" max="13585" width="6.6640625" style="95" customWidth="1"/>
    <col min="13586" max="13586" width="7.6640625" style="95" customWidth="1"/>
    <col min="13587" max="13587" width="1.6640625" style="95" customWidth="1"/>
    <col min="13588" max="13588" width="6.6640625" style="95" customWidth="1"/>
    <col min="13589" max="13589" width="7.6640625" style="95" customWidth="1"/>
    <col min="13590" max="13590" width="1.83203125" style="95" customWidth="1"/>
    <col min="13591" max="13591" width="6.6640625" style="95" customWidth="1"/>
    <col min="13592" max="13592" width="7.6640625" style="95" customWidth="1"/>
    <col min="13593" max="13593" width="1.6640625" style="95" customWidth="1"/>
    <col min="13594" max="13824" width="9.1640625" style="95"/>
    <col min="13825" max="13825" width="11.33203125" style="95" customWidth="1"/>
    <col min="13826" max="13827" width="7.6640625" style="95" customWidth="1"/>
    <col min="13828" max="13828" width="1.6640625" style="95" customWidth="1"/>
    <col min="13829" max="13830" width="7.6640625" style="95" customWidth="1"/>
    <col min="13831" max="13831" width="1.6640625" style="95" customWidth="1"/>
    <col min="13832" max="13832" width="6.6640625" style="95" customWidth="1"/>
    <col min="13833" max="13833" width="7.6640625" style="95" customWidth="1"/>
    <col min="13834" max="13834" width="1.6640625" style="95" customWidth="1"/>
    <col min="13835" max="13835" width="6.6640625" style="95" customWidth="1"/>
    <col min="13836" max="13836" width="7.6640625" style="95" customWidth="1"/>
    <col min="13837" max="13837" width="1.6640625" style="95" customWidth="1"/>
    <col min="13838" max="13838" width="6.6640625" style="95" customWidth="1"/>
    <col min="13839" max="13839" width="7.6640625" style="95" customWidth="1"/>
    <col min="13840" max="13840" width="1.6640625" style="95" customWidth="1"/>
    <col min="13841" max="13841" width="6.6640625" style="95" customWidth="1"/>
    <col min="13842" max="13842" width="7.6640625" style="95" customWidth="1"/>
    <col min="13843" max="13843" width="1.6640625" style="95" customWidth="1"/>
    <col min="13844" max="13844" width="6.6640625" style="95" customWidth="1"/>
    <col min="13845" max="13845" width="7.6640625" style="95" customWidth="1"/>
    <col min="13846" max="13846" width="1.83203125" style="95" customWidth="1"/>
    <col min="13847" max="13847" width="6.6640625" style="95" customWidth="1"/>
    <col min="13848" max="13848" width="7.6640625" style="95" customWidth="1"/>
    <col min="13849" max="13849" width="1.6640625" style="95" customWidth="1"/>
    <col min="13850" max="14080" width="9.1640625" style="95"/>
    <col min="14081" max="14081" width="11.33203125" style="95" customWidth="1"/>
    <col min="14082" max="14083" width="7.6640625" style="95" customWidth="1"/>
    <col min="14084" max="14084" width="1.6640625" style="95" customWidth="1"/>
    <col min="14085" max="14086" width="7.6640625" style="95" customWidth="1"/>
    <col min="14087" max="14087" width="1.6640625" style="95" customWidth="1"/>
    <col min="14088" max="14088" width="6.6640625" style="95" customWidth="1"/>
    <col min="14089" max="14089" width="7.6640625" style="95" customWidth="1"/>
    <col min="14090" max="14090" width="1.6640625" style="95" customWidth="1"/>
    <col min="14091" max="14091" width="6.6640625" style="95" customWidth="1"/>
    <col min="14092" max="14092" width="7.6640625" style="95" customWidth="1"/>
    <col min="14093" max="14093" width="1.6640625" style="95" customWidth="1"/>
    <col min="14094" max="14094" width="6.6640625" style="95" customWidth="1"/>
    <col min="14095" max="14095" width="7.6640625" style="95" customWidth="1"/>
    <col min="14096" max="14096" width="1.6640625" style="95" customWidth="1"/>
    <col min="14097" max="14097" width="6.6640625" style="95" customWidth="1"/>
    <col min="14098" max="14098" width="7.6640625" style="95" customWidth="1"/>
    <col min="14099" max="14099" width="1.6640625" style="95" customWidth="1"/>
    <col min="14100" max="14100" width="6.6640625" style="95" customWidth="1"/>
    <col min="14101" max="14101" width="7.6640625" style="95" customWidth="1"/>
    <col min="14102" max="14102" width="1.83203125" style="95" customWidth="1"/>
    <col min="14103" max="14103" width="6.6640625" style="95" customWidth="1"/>
    <col min="14104" max="14104" width="7.6640625" style="95" customWidth="1"/>
    <col min="14105" max="14105" width="1.6640625" style="95" customWidth="1"/>
    <col min="14106" max="14336" width="9.1640625" style="95"/>
    <col min="14337" max="14337" width="11.33203125" style="95" customWidth="1"/>
    <col min="14338" max="14339" width="7.6640625" style="95" customWidth="1"/>
    <col min="14340" max="14340" width="1.6640625" style="95" customWidth="1"/>
    <col min="14341" max="14342" width="7.6640625" style="95" customWidth="1"/>
    <col min="14343" max="14343" width="1.6640625" style="95" customWidth="1"/>
    <col min="14344" max="14344" width="6.6640625" style="95" customWidth="1"/>
    <col min="14345" max="14345" width="7.6640625" style="95" customWidth="1"/>
    <col min="14346" max="14346" width="1.6640625" style="95" customWidth="1"/>
    <col min="14347" max="14347" width="6.6640625" style="95" customWidth="1"/>
    <col min="14348" max="14348" width="7.6640625" style="95" customWidth="1"/>
    <col min="14349" max="14349" width="1.6640625" style="95" customWidth="1"/>
    <col min="14350" max="14350" width="6.6640625" style="95" customWidth="1"/>
    <col min="14351" max="14351" width="7.6640625" style="95" customWidth="1"/>
    <col min="14352" max="14352" width="1.6640625" style="95" customWidth="1"/>
    <col min="14353" max="14353" width="6.6640625" style="95" customWidth="1"/>
    <col min="14354" max="14354" width="7.6640625" style="95" customWidth="1"/>
    <col min="14355" max="14355" width="1.6640625" style="95" customWidth="1"/>
    <col min="14356" max="14356" width="6.6640625" style="95" customWidth="1"/>
    <col min="14357" max="14357" width="7.6640625" style="95" customWidth="1"/>
    <col min="14358" max="14358" width="1.83203125" style="95" customWidth="1"/>
    <col min="14359" max="14359" width="6.6640625" style="95" customWidth="1"/>
    <col min="14360" max="14360" width="7.6640625" style="95" customWidth="1"/>
    <col min="14361" max="14361" width="1.6640625" style="95" customWidth="1"/>
    <col min="14362" max="14592" width="9.1640625" style="95"/>
    <col min="14593" max="14593" width="11.33203125" style="95" customWidth="1"/>
    <col min="14594" max="14595" width="7.6640625" style="95" customWidth="1"/>
    <col min="14596" max="14596" width="1.6640625" style="95" customWidth="1"/>
    <col min="14597" max="14598" width="7.6640625" style="95" customWidth="1"/>
    <col min="14599" max="14599" width="1.6640625" style="95" customWidth="1"/>
    <col min="14600" max="14600" width="6.6640625" style="95" customWidth="1"/>
    <col min="14601" max="14601" width="7.6640625" style="95" customWidth="1"/>
    <col min="14602" max="14602" width="1.6640625" style="95" customWidth="1"/>
    <col min="14603" max="14603" width="6.6640625" style="95" customWidth="1"/>
    <col min="14604" max="14604" width="7.6640625" style="95" customWidth="1"/>
    <col min="14605" max="14605" width="1.6640625" style="95" customWidth="1"/>
    <col min="14606" max="14606" width="6.6640625" style="95" customWidth="1"/>
    <col min="14607" max="14607" width="7.6640625" style="95" customWidth="1"/>
    <col min="14608" max="14608" width="1.6640625" style="95" customWidth="1"/>
    <col min="14609" max="14609" width="6.6640625" style="95" customWidth="1"/>
    <col min="14610" max="14610" width="7.6640625" style="95" customWidth="1"/>
    <col min="14611" max="14611" width="1.6640625" style="95" customWidth="1"/>
    <col min="14612" max="14612" width="6.6640625" style="95" customWidth="1"/>
    <col min="14613" max="14613" width="7.6640625" style="95" customWidth="1"/>
    <col min="14614" max="14614" width="1.83203125" style="95" customWidth="1"/>
    <col min="14615" max="14615" width="6.6640625" style="95" customWidth="1"/>
    <col min="14616" max="14616" width="7.6640625" style="95" customWidth="1"/>
    <col min="14617" max="14617" width="1.6640625" style="95" customWidth="1"/>
    <col min="14618" max="14848" width="9.1640625" style="95"/>
    <col min="14849" max="14849" width="11.33203125" style="95" customWidth="1"/>
    <col min="14850" max="14851" width="7.6640625" style="95" customWidth="1"/>
    <col min="14852" max="14852" width="1.6640625" style="95" customWidth="1"/>
    <col min="14853" max="14854" width="7.6640625" style="95" customWidth="1"/>
    <col min="14855" max="14855" width="1.6640625" style="95" customWidth="1"/>
    <col min="14856" max="14856" width="6.6640625" style="95" customWidth="1"/>
    <col min="14857" max="14857" width="7.6640625" style="95" customWidth="1"/>
    <col min="14858" max="14858" width="1.6640625" style="95" customWidth="1"/>
    <col min="14859" max="14859" width="6.6640625" style="95" customWidth="1"/>
    <col min="14860" max="14860" width="7.6640625" style="95" customWidth="1"/>
    <col min="14861" max="14861" width="1.6640625" style="95" customWidth="1"/>
    <col min="14862" max="14862" width="6.6640625" style="95" customWidth="1"/>
    <col min="14863" max="14863" width="7.6640625" style="95" customWidth="1"/>
    <col min="14864" max="14864" width="1.6640625" style="95" customWidth="1"/>
    <col min="14865" max="14865" width="6.6640625" style="95" customWidth="1"/>
    <col min="14866" max="14866" width="7.6640625" style="95" customWidth="1"/>
    <col min="14867" max="14867" width="1.6640625" style="95" customWidth="1"/>
    <col min="14868" max="14868" width="6.6640625" style="95" customWidth="1"/>
    <col min="14869" max="14869" width="7.6640625" style="95" customWidth="1"/>
    <col min="14870" max="14870" width="1.83203125" style="95" customWidth="1"/>
    <col min="14871" max="14871" width="6.6640625" style="95" customWidth="1"/>
    <col min="14872" max="14872" width="7.6640625" style="95" customWidth="1"/>
    <col min="14873" max="14873" width="1.6640625" style="95" customWidth="1"/>
    <col min="14874" max="15104" width="9.1640625" style="95"/>
    <col min="15105" max="15105" width="11.33203125" style="95" customWidth="1"/>
    <col min="15106" max="15107" width="7.6640625" style="95" customWidth="1"/>
    <col min="15108" max="15108" width="1.6640625" style="95" customWidth="1"/>
    <col min="15109" max="15110" width="7.6640625" style="95" customWidth="1"/>
    <col min="15111" max="15111" width="1.6640625" style="95" customWidth="1"/>
    <col min="15112" max="15112" width="6.6640625" style="95" customWidth="1"/>
    <col min="15113" max="15113" width="7.6640625" style="95" customWidth="1"/>
    <col min="15114" max="15114" width="1.6640625" style="95" customWidth="1"/>
    <col min="15115" max="15115" width="6.6640625" style="95" customWidth="1"/>
    <col min="15116" max="15116" width="7.6640625" style="95" customWidth="1"/>
    <col min="15117" max="15117" width="1.6640625" style="95" customWidth="1"/>
    <col min="15118" max="15118" width="6.6640625" style="95" customWidth="1"/>
    <col min="15119" max="15119" width="7.6640625" style="95" customWidth="1"/>
    <col min="15120" max="15120" width="1.6640625" style="95" customWidth="1"/>
    <col min="15121" max="15121" width="6.6640625" style="95" customWidth="1"/>
    <col min="15122" max="15122" width="7.6640625" style="95" customWidth="1"/>
    <col min="15123" max="15123" width="1.6640625" style="95" customWidth="1"/>
    <col min="15124" max="15124" width="6.6640625" style="95" customWidth="1"/>
    <col min="15125" max="15125" width="7.6640625" style="95" customWidth="1"/>
    <col min="15126" max="15126" width="1.83203125" style="95" customWidth="1"/>
    <col min="15127" max="15127" width="6.6640625" style="95" customWidth="1"/>
    <col min="15128" max="15128" width="7.6640625" style="95" customWidth="1"/>
    <col min="15129" max="15129" width="1.6640625" style="95" customWidth="1"/>
    <col min="15130" max="15360" width="9.1640625" style="95"/>
    <col min="15361" max="15361" width="11.33203125" style="95" customWidth="1"/>
    <col min="15362" max="15363" width="7.6640625" style="95" customWidth="1"/>
    <col min="15364" max="15364" width="1.6640625" style="95" customWidth="1"/>
    <col min="15365" max="15366" width="7.6640625" style="95" customWidth="1"/>
    <col min="15367" max="15367" width="1.6640625" style="95" customWidth="1"/>
    <col min="15368" max="15368" width="6.6640625" style="95" customWidth="1"/>
    <col min="15369" max="15369" width="7.6640625" style="95" customWidth="1"/>
    <col min="15370" max="15370" width="1.6640625" style="95" customWidth="1"/>
    <col min="15371" max="15371" width="6.6640625" style="95" customWidth="1"/>
    <col min="15372" max="15372" width="7.6640625" style="95" customWidth="1"/>
    <col min="15373" max="15373" width="1.6640625" style="95" customWidth="1"/>
    <col min="15374" max="15374" width="6.6640625" style="95" customWidth="1"/>
    <col min="15375" max="15375" width="7.6640625" style="95" customWidth="1"/>
    <col min="15376" max="15376" width="1.6640625" style="95" customWidth="1"/>
    <col min="15377" max="15377" width="6.6640625" style="95" customWidth="1"/>
    <col min="15378" max="15378" width="7.6640625" style="95" customWidth="1"/>
    <col min="15379" max="15379" width="1.6640625" style="95" customWidth="1"/>
    <col min="15380" max="15380" width="6.6640625" style="95" customWidth="1"/>
    <col min="15381" max="15381" width="7.6640625" style="95" customWidth="1"/>
    <col min="15382" max="15382" width="1.83203125" style="95" customWidth="1"/>
    <col min="15383" max="15383" width="6.6640625" style="95" customWidth="1"/>
    <col min="15384" max="15384" width="7.6640625" style="95" customWidth="1"/>
    <col min="15385" max="15385" width="1.6640625" style="95" customWidth="1"/>
    <col min="15386" max="15616" width="9.1640625" style="95"/>
    <col min="15617" max="15617" width="11.33203125" style="95" customWidth="1"/>
    <col min="15618" max="15619" width="7.6640625" style="95" customWidth="1"/>
    <col min="15620" max="15620" width="1.6640625" style="95" customWidth="1"/>
    <col min="15621" max="15622" width="7.6640625" style="95" customWidth="1"/>
    <col min="15623" max="15623" width="1.6640625" style="95" customWidth="1"/>
    <col min="15624" max="15624" width="6.6640625" style="95" customWidth="1"/>
    <col min="15625" max="15625" width="7.6640625" style="95" customWidth="1"/>
    <col min="15626" max="15626" width="1.6640625" style="95" customWidth="1"/>
    <col min="15627" max="15627" width="6.6640625" style="95" customWidth="1"/>
    <col min="15628" max="15628" width="7.6640625" style="95" customWidth="1"/>
    <col min="15629" max="15629" width="1.6640625" style="95" customWidth="1"/>
    <col min="15630" max="15630" width="6.6640625" style="95" customWidth="1"/>
    <col min="15631" max="15631" width="7.6640625" style="95" customWidth="1"/>
    <col min="15632" max="15632" width="1.6640625" style="95" customWidth="1"/>
    <col min="15633" max="15633" width="6.6640625" style="95" customWidth="1"/>
    <col min="15634" max="15634" width="7.6640625" style="95" customWidth="1"/>
    <col min="15635" max="15635" width="1.6640625" style="95" customWidth="1"/>
    <col min="15636" max="15636" width="6.6640625" style="95" customWidth="1"/>
    <col min="15637" max="15637" width="7.6640625" style="95" customWidth="1"/>
    <col min="15638" max="15638" width="1.83203125" style="95" customWidth="1"/>
    <col min="15639" max="15639" width="6.6640625" style="95" customWidth="1"/>
    <col min="15640" max="15640" width="7.6640625" style="95" customWidth="1"/>
    <col min="15641" max="15641" width="1.6640625" style="95" customWidth="1"/>
    <col min="15642" max="15872" width="9.1640625" style="95"/>
    <col min="15873" max="15873" width="11.33203125" style="95" customWidth="1"/>
    <col min="15874" max="15875" width="7.6640625" style="95" customWidth="1"/>
    <col min="15876" max="15876" width="1.6640625" style="95" customWidth="1"/>
    <col min="15877" max="15878" width="7.6640625" style="95" customWidth="1"/>
    <col min="15879" max="15879" width="1.6640625" style="95" customWidth="1"/>
    <col min="15880" max="15880" width="6.6640625" style="95" customWidth="1"/>
    <col min="15881" max="15881" width="7.6640625" style="95" customWidth="1"/>
    <col min="15882" max="15882" width="1.6640625" style="95" customWidth="1"/>
    <col min="15883" max="15883" width="6.6640625" style="95" customWidth="1"/>
    <col min="15884" max="15884" width="7.6640625" style="95" customWidth="1"/>
    <col min="15885" max="15885" width="1.6640625" style="95" customWidth="1"/>
    <col min="15886" max="15886" width="6.6640625" style="95" customWidth="1"/>
    <col min="15887" max="15887" width="7.6640625" style="95" customWidth="1"/>
    <col min="15888" max="15888" width="1.6640625" style="95" customWidth="1"/>
    <col min="15889" max="15889" width="6.6640625" style="95" customWidth="1"/>
    <col min="15890" max="15890" width="7.6640625" style="95" customWidth="1"/>
    <col min="15891" max="15891" width="1.6640625" style="95" customWidth="1"/>
    <col min="15892" max="15892" width="6.6640625" style="95" customWidth="1"/>
    <col min="15893" max="15893" width="7.6640625" style="95" customWidth="1"/>
    <col min="15894" max="15894" width="1.83203125" style="95" customWidth="1"/>
    <col min="15895" max="15895" width="6.6640625" style="95" customWidth="1"/>
    <col min="15896" max="15896" width="7.6640625" style="95" customWidth="1"/>
    <col min="15897" max="15897" width="1.6640625" style="95" customWidth="1"/>
    <col min="15898" max="16128" width="9.1640625" style="95"/>
    <col min="16129" max="16129" width="11.33203125" style="95" customWidth="1"/>
    <col min="16130" max="16131" width="7.6640625" style="95" customWidth="1"/>
    <col min="16132" max="16132" width="1.6640625" style="95" customWidth="1"/>
    <col min="16133" max="16134" width="7.6640625" style="95" customWidth="1"/>
    <col min="16135" max="16135" width="1.6640625" style="95" customWidth="1"/>
    <col min="16136" max="16136" width="6.6640625" style="95" customWidth="1"/>
    <col min="16137" max="16137" width="7.6640625" style="95" customWidth="1"/>
    <col min="16138" max="16138" width="1.6640625" style="95" customWidth="1"/>
    <col min="16139" max="16139" width="6.6640625" style="95" customWidth="1"/>
    <col min="16140" max="16140" width="7.6640625" style="95" customWidth="1"/>
    <col min="16141" max="16141" width="1.6640625" style="95" customWidth="1"/>
    <col min="16142" max="16142" width="6.6640625" style="95" customWidth="1"/>
    <col min="16143" max="16143" width="7.6640625" style="95" customWidth="1"/>
    <col min="16144" max="16144" width="1.6640625" style="95" customWidth="1"/>
    <col min="16145" max="16145" width="6.6640625" style="95" customWidth="1"/>
    <col min="16146" max="16146" width="7.6640625" style="95" customWidth="1"/>
    <col min="16147" max="16147" width="1.6640625" style="95" customWidth="1"/>
    <col min="16148" max="16148" width="6.6640625" style="95" customWidth="1"/>
    <col min="16149" max="16149" width="7.6640625" style="95" customWidth="1"/>
    <col min="16150" max="16150" width="1.83203125" style="95" customWidth="1"/>
    <col min="16151" max="16151" width="6.6640625" style="95" customWidth="1"/>
    <col min="16152" max="16152" width="7.6640625" style="95" customWidth="1"/>
    <col min="16153" max="16153" width="1.6640625" style="95" customWidth="1"/>
    <col min="16154" max="16384" width="9.1640625" style="95"/>
  </cols>
  <sheetData>
    <row r="1" spans="1:25">
      <c r="A1" s="95" t="s">
        <v>466</v>
      </c>
    </row>
    <row r="2" spans="1:25">
      <c r="A2" s="95" t="s">
        <v>467</v>
      </c>
      <c r="E2" s="155"/>
      <c r="F2" s="139"/>
    </row>
    <row r="3" spans="1:25" ht="10.5" customHeight="1"/>
    <row r="4" spans="1:25" ht="13" customHeight="1">
      <c r="A4" s="33" t="s">
        <v>2168</v>
      </c>
    </row>
    <row r="5" spans="1:25" ht="6.75" customHeight="1" thickBot="1">
      <c r="L5" s="105"/>
      <c r="O5" s="105"/>
      <c r="P5" s="105"/>
      <c r="R5" s="105"/>
      <c r="S5" s="105"/>
    </row>
    <row r="6" spans="1:25" ht="13" customHeight="1">
      <c r="A6" s="97"/>
      <c r="B6" s="115"/>
      <c r="C6" s="99"/>
      <c r="D6" s="97"/>
      <c r="E6" s="144"/>
      <c r="F6" s="99"/>
      <c r="G6" s="97"/>
      <c r="H6" s="144"/>
      <c r="I6" s="99"/>
      <c r="J6" s="99"/>
      <c r="K6" s="144"/>
      <c r="L6" s="99"/>
      <c r="M6" s="97"/>
      <c r="N6" s="144"/>
      <c r="O6" s="99"/>
      <c r="P6" s="99"/>
      <c r="Q6" s="144"/>
      <c r="R6" s="99"/>
      <c r="S6" s="99"/>
      <c r="T6" s="99"/>
      <c r="U6" s="99"/>
      <c r="V6" s="99"/>
      <c r="W6" s="99"/>
      <c r="X6" s="99"/>
      <c r="Y6" s="99"/>
    </row>
    <row r="7" spans="1:25" ht="13" customHeight="1">
      <c r="A7" s="116" t="s">
        <v>1604</v>
      </c>
      <c r="B7" s="1019" t="s">
        <v>1474</v>
      </c>
      <c r="C7" s="1019"/>
      <c r="D7" s="116"/>
      <c r="E7" s="1019" t="s">
        <v>1381</v>
      </c>
      <c r="F7" s="1019"/>
      <c r="G7" s="116"/>
      <c r="H7" s="1019" t="s">
        <v>1605</v>
      </c>
      <c r="I7" s="1019"/>
      <c r="J7" s="135"/>
      <c r="K7" s="1019" t="s">
        <v>1606</v>
      </c>
      <c r="L7" s="1019"/>
      <c r="M7" s="116"/>
      <c r="N7" s="1019" t="s">
        <v>1607</v>
      </c>
      <c r="O7" s="1019"/>
      <c r="Q7" s="1021" t="s">
        <v>1608</v>
      </c>
      <c r="R7" s="1019"/>
      <c r="T7" s="1019" t="s">
        <v>1609</v>
      </c>
      <c r="U7" s="1019"/>
      <c r="W7" s="1019" t="s">
        <v>1610</v>
      </c>
      <c r="X7" s="1019"/>
    </row>
    <row r="8" spans="1:25" ht="13" customHeight="1">
      <c r="A8" s="95" t="s">
        <v>1611</v>
      </c>
      <c r="B8" s="294" t="s">
        <v>400</v>
      </c>
      <c r="C8" s="101" t="s">
        <v>401</v>
      </c>
      <c r="D8" s="116"/>
      <c r="E8" s="149" t="s">
        <v>400</v>
      </c>
      <c r="F8" s="101" t="s">
        <v>401</v>
      </c>
      <c r="G8" s="116"/>
      <c r="H8" s="149" t="s">
        <v>400</v>
      </c>
      <c r="I8" s="101" t="s">
        <v>401</v>
      </c>
      <c r="J8" s="101"/>
      <c r="K8" s="149" t="s">
        <v>400</v>
      </c>
      <c r="L8" s="101" t="s">
        <v>401</v>
      </c>
      <c r="M8" s="116"/>
      <c r="N8" s="149" t="s">
        <v>400</v>
      </c>
      <c r="O8" s="101" t="s">
        <v>401</v>
      </c>
      <c r="Q8" s="149" t="s">
        <v>400</v>
      </c>
      <c r="R8" s="101" t="s">
        <v>401</v>
      </c>
      <c r="T8" s="149" t="s">
        <v>400</v>
      </c>
      <c r="U8" s="101" t="s">
        <v>401</v>
      </c>
      <c r="W8" s="149" t="s">
        <v>400</v>
      </c>
      <c r="X8" s="101" t="s">
        <v>401</v>
      </c>
    </row>
    <row r="9" spans="1:25" ht="13" customHeight="1" thickBot="1">
      <c r="A9" s="102"/>
      <c r="B9" s="125"/>
      <c r="C9" s="96"/>
      <c r="D9" s="102"/>
      <c r="E9" s="153"/>
      <c r="F9" s="96"/>
      <c r="G9" s="102"/>
      <c r="H9" s="153"/>
      <c r="I9" s="96"/>
      <c r="J9" s="96"/>
      <c r="K9" s="153"/>
      <c r="L9" s="96"/>
      <c r="M9" s="102"/>
      <c r="N9" s="153"/>
      <c r="O9" s="96"/>
      <c r="P9" s="96"/>
      <c r="Q9" s="153"/>
      <c r="R9" s="96"/>
      <c r="S9" s="96"/>
      <c r="T9" s="96"/>
      <c r="U9" s="96"/>
      <c r="V9" s="96"/>
      <c r="W9" s="96"/>
      <c r="X9" s="96"/>
      <c r="Y9" s="96"/>
    </row>
    <row r="10" spans="1:25" ht="13" customHeight="1">
      <c r="A10" s="116"/>
      <c r="B10" s="119"/>
      <c r="C10" s="135"/>
      <c r="D10" s="116"/>
      <c r="E10" s="154"/>
      <c r="F10" s="135"/>
      <c r="G10" s="116"/>
      <c r="H10" s="154"/>
      <c r="I10" s="135"/>
      <c r="J10" s="135"/>
      <c r="K10" s="154"/>
      <c r="L10" s="135"/>
      <c r="M10" s="116"/>
      <c r="N10" s="154"/>
      <c r="O10" s="135"/>
      <c r="Q10" s="154"/>
      <c r="R10" s="135"/>
    </row>
    <row r="11" spans="1:25" ht="13" customHeight="1">
      <c r="A11" s="607" t="s">
        <v>148</v>
      </c>
      <c r="B11" s="119">
        <f>IF($A11&lt;&gt;0,SUM(B12:B23),"")</f>
        <v>2741</v>
      </c>
      <c r="C11" s="134">
        <f>IF($A11&lt;&gt;0,SUM(C12:C23),"")</f>
        <v>99.963516964611458</v>
      </c>
      <c r="D11" s="116"/>
      <c r="E11" s="154">
        <f>IF($A11&lt;&gt;0,SUM(E12:E23),"")</f>
        <v>1788</v>
      </c>
      <c r="F11" s="134">
        <f>IF($A11&lt;&gt;0,SUM(F12:F23),"")</f>
        <v>100</v>
      </c>
      <c r="G11" s="116"/>
      <c r="H11" s="154">
        <f>IF($A11&lt;&gt;0,SUM(H12:H23),"")</f>
        <v>270</v>
      </c>
      <c r="I11" s="134">
        <f>IF($A11&lt;&gt;0,SUM(I17:I23),"")</f>
        <v>100</v>
      </c>
      <c r="J11" s="135"/>
      <c r="K11" s="154">
        <f>IF($A11&lt;&gt;0,SUM(K12:K23),"")</f>
        <v>285</v>
      </c>
      <c r="L11" s="134">
        <f>IF($A11&lt;&gt;0,SUM(L17:L23),"")</f>
        <v>100</v>
      </c>
      <c r="M11" s="116"/>
      <c r="N11" s="154">
        <f>IF($A11&lt;&gt;0,SUM(N12:N23),"")</f>
        <v>264</v>
      </c>
      <c r="O11" s="134">
        <f>IF($A11&lt;&gt;0,SUM(O17:O23),"")</f>
        <v>99.621212121212125</v>
      </c>
      <c r="Q11" s="154">
        <f>IF($A11&lt;&gt;0,SUM(Q12:Q23),"")</f>
        <v>50</v>
      </c>
      <c r="R11" s="134">
        <f>IF($A11&lt;&gt;0,SUM(R17:R23),"")</f>
        <v>100</v>
      </c>
      <c r="T11" s="154">
        <f>IF($A11&lt;&gt;0,SUM(T12:T23),"")</f>
        <v>81</v>
      </c>
      <c r="U11" s="134">
        <f>IF($A11&lt;&gt;0,SUM(U17:U23),"")</f>
        <v>100</v>
      </c>
      <c r="W11" s="154">
        <f>IF($A11&lt;&gt;0,SUM(W12:W23),"")</f>
        <v>3</v>
      </c>
      <c r="X11" s="134">
        <f>IF($A11&lt;&gt;0,SUM(X17:X23),"")</f>
        <v>100</v>
      </c>
    </row>
    <row r="12" spans="1:25">
      <c r="A12" s="107"/>
      <c r="B12" s="119" t="str">
        <f>IF(A12&lt;&gt;0,E12+H12+K12+N12+Q12+T12,"")</f>
        <v/>
      </c>
      <c r="C12" s="134" t="str">
        <f>IF($A12&lt;&gt;0,SUM(C18:C24),"")</f>
        <v/>
      </c>
      <c r="D12" s="116"/>
      <c r="E12" s="154"/>
      <c r="F12" s="134" t="str">
        <f>IF($A12&lt;&gt;0,SUM(F18:F24),"")</f>
        <v/>
      </c>
      <c r="G12" s="116"/>
      <c r="H12" s="154"/>
      <c r="I12" s="134" t="str">
        <f>IF($A12&lt;&gt;0,SUM(I18:I24),"")</f>
        <v/>
      </c>
      <c r="J12" s="135"/>
      <c r="K12" s="154"/>
      <c r="L12" s="135" t="str">
        <f t="shared" ref="L12:L19" si="0">IF($A12&lt;&gt;"",K12/$K$11*100,"")</f>
        <v/>
      </c>
      <c r="M12" s="116"/>
      <c r="N12" s="154"/>
      <c r="O12" s="135" t="str">
        <f t="shared" ref="O12:O20" si="1">IF($A12&lt;&gt;"",N12/$N$11*100,"")</f>
        <v/>
      </c>
      <c r="Q12" s="154"/>
      <c r="R12" s="135" t="str">
        <f t="shared" ref="R12:R21" si="2">IF($A12&lt;&gt;"",Q12/$Q$11*100,"")</f>
        <v/>
      </c>
      <c r="T12" s="140"/>
      <c r="U12" s="135" t="str">
        <f t="shared" ref="U12:U20" si="3">IF($A12&lt;&gt;"",T12/$T$11*100,"")</f>
        <v/>
      </c>
      <c r="W12" s="140"/>
      <c r="X12" s="135" t="str">
        <f t="shared" ref="X12:X22" si="4">IF($A12&lt;&gt;"",W12/$W$11*100,"")</f>
        <v/>
      </c>
    </row>
    <row r="13" spans="1:25" ht="15">
      <c r="A13" s="61" t="s">
        <v>2169</v>
      </c>
      <c r="B13" s="119">
        <f>IF(A13&lt;&gt;"",E13+H13+K13+N13+Q13+T13+W13,"")</f>
        <v>1</v>
      </c>
      <c r="C13" s="134"/>
      <c r="D13" s="116"/>
      <c r="E13" s="999">
        <v>1</v>
      </c>
      <c r="F13" s="135">
        <f t="shared" ref="F13:F23" si="5">IF($A13&lt;&gt;"",E13/$E$11*100,"")</f>
        <v>5.5928411633109618E-2</v>
      </c>
      <c r="G13" s="116"/>
      <c r="H13" s="999">
        <v>0</v>
      </c>
      <c r="I13" s="135">
        <f t="shared" ref="I13:I23" si="6">IF($A13&lt;&gt;"",H13/$H$11*100,"")</f>
        <v>0</v>
      </c>
      <c r="J13" s="135"/>
      <c r="K13" s="999">
        <v>0</v>
      </c>
      <c r="L13" s="135">
        <f t="shared" si="0"/>
        <v>0</v>
      </c>
      <c r="M13" s="116"/>
      <c r="N13" s="999">
        <v>0</v>
      </c>
      <c r="O13" s="135">
        <f t="shared" si="1"/>
        <v>0</v>
      </c>
      <c r="Q13" s="999">
        <v>0</v>
      </c>
      <c r="R13" s="135">
        <f t="shared" si="2"/>
        <v>0</v>
      </c>
      <c r="T13" s="999">
        <v>0</v>
      </c>
      <c r="U13" s="135">
        <f t="shared" si="3"/>
        <v>0</v>
      </c>
      <c r="W13" s="999">
        <v>0</v>
      </c>
      <c r="X13" s="135">
        <f t="shared" si="4"/>
        <v>0</v>
      </c>
    </row>
    <row r="14" spans="1:25">
      <c r="A14" s="107"/>
      <c r="B14" s="119"/>
      <c r="C14" s="134"/>
      <c r="D14" s="116"/>
      <c r="E14" s="999"/>
      <c r="F14" s="134"/>
      <c r="G14" s="116"/>
      <c r="H14" s="999"/>
      <c r="I14" s="134"/>
      <c r="J14" s="135"/>
      <c r="K14" s="999"/>
      <c r="L14" s="135"/>
      <c r="M14" s="116"/>
      <c r="N14" s="999"/>
      <c r="O14" s="135"/>
      <c r="Q14" s="999"/>
      <c r="R14" s="135"/>
      <c r="T14" s="999"/>
      <c r="U14" s="135"/>
      <c r="W14" s="999"/>
      <c r="X14" s="135"/>
    </row>
    <row r="15" spans="1:25" ht="15">
      <c r="A15" s="61" t="s">
        <v>1638</v>
      </c>
      <c r="B15" s="119">
        <f>IF(A15&lt;&gt;"",E15+H15+K15+N15+Q15+T15+W15,"")</f>
        <v>1</v>
      </c>
      <c r="C15" s="135">
        <f>IF($A15&lt;&gt;"",B15/$B$11*100,"")</f>
        <v>3.6483035388544326E-2</v>
      </c>
      <c r="D15" s="116"/>
      <c r="E15" s="999">
        <v>0</v>
      </c>
      <c r="F15" s="135">
        <f t="shared" si="5"/>
        <v>0</v>
      </c>
      <c r="G15" s="116"/>
      <c r="H15" s="999">
        <v>0</v>
      </c>
      <c r="I15" s="135">
        <f t="shared" si="6"/>
        <v>0</v>
      </c>
      <c r="J15" s="135"/>
      <c r="K15" s="999">
        <v>0</v>
      </c>
      <c r="L15" s="135">
        <f t="shared" si="0"/>
        <v>0</v>
      </c>
      <c r="M15" s="116"/>
      <c r="N15" s="999">
        <v>1</v>
      </c>
      <c r="O15" s="135">
        <f t="shared" si="1"/>
        <v>0.37878787878787878</v>
      </c>
      <c r="Q15" s="999">
        <v>0</v>
      </c>
      <c r="R15" s="135">
        <f t="shared" si="2"/>
        <v>0</v>
      </c>
      <c r="T15" s="999">
        <v>0</v>
      </c>
      <c r="U15" s="135">
        <f t="shared" si="3"/>
        <v>0</v>
      </c>
      <c r="W15" s="999">
        <v>0</v>
      </c>
      <c r="X15" s="135">
        <f t="shared" si="4"/>
        <v>0</v>
      </c>
    </row>
    <row r="16" spans="1:25">
      <c r="A16" s="107"/>
      <c r="B16" s="119"/>
      <c r="C16" s="135" t="str">
        <f t="shared" ref="C16:C23" si="7">IF($A16&lt;&gt;"",B16/$B$11*100,"")</f>
        <v/>
      </c>
      <c r="D16" s="116"/>
      <c r="E16" s="999"/>
      <c r="F16" s="135" t="str">
        <f t="shared" si="5"/>
        <v/>
      </c>
      <c r="G16" s="116"/>
      <c r="H16" s="999"/>
      <c r="I16" s="135" t="str">
        <f t="shared" si="6"/>
        <v/>
      </c>
      <c r="J16" s="135"/>
      <c r="K16" s="999"/>
      <c r="L16" s="135" t="str">
        <f t="shared" si="0"/>
        <v/>
      </c>
      <c r="M16" s="116"/>
      <c r="N16" s="999"/>
      <c r="O16" s="135" t="str">
        <f t="shared" si="1"/>
        <v/>
      </c>
      <c r="Q16" s="999"/>
      <c r="R16" s="135" t="str">
        <f t="shared" si="2"/>
        <v/>
      </c>
      <c r="T16" s="999"/>
      <c r="U16" s="135" t="str">
        <f t="shared" si="3"/>
        <v/>
      </c>
      <c r="W16" s="999"/>
      <c r="X16" s="135" t="str">
        <f t="shared" si="4"/>
        <v/>
      </c>
    </row>
    <row r="17" spans="1:25" ht="15">
      <c r="A17" s="61" t="s">
        <v>1639</v>
      </c>
      <c r="B17" s="119">
        <f>IF(A17&lt;&gt;"",E17+H17+K17+N17+Q17+T17+W17,"")</f>
        <v>4</v>
      </c>
      <c r="C17" s="135">
        <f t="shared" si="7"/>
        <v>0.1459321415541773</v>
      </c>
      <c r="D17" s="116"/>
      <c r="E17" s="999">
        <v>3</v>
      </c>
      <c r="F17" s="135">
        <f t="shared" si="5"/>
        <v>0.16778523489932887</v>
      </c>
      <c r="G17" s="116"/>
      <c r="H17" s="999">
        <v>0</v>
      </c>
      <c r="I17" s="135">
        <f t="shared" si="6"/>
        <v>0</v>
      </c>
      <c r="J17" s="135"/>
      <c r="K17" s="999">
        <v>0</v>
      </c>
      <c r="L17" s="135">
        <f t="shared" si="0"/>
        <v>0</v>
      </c>
      <c r="M17" s="116"/>
      <c r="N17" s="999">
        <v>0</v>
      </c>
      <c r="O17" s="135">
        <f t="shared" si="1"/>
        <v>0</v>
      </c>
      <c r="Q17" s="999">
        <v>1</v>
      </c>
      <c r="R17" s="135">
        <f t="shared" si="2"/>
        <v>2</v>
      </c>
      <c r="T17" s="999">
        <v>0</v>
      </c>
      <c r="U17" s="135">
        <f t="shared" si="3"/>
        <v>0</v>
      </c>
      <c r="W17" s="999">
        <v>0</v>
      </c>
      <c r="X17" s="135">
        <f t="shared" si="4"/>
        <v>0</v>
      </c>
    </row>
    <row r="18" spans="1:25">
      <c r="A18" s="61"/>
      <c r="B18" s="119" t="str">
        <f t="shared" ref="B18:B23" si="8">IF(A18&lt;&gt;"",E18+H18+K18+N18+Q18+T18+W18,"")</f>
        <v/>
      </c>
      <c r="C18" s="135" t="str">
        <f t="shared" si="7"/>
        <v/>
      </c>
      <c r="D18" s="116"/>
      <c r="E18" s="999"/>
      <c r="F18" s="135" t="str">
        <f t="shared" si="5"/>
        <v/>
      </c>
      <c r="G18" s="116"/>
      <c r="H18" s="999"/>
      <c r="I18" s="135" t="str">
        <f t="shared" si="6"/>
        <v/>
      </c>
      <c r="J18" s="135"/>
      <c r="K18" s="999"/>
      <c r="L18" s="135" t="str">
        <f t="shared" si="0"/>
        <v/>
      </c>
      <c r="M18" s="116"/>
      <c r="N18" s="999"/>
      <c r="O18" s="135" t="str">
        <f t="shared" si="1"/>
        <v/>
      </c>
      <c r="Q18" s="999"/>
      <c r="R18" s="135" t="str">
        <f t="shared" si="2"/>
        <v/>
      </c>
      <c r="T18" s="999"/>
      <c r="U18" s="135" t="str">
        <f t="shared" si="3"/>
        <v/>
      </c>
      <c r="W18" s="999"/>
      <c r="X18" s="135" t="str">
        <f t="shared" si="4"/>
        <v/>
      </c>
    </row>
    <row r="19" spans="1:25">
      <c r="A19" s="61">
        <v>3</v>
      </c>
      <c r="B19" s="119">
        <f t="shared" si="8"/>
        <v>135</v>
      </c>
      <c r="C19" s="135">
        <f t="shared" si="7"/>
        <v>4.9252097774534844</v>
      </c>
      <c r="D19" s="116"/>
      <c r="E19" s="999">
        <v>105</v>
      </c>
      <c r="F19" s="135">
        <f t="shared" si="5"/>
        <v>5.8724832214765099</v>
      </c>
      <c r="G19" s="116"/>
      <c r="H19" s="999">
        <v>11</v>
      </c>
      <c r="I19" s="135">
        <f t="shared" si="6"/>
        <v>4.0740740740740744</v>
      </c>
      <c r="J19" s="135"/>
      <c r="K19" s="999">
        <v>6</v>
      </c>
      <c r="L19" s="135">
        <f t="shared" si="0"/>
        <v>2.1052631578947367</v>
      </c>
      <c r="M19" s="116"/>
      <c r="N19" s="999">
        <v>8</v>
      </c>
      <c r="O19" s="135">
        <f t="shared" si="1"/>
        <v>3.0303030303030303</v>
      </c>
      <c r="Q19" s="999">
        <v>2</v>
      </c>
      <c r="R19" s="135">
        <f t="shared" si="2"/>
        <v>4</v>
      </c>
      <c r="T19" s="999">
        <v>3</v>
      </c>
      <c r="U19" s="135">
        <f t="shared" si="3"/>
        <v>3.7037037037037033</v>
      </c>
      <c r="W19" s="999">
        <v>0</v>
      </c>
      <c r="X19" s="135">
        <f t="shared" si="4"/>
        <v>0</v>
      </c>
    </row>
    <row r="20" spans="1:25">
      <c r="A20" s="61"/>
      <c r="B20" s="119" t="str">
        <f t="shared" si="8"/>
        <v/>
      </c>
      <c r="C20" s="135" t="str">
        <f t="shared" si="7"/>
        <v/>
      </c>
      <c r="D20" s="116"/>
      <c r="E20" s="999"/>
      <c r="F20" s="135" t="str">
        <f t="shared" si="5"/>
        <v/>
      </c>
      <c r="G20" s="116"/>
      <c r="H20" s="999"/>
      <c r="I20" s="135" t="str">
        <f t="shared" si="6"/>
        <v/>
      </c>
      <c r="J20" s="135"/>
      <c r="K20" s="999"/>
      <c r="L20" s="135" t="str">
        <f>IF(A20&lt;&gt;0,K20/B20*100,"")</f>
        <v/>
      </c>
      <c r="M20" s="116"/>
      <c r="N20" s="999"/>
      <c r="O20" s="135" t="str">
        <f t="shared" si="1"/>
        <v/>
      </c>
      <c r="Q20" s="999"/>
      <c r="R20" s="135" t="str">
        <f t="shared" si="2"/>
        <v/>
      </c>
      <c r="T20" s="999"/>
      <c r="U20" s="135" t="str">
        <f t="shared" si="3"/>
        <v/>
      </c>
      <c r="W20" s="999"/>
      <c r="X20" s="135" t="str">
        <f t="shared" si="4"/>
        <v/>
      </c>
    </row>
    <row r="21" spans="1:25">
      <c r="A21" s="61">
        <v>4</v>
      </c>
      <c r="B21" s="119">
        <f t="shared" si="8"/>
        <v>309</v>
      </c>
      <c r="C21" s="135">
        <f>IF($A21&lt;&gt;"",B21/$B$11*100,"")</f>
        <v>11.273257935060196</v>
      </c>
      <c r="D21" s="116"/>
      <c r="E21" s="999">
        <v>215</v>
      </c>
      <c r="F21" s="135">
        <f t="shared" si="5"/>
        <v>12.024608501118568</v>
      </c>
      <c r="G21" s="301"/>
      <c r="H21" s="999">
        <v>27</v>
      </c>
      <c r="I21" s="135">
        <f t="shared" si="6"/>
        <v>10</v>
      </c>
      <c r="J21" s="537"/>
      <c r="K21" s="999">
        <v>22</v>
      </c>
      <c r="L21" s="135">
        <f>IF($A21&lt;&gt;"",K21/$K$11*100,"")</f>
        <v>7.7192982456140351</v>
      </c>
      <c r="M21" s="301"/>
      <c r="N21" s="999">
        <v>34</v>
      </c>
      <c r="O21" s="135">
        <f>IF($A21&lt;&gt;"",N21/$N$11*100,"")</f>
        <v>12.878787878787879</v>
      </c>
      <c r="P21" s="77"/>
      <c r="Q21" s="999">
        <v>5</v>
      </c>
      <c r="R21" s="135">
        <f t="shared" si="2"/>
        <v>10</v>
      </c>
      <c r="T21" s="999">
        <v>6</v>
      </c>
      <c r="U21" s="135">
        <f>IF($A21&lt;&gt;"",T21/$T$11*100,"")</f>
        <v>7.4074074074074066</v>
      </c>
      <c r="W21" s="999">
        <v>0</v>
      </c>
      <c r="X21" s="135">
        <f t="shared" si="4"/>
        <v>0</v>
      </c>
    </row>
    <row r="22" spans="1:25">
      <c r="A22" s="61"/>
      <c r="B22" s="119" t="str">
        <f t="shared" si="8"/>
        <v/>
      </c>
      <c r="C22" s="135" t="str">
        <f t="shared" si="7"/>
        <v/>
      </c>
      <c r="D22" s="116"/>
      <c r="E22" s="999"/>
      <c r="F22" s="135" t="str">
        <f t="shared" si="5"/>
        <v/>
      </c>
      <c r="G22" s="301"/>
      <c r="H22" s="999"/>
      <c r="I22" s="135" t="str">
        <f t="shared" si="6"/>
        <v/>
      </c>
      <c r="J22" s="537"/>
      <c r="K22" s="999"/>
      <c r="L22" s="135" t="str">
        <f>IF($A22&lt;&gt;"",K22/$K$11*100,"")</f>
        <v/>
      </c>
      <c r="M22" s="301"/>
      <c r="N22" s="999"/>
      <c r="O22" s="135" t="str">
        <f>IF($A22&lt;&gt;"",N22/$N$11*100,"")</f>
        <v/>
      </c>
      <c r="P22" s="77"/>
      <c r="Q22" s="999"/>
      <c r="R22" s="135" t="str">
        <f>IF($A22&lt;&gt;"",Q22/$Q$11*100,"")</f>
        <v/>
      </c>
      <c r="T22" s="999"/>
      <c r="U22" s="135" t="str">
        <f>IF($A22&lt;&gt;"",T22/$T$11*100,"")</f>
        <v/>
      </c>
      <c r="W22" s="999"/>
      <c r="X22" s="135" t="str">
        <f t="shared" si="4"/>
        <v/>
      </c>
    </row>
    <row r="23" spans="1:25">
      <c r="A23" s="61">
        <v>5</v>
      </c>
      <c r="B23" s="119">
        <f t="shared" si="8"/>
        <v>2291</v>
      </c>
      <c r="C23" s="135">
        <f t="shared" si="7"/>
        <v>83.582634075155056</v>
      </c>
      <c r="D23" s="116"/>
      <c r="E23" s="1000">
        <v>1464</v>
      </c>
      <c r="F23" s="135">
        <f t="shared" si="5"/>
        <v>81.87919463087249</v>
      </c>
      <c r="G23" s="301"/>
      <c r="H23" s="1000">
        <v>232</v>
      </c>
      <c r="I23" s="135">
        <f t="shared" si="6"/>
        <v>85.925925925925924</v>
      </c>
      <c r="J23" s="537"/>
      <c r="K23" s="1000">
        <v>257</v>
      </c>
      <c r="L23" s="135">
        <f>IF($A23&lt;&gt;"",K23/$K$11*100,"")</f>
        <v>90.175438596491233</v>
      </c>
      <c r="M23" s="301"/>
      <c r="N23" s="1000">
        <v>221</v>
      </c>
      <c r="O23" s="135">
        <f>IF($A23&lt;&gt;"",N23/$N$11*100,"")</f>
        <v>83.712121212121218</v>
      </c>
      <c r="P23" s="77"/>
      <c r="Q23" s="1000">
        <v>42</v>
      </c>
      <c r="R23" s="135">
        <f>IF($A23&lt;&gt;"",Q23/$Q$11*100,"")</f>
        <v>84</v>
      </c>
      <c r="T23" s="1000">
        <v>72</v>
      </c>
      <c r="U23" s="135">
        <f>IF($A23&lt;&gt;"",T23/$T$11*100,"")</f>
        <v>88.888888888888886</v>
      </c>
      <c r="W23" s="1000">
        <v>3</v>
      </c>
      <c r="X23" s="135">
        <f>IF($A23&lt;&gt;"",W23/$W$11*100,"")</f>
        <v>100</v>
      </c>
    </row>
    <row r="24" spans="1:25" ht="14" thickBot="1"/>
    <row r="25" spans="1:25">
      <c r="A25" s="97"/>
      <c r="B25" s="115"/>
      <c r="C25" s="99"/>
      <c r="D25" s="97"/>
      <c r="E25" s="144"/>
      <c r="F25" s="99"/>
      <c r="G25" s="97"/>
      <c r="H25" s="144"/>
      <c r="I25" s="99"/>
      <c r="J25" s="99"/>
      <c r="K25" s="144"/>
      <c r="L25" s="97"/>
      <c r="M25" s="97"/>
      <c r="N25" s="144"/>
      <c r="O25" s="97"/>
      <c r="P25" s="97"/>
      <c r="Q25" s="144"/>
      <c r="R25" s="97"/>
      <c r="S25" s="97"/>
      <c r="T25" s="97"/>
      <c r="U25" s="97"/>
      <c r="V25" s="97"/>
      <c r="W25" s="97"/>
      <c r="X25" s="97"/>
      <c r="Y25" s="97"/>
    </row>
    <row r="26" spans="1:25">
      <c r="A26" s="33" t="s">
        <v>1640</v>
      </c>
      <c r="B26" s="119"/>
      <c r="C26" s="135"/>
      <c r="D26" s="116"/>
      <c r="E26" s="154"/>
      <c r="F26" s="135"/>
      <c r="G26" s="116"/>
      <c r="H26" s="154"/>
      <c r="I26" s="135"/>
      <c r="J26" s="135"/>
      <c r="K26" s="154"/>
      <c r="L26" s="116"/>
      <c r="M26" s="116"/>
      <c r="N26" s="154"/>
      <c r="O26" s="116"/>
      <c r="P26" s="116"/>
      <c r="Q26" s="154"/>
      <c r="R26" s="116"/>
      <c r="S26" s="116"/>
      <c r="T26" s="116"/>
      <c r="U26" s="116"/>
      <c r="V26" s="116"/>
      <c r="W26" s="116"/>
      <c r="X26" s="116"/>
      <c r="Y26" s="116"/>
    </row>
    <row r="27" spans="1:25">
      <c r="A27" s="33" t="s">
        <v>1641</v>
      </c>
      <c r="B27" s="119"/>
      <c r="C27" s="135"/>
      <c r="D27" s="116"/>
      <c r="E27" s="154"/>
      <c r="F27" s="135"/>
      <c r="G27" s="116"/>
      <c r="H27" s="154"/>
      <c r="I27" s="135"/>
      <c r="J27" s="135"/>
      <c r="K27" s="154"/>
      <c r="L27" s="116"/>
      <c r="M27" s="116"/>
      <c r="N27" s="154"/>
      <c r="O27" s="116"/>
      <c r="P27" s="116"/>
      <c r="Q27" s="154"/>
      <c r="R27" s="116"/>
      <c r="S27" s="116"/>
      <c r="T27" s="116"/>
      <c r="U27" s="116"/>
      <c r="V27" s="116"/>
      <c r="W27" s="116"/>
      <c r="X27" s="116"/>
      <c r="Y27" s="116"/>
    </row>
    <row r="28" spans="1:25">
      <c r="A28" s="116"/>
      <c r="B28" s="119"/>
      <c r="C28" s="135"/>
      <c r="D28" s="116"/>
      <c r="E28" s="154"/>
      <c r="F28" s="135"/>
      <c r="G28" s="116"/>
      <c r="H28" s="154"/>
      <c r="I28" s="135"/>
      <c r="J28" s="135"/>
      <c r="K28" s="154"/>
      <c r="L28" s="116"/>
      <c r="M28" s="116"/>
      <c r="N28" s="154"/>
      <c r="O28" s="116"/>
      <c r="P28" s="116"/>
      <c r="Q28" s="154"/>
      <c r="R28" s="116"/>
      <c r="S28" s="116"/>
      <c r="T28" s="116"/>
      <c r="U28" s="116"/>
      <c r="V28" s="116"/>
      <c r="W28" s="116"/>
      <c r="X28" s="116"/>
      <c r="Y28" s="116"/>
    </row>
    <row r="29" spans="1:25">
      <c r="A29" s="95" t="s">
        <v>1563</v>
      </c>
    </row>
    <row r="30" spans="1:25">
      <c r="A30" s="95" t="s">
        <v>452</v>
      </c>
    </row>
  </sheetData>
  <mergeCells count="8">
    <mergeCell ref="T7:U7"/>
    <mergeCell ref="W7:X7"/>
    <mergeCell ref="B7:C7"/>
    <mergeCell ref="E7:F7"/>
    <mergeCell ref="H7:I7"/>
    <mergeCell ref="K7:L7"/>
    <mergeCell ref="N7:O7"/>
    <mergeCell ref="Q7:R7"/>
  </mergeCells>
  <conditionalFormatting sqref="A1:XFD1048576">
    <cfRule type="cellIs" dxfId="0" priority="1" operator="equal">
      <formula>0</formula>
    </cfRule>
  </conditionalFormatting>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H45"/>
  <sheetViews>
    <sheetView workbookViewId="0"/>
  </sheetViews>
  <sheetFormatPr baseColWidth="10" defaultColWidth="9.1640625" defaultRowHeight="13"/>
  <cols>
    <col min="1" max="1" width="17.1640625" style="95" customWidth="1"/>
    <col min="2" max="2" width="4" style="95" customWidth="1"/>
    <col min="3" max="3" width="9.83203125" style="140" customWidth="1"/>
    <col min="4" max="4" width="13.5" style="95" customWidth="1"/>
    <col min="5" max="5" width="3.6640625" style="95" customWidth="1"/>
    <col min="6" max="256" width="9.1640625" style="95"/>
    <col min="257" max="257" width="17.1640625" style="95" customWidth="1"/>
    <col min="258" max="258" width="4" style="95" customWidth="1"/>
    <col min="259" max="259" width="9.83203125" style="95" customWidth="1"/>
    <col min="260" max="260" width="13.5" style="95" customWidth="1"/>
    <col min="261" max="261" width="3.6640625" style="95" customWidth="1"/>
    <col min="262" max="512" width="9.1640625" style="95"/>
    <col min="513" max="513" width="17.1640625" style="95" customWidth="1"/>
    <col min="514" max="514" width="4" style="95" customWidth="1"/>
    <col min="515" max="515" width="9.83203125" style="95" customWidth="1"/>
    <col min="516" max="516" width="13.5" style="95" customWidth="1"/>
    <col min="517" max="517" width="3.6640625" style="95" customWidth="1"/>
    <col min="518" max="768" width="9.1640625" style="95"/>
    <col min="769" max="769" width="17.1640625" style="95" customWidth="1"/>
    <col min="770" max="770" width="4" style="95" customWidth="1"/>
    <col min="771" max="771" width="9.83203125" style="95" customWidth="1"/>
    <col min="772" max="772" width="13.5" style="95" customWidth="1"/>
    <col min="773" max="773" width="3.6640625" style="95" customWidth="1"/>
    <col min="774" max="1024" width="9.1640625" style="95"/>
    <col min="1025" max="1025" width="17.1640625" style="95" customWidth="1"/>
    <col min="1026" max="1026" width="4" style="95" customWidth="1"/>
    <col min="1027" max="1027" width="9.83203125" style="95" customWidth="1"/>
    <col min="1028" max="1028" width="13.5" style="95" customWidth="1"/>
    <col min="1029" max="1029" width="3.6640625" style="95" customWidth="1"/>
    <col min="1030" max="1280" width="9.1640625" style="95"/>
    <col min="1281" max="1281" width="17.1640625" style="95" customWidth="1"/>
    <col min="1282" max="1282" width="4" style="95" customWidth="1"/>
    <col min="1283" max="1283" width="9.83203125" style="95" customWidth="1"/>
    <col min="1284" max="1284" width="13.5" style="95" customWidth="1"/>
    <col min="1285" max="1285" width="3.6640625" style="95" customWidth="1"/>
    <col min="1286" max="1536" width="9.1640625" style="95"/>
    <col min="1537" max="1537" width="17.1640625" style="95" customWidth="1"/>
    <col min="1538" max="1538" width="4" style="95" customWidth="1"/>
    <col min="1539" max="1539" width="9.83203125" style="95" customWidth="1"/>
    <col min="1540" max="1540" width="13.5" style="95" customWidth="1"/>
    <col min="1541" max="1541" width="3.6640625" style="95" customWidth="1"/>
    <col min="1542" max="1792" width="9.1640625" style="95"/>
    <col min="1793" max="1793" width="17.1640625" style="95" customWidth="1"/>
    <col min="1794" max="1794" width="4" style="95" customWidth="1"/>
    <col min="1795" max="1795" width="9.83203125" style="95" customWidth="1"/>
    <col min="1796" max="1796" width="13.5" style="95" customWidth="1"/>
    <col min="1797" max="1797" width="3.6640625" style="95" customWidth="1"/>
    <col min="1798" max="2048" width="9.1640625" style="95"/>
    <col min="2049" max="2049" width="17.1640625" style="95" customWidth="1"/>
    <col min="2050" max="2050" width="4" style="95" customWidth="1"/>
    <col min="2051" max="2051" width="9.83203125" style="95" customWidth="1"/>
    <col min="2052" max="2052" width="13.5" style="95" customWidth="1"/>
    <col min="2053" max="2053" width="3.6640625" style="95" customWidth="1"/>
    <col min="2054" max="2304" width="9.1640625" style="95"/>
    <col min="2305" max="2305" width="17.1640625" style="95" customWidth="1"/>
    <col min="2306" max="2306" width="4" style="95" customWidth="1"/>
    <col min="2307" max="2307" width="9.83203125" style="95" customWidth="1"/>
    <col min="2308" max="2308" width="13.5" style="95" customWidth="1"/>
    <col min="2309" max="2309" width="3.6640625" style="95" customWidth="1"/>
    <col min="2310" max="2560" width="9.1640625" style="95"/>
    <col min="2561" max="2561" width="17.1640625" style="95" customWidth="1"/>
    <col min="2562" max="2562" width="4" style="95" customWidth="1"/>
    <col min="2563" max="2563" width="9.83203125" style="95" customWidth="1"/>
    <col min="2564" max="2564" width="13.5" style="95" customWidth="1"/>
    <col min="2565" max="2565" width="3.6640625" style="95" customWidth="1"/>
    <col min="2566" max="2816" width="9.1640625" style="95"/>
    <col min="2817" max="2817" width="17.1640625" style="95" customWidth="1"/>
    <col min="2818" max="2818" width="4" style="95" customWidth="1"/>
    <col min="2819" max="2819" width="9.83203125" style="95" customWidth="1"/>
    <col min="2820" max="2820" width="13.5" style="95" customWidth="1"/>
    <col min="2821" max="2821" width="3.6640625" style="95" customWidth="1"/>
    <col min="2822" max="3072" width="9.1640625" style="95"/>
    <col min="3073" max="3073" width="17.1640625" style="95" customWidth="1"/>
    <col min="3074" max="3074" width="4" style="95" customWidth="1"/>
    <col min="3075" max="3075" width="9.83203125" style="95" customWidth="1"/>
    <col min="3076" max="3076" width="13.5" style="95" customWidth="1"/>
    <col min="3077" max="3077" width="3.6640625" style="95" customWidth="1"/>
    <col min="3078" max="3328" width="9.1640625" style="95"/>
    <col min="3329" max="3329" width="17.1640625" style="95" customWidth="1"/>
    <col min="3330" max="3330" width="4" style="95" customWidth="1"/>
    <col min="3331" max="3331" width="9.83203125" style="95" customWidth="1"/>
    <col min="3332" max="3332" width="13.5" style="95" customWidth="1"/>
    <col min="3333" max="3333" width="3.6640625" style="95" customWidth="1"/>
    <col min="3334" max="3584" width="9.1640625" style="95"/>
    <col min="3585" max="3585" width="17.1640625" style="95" customWidth="1"/>
    <col min="3586" max="3586" width="4" style="95" customWidth="1"/>
    <col min="3587" max="3587" width="9.83203125" style="95" customWidth="1"/>
    <col min="3588" max="3588" width="13.5" style="95" customWidth="1"/>
    <col min="3589" max="3589" width="3.6640625" style="95" customWidth="1"/>
    <col min="3590" max="3840" width="9.1640625" style="95"/>
    <col min="3841" max="3841" width="17.1640625" style="95" customWidth="1"/>
    <col min="3842" max="3842" width="4" style="95" customWidth="1"/>
    <col min="3843" max="3843" width="9.83203125" style="95" customWidth="1"/>
    <col min="3844" max="3844" width="13.5" style="95" customWidth="1"/>
    <col min="3845" max="3845" width="3.6640625" style="95" customWidth="1"/>
    <col min="3846" max="4096" width="9.1640625" style="95"/>
    <col min="4097" max="4097" width="17.1640625" style="95" customWidth="1"/>
    <col min="4098" max="4098" width="4" style="95" customWidth="1"/>
    <col min="4099" max="4099" width="9.83203125" style="95" customWidth="1"/>
    <col min="4100" max="4100" width="13.5" style="95" customWidth="1"/>
    <col min="4101" max="4101" width="3.6640625" style="95" customWidth="1"/>
    <col min="4102" max="4352" width="9.1640625" style="95"/>
    <col min="4353" max="4353" width="17.1640625" style="95" customWidth="1"/>
    <col min="4354" max="4354" width="4" style="95" customWidth="1"/>
    <col min="4355" max="4355" width="9.83203125" style="95" customWidth="1"/>
    <col min="4356" max="4356" width="13.5" style="95" customWidth="1"/>
    <col min="4357" max="4357" width="3.6640625" style="95" customWidth="1"/>
    <col min="4358" max="4608" width="9.1640625" style="95"/>
    <col min="4609" max="4609" width="17.1640625" style="95" customWidth="1"/>
    <col min="4610" max="4610" width="4" style="95" customWidth="1"/>
    <col min="4611" max="4611" width="9.83203125" style="95" customWidth="1"/>
    <col min="4612" max="4612" width="13.5" style="95" customWidth="1"/>
    <col min="4613" max="4613" width="3.6640625" style="95" customWidth="1"/>
    <col min="4614" max="4864" width="9.1640625" style="95"/>
    <col min="4865" max="4865" width="17.1640625" style="95" customWidth="1"/>
    <col min="4866" max="4866" width="4" style="95" customWidth="1"/>
    <col min="4867" max="4867" width="9.83203125" style="95" customWidth="1"/>
    <col min="4868" max="4868" width="13.5" style="95" customWidth="1"/>
    <col min="4869" max="4869" width="3.6640625" style="95" customWidth="1"/>
    <col min="4870" max="5120" width="9.1640625" style="95"/>
    <col min="5121" max="5121" width="17.1640625" style="95" customWidth="1"/>
    <col min="5122" max="5122" width="4" style="95" customWidth="1"/>
    <col min="5123" max="5123" width="9.83203125" style="95" customWidth="1"/>
    <col min="5124" max="5124" width="13.5" style="95" customWidth="1"/>
    <col min="5125" max="5125" width="3.6640625" style="95" customWidth="1"/>
    <col min="5126" max="5376" width="9.1640625" style="95"/>
    <col min="5377" max="5377" width="17.1640625" style="95" customWidth="1"/>
    <col min="5378" max="5378" width="4" style="95" customWidth="1"/>
    <col min="5379" max="5379" width="9.83203125" style="95" customWidth="1"/>
    <col min="5380" max="5380" width="13.5" style="95" customWidth="1"/>
    <col min="5381" max="5381" width="3.6640625" style="95" customWidth="1"/>
    <col min="5382" max="5632" width="9.1640625" style="95"/>
    <col min="5633" max="5633" width="17.1640625" style="95" customWidth="1"/>
    <col min="5634" max="5634" width="4" style="95" customWidth="1"/>
    <col min="5635" max="5635" width="9.83203125" style="95" customWidth="1"/>
    <col min="5636" max="5636" width="13.5" style="95" customWidth="1"/>
    <col min="5637" max="5637" width="3.6640625" style="95" customWidth="1"/>
    <col min="5638" max="5888" width="9.1640625" style="95"/>
    <col min="5889" max="5889" width="17.1640625" style="95" customWidth="1"/>
    <col min="5890" max="5890" width="4" style="95" customWidth="1"/>
    <col min="5891" max="5891" width="9.83203125" style="95" customWidth="1"/>
    <col min="5892" max="5892" width="13.5" style="95" customWidth="1"/>
    <col min="5893" max="5893" width="3.6640625" style="95" customWidth="1"/>
    <col min="5894" max="6144" width="9.1640625" style="95"/>
    <col min="6145" max="6145" width="17.1640625" style="95" customWidth="1"/>
    <col min="6146" max="6146" width="4" style="95" customWidth="1"/>
    <col min="6147" max="6147" width="9.83203125" style="95" customWidth="1"/>
    <col min="6148" max="6148" width="13.5" style="95" customWidth="1"/>
    <col min="6149" max="6149" width="3.6640625" style="95" customWidth="1"/>
    <col min="6150" max="6400" width="9.1640625" style="95"/>
    <col min="6401" max="6401" width="17.1640625" style="95" customWidth="1"/>
    <col min="6402" max="6402" width="4" style="95" customWidth="1"/>
    <col min="6403" max="6403" width="9.83203125" style="95" customWidth="1"/>
    <col min="6404" max="6404" width="13.5" style="95" customWidth="1"/>
    <col min="6405" max="6405" width="3.6640625" style="95" customWidth="1"/>
    <col min="6406" max="6656" width="9.1640625" style="95"/>
    <col min="6657" max="6657" width="17.1640625" style="95" customWidth="1"/>
    <col min="6658" max="6658" width="4" style="95" customWidth="1"/>
    <col min="6659" max="6659" width="9.83203125" style="95" customWidth="1"/>
    <col min="6660" max="6660" width="13.5" style="95" customWidth="1"/>
    <col min="6661" max="6661" width="3.6640625" style="95" customWidth="1"/>
    <col min="6662" max="6912" width="9.1640625" style="95"/>
    <col min="6913" max="6913" width="17.1640625" style="95" customWidth="1"/>
    <col min="6914" max="6914" width="4" style="95" customWidth="1"/>
    <col min="6915" max="6915" width="9.83203125" style="95" customWidth="1"/>
    <col min="6916" max="6916" width="13.5" style="95" customWidth="1"/>
    <col min="6917" max="6917" width="3.6640625" style="95" customWidth="1"/>
    <col min="6918" max="7168" width="9.1640625" style="95"/>
    <col min="7169" max="7169" width="17.1640625" style="95" customWidth="1"/>
    <col min="7170" max="7170" width="4" style="95" customWidth="1"/>
    <col min="7171" max="7171" width="9.83203125" style="95" customWidth="1"/>
    <col min="7172" max="7172" width="13.5" style="95" customWidth="1"/>
    <col min="7173" max="7173" width="3.6640625" style="95" customWidth="1"/>
    <col min="7174" max="7424" width="9.1640625" style="95"/>
    <col min="7425" max="7425" width="17.1640625" style="95" customWidth="1"/>
    <col min="7426" max="7426" width="4" style="95" customWidth="1"/>
    <col min="7427" max="7427" width="9.83203125" style="95" customWidth="1"/>
    <col min="7428" max="7428" width="13.5" style="95" customWidth="1"/>
    <col min="7429" max="7429" width="3.6640625" style="95" customWidth="1"/>
    <col min="7430" max="7680" width="9.1640625" style="95"/>
    <col min="7681" max="7681" width="17.1640625" style="95" customWidth="1"/>
    <col min="7682" max="7682" width="4" style="95" customWidth="1"/>
    <col min="7683" max="7683" width="9.83203125" style="95" customWidth="1"/>
    <col min="7684" max="7684" width="13.5" style="95" customWidth="1"/>
    <col min="7685" max="7685" width="3.6640625" style="95" customWidth="1"/>
    <col min="7686" max="7936" width="9.1640625" style="95"/>
    <col min="7937" max="7937" width="17.1640625" style="95" customWidth="1"/>
    <col min="7938" max="7938" width="4" style="95" customWidth="1"/>
    <col min="7939" max="7939" width="9.83203125" style="95" customWidth="1"/>
    <col min="7940" max="7940" width="13.5" style="95" customWidth="1"/>
    <col min="7941" max="7941" width="3.6640625" style="95" customWidth="1"/>
    <col min="7942" max="8192" width="9.1640625" style="95"/>
    <col min="8193" max="8193" width="17.1640625" style="95" customWidth="1"/>
    <col min="8194" max="8194" width="4" style="95" customWidth="1"/>
    <col min="8195" max="8195" width="9.83203125" style="95" customWidth="1"/>
    <col min="8196" max="8196" width="13.5" style="95" customWidth="1"/>
    <col min="8197" max="8197" width="3.6640625" style="95" customWidth="1"/>
    <col min="8198" max="8448" width="9.1640625" style="95"/>
    <col min="8449" max="8449" width="17.1640625" style="95" customWidth="1"/>
    <col min="8450" max="8450" width="4" style="95" customWidth="1"/>
    <col min="8451" max="8451" width="9.83203125" style="95" customWidth="1"/>
    <col min="8452" max="8452" width="13.5" style="95" customWidth="1"/>
    <col min="8453" max="8453" width="3.6640625" style="95" customWidth="1"/>
    <col min="8454" max="8704" width="9.1640625" style="95"/>
    <col min="8705" max="8705" width="17.1640625" style="95" customWidth="1"/>
    <col min="8706" max="8706" width="4" style="95" customWidth="1"/>
    <col min="8707" max="8707" width="9.83203125" style="95" customWidth="1"/>
    <col min="8708" max="8708" width="13.5" style="95" customWidth="1"/>
    <col min="8709" max="8709" width="3.6640625" style="95" customWidth="1"/>
    <col min="8710" max="8960" width="9.1640625" style="95"/>
    <col min="8961" max="8961" width="17.1640625" style="95" customWidth="1"/>
    <col min="8962" max="8962" width="4" style="95" customWidth="1"/>
    <col min="8963" max="8963" width="9.83203125" style="95" customWidth="1"/>
    <col min="8964" max="8964" width="13.5" style="95" customWidth="1"/>
    <col min="8965" max="8965" width="3.6640625" style="95" customWidth="1"/>
    <col min="8966" max="9216" width="9.1640625" style="95"/>
    <col min="9217" max="9217" width="17.1640625" style="95" customWidth="1"/>
    <col min="9218" max="9218" width="4" style="95" customWidth="1"/>
    <col min="9219" max="9219" width="9.83203125" style="95" customWidth="1"/>
    <col min="9220" max="9220" width="13.5" style="95" customWidth="1"/>
    <col min="9221" max="9221" width="3.6640625" style="95" customWidth="1"/>
    <col min="9222" max="9472" width="9.1640625" style="95"/>
    <col min="9473" max="9473" width="17.1640625" style="95" customWidth="1"/>
    <col min="9474" max="9474" width="4" style="95" customWidth="1"/>
    <col min="9475" max="9475" width="9.83203125" style="95" customWidth="1"/>
    <col min="9476" max="9476" width="13.5" style="95" customWidth="1"/>
    <col min="9477" max="9477" width="3.6640625" style="95" customWidth="1"/>
    <col min="9478" max="9728" width="9.1640625" style="95"/>
    <col min="9729" max="9729" width="17.1640625" style="95" customWidth="1"/>
    <col min="9730" max="9730" width="4" style="95" customWidth="1"/>
    <col min="9731" max="9731" width="9.83203125" style="95" customWidth="1"/>
    <col min="9732" max="9732" width="13.5" style="95" customWidth="1"/>
    <col min="9733" max="9733" width="3.6640625" style="95" customWidth="1"/>
    <col min="9734" max="9984" width="9.1640625" style="95"/>
    <col min="9985" max="9985" width="17.1640625" style="95" customWidth="1"/>
    <col min="9986" max="9986" width="4" style="95" customWidth="1"/>
    <col min="9987" max="9987" width="9.83203125" style="95" customWidth="1"/>
    <col min="9988" max="9988" width="13.5" style="95" customWidth="1"/>
    <col min="9989" max="9989" width="3.6640625" style="95" customWidth="1"/>
    <col min="9990" max="10240" width="9.1640625" style="95"/>
    <col min="10241" max="10241" width="17.1640625" style="95" customWidth="1"/>
    <col min="10242" max="10242" width="4" style="95" customWidth="1"/>
    <col min="10243" max="10243" width="9.83203125" style="95" customWidth="1"/>
    <col min="10244" max="10244" width="13.5" style="95" customWidth="1"/>
    <col min="10245" max="10245" width="3.6640625" style="95" customWidth="1"/>
    <col min="10246" max="10496" width="9.1640625" style="95"/>
    <col min="10497" max="10497" width="17.1640625" style="95" customWidth="1"/>
    <col min="10498" max="10498" width="4" style="95" customWidth="1"/>
    <col min="10499" max="10499" width="9.83203125" style="95" customWidth="1"/>
    <col min="10500" max="10500" width="13.5" style="95" customWidth="1"/>
    <col min="10501" max="10501" width="3.6640625" style="95" customWidth="1"/>
    <col min="10502" max="10752" width="9.1640625" style="95"/>
    <col min="10753" max="10753" width="17.1640625" style="95" customWidth="1"/>
    <col min="10754" max="10754" width="4" style="95" customWidth="1"/>
    <col min="10755" max="10755" width="9.83203125" style="95" customWidth="1"/>
    <col min="10756" max="10756" width="13.5" style="95" customWidth="1"/>
    <col min="10757" max="10757" width="3.6640625" style="95" customWidth="1"/>
    <col min="10758" max="11008" width="9.1640625" style="95"/>
    <col min="11009" max="11009" width="17.1640625" style="95" customWidth="1"/>
    <col min="11010" max="11010" width="4" style="95" customWidth="1"/>
    <col min="11011" max="11011" width="9.83203125" style="95" customWidth="1"/>
    <col min="11012" max="11012" width="13.5" style="95" customWidth="1"/>
    <col min="11013" max="11013" width="3.6640625" style="95" customWidth="1"/>
    <col min="11014" max="11264" width="9.1640625" style="95"/>
    <col min="11265" max="11265" width="17.1640625" style="95" customWidth="1"/>
    <col min="11266" max="11266" width="4" style="95" customWidth="1"/>
    <col min="11267" max="11267" width="9.83203125" style="95" customWidth="1"/>
    <col min="11268" max="11268" width="13.5" style="95" customWidth="1"/>
    <col min="11269" max="11269" width="3.6640625" style="95" customWidth="1"/>
    <col min="11270" max="11520" width="9.1640625" style="95"/>
    <col min="11521" max="11521" width="17.1640625" style="95" customWidth="1"/>
    <col min="11522" max="11522" width="4" style="95" customWidth="1"/>
    <col min="11523" max="11523" width="9.83203125" style="95" customWidth="1"/>
    <col min="11524" max="11524" width="13.5" style="95" customWidth="1"/>
    <col min="11525" max="11525" width="3.6640625" style="95" customWidth="1"/>
    <col min="11526" max="11776" width="9.1640625" style="95"/>
    <col min="11777" max="11777" width="17.1640625" style="95" customWidth="1"/>
    <col min="11778" max="11778" width="4" style="95" customWidth="1"/>
    <col min="11779" max="11779" width="9.83203125" style="95" customWidth="1"/>
    <col min="11780" max="11780" width="13.5" style="95" customWidth="1"/>
    <col min="11781" max="11781" width="3.6640625" style="95" customWidth="1"/>
    <col min="11782" max="12032" width="9.1640625" style="95"/>
    <col min="12033" max="12033" width="17.1640625" style="95" customWidth="1"/>
    <col min="12034" max="12034" width="4" style="95" customWidth="1"/>
    <col min="12035" max="12035" width="9.83203125" style="95" customWidth="1"/>
    <col min="12036" max="12036" width="13.5" style="95" customWidth="1"/>
    <col min="12037" max="12037" width="3.6640625" style="95" customWidth="1"/>
    <col min="12038" max="12288" width="9.1640625" style="95"/>
    <col min="12289" max="12289" width="17.1640625" style="95" customWidth="1"/>
    <col min="12290" max="12290" width="4" style="95" customWidth="1"/>
    <col min="12291" max="12291" width="9.83203125" style="95" customWidth="1"/>
    <col min="12292" max="12292" width="13.5" style="95" customWidth="1"/>
    <col min="12293" max="12293" width="3.6640625" style="95" customWidth="1"/>
    <col min="12294" max="12544" width="9.1640625" style="95"/>
    <col min="12545" max="12545" width="17.1640625" style="95" customWidth="1"/>
    <col min="12546" max="12546" width="4" style="95" customWidth="1"/>
    <col min="12547" max="12547" width="9.83203125" style="95" customWidth="1"/>
    <col min="12548" max="12548" width="13.5" style="95" customWidth="1"/>
    <col min="12549" max="12549" width="3.6640625" style="95" customWidth="1"/>
    <col min="12550" max="12800" width="9.1640625" style="95"/>
    <col min="12801" max="12801" width="17.1640625" style="95" customWidth="1"/>
    <col min="12802" max="12802" width="4" style="95" customWidth="1"/>
    <col min="12803" max="12803" width="9.83203125" style="95" customWidth="1"/>
    <col min="12804" max="12804" width="13.5" style="95" customWidth="1"/>
    <col min="12805" max="12805" width="3.6640625" style="95" customWidth="1"/>
    <col min="12806" max="13056" width="9.1640625" style="95"/>
    <col min="13057" max="13057" width="17.1640625" style="95" customWidth="1"/>
    <col min="13058" max="13058" width="4" style="95" customWidth="1"/>
    <col min="13059" max="13059" width="9.83203125" style="95" customWidth="1"/>
    <col min="13060" max="13060" width="13.5" style="95" customWidth="1"/>
    <col min="13061" max="13061" width="3.6640625" style="95" customWidth="1"/>
    <col min="13062" max="13312" width="9.1640625" style="95"/>
    <col min="13313" max="13313" width="17.1640625" style="95" customWidth="1"/>
    <col min="13314" max="13314" width="4" style="95" customWidth="1"/>
    <col min="13315" max="13315" width="9.83203125" style="95" customWidth="1"/>
    <col min="13316" max="13316" width="13.5" style="95" customWidth="1"/>
    <col min="13317" max="13317" width="3.6640625" style="95" customWidth="1"/>
    <col min="13318" max="13568" width="9.1640625" style="95"/>
    <col min="13569" max="13569" width="17.1640625" style="95" customWidth="1"/>
    <col min="13570" max="13570" width="4" style="95" customWidth="1"/>
    <col min="13571" max="13571" width="9.83203125" style="95" customWidth="1"/>
    <col min="13572" max="13572" width="13.5" style="95" customWidth="1"/>
    <col min="13573" max="13573" width="3.6640625" style="95" customWidth="1"/>
    <col min="13574" max="13824" width="9.1640625" style="95"/>
    <col min="13825" max="13825" width="17.1640625" style="95" customWidth="1"/>
    <col min="13826" max="13826" width="4" style="95" customWidth="1"/>
    <col min="13827" max="13827" width="9.83203125" style="95" customWidth="1"/>
    <col min="13828" max="13828" width="13.5" style="95" customWidth="1"/>
    <col min="13829" max="13829" width="3.6640625" style="95" customWidth="1"/>
    <col min="13830" max="14080" width="9.1640625" style="95"/>
    <col min="14081" max="14081" width="17.1640625" style="95" customWidth="1"/>
    <col min="14082" max="14082" width="4" style="95" customWidth="1"/>
    <col min="14083" max="14083" width="9.83203125" style="95" customWidth="1"/>
    <col min="14084" max="14084" width="13.5" style="95" customWidth="1"/>
    <col min="14085" max="14085" width="3.6640625" style="95" customWidth="1"/>
    <col min="14086" max="14336" width="9.1640625" style="95"/>
    <col min="14337" max="14337" width="17.1640625" style="95" customWidth="1"/>
    <col min="14338" max="14338" width="4" style="95" customWidth="1"/>
    <col min="14339" max="14339" width="9.83203125" style="95" customWidth="1"/>
    <col min="14340" max="14340" width="13.5" style="95" customWidth="1"/>
    <col min="14341" max="14341" width="3.6640625" style="95" customWidth="1"/>
    <col min="14342" max="14592" width="9.1640625" style="95"/>
    <col min="14593" max="14593" width="17.1640625" style="95" customWidth="1"/>
    <col min="14594" max="14594" width="4" style="95" customWidth="1"/>
    <col min="14595" max="14595" width="9.83203125" style="95" customWidth="1"/>
    <col min="14596" max="14596" width="13.5" style="95" customWidth="1"/>
    <col min="14597" max="14597" width="3.6640625" style="95" customWidth="1"/>
    <col min="14598" max="14848" width="9.1640625" style="95"/>
    <col min="14849" max="14849" width="17.1640625" style="95" customWidth="1"/>
    <col min="14850" max="14850" width="4" style="95" customWidth="1"/>
    <col min="14851" max="14851" width="9.83203125" style="95" customWidth="1"/>
    <col min="14852" max="14852" width="13.5" style="95" customWidth="1"/>
    <col min="14853" max="14853" width="3.6640625" style="95" customWidth="1"/>
    <col min="14854" max="15104" width="9.1640625" style="95"/>
    <col min="15105" max="15105" width="17.1640625" style="95" customWidth="1"/>
    <col min="15106" max="15106" width="4" style="95" customWidth="1"/>
    <col min="15107" max="15107" width="9.83203125" style="95" customWidth="1"/>
    <col min="15108" max="15108" width="13.5" style="95" customWidth="1"/>
    <col min="15109" max="15109" width="3.6640625" style="95" customWidth="1"/>
    <col min="15110" max="15360" width="9.1640625" style="95"/>
    <col min="15361" max="15361" width="17.1640625" style="95" customWidth="1"/>
    <col min="15362" max="15362" width="4" style="95" customWidth="1"/>
    <col min="15363" max="15363" width="9.83203125" style="95" customWidth="1"/>
    <col min="15364" max="15364" width="13.5" style="95" customWidth="1"/>
    <col min="15365" max="15365" width="3.6640625" style="95" customWidth="1"/>
    <col min="15366" max="15616" width="9.1640625" style="95"/>
    <col min="15617" max="15617" width="17.1640625" style="95" customWidth="1"/>
    <col min="15618" max="15618" width="4" style="95" customWidth="1"/>
    <col min="15619" max="15619" width="9.83203125" style="95" customWidth="1"/>
    <col min="15620" max="15620" width="13.5" style="95" customWidth="1"/>
    <col min="15621" max="15621" width="3.6640625" style="95" customWidth="1"/>
    <col min="15622" max="15872" width="9.1640625" style="95"/>
    <col min="15873" max="15873" width="17.1640625" style="95" customWidth="1"/>
    <col min="15874" max="15874" width="4" style="95" customWidth="1"/>
    <col min="15875" max="15875" width="9.83203125" style="95" customWidth="1"/>
    <col min="15876" max="15876" width="13.5" style="95" customWidth="1"/>
    <col min="15877" max="15877" width="3.6640625" style="95" customWidth="1"/>
    <col min="15878" max="16128" width="9.1640625" style="95"/>
    <col min="16129" max="16129" width="17.1640625" style="95" customWidth="1"/>
    <col min="16130" max="16130" width="4" style="95" customWidth="1"/>
    <col min="16131" max="16131" width="9.83203125" style="95" customWidth="1"/>
    <col min="16132" max="16132" width="13.5" style="95" customWidth="1"/>
    <col min="16133" max="16133" width="3.6640625" style="95" customWidth="1"/>
    <col min="16134" max="16384" width="9.1640625" style="95"/>
  </cols>
  <sheetData>
    <row r="1" spans="1:8">
      <c r="A1" s="95" t="s">
        <v>466</v>
      </c>
    </row>
    <row r="2" spans="1:8">
      <c r="A2" s="95" t="s">
        <v>467</v>
      </c>
    </row>
    <row r="3" spans="1:8" ht="10.5" customHeight="1"/>
    <row r="4" spans="1:8" ht="13" customHeight="1">
      <c r="A4" s="33" t="s">
        <v>1642</v>
      </c>
    </row>
    <row r="5" spans="1:8" ht="13" customHeight="1">
      <c r="A5" s="95" t="s">
        <v>1643</v>
      </c>
    </row>
    <row r="6" spans="1:8" ht="13" customHeight="1">
      <c r="A6" s="33" t="s">
        <v>2170</v>
      </c>
    </row>
    <row r="7" spans="1:8" ht="13" customHeight="1" thickBot="1">
      <c r="D7" s="105"/>
    </row>
    <row r="8" spans="1:8" ht="13" customHeight="1">
      <c r="A8" s="97"/>
      <c r="B8" s="97"/>
      <c r="C8" s="144"/>
      <c r="D8" s="99"/>
      <c r="E8" s="97"/>
    </row>
    <row r="9" spans="1:8" ht="13" customHeight="1">
      <c r="A9" s="121" t="s">
        <v>1619</v>
      </c>
      <c r="B9" s="116"/>
      <c r="C9" s="1058" t="s">
        <v>1644</v>
      </c>
      <c r="D9" s="1058"/>
      <c r="E9" s="116"/>
    </row>
    <row r="10" spans="1:8" ht="13" customHeight="1">
      <c r="A10" s="116"/>
      <c r="B10" s="116"/>
      <c r="C10" s="149" t="s">
        <v>400</v>
      </c>
      <c r="D10" s="101" t="s">
        <v>401</v>
      </c>
      <c r="E10" s="116"/>
    </row>
    <row r="11" spans="1:8" ht="13" customHeight="1" thickBot="1">
      <c r="A11" s="102"/>
      <c r="B11" s="102"/>
      <c r="C11" s="153"/>
      <c r="D11" s="96"/>
      <c r="E11" s="102"/>
    </row>
    <row r="12" spans="1:8" ht="13" customHeight="1">
      <c r="A12" s="116"/>
      <c r="B12" s="116"/>
      <c r="C12" s="154"/>
      <c r="D12" s="135"/>
      <c r="E12" s="116"/>
      <c r="G12" s="654"/>
      <c r="H12" s="655"/>
    </row>
    <row r="13" spans="1:8" ht="13" customHeight="1">
      <c r="A13" s="607" t="s">
        <v>148</v>
      </c>
      <c r="B13" s="116"/>
      <c r="C13" s="154">
        <f>IF($A13&lt;&gt;0,SUM(C15:C25),"")</f>
        <v>813</v>
      </c>
      <c r="D13" s="134">
        <f>IF($A13&lt;&gt;0,SUM(D15:D25),"")</f>
        <v>100</v>
      </c>
      <c r="E13" s="116"/>
      <c r="F13" s="656"/>
      <c r="G13" s="654"/>
      <c r="H13" s="655"/>
    </row>
    <row r="14" spans="1:8" ht="13" customHeight="1">
      <c r="A14" s="107"/>
      <c r="B14" s="116"/>
      <c r="C14" s="154"/>
      <c r="D14" s="135" t="str">
        <f>IF(A14&lt;&gt;0,C14/#REF!*100,"")</f>
        <v/>
      </c>
      <c r="E14" s="116"/>
      <c r="F14" s="64"/>
      <c r="G14" s="654"/>
      <c r="H14" s="655"/>
    </row>
    <row r="15" spans="1:8" ht="13" customHeight="1">
      <c r="A15" s="83" t="s">
        <v>1645</v>
      </c>
      <c r="B15" s="116"/>
      <c r="C15" s="652">
        <v>463</v>
      </c>
      <c r="D15" s="135">
        <f t="shared" ref="D15:D25" si="0">IF($A15&lt;&gt;"",C15/$C$13*100,"")</f>
        <v>56.949569495694952</v>
      </c>
      <c r="E15" s="116"/>
      <c r="F15" s="249"/>
      <c r="G15" s="654"/>
      <c r="H15" s="655"/>
    </row>
    <row r="16" spans="1:8" ht="13" customHeight="1">
      <c r="A16" s="83"/>
      <c r="B16" s="116"/>
      <c r="C16" s="652"/>
      <c r="D16" s="135" t="str">
        <f t="shared" si="0"/>
        <v/>
      </c>
      <c r="E16" s="116"/>
      <c r="F16" s="64"/>
      <c r="G16" s="654"/>
      <c r="H16" s="655"/>
    </row>
    <row r="17" spans="1:8" ht="13" customHeight="1">
      <c r="A17" s="83" t="s">
        <v>1605</v>
      </c>
      <c r="B17" s="116"/>
      <c r="C17" s="652">
        <v>120</v>
      </c>
      <c r="D17" s="135">
        <f t="shared" si="0"/>
        <v>14.760147601476014</v>
      </c>
      <c r="E17" s="116"/>
      <c r="F17" s="249"/>
      <c r="G17" s="654"/>
      <c r="H17" s="655"/>
    </row>
    <row r="18" spans="1:8" ht="13" customHeight="1">
      <c r="A18" s="83"/>
      <c r="B18" s="116"/>
      <c r="C18" s="652"/>
      <c r="D18" s="135" t="str">
        <f t="shared" si="0"/>
        <v/>
      </c>
      <c r="E18" s="116"/>
      <c r="F18" s="64"/>
    </row>
    <row r="19" spans="1:8" ht="13" customHeight="1">
      <c r="A19" s="83" t="s">
        <v>1606</v>
      </c>
      <c r="B19" s="116"/>
      <c r="C19" s="652">
        <v>50</v>
      </c>
      <c r="D19" s="135">
        <f t="shared" si="0"/>
        <v>6.1500615006150063</v>
      </c>
      <c r="E19" s="116"/>
    </row>
    <row r="20" spans="1:8" ht="13" customHeight="1">
      <c r="A20" s="83"/>
      <c r="B20" s="116"/>
      <c r="C20" s="652"/>
      <c r="D20" s="135" t="str">
        <f t="shared" si="0"/>
        <v/>
      </c>
      <c r="E20" s="116"/>
    </row>
    <row r="21" spans="1:8" ht="13" customHeight="1">
      <c r="A21" s="83" t="s">
        <v>1607</v>
      </c>
      <c r="B21" s="116"/>
      <c r="C21" s="652">
        <v>76</v>
      </c>
      <c r="D21" s="135">
        <f t="shared" si="0"/>
        <v>9.3480934809348089</v>
      </c>
      <c r="E21" s="116"/>
    </row>
    <row r="22" spans="1:8" ht="13" customHeight="1">
      <c r="A22" s="83"/>
      <c r="B22" s="116"/>
      <c r="C22" s="652"/>
      <c r="D22" s="135" t="str">
        <f t="shared" si="0"/>
        <v/>
      </c>
      <c r="E22" s="116"/>
    </row>
    <row r="23" spans="1:8" ht="13" customHeight="1">
      <c r="A23" s="83" t="s">
        <v>1608</v>
      </c>
      <c r="B23" s="116"/>
      <c r="C23" s="652">
        <v>64</v>
      </c>
      <c r="D23" s="135">
        <f t="shared" si="0"/>
        <v>7.8720787207872078</v>
      </c>
      <c r="E23" s="116"/>
    </row>
    <row r="24" spans="1:8" ht="13" customHeight="1">
      <c r="A24" s="83"/>
      <c r="B24" s="116"/>
      <c r="C24" s="652"/>
      <c r="D24" s="135" t="str">
        <f t="shared" si="0"/>
        <v/>
      </c>
      <c r="E24" s="116"/>
    </row>
    <row r="25" spans="1:8" ht="13" customHeight="1">
      <c r="A25" s="83" t="s">
        <v>1646</v>
      </c>
      <c r="B25" s="301"/>
      <c r="C25" s="652">
        <v>40</v>
      </c>
      <c r="D25" s="135">
        <f t="shared" si="0"/>
        <v>4.9200492004920049</v>
      </c>
      <c r="E25" s="301"/>
    </row>
    <row r="26" spans="1:8" ht="13" customHeight="1" thickBot="1"/>
    <row r="27" spans="1:8" ht="13" customHeight="1">
      <c r="A27" s="97"/>
      <c r="B27" s="97"/>
      <c r="C27" s="144"/>
      <c r="D27" s="97"/>
      <c r="E27" s="97"/>
    </row>
    <row r="28" spans="1:8" ht="13" customHeight="1">
      <c r="A28" s="57" t="s">
        <v>2171</v>
      </c>
      <c r="B28" s="116"/>
      <c r="C28" s="154"/>
      <c r="D28" s="116"/>
      <c r="E28" s="116"/>
    </row>
    <row r="29" spans="1:8" ht="9" customHeight="1">
      <c r="A29" s="116"/>
      <c r="B29" s="116"/>
      <c r="C29" s="154"/>
      <c r="D29" s="116"/>
      <c r="E29" s="116"/>
    </row>
    <row r="30" spans="1:8" ht="13" customHeight="1">
      <c r="A30" s="95" t="s">
        <v>1563</v>
      </c>
    </row>
    <row r="31" spans="1:8" ht="13" customHeight="1">
      <c r="A31" s="95" t="s">
        <v>452</v>
      </c>
    </row>
    <row r="32" spans="1:8">
      <c r="A32" s="116"/>
      <c r="B32" s="116"/>
      <c r="C32" s="154"/>
    </row>
    <row r="33" spans="1:4">
      <c r="A33" s="1078"/>
      <c r="B33" s="1078"/>
      <c r="C33" s="1078"/>
    </row>
    <row r="35" spans="1:4">
      <c r="C35" s="433"/>
    </row>
    <row r="36" spans="1:4">
      <c r="C36" s="433"/>
    </row>
    <row r="37" spans="1:4">
      <c r="C37" s="433"/>
    </row>
    <row r="38" spans="1:4">
      <c r="C38" s="95"/>
      <c r="D38" s="433"/>
    </row>
    <row r="39" spans="1:4">
      <c r="C39" s="95"/>
      <c r="D39" s="433"/>
    </row>
    <row r="40" spans="1:4">
      <c r="C40" s="95"/>
      <c r="D40" s="433"/>
    </row>
    <row r="41" spans="1:4">
      <c r="C41" s="95"/>
      <c r="D41" s="433"/>
    </row>
    <row r="42" spans="1:4">
      <c r="C42" s="95"/>
      <c r="D42" s="433"/>
    </row>
    <row r="43" spans="1:4">
      <c r="C43" s="95"/>
      <c r="D43" s="653"/>
    </row>
    <row r="44" spans="1:4">
      <c r="C44" s="653"/>
    </row>
    <row r="45" spans="1:4">
      <c r="C45" s="433"/>
    </row>
  </sheetData>
  <mergeCells count="2">
    <mergeCell ref="C9:D9"/>
    <mergeCell ref="A33:C33"/>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H74"/>
  <sheetViews>
    <sheetView workbookViewId="0"/>
  </sheetViews>
  <sheetFormatPr baseColWidth="10" defaultColWidth="8.83203125" defaultRowHeight="14"/>
  <cols>
    <col min="1" max="1" width="63.1640625" style="177" customWidth="1"/>
    <col min="2" max="2" width="5.5" style="177" customWidth="1"/>
    <col min="3" max="3" width="10.83203125" style="177" customWidth="1"/>
    <col min="4" max="4" width="3.33203125" style="177" customWidth="1"/>
    <col min="5" max="5" width="11.5" style="657" customWidth="1"/>
    <col min="6" max="6" width="3.6640625" style="177" customWidth="1"/>
    <col min="7" max="256" width="8.83203125" style="177"/>
    <col min="257" max="257" width="63.1640625" style="177" customWidth="1"/>
    <col min="258" max="258" width="5.5" style="177" customWidth="1"/>
    <col min="259" max="259" width="10.83203125" style="177" customWidth="1"/>
    <col min="260" max="260" width="3.33203125" style="177" customWidth="1"/>
    <col min="261" max="261" width="11.5" style="177" customWidth="1"/>
    <col min="262" max="262" width="3.6640625" style="177" customWidth="1"/>
    <col min="263" max="512" width="8.83203125" style="177"/>
    <col min="513" max="513" width="63.1640625" style="177" customWidth="1"/>
    <col min="514" max="514" width="5.5" style="177" customWidth="1"/>
    <col min="515" max="515" width="10.83203125" style="177" customWidth="1"/>
    <col min="516" max="516" width="3.33203125" style="177" customWidth="1"/>
    <col min="517" max="517" width="11.5" style="177" customWidth="1"/>
    <col min="518" max="518" width="3.6640625" style="177" customWidth="1"/>
    <col min="519" max="768" width="8.83203125" style="177"/>
    <col min="769" max="769" width="63.1640625" style="177" customWidth="1"/>
    <col min="770" max="770" width="5.5" style="177" customWidth="1"/>
    <col min="771" max="771" width="10.83203125" style="177" customWidth="1"/>
    <col min="772" max="772" width="3.33203125" style="177" customWidth="1"/>
    <col min="773" max="773" width="11.5" style="177" customWidth="1"/>
    <col min="774" max="774" width="3.6640625" style="177" customWidth="1"/>
    <col min="775" max="1024" width="8.83203125" style="177"/>
    <col min="1025" max="1025" width="63.1640625" style="177" customWidth="1"/>
    <col min="1026" max="1026" width="5.5" style="177" customWidth="1"/>
    <col min="1027" max="1027" width="10.83203125" style="177" customWidth="1"/>
    <col min="1028" max="1028" width="3.33203125" style="177" customWidth="1"/>
    <col min="1029" max="1029" width="11.5" style="177" customWidth="1"/>
    <col min="1030" max="1030" width="3.6640625" style="177" customWidth="1"/>
    <col min="1031" max="1280" width="8.83203125" style="177"/>
    <col min="1281" max="1281" width="63.1640625" style="177" customWidth="1"/>
    <col min="1282" max="1282" width="5.5" style="177" customWidth="1"/>
    <col min="1283" max="1283" width="10.83203125" style="177" customWidth="1"/>
    <col min="1284" max="1284" width="3.33203125" style="177" customWidth="1"/>
    <col min="1285" max="1285" width="11.5" style="177" customWidth="1"/>
    <col min="1286" max="1286" width="3.6640625" style="177" customWidth="1"/>
    <col min="1287" max="1536" width="8.83203125" style="177"/>
    <col min="1537" max="1537" width="63.1640625" style="177" customWidth="1"/>
    <col min="1538" max="1538" width="5.5" style="177" customWidth="1"/>
    <col min="1539" max="1539" width="10.83203125" style="177" customWidth="1"/>
    <col min="1540" max="1540" width="3.33203125" style="177" customWidth="1"/>
    <col min="1541" max="1541" width="11.5" style="177" customWidth="1"/>
    <col min="1542" max="1542" width="3.6640625" style="177" customWidth="1"/>
    <col min="1543" max="1792" width="8.83203125" style="177"/>
    <col min="1793" max="1793" width="63.1640625" style="177" customWidth="1"/>
    <col min="1794" max="1794" width="5.5" style="177" customWidth="1"/>
    <col min="1795" max="1795" width="10.83203125" style="177" customWidth="1"/>
    <col min="1796" max="1796" width="3.33203125" style="177" customWidth="1"/>
    <col min="1797" max="1797" width="11.5" style="177" customWidth="1"/>
    <col min="1798" max="1798" width="3.6640625" style="177" customWidth="1"/>
    <col min="1799" max="2048" width="8.83203125" style="177"/>
    <col min="2049" max="2049" width="63.1640625" style="177" customWidth="1"/>
    <col min="2050" max="2050" width="5.5" style="177" customWidth="1"/>
    <col min="2051" max="2051" width="10.83203125" style="177" customWidth="1"/>
    <col min="2052" max="2052" width="3.33203125" style="177" customWidth="1"/>
    <col min="2053" max="2053" width="11.5" style="177" customWidth="1"/>
    <col min="2054" max="2054" width="3.6640625" style="177" customWidth="1"/>
    <col min="2055" max="2304" width="8.83203125" style="177"/>
    <col min="2305" max="2305" width="63.1640625" style="177" customWidth="1"/>
    <col min="2306" max="2306" width="5.5" style="177" customWidth="1"/>
    <col min="2307" max="2307" width="10.83203125" style="177" customWidth="1"/>
    <col min="2308" max="2308" width="3.33203125" style="177" customWidth="1"/>
    <col min="2309" max="2309" width="11.5" style="177" customWidth="1"/>
    <col min="2310" max="2310" width="3.6640625" style="177" customWidth="1"/>
    <col min="2311" max="2560" width="8.83203125" style="177"/>
    <col min="2561" max="2561" width="63.1640625" style="177" customWidth="1"/>
    <col min="2562" max="2562" width="5.5" style="177" customWidth="1"/>
    <col min="2563" max="2563" width="10.83203125" style="177" customWidth="1"/>
    <col min="2564" max="2564" width="3.33203125" style="177" customWidth="1"/>
    <col min="2565" max="2565" width="11.5" style="177" customWidth="1"/>
    <col min="2566" max="2566" width="3.6640625" style="177" customWidth="1"/>
    <col min="2567" max="2816" width="8.83203125" style="177"/>
    <col min="2817" max="2817" width="63.1640625" style="177" customWidth="1"/>
    <col min="2818" max="2818" width="5.5" style="177" customWidth="1"/>
    <col min="2819" max="2819" width="10.83203125" style="177" customWidth="1"/>
    <col min="2820" max="2820" width="3.33203125" style="177" customWidth="1"/>
    <col min="2821" max="2821" width="11.5" style="177" customWidth="1"/>
    <col min="2822" max="2822" width="3.6640625" style="177" customWidth="1"/>
    <col min="2823" max="3072" width="8.83203125" style="177"/>
    <col min="3073" max="3073" width="63.1640625" style="177" customWidth="1"/>
    <col min="3074" max="3074" width="5.5" style="177" customWidth="1"/>
    <col min="3075" max="3075" width="10.83203125" style="177" customWidth="1"/>
    <col min="3076" max="3076" width="3.33203125" style="177" customWidth="1"/>
    <col min="3077" max="3077" width="11.5" style="177" customWidth="1"/>
    <col min="3078" max="3078" width="3.6640625" style="177" customWidth="1"/>
    <col min="3079" max="3328" width="8.83203125" style="177"/>
    <col min="3329" max="3329" width="63.1640625" style="177" customWidth="1"/>
    <col min="3330" max="3330" width="5.5" style="177" customWidth="1"/>
    <col min="3331" max="3331" width="10.83203125" style="177" customWidth="1"/>
    <col min="3332" max="3332" width="3.33203125" style="177" customWidth="1"/>
    <col min="3333" max="3333" width="11.5" style="177" customWidth="1"/>
    <col min="3334" max="3334" width="3.6640625" style="177" customWidth="1"/>
    <col min="3335" max="3584" width="8.83203125" style="177"/>
    <col min="3585" max="3585" width="63.1640625" style="177" customWidth="1"/>
    <col min="3586" max="3586" width="5.5" style="177" customWidth="1"/>
    <col min="3587" max="3587" width="10.83203125" style="177" customWidth="1"/>
    <col min="3588" max="3588" width="3.33203125" style="177" customWidth="1"/>
    <col min="3589" max="3589" width="11.5" style="177" customWidth="1"/>
    <col min="3590" max="3590" width="3.6640625" style="177" customWidth="1"/>
    <col min="3591" max="3840" width="8.83203125" style="177"/>
    <col min="3841" max="3841" width="63.1640625" style="177" customWidth="1"/>
    <col min="3842" max="3842" width="5.5" style="177" customWidth="1"/>
    <col min="3843" max="3843" width="10.83203125" style="177" customWidth="1"/>
    <col min="3844" max="3844" width="3.33203125" style="177" customWidth="1"/>
    <col min="3845" max="3845" width="11.5" style="177" customWidth="1"/>
    <col min="3846" max="3846" width="3.6640625" style="177" customWidth="1"/>
    <col min="3847" max="4096" width="8.83203125" style="177"/>
    <col min="4097" max="4097" width="63.1640625" style="177" customWidth="1"/>
    <col min="4098" max="4098" width="5.5" style="177" customWidth="1"/>
    <col min="4099" max="4099" width="10.83203125" style="177" customWidth="1"/>
    <col min="4100" max="4100" width="3.33203125" style="177" customWidth="1"/>
    <col min="4101" max="4101" width="11.5" style="177" customWidth="1"/>
    <col min="4102" max="4102" width="3.6640625" style="177" customWidth="1"/>
    <col min="4103" max="4352" width="8.83203125" style="177"/>
    <col min="4353" max="4353" width="63.1640625" style="177" customWidth="1"/>
    <col min="4354" max="4354" width="5.5" style="177" customWidth="1"/>
    <col min="4355" max="4355" width="10.83203125" style="177" customWidth="1"/>
    <col min="4356" max="4356" width="3.33203125" style="177" customWidth="1"/>
    <col min="4357" max="4357" width="11.5" style="177" customWidth="1"/>
    <col min="4358" max="4358" width="3.6640625" style="177" customWidth="1"/>
    <col min="4359" max="4608" width="8.83203125" style="177"/>
    <col min="4609" max="4609" width="63.1640625" style="177" customWidth="1"/>
    <col min="4610" max="4610" width="5.5" style="177" customWidth="1"/>
    <col min="4611" max="4611" width="10.83203125" style="177" customWidth="1"/>
    <col min="4612" max="4612" width="3.33203125" style="177" customWidth="1"/>
    <col min="4613" max="4613" width="11.5" style="177" customWidth="1"/>
    <col min="4614" max="4614" width="3.6640625" style="177" customWidth="1"/>
    <col min="4615" max="4864" width="8.83203125" style="177"/>
    <col min="4865" max="4865" width="63.1640625" style="177" customWidth="1"/>
    <col min="4866" max="4866" width="5.5" style="177" customWidth="1"/>
    <col min="4867" max="4867" width="10.83203125" style="177" customWidth="1"/>
    <col min="4868" max="4868" width="3.33203125" style="177" customWidth="1"/>
    <col min="4869" max="4869" width="11.5" style="177" customWidth="1"/>
    <col min="4870" max="4870" width="3.6640625" style="177" customWidth="1"/>
    <col min="4871" max="5120" width="8.83203125" style="177"/>
    <col min="5121" max="5121" width="63.1640625" style="177" customWidth="1"/>
    <col min="5122" max="5122" width="5.5" style="177" customWidth="1"/>
    <col min="5123" max="5123" width="10.83203125" style="177" customWidth="1"/>
    <col min="5124" max="5124" width="3.33203125" style="177" customWidth="1"/>
    <col min="5125" max="5125" width="11.5" style="177" customWidth="1"/>
    <col min="5126" max="5126" width="3.6640625" style="177" customWidth="1"/>
    <col min="5127" max="5376" width="8.83203125" style="177"/>
    <col min="5377" max="5377" width="63.1640625" style="177" customWidth="1"/>
    <col min="5378" max="5378" width="5.5" style="177" customWidth="1"/>
    <col min="5379" max="5379" width="10.83203125" style="177" customWidth="1"/>
    <col min="5380" max="5380" width="3.33203125" style="177" customWidth="1"/>
    <col min="5381" max="5381" width="11.5" style="177" customWidth="1"/>
    <col min="5382" max="5382" width="3.6640625" style="177" customWidth="1"/>
    <col min="5383" max="5632" width="8.83203125" style="177"/>
    <col min="5633" max="5633" width="63.1640625" style="177" customWidth="1"/>
    <col min="5634" max="5634" width="5.5" style="177" customWidth="1"/>
    <col min="5635" max="5635" width="10.83203125" style="177" customWidth="1"/>
    <col min="5636" max="5636" width="3.33203125" style="177" customWidth="1"/>
    <col min="5637" max="5637" width="11.5" style="177" customWidth="1"/>
    <col min="5638" max="5638" width="3.6640625" style="177" customWidth="1"/>
    <col min="5639" max="5888" width="8.83203125" style="177"/>
    <col min="5889" max="5889" width="63.1640625" style="177" customWidth="1"/>
    <col min="5890" max="5890" width="5.5" style="177" customWidth="1"/>
    <col min="5891" max="5891" width="10.83203125" style="177" customWidth="1"/>
    <col min="5892" max="5892" width="3.33203125" style="177" customWidth="1"/>
    <col min="5893" max="5893" width="11.5" style="177" customWidth="1"/>
    <col min="5894" max="5894" width="3.6640625" style="177" customWidth="1"/>
    <col min="5895" max="6144" width="8.83203125" style="177"/>
    <col min="6145" max="6145" width="63.1640625" style="177" customWidth="1"/>
    <col min="6146" max="6146" width="5.5" style="177" customWidth="1"/>
    <col min="6147" max="6147" width="10.83203125" style="177" customWidth="1"/>
    <col min="6148" max="6148" width="3.33203125" style="177" customWidth="1"/>
    <col min="6149" max="6149" width="11.5" style="177" customWidth="1"/>
    <col min="6150" max="6150" width="3.6640625" style="177" customWidth="1"/>
    <col min="6151" max="6400" width="8.83203125" style="177"/>
    <col min="6401" max="6401" width="63.1640625" style="177" customWidth="1"/>
    <col min="6402" max="6402" width="5.5" style="177" customWidth="1"/>
    <col min="6403" max="6403" width="10.83203125" style="177" customWidth="1"/>
    <col min="6404" max="6404" width="3.33203125" style="177" customWidth="1"/>
    <col min="6405" max="6405" width="11.5" style="177" customWidth="1"/>
    <col min="6406" max="6406" width="3.6640625" style="177" customWidth="1"/>
    <col min="6407" max="6656" width="8.83203125" style="177"/>
    <col min="6657" max="6657" width="63.1640625" style="177" customWidth="1"/>
    <col min="6658" max="6658" width="5.5" style="177" customWidth="1"/>
    <col min="6659" max="6659" width="10.83203125" style="177" customWidth="1"/>
    <col min="6660" max="6660" width="3.33203125" style="177" customWidth="1"/>
    <col min="6661" max="6661" width="11.5" style="177" customWidth="1"/>
    <col min="6662" max="6662" width="3.6640625" style="177" customWidth="1"/>
    <col min="6663" max="6912" width="8.83203125" style="177"/>
    <col min="6913" max="6913" width="63.1640625" style="177" customWidth="1"/>
    <col min="6914" max="6914" width="5.5" style="177" customWidth="1"/>
    <col min="6915" max="6915" width="10.83203125" style="177" customWidth="1"/>
    <col min="6916" max="6916" width="3.33203125" style="177" customWidth="1"/>
    <col min="6917" max="6917" width="11.5" style="177" customWidth="1"/>
    <col min="6918" max="6918" width="3.6640625" style="177" customWidth="1"/>
    <col min="6919" max="7168" width="8.83203125" style="177"/>
    <col min="7169" max="7169" width="63.1640625" style="177" customWidth="1"/>
    <col min="7170" max="7170" width="5.5" style="177" customWidth="1"/>
    <col min="7171" max="7171" width="10.83203125" style="177" customWidth="1"/>
    <col min="7172" max="7172" width="3.33203125" style="177" customWidth="1"/>
    <col min="7173" max="7173" width="11.5" style="177" customWidth="1"/>
    <col min="7174" max="7174" width="3.6640625" style="177" customWidth="1"/>
    <col min="7175" max="7424" width="8.83203125" style="177"/>
    <col min="7425" max="7425" width="63.1640625" style="177" customWidth="1"/>
    <col min="7426" max="7426" width="5.5" style="177" customWidth="1"/>
    <col min="7427" max="7427" width="10.83203125" style="177" customWidth="1"/>
    <col min="7428" max="7428" width="3.33203125" style="177" customWidth="1"/>
    <col min="7429" max="7429" width="11.5" style="177" customWidth="1"/>
    <col min="7430" max="7430" width="3.6640625" style="177" customWidth="1"/>
    <col min="7431" max="7680" width="8.83203125" style="177"/>
    <col min="7681" max="7681" width="63.1640625" style="177" customWidth="1"/>
    <col min="7682" max="7682" width="5.5" style="177" customWidth="1"/>
    <col min="7683" max="7683" width="10.83203125" style="177" customWidth="1"/>
    <col min="7684" max="7684" width="3.33203125" style="177" customWidth="1"/>
    <col min="7685" max="7685" width="11.5" style="177" customWidth="1"/>
    <col min="7686" max="7686" width="3.6640625" style="177" customWidth="1"/>
    <col min="7687" max="7936" width="8.83203125" style="177"/>
    <col min="7937" max="7937" width="63.1640625" style="177" customWidth="1"/>
    <col min="7938" max="7938" width="5.5" style="177" customWidth="1"/>
    <col min="7939" max="7939" width="10.83203125" style="177" customWidth="1"/>
    <col min="7940" max="7940" width="3.33203125" style="177" customWidth="1"/>
    <col min="7941" max="7941" width="11.5" style="177" customWidth="1"/>
    <col min="7942" max="7942" width="3.6640625" style="177" customWidth="1"/>
    <col min="7943" max="8192" width="8.83203125" style="177"/>
    <col min="8193" max="8193" width="63.1640625" style="177" customWidth="1"/>
    <col min="8194" max="8194" width="5.5" style="177" customWidth="1"/>
    <col min="8195" max="8195" width="10.83203125" style="177" customWidth="1"/>
    <col min="8196" max="8196" width="3.33203125" style="177" customWidth="1"/>
    <col min="8197" max="8197" width="11.5" style="177" customWidth="1"/>
    <col min="8198" max="8198" width="3.6640625" style="177" customWidth="1"/>
    <col min="8199" max="8448" width="8.83203125" style="177"/>
    <col min="8449" max="8449" width="63.1640625" style="177" customWidth="1"/>
    <col min="8450" max="8450" width="5.5" style="177" customWidth="1"/>
    <col min="8451" max="8451" width="10.83203125" style="177" customWidth="1"/>
    <col min="8452" max="8452" width="3.33203125" style="177" customWidth="1"/>
    <col min="8453" max="8453" width="11.5" style="177" customWidth="1"/>
    <col min="8454" max="8454" width="3.6640625" style="177" customWidth="1"/>
    <col min="8455" max="8704" width="8.83203125" style="177"/>
    <col min="8705" max="8705" width="63.1640625" style="177" customWidth="1"/>
    <col min="8706" max="8706" width="5.5" style="177" customWidth="1"/>
    <col min="8707" max="8707" width="10.83203125" style="177" customWidth="1"/>
    <col min="8708" max="8708" width="3.33203125" style="177" customWidth="1"/>
    <col min="8709" max="8709" width="11.5" style="177" customWidth="1"/>
    <col min="8710" max="8710" width="3.6640625" style="177" customWidth="1"/>
    <col min="8711" max="8960" width="8.83203125" style="177"/>
    <col min="8961" max="8961" width="63.1640625" style="177" customWidth="1"/>
    <col min="8962" max="8962" width="5.5" style="177" customWidth="1"/>
    <col min="8963" max="8963" width="10.83203125" style="177" customWidth="1"/>
    <col min="8964" max="8964" width="3.33203125" style="177" customWidth="1"/>
    <col min="8965" max="8965" width="11.5" style="177" customWidth="1"/>
    <col min="8966" max="8966" width="3.6640625" style="177" customWidth="1"/>
    <col min="8967" max="9216" width="8.83203125" style="177"/>
    <col min="9217" max="9217" width="63.1640625" style="177" customWidth="1"/>
    <col min="9218" max="9218" width="5.5" style="177" customWidth="1"/>
    <col min="9219" max="9219" width="10.83203125" style="177" customWidth="1"/>
    <col min="9220" max="9220" width="3.33203125" style="177" customWidth="1"/>
    <col min="9221" max="9221" width="11.5" style="177" customWidth="1"/>
    <col min="9222" max="9222" width="3.6640625" style="177" customWidth="1"/>
    <col min="9223" max="9472" width="8.83203125" style="177"/>
    <col min="9473" max="9473" width="63.1640625" style="177" customWidth="1"/>
    <col min="9474" max="9474" width="5.5" style="177" customWidth="1"/>
    <col min="9475" max="9475" width="10.83203125" style="177" customWidth="1"/>
    <col min="9476" max="9476" width="3.33203125" style="177" customWidth="1"/>
    <col min="9477" max="9477" width="11.5" style="177" customWidth="1"/>
    <col min="9478" max="9478" width="3.6640625" style="177" customWidth="1"/>
    <col min="9479" max="9728" width="8.83203125" style="177"/>
    <col min="9729" max="9729" width="63.1640625" style="177" customWidth="1"/>
    <col min="9730" max="9730" width="5.5" style="177" customWidth="1"/>
    <col min="9731" max="9731" width="10.83203125" style="177" customWidth="1"/>
    <col min="9732" max="9732" width="3.33203125" style="177" customWidth="1"/>
    <col min="9733" max="9733" width="11.5" style="177" customWidth="1"/>
    <col min="9734" max="9734" width="3.6640625" style="177" customWidth="1"/>
    <col min="9735" max="9984" width="8.83203125" style="177"/>
    <col min="9985" max="9985" width="63.1640625" style="177" customWidth="1"/>
    <col min="9986" max="9986" width="5.5" style="177" customWidth="1"/>
    <col min="9987" max="9987" width="10.83203125" style="177" customWidth="1"/>
    <col min="9988" max="9988" width="3.33203125" style="177" customWidth="1"/>
    <col min="9989" max="9989" width="11.5" style="177" customWidth="1"/>
    <col min="9990" max="9990" width="3.6640625" style="177" customWidth="1"/>
    <col min="9991" max="10240" width="8.83203125" style="177"/>
    <col min="10241" max="10241" width="63.1640625" style="177" customWidth="1"/>
    <col min="10242" max="10242" width="5.5" style="177" customWidth="1"/>
    <col min="10243" max="10243" width="10.83203125" style="177" customWidth="1"/>
    <col min="10244" max="10244" width="3.33203125" style="177" customWidth="1"/>
    <col min="10245" max="10245" width="11.5" style="177" customWidth="1"/>
    <col min="10246" max="10246" width="3.6640625" style="177" customWidth="1"/>
    <col min="10247" max="10496" width="8.83203125" style="177"/>
    <col min="10497" max="10497" width="63.1640625" style="177" customWidth="1"/>
    <col min="10498" max="10498" width="5.5" style="177" customWidth="1"/>
    <col min="10499" max="10499" width="10.83203125" style="177" customWidth="1"/>
    <col min="10500" max="10500" width="3.33203125" style="177" customWidth="1"/>
    <col min="10501" max="10501" width="11.5" style="177" customWidth="1"/>
    <col min="10502" max="10502" width="3.6640625" style="177" customWidth="1"/>
    <col min="10503" max="10752" width="8.83203125" style="177"/>
    <col min="10753" max="10753" width="63.1640625" style="177" customWidth="1"/>
    <col min="10754" max="10754" width="5.5" style="177" customWidth="1"/>
    <col min="10755" max="10755" width="10.83203125" style="177" customWidth="1"/>
    <col min="10756" max="10756" width="3.33203125" style="177" customWidth="1"/>
    <col min="10757" max="10757" width="11.5" style="177" customWidth="1"/>
    <col min="10758" max="10758" width="3.6640625" style="177" customWidth="1"/>
    <col min="10759" max="11008" width="8.83203125" style="177"/>
    <col min="11009" max="11009" width="63.1640625" style="177" customWidth="1"/>
    <col min="11010" max="11010" width="5.5" style="177" customWidth="1"/>
    <col min="11011" max="11011" width="10.83203125" style="177" customWidth="1"/>
    <col min="11012" max="11012" width="3.33203125" style="177" customWidth="1"/>
    <col min="11013" max="11013" width="11.5" style="177" customWidth="1"/>
    <col min="11014" max="11014" width="3.6640625" style="177" customWidth="1"/>
    <col min="11015" max="11264" width="8.83203125" style="177"/>
    <col min="11265" max="11265" width="63.1640625" style="177" customWidth="1"/>
    <col min="11266" max="11266" width="5.5" style="177" customWidth="1"/>
    <col min="11267" max="11267" width="10.83203125" style="177" customWidth="1"/>
    <col min="11268" max="11268" width="3.33203125" style="177" customWidth="1"/>
    <col min="11269" max="11269" width="11.5" style="177" customWidth="1"/>
    <col min="11270" max="11270" width="3.6640625" style="177" customWidth="1"/>
    <col min="11271" max="11520" width="8.83203125" style="177"/>
    <col min="11521" max="11521" width="63.1640625" style="177" customWidth="1"/>
    <col min="11522" max="11522" width="5.5" style="177" customWidth="1"/>
    <col min="11523" max="11523" width="10.83203125" style="177" customWidth="1"/>
    <col min="11524" max="11524" width="3.33203125" style="177" customWidth="1"/>
    <col min="11525" max="11525" width="11.5" style="177" customWidth="1"/>
    <col min="11526" max="11526" width="3.6640625" style="177" customWidth="1"/>
    <col min="11527" max="11776" width="8.83203125" style="177"/>
    <col min="11777" max="11777" width="63.1640625" style="177" customWidth="1"/>
    <col min="11778" max="11778" width="5.5" style="177" customWidth="1"/>
    <col min="11779" max="11779" width="10.83203125" style="177" customWidth="1"/>
    <col min="11780" max="11780" width="3.33203125" style="177" customWidth="1"/>
    <col min="11781" max="11781" width="11.5" style="177" customWidth="1"/>
    <col min="11782" max="11782" width="3.6640625" style="177" customWidth="1"/>
    <col min="11783" max="12032" width="8.83203125" style="177"/>
    <col min="12033" max="12033" width="63.1640625" style="177" customWidth="1"/>
    <col min="12034" max="12034" width="5.5" style="177" customWidth="1"/>
    <col min="12035" max="12035" width="10.83203125" style="177" customWidth="1"/>
    <col min="12036" max="12036" width="3.33203125" style="177" customWidth="1"/>
    <col min="12037" max="12037" width="11.5" style="177" customWidth="1"/>
    <col min="12038" max="12038" width="3.6640625" style="177" customWidth="1"/>
    <col min="12039" max="12288" width="8.83203125" style="177"/>
    <col min="12289" max="12289" width="63.1640625" style="177" customWidth="1"/>
    <col min="12290" max="12290" width="5.5" style="177" customWidth="1"/>
    <col min="12291" max="12291" width="10.83203125" style="177" customWidth="1"/>
    <col min="12292" max="12292" width="3.33203125" style="177" customWidth="1"/>
    <col min="12293" max="12293" width="11.5" style="177" customWidth="1"/>
    <col min="12294" max="12294" width="3.6640625" style="177" customWidth="1"/>
    <col min="12295" max="12544" width="8.83203125" style="177"/>
    <col min="12545" max="12545" width="63.1640625" style="177" customWidth="1"/>
    <col min="12546" max="12546" width="5.5" style="177" customWidth="1"/>
    <col min="12547" max="12547" width="10.83203125" style="177" customWidth="1"/>
    <col min="12548" max="12548" width="3.33203125" style="177" customWidth="1"/>
    <col min="12549" max="12549" width="11.5" style="177" customWidth="1"/>
    <col min="12550" max="12550" width="3.6640625" style="177" customWidth="1"/>
    <col min="12551" max="12800" width="8.83203125" style="177"/>
    <col min="12801" max="12801" width="63.1640625" style="177" customWidth="1"/>
    <col min="12802" max="12802" width="5.5" style="177" customWidth="1"/>
    <col min="12803" max="12803" width="10.83203125" style="177" customWidth="1"/>
    <col min="12804" max="12804" width="3.33203125" style="177" customWidth="1"/>
    <col min="12805" max="12805" width="11.5" style="177" customWidth="1"/>
    <col min="12806" max="12806" width="3.6640625" style="177" customWidth="1"/>
    <col min="12807" max="13056" width="8.83203125" style="177"/>
    <col min="13057" max="13057" width="63.1640625" style="177" customWidth="1"/>
    <col min="13058" max="13058" width="5.5" style="177" customWidth="1"/>
    <col min="13059" max="13059" width="10.83203125" style="177" customWidth="1"/>
    <col min="13060" max="13060" width="3.33203125" style="177" customWidth="1"/>
    <col min="13061" max="13061" width="11.5" style="177" customWidth="1"/>
    <col min="13062" max="13062" width="3.6640625" style="177" customWidth="1"/>
    <col min="13063" max="13312" width="8.83203125" style="177"/>
    <col min="13313" max="13313" width="63.1640625" style="177" customWidth="1"/>
    <col min="13314" max="13314" width="5.5" style="177" customWidth="1"/>
    <col min="13315" max="13315" width="10.83203125" style="177" customWidth="1"/>
    <col min="13316" max="13316" width="3.33203125" style="177" customWidth="1"/>
    <col min="13317" max="13317" width="11.5" style="177" customWidth="1"/>
    <col min="13318" max="13318" width="3.6640625" style="177" customWidth="1"/>
    <col min="13319" max="13568" width="8.83203125" style="177"/>
    <col min="13569" max="13569" width="63.1640625" style="177" customWidth="1"/>
    <col min="13570" max="13570" width="5.5" style="177" customWidth="1"/>
    <col min="13571" max="13571" width="10.83203125" style="177" customWidth="1"/>
    <col min="13572" max="13572" width="3.33203125" style="177" customWidth="1"/>
    <col min="13573" max="13573" width="11.5" style="177" customWidth="1"/>
    <col min="13574" max="13574" width="3.6640625" style="177" customWidth="1"/>
    <col min="13575" max="13824" width="8.83203125" style="177"/>
    <col min="13825" max="13825" width="63.1640625" style="177" customWidth="1"/>
    <col min="13826" max="13826" width="5.5" style="177" customWidth="1"/>
    <col min="13827" max="13827" width="10.83203125" style="177" customWidth="1"/>
    <col min="13828" max="13828" width="3.33203125" style="177" customWidth="1"/>
    <col min="13829" max="13829" width="11.5" style="177" customWidth="1"/>
    <col min="13830" max="13830" width="3.6640625" style="177" customWidth="1"/>
    <col min="13831" max="14080" width="8.83203125" style="177"/>
    <col min="14081" max="14081" width="63.1640625" style="177" customWidth="1"/>
    <col min="14082" max="14082" width="5.5" style="177" customWidth="1"/>
    <col min="14083" max="14083" width="10.83203125" style="177" customWidth="1"/>
    <col min="14084" max="14084" width="3.33203125" style="177" customWidth="1"/>
    <col min="14085" max="14085" width="11.5" style="177" customWidth="1"/>
    <col min="14086" max="14086" width="3.6640625" style="177" customWidth="1"/>
    <col min="14087" max="14336" width="8.83203125" style="177"/>
    <col min="14337" max="14337" width="63.1640625" style="177" customWidth="1"/>
    <col min="14338" max="14338" width="5.5" style="177" customWidth="1"/>
    <col min="14339" max="14339" width="10.83203125" style="177" customWidth="1"/>
    <col min="14340" max="14340" width="3.33203125" style="177" customWidth="1"/>
    <col min="14341" max="14341" width="11.5" style="177" customWidth="1"/>
    <col min="14342" max="14342" width="3.6640625" style="177" customWidth="1"/>
    <col min="14343" max="14592" width="8.83203125" style="177"/>
    <col min="14593" max="14593" width="63.1640625" style="177" customWidth="1"/>
    <col min="14594" max="14594" width="5.5" style="177" customWidth="1"/>
    <col min="14595" max="14595" width="10.83203125" style="177" customWidth="1"/>
    <col min="14596" max="14596" width="3.33203125" style="177" customWidth="1"/>
    <col min="14597" max="14597" width="11.5" style="177" customWidth="1"/>
    <col min="14598" max="14598" width="3.6640625" style="177" customWidth="1"/>
    <col min="14599" max="14848" width="8.83203125" style="177"/>
    <col min="14849" max="14849" width="63.1640625" style="177" customWidth="1"/>
    <col min="14850" max="14850" width="5.5" style="177" customWidth="1"/>
    <col min="14851" max="14851" width="10.83203125" style="177" customWidth="1"/>
    <col min="14852" max="14852" width="3.33203125" style="177" customWidth="1"/>
    <col min="14853" max="14853" width="11.5" style="177" customWidth="1"/>
    <col min="14854" max="14854" width="3.6640625" style="177" customWidth="1"/>
    <col min="14855" max="15104" width="8.83203125" style="177"/>
    <col min="15105" max="15105" width="63.1640625" style="177" customWidth="1"/>
    <col min="15106" max="15106" width="5.5" style="177" customWidth="1"/>
    <col min="15107" max="15107" width="10.83203125" style="177" customWidth="1"/>
    <col min="15108" max="15108" width="3.33203125" style="177" customWidth="1"/>
    <col min="15109" max="15109" width="11.5" style="177" customWidth="1"/>
    <col min="15110" max="15110" width="3.6640625" style="177" customWidth="1"/>
    <col min="15111" max="15360" width="8.83203125" style="177"/>
    <col min="15361" max="15361" width="63.1640625" style="177" customWidth="1"/>
    <col min="15362" max="15362" width="5.5" style="177" customWidth="1"/>
    <col min="15363" max="15363" width="10.83203125" style="177" customWidth="1"/>
    <col min="15364" max="15364" width="3.33203125" style="177" customWidth="1"/>
    <col min="15365" max="15365" width="11.5" style="177" customWidth="1"/>
    <col min="15366" max="15366" width="3.6640625" style="177" customWidth="1"/>
    <col min="15367" max="15616" width="8.83203125" style="177"/>
    <col min="15617" max="15617" width="63.1640625" style="177" customWidth="1"/>
    <col min="15618" max="15618" width="5.5" style="177" customWidth="1"/>
    <col min="15619" max="15619" width="10.83203125" style="177" customWidth="1"/>
    <col min="15620" max="15620" width="3.33203125" style="177" customWidth="1"/>
    <col min="15621" max="15621" width="11.5" style="177" customWidth="1"/>
    <col min="15622" max="15622" width="3.6640625" style="177" customWidth="1"/>
    <col min="15623" max="15872" width="8.83203125" style="177"/>
    <col min="15873" max="15873" width="63.1640625" style="177" customWidth="1"/>
    <col min="15874" max="15874" width="5.5" style="177" customWidth="1"/>
    <col min="15875" max="15875" width="10.83203125" style="177" customWidth="1"/>
    <col min="15876" max="15876" width="3.33203125" style="177" customWidth="1"/>
    <col min="15877" max="15877" width="11.5" style="177" customWidth="1"/>
    <col min="15878" max="15878" width="3.6640625" style="177" customWidth="1"/>
    <col min="15879" max="16128" width="8.83203125" style="177"/>
    <col min="16129" max="16129" width="63.1640625" style="177" customWidth="1"/>
    <col min="16130" max="16130" width="5.5" style="177" customWidth="1"/>
    <col min="16131" max="16131" width="10.83203125" style="177" customWidth="1"/>
    <col min="16132" max="16132" width="3.33203125" style="177" customWidth="1"/>
    <col min="16133" max="16133" width="11.5" style="177" customWidth="1"/>
    <col min="16134" max="16134" width="3.6640625" style="177" customWidth="1"/>
    <col min="16135" max="16384" width="8.83203125" style="177"/>
  </cols>
  <sheetData>
    <row r="1" spans="1:8">
      <c r="A1" s="177" t="s">
        <v>589</v>
      </c>
    </row>
    <row r="2" spans="1:8">
      <c r="A2" s="177" t="s">
        <v>590</v>
      </c>
    </row>
    <row r="3" spans="1:8" ht="12" customHeight="1"/>
    <row r="4" spans="1:8">
      <c r="A4" s="177" t="s">
        <v>2172</v>
      </c>
    </row>
    <row r="5" spans="1:8">
      <c r="A5" s="177" t="s">
        <v>2173</v>
      </c>
    </row>
    <row r="6" spans="1:8" ht="12" customHeight="1" thickBot="1">
      <c r="A6" s="185"/>
      <c r="B6" s="185"/>
      <c r="C6" s="185"/>
      <c r="D6" s="185"/>
      <c r="E6" s="658"/>
      <c r="F6" s="658"/>
    </row>
    <row r="7" spans="1:8">
      <c r="A7" s="659"/>
      <c r="B7" s="659"/>
      <c r="C7" s="659"/>
      <c r="D7" s="659"/>
      <c r="E7" s="660"/>
      <c r="F7" s="660"/>
    </row>
    <row r="8" spans="1:8">
      <c r="A8" s="177" t="s">
        <v>1647</v>
      </c>
      <c r="C8" s="1079" t="s">
        <v>1648</v>
      </c>
      <c r="D8" s="1079"/>
      <c r="E8" s="1079"/>
      <c r="F8" s="659"/>
    </row>
    <row r="9" spans="1:8">
      <c r="A9" s="177" t="s">
        <v>1649</v>
      </c>
      <c r="C9" s="1080" t="s">
        <v>1650</v>
      </c>
      <c r="D9" s="1080"/>
      <c r="E9" s="1080"/>
      <c r="F9" s="659"/>
    </row>
    <row r="10" spans="1:8">
      <c r="C10" s="661" t="s">
        <v>1651</v>
      </c>
      <c r="D10" s="662"/>
      <c r="E10" s="663" t="s">
        <v>1652</v>
      </c>
      <c r="F10" s="659"/>
    </row>
    <row r="11" spans="1:8" ht="15" thickBot="1">
      <c r="A11" s="185"/>
      <c r="B11" s="185"/>
      <c r="C11" s="185"/>
      <c r="D11" s="185"/>
      <c r="E11" s="658"/>
      <c r="F11" s="658"/>
    </row>
    <row r="12" spans="1:8" ht="12" customHeight="1">
      <c r="A12" s="659"/>
      <c r="B12" s="659"/>
      <c r="C12" s="664"/>
      <c r="D12" s="659"/>
      <c r="E12" s="660"/>
      <c r="F12" s="665"/>
      <c r="G12" s="666"/>
      <c r="H12" s="666"/>
    </row>
    <row r="13" spans="1:8" ht="15.75" customHeight="1">
      <c r="A13" s="667" t="s">
        <v>1653</v>
      </c>
      <c r="B13" s="659"/>
      <c r="C13" s="668">
        <f>C15+C45</f>
        <v>414359</v>
      </c>
      <c r="D13" s="667"/>
      <c r="E13" s="669">
        <f>E15+E45</f>
        <v>100</v>
      </c>
      <c r="F13" s="665"/>
      <c r="G13" s="666"/>
      <c r="H13" s="666"/>
    </row>
    <row r="14" spans="1:8" ht="12" customHeight="1">
      <c r="A14" s="659"/>
      <c r="B14" s="659"/>
      <c r="C14" s="664"/>
      <c r="D14" s="659"/>
      <c r="E14" s="657" t="str">
        <f>IF($A14&lt;&gt;0,C14/$C$13*100,"")</f>
        <v/>
      </c>
      <c r="F14" s="665"/>
      <c r="G14" s="666"/>
      <c r="H14" s="666"/>
    </row>
    <row r="15" spans="1:8" ht="13.5" customHeight="1">
      <c r="A15" s="179" t="s">
        <v>1654</v>
      </c>
      <c r="C15" s="670">
        <f>SUM(C17:C43)</f>
        <v>70600</v>
      </c>
      <c r="E15" s="671">
        <f t="shared" ref="E15:E59" si="0">IF($A15&lt;&gt;0,C15/$C$13*100,"")</f>
        <v>17.038365282279379</v>
      </c>
      <c r="F15" s="659"/>
      <c r="G15" s="972"/>
      <c r="H15" s="972"/>
    </row>
    <row r="16" spans="1:8" ht="5.25" customHeight="1">
      <c r="C16" s="672"/>
      <c r="E16" s="657" t="str">
        <f t="shared" si="0"/>
        <v/>
      </c>
      <c r="F16" s="659"/>
      <c r="G16" s="972"/>
      <c r="H16" s="972"/>
    </row>
    <row r="17" spans="1:8">
      <c r="A17" s="182" t="s">
        <v>1655</v>
      </c>
      <c r="C17" s="673">
        <v>21047</v>
      </c>
      <c r="E17" s="674">
        <f t="shared" si="0"/>
        <v>5.0794118143928335</v>
      </c>
      <c r="F17" s="659"/>
      <c r="G17" s="972"/>
      <c r="H17" s="972"/>
    </row>
    <row r="18" spans="1:8" ht="7" hidden="1" customHeight="1">
      <c r="A18" s="182"/>
      <c r="C18" s="673"/>
      <c r="E18" s="674" t="str">
        <f t="shared" si="0"/>
        <v/>
      </c>
      <c r="F18" s="659"/>
      <c r="G18" s="972"/>
      <c r="H18" s="972"/>
    </row>
    <row r="19" spans="1:8" hidden="1">
      <c r="A19" s="182" t="s">
        <v>1656</v>
      </c>
      <c r="C19" s="673"/>
      <c r="E19" s="674">
        <f t="shared" si="0"/>
        <v>0</v>
      </c>
      <c r="F19" s="659"/>
      <c r="G19" s="972"/>
      <c r="H19" s="972"/>
    </row>
    <row r="20" spans="1:8" ht="6" customHeight="1">
      <c r="A20" s="182"/>
      <c r="C20" s="675"/>
      <c r="E20" s="674" t="str">
        <f t="shared" si="0"/>
        <v/>
      </c>
      <c r="F20" s="659"/>
      <c r="G20" s="659"/>
      <c r="H20" s="972"/>
    </row>
    <row r="21" spans="1:8" ht="12.75" customHeight="1">
      <c r="A21" s="182" t="s">
        <v>2174</v>
      </c>
      <c r="C21" s="675">
        <v>355</v>
      </c>
      <c r="E21" s="674">
        <f t="shared" si="0"/>
        <v>8.5674499648855221E-2</v>
      </c>
      <c r="F21" s="659"/>
      <c r="G21" s="659"/>
      <c r="H21" s="972"/>
    </row>
    <row r="22" spans="1:8" ht="6" customHeight="1">
      <c r="A22" s="182"/>
      <c r="C22" s="675"/>
      <c r="E22" s="674" t="str">
        <f t="shared" si="0"/>
        <v/>
      </c>
      <c r="F22" s="659"/>
      <c r="G22" s="659"/>
      <c r="H22" s="972"/>
    </row>
    <row r="23" spans="1:8">
      <c r="A23" s="182" t="s">
        <v>1657</v>
      </c>
      <c r="C23" s="675">
        <v>3046</v>
      </c>
      <c r="E23" s="674">
        <f t="shared" si="0"/>
        <v>0.7351113406490507</v>
      </c>
      <c r="F23" s="659"/>
      <c r="G23" s="659"/>
      <c r="H23" s="972"/>
    </row>
    <row r="24" spans="1:8" ht="6" customHeight="1">
      <c r="A24" s="182"/>
      <c r="C24" s="675"/>
      <c r="E24" s="674" t="str">
        <f t="shared" si="0"/>
        <v/>
      </c>
      <c r="F24" s="659"/>
      <c r="G24" s="659"/>
      <c r="H24" s="972"/>
    </row>
    <row r="25" spans="1:8">
      <c r="A25" s="182" t="s">
        <v>1658</v>
      </c>
      <c r="C25" s="675">
        <v>3</v>
      </c>
      <c r="E25" s="674">
        <f t="shared" si="0"/>
        <v>7.2400985618750887E-4</v>
      </c>
      <c r="F25" s="659"/>
      <c r="G25" s="659"/>
      <c r="H25" s="972"/>
    </row>
    <row r="26" spans="1:8" ht="7" customHeight="1">
      <c r="A26" s="182"/>
      <c r="C26" s="673"/>
      <c r="E26" s="674" t="str">
        <f t="shared" si="0"/>
        <v/>
      </c>
      <c r="F26" s="659"/>
      <c r="G26" s="972"/>
      <c r="H26" s="972"/>
    </row>
    <row r="27" spans="1:8">
      <c r="A27" s="182" t="s">
        <v>1659</v>
      </c>
      <c r="C27" s="673">
        <v>14670</v>
      </c>
      <c r="E27" s="674">
        <f t="shared" si="0"/>
        <v>3.540408196756919</v>
      </c>
    </row>
    <row r="28" spans="1:8" ht="7" customHeight="1">
      <c r="A28" s="182"/>
      <c r="C28" s="673"/>
      <c r="E28" s="674" t="str">
        <f t="shared" si="0"/>
        <v/>
      </c>
    </row>
    <row r="29" spans="1:8" ht="14.25" customHeight="1">
      <c r="A29" s="182" t="s">
        <v>1660</v>
      </c>
      <c r="C29" s="673">
        <v>1744</v>
      </c>
      <c r="E29" s="674">
        <f t="shared" si="0"/>
        <v>0.42089106306367186</v>
      </c>
    </row>
    <row r="30" spans="1:8" ht="4.5" customHeight="1">
      <c r="A30" s="182"/>
      <c r="C30" s="673"/>
      <c r="E30" s="674" t="str">
        <f t="shared" si="0"/>
        <v/>
      </c>
    </row>
    <row r="31" spans="1:8" hidden="1">
      <c r="A31" s="182" t="s">
        <v>1661</v>
      </c>
      <c r="C31" s="673"/>
      <c r="E31" s="674">
        <f t="shared" si="0"/>
        <v>0</v>
      </c>
    </row>
    <row r="32" spans="1:8" ht="7" hidden="1" customHeight="1">
      <c r="A32" s="182"/>
      <c r="C32" s="673"/>
      <c r="E32" s="674" t="str">
        <f t="shared" si="0"/>
        <v/>
      </c>
    </row>
    <row r="33" spans="1:8">
      <c r="A33" s="182" t="s">
        <v>1662</v>
      </c>
      <c r="C33" s="675">
        <v>2055</v>
      </c>
      <c r="E33" s="674">
        <f t="shared" si="0"/>
        <v>0.49594675148844358</v>
      </c>
      <c r="F33" s="659"/>
      <c r="G33" s="659"/>
      <c r="H33" s="972"/>
    </row>
    <row r="34" spans="1:8" ht="7" customHeight="1">
      <c r="A34" s="182"/>
      <c r="C34" s="675"/>
      <c r="E34" s="674" t="str">
        <f t="shared" si="0"/>
        <v/>
      </c>
      <c r="F34" s="659"/>
      <c r="G34" s="659"/>
      <c r="H34" s="972"/>
    </row>
    <row r="35" spans="1:8" ht="30" hidden="1">
      <c r="A35" s="676" t="s">
        <v>1663</v>
      </c>
      <c r="C35" s="673"/>
      <c r="E35" s="674">
        <f t="shared" si="0"/>
        <v>0</v>
      </c>
    </row>
    <row r="36" spans="1:8" ht="7" hidden="1" customHeight="1">
      <c r="A36" s="182"/>
      <c r="C36" s="673"/>
      <c r="E36" s="674" t="str">
        <f t="shared" si="0"/>
        <v/>
      </c>
    </row>
    <row r="37" spans="1:8">
      <c r="A37" s="182" t="s">
        <v>1664</v>
      </c>
      <c r="C37" s="673">
        <v>7849</v>
      </c>
      <c r="E37" s="674">
        <f t="shared" si="0"/>
        <v>1.8942511204052523</v>
      </c>
    </row>
    <row r="38" spans="1:8" ht="7" customHeight="1">
      <c r="A38" s="182"/>
      <c r="C38" s="673"/>
      <c r="E38" s="674" t="str">
        <f t="shared" si="0"/>
        <v/>
      </c>
    </row>
    <row r="39" spans="1:8" ht="15">
      <c r="A39" s="677" t="s">
        <v>1665</v>
      </c>
      <c r="C39" s="673">
        <v>17175</v>
      </c>
      <c r="E39" s="674">
        <f t="shared" si="0"/>
        <v>4.1449564266734882</v>
      </c>
    </row>
    <row r="40" spans="1:8" ht="5.25" customHeight="1">
      <c r="A40" s="677"/>
      <c r="C40" s="673"/>
      <c r="E40" s="674" t="str">
        <f t="shared" si="0"/>
        <v/>
      </c>
    </row>
    <row r="41" spans="1:8" ht="15">
      <c r="A41" s="677" t="s">
        <v>1666</v>
      </c>
      <c r="C41" s="673">
        <v>2656</v>
      </c>
      <c r="E41" s="674">
        <f t="shared" si="0"/>
        <v>0.64099005934467457</v>
      </c>
    </row>
    <row r="42" spans="1:8" ht="8.25" customHeight="1">
      <c r="A42" s="677"/>
      <c r="C42" s="672"/>
      <c r="E42" s="674" t="str">
        <f t="shared" si="0"/>
        <v/>
      </c>
    </row>
    <row r="43" spans="1:8" ht="31.5" hidden="1" customHeight="1">
      <c r="A43" s="677" t="s">
        <v>1667</v>
      </c>
      <c r="C43" s="672"/>
      <c r="E43" s="674">
        <f t="shared" si="0"/>
        <v>0</v>
      </c>
    </row>
    <row r="44" spans="1:8" ht="7" hidden="1" customHeight="1">
      <c r="A44" s="182"/>
      <c r="C44" s="672"/>
      <c r="E44" s="674" t="str">
        <f t="shared" si="0"/>
        <v/>
      </c>
    </row>
    <row r="45" spans="1:8" ht="12.75" customHeight="1">
      <c r="A45" s="180" t="s">
        <v>1668</v>
      </c>
      <c r="C45" s="670">
        <f>SUM(C47:C59)</f>
        <v>343759</v>
      </c>
      <c r="E45" s="671">
        <f t="shared" si="0"/>
        <v>82.961634717720628</v>
      </c>
    </row>
    <row r="46" spans="1:8" ht="6.75" customHeight="1">
      <c r="A46" s="182"/>
      <c r="C46" s="672"/>
      <c r="E46" s="674" t="str">
        <f t="shared" si="0"/>
        <v/>
      </c>
    </row>
    <row r="47" spans="1:8" ht="15" hidden="1">
      <c r="A47" s="678" t="s">
        <v>1669</v>
      </c>
      <c r="C47" s="672"/>
      <c r="E47" s="674">
        <f t="shared" si="0"/>
        <v>0</v>
      </c>
    </row>
    <row r="48" spans="1:8" ht="6.75" hidden="1" customHeight="1">
      <c r="A48" s="182"/>
      <c r="C48" s="672"/>
      <c r="E48" s="674" t="str">
        <f t="shared" si="0"/>
        <v/>
      </c>
    </row>
    <row r="49" spans="1:6" ht="15">
      <c r="A49" s="678" t="s">
        <v>2175</v>
      </c>
      <c r="C49" s="672">
        <v>7010</v>
      </c>
      <c r="E49" s="674">
        <f t="shared" si="0"/>
        <v>1.6917696972914791</v>
      </c>
    </row>
    <row r="50" spans="1:6" ht="6.75" customHeight="1">
      <c r="A50" s="678"/>
      <c r="C50" s="672"/>
      <c r="E50" s="674" t="str">
        <f t="shared" si="0"/>
        <v/>
      </c>
    </row>
    <row r="51" spans="1:6" ht="15">
      <c r="A51" s="678" t="s">
        <v>1670</v>
      </c>
      <c r="C51" s="672">
        <v>29648</v>
      </c>
      <c r="E51" s="674">
        <f t="shared" si="0"/>
        <v>7.1551480720824205</v>
      </c>
    </row>
    <row r="52" spans="1:6" ht="7" customHeight="1">
      <c r="A52" s="182"/>
      <c r="C52" s="672"/>
      <c r="E52" s="674" t="str">
        <f t="shared" si="0"/>
        <v/>
      </c>
    </row>
    <row r="53" spans="1:6">
      <c r="A53" s="182" t="s">
        <v>1671</v>
      </c>
      <c r="C53" s="672">
        <v>103845</v>
      </c>
      <c r="E53" s="674">
        <f t="shared" si="0"/>
        <v>25.061601171930619</v>
      </c>
    </row>
    <row r="54" spans="1:6" ht="7" customHeight="1">
      <c r="A54" s="182"/>
      <c r="C54" s="672"/>
      <c r="E54" s="674" t="str">
        <f t="shared" si="0"/>
        <v/>
      </c>
    </row>
    <row r="55" spans="1:6" hidden="1">
      <c r="A55" s="182" t="s">
        <v>1672</v>
      </c>
      <c r="C55" s="672"/>
      <c r="E55" s="674">
        <f t="shared" si="0"/>
        <v>0</v>
      </c>
    </row>
    <row r="56" spans="1:6" ht="7" hidden="1" customHeight="1">
      <c r="A56" s="182"/>
      <c r="C56" s="672"/>
      <c r="E56" s="674" t="str">
        <f t="shared" si="0"/>
        <v/>
      </c>
    </row>
    <row r="57" spans="1:6">
      <c r="A57" s="182" t="s">
        <v>1673</v>
      </c>
      <c r="C57" s="672">
        <v>12027</v>
      </c>
      <c r="E57" s="674">
        <f t="shared" si="0"/>
        <v>2.9025555134557233</v>
      </c>
    </row>
    <row r="58" spans="1:6" ht="7" customHeight="1">
      <c r="A58" s="182"/>
      <c r="C58" s="672"/>
      <c r="E58" s="674" t="str">
        <f t="shared" si="0"/>
        <v/>
      </c>
    </row>
    <row r="59" spans="1:6" ht="15">
      <c r="A59" s="677" t="s">
        <v>1674</v>
      </c>
      <c r="C59" s="672">
        <v>191229</v>
      </c>
      <c r="E59" s="674">
        <f t="shared" si="0"/>
        <v>46.150560262960376</v>
      </c>
    </row>
    <row r="60" spans="1:6" ht="12" customHeight="1" thickBot="1">
      <c r="F60" s="658"/>
    </row>
    <row r="61" spans="1:6" ht="9.75" customHeight="1">
      <c r="A61" s="679"/>
      <c r="B61" s="679"/>
      <c r="C61" s="679"/>
      <c r="D61" s="679"/>
      <c r="E61" s="680"/>
    </row>
    <row r="62" spans="1:6" ht="12" customHeight="1">
      <c r="A62" s="659" t="s">
        <v>1675</v>
      </c>
      <c r="B62" s="659"/>
      <c r="C62" s="659"/>
      <c r="D62" s="659"/>
      <c r="E62" s="660"/>
    </row>
    <row r="63" spans="1:6" ht="7" customHeight="1">
      <c r="A63" s="659"/>
      <c r="B63" s="659"/>
      <c r="C63" s="659"/>
      <c r="D63" s="659"/>
      <c r="E63" s="660"/>
    </row>
    <row r="64" spans="1:6" ht="12" customHeight="1">
      <c r="A64" s="659" t="s">
        <v>2176</v>
      </c>
      <c r="B64" s="659"/>
      <c r="C64" s="659"/>
      <c r="D64" s="659"/>
      <c r="E64" s="660"/>
    </row>
    <row r="65" spans="1:5" ht="15.5" customHeight="1">
      <c r="A65" s="659" t="s">
        <v>2177</v>
      </c>
      <c r="B65" s="659"/>
      <c r="C65" s="659"/>
      <c r="D65" s="659"/>
      <c r="E65" s="660"/>
    </row>
    <row r="66" spans="1:5" ht="10.5" customHeight="1">
      <c r="A66" s="659"/>
      <c r="B66" s="659"/>
      <c r="C66" s="659"/>
      <c r="D66" s="659"/>
      <c r="E66" s="660"/>
    </row>
    <row r="67" spans="1:5">
      <c r="A67" s="177" t="s">
        <v>1676</v>
      </c>
    </row>
    <row r="68" spans="1:5">
      <c r="A68" s="177" t="s">
        <v>452</v>
      </c>
    </row>
    <row r="73" spans="1:5">
      <c r="A73" s="681"/>
      <c r="B73" s="681"/>
      <c r="C73" s="681"/>
      <c r="D73" s="681"/>
    </row>
    <row r="74" spans="1:5">
      <c r="A74" s="681"/>
      <c r="B74" s="681"/>
      <c r="C74" s="681"/>
      <c r="D74" s="681"/>
    </row>
  </sheetData>
  <mergeCells count="2">
    <mergeCell ref="C8:E8"/>
    <mergeCell ref="C9:E9"/>
  </mergeCell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F66"/>
  <sheetViews>
    <sheetView workbookViewId="0"/>
  </sheetViews>
  <sheetFormatPr baseColWidth="10" defaultRowHeight="15"/>
  <cols>
    <col min="1" max="1" width="70.5" customWidth="1"/>
    <col min="2" max="2" width="3.33203125" customWidth="1"/>
    <col min="4" max="4" width="3.83203125" customWidth="1"/>
    <col min="6" max="6" width="2.5" customWidth="1"/>
    <col min="257" max="257" width="70.5" customWidth="1"/>
    <col min="258" max="258" width="3.33203125" customWidth="1"/>
    <col min="260" max="260" width="3.83203125" customWidth="1"/>
    <col min="262" max="262" width="2.5" customWidth="1"/>
    <col min="513" max="513" width="70.5" customWidth="1"/>
    <col min="514" max="514" width="3.33203125" customWidth="1"/>
    <col min="516" max="516" width="3.83203125" customWidth="1"/>
    <col min="518" max="518" width="2.5" customWidth="1"/>
    <col min="769" max="769" width="70.5" customWidth="1"/>
    <col min="770" max="770" width="3.33203125" customWidth="1"/>
    <col min="772" max="772" width="3.83203125" customWidth="1"/>
    <col min="774" max="774" width="2.5" customWidth="1"/>
    <col min="1025" max="1025" width="70.5" customWidth="1"/>
    <col min="1026" max="1026" width="3.33203125" customWidth="1"/>
    <col min="1028" max="1028" width="3.83203125" customWidth="1"/>
    <col min="1030" max="1030" width="2.5" customWidth="1"/>
    <col min="1281" max="1281" width="70.5" customWidth="1"/>
    <col min="1282" max="1282" width="3.33203125" customWidth="1"/>
    <col min="1284" max="1284" width="3.83203125" customWidth="1"/>
    <col min="1286" max="1286" width="2.5" customWidth="1"/>
    <col min="1537" max="1537" width="70.5" customWidth="1"/>
    <col min="1538" max="1538" width="3.33203125" customWidth="1"/>
    <col min="1540" max="1540" width="3.83203125" customWidth="1"/>
    <col min="1542" max="1542" width="2.5" customWidth="1"/>
    <col min="1793" max="1793" width="70.5" customWidth="1"/>
    <col min="1794" max="1794" width="3.33203125" customWidth="1"/>
    <col min="1796" max="1796" width="3.83203125" customWidth="1"/>
    <col min="1798" max="1798" width="2.5" customWidth="1"/>
    <col min="2049" max="2049" width="70.5" customWidth="1"/>
    <col min="2050" max="2050" width="3.33203125" customWidth="1"/>
    <col min="2052" max="2052" width="3.83203125" customWidth="1"/>
    <col min="2054" max="2054" width="2.5" customWidth="1"/>
    <col min="2305" max="2305" width="70.5" customWidth="1"/>
    <col min="2306" max="2306" width="3.33203125" customWidth="1"/>
    <col min="2308" max="2308" width="3.83203125" customWidth="1"/>
    <col min="2310" max="2310" width="2.5" customWidth="1"/>
    <col min="2561" max="2561" width="70.5" customWidth="1"/>
    <col min="2562" max="2562" width="3.33203125" customWidth="1"/>
    <col min="2564" max="2564" width="3.83203125" customWidth="1"/>
    <col min="2566" max="2566" width="2.5" customWidth="1"/>
    <col min="2817" max="2817" width="70.5" customWidth="1"/>
    <col min="2818" max="2818" width="3.33203125" customWidth="1"/>
    <col min="2820" max="2820" width="3.83203125" customWidth="1"/>
    <col min="2822" max="2822" width="2.5" customWidth="1"/>
    <col min="3073" max="3073" width="70.5" customWidth="1"/>
    <col min="3074" max="3074" width="3.33203125" customWidth="1"/>
    <col min="3076" max="3076" width="3.83203125" customWidth="1"/>
    <col min="3078" max="3078" width="2.5" customWidth="1"/>
    <col min="3329" max="3329" width="70.5" customWidth="1"/>
    <col min="3330" max="3330" width="3.33203125" customWidth="1"/>
    <col min="3332" max="3332" width="3.83203125" customWidth="1"/>
    <col min="3334" max="3334" width="2.5" customWidth="1"/>
    <col min="3585" max="3585" width="70.5" customWidth="1"/>
    <col min="3586" max="3586" width="3.33203125" customWidth="1"/>
    <col min="3588" max="3588" width="3.83203125" customWidth="1"/>
    <col min="3590" max="3590" width="2.5" customWidth="1"/>
    <col min="3841" max="3841" width="70.5" customWidth="1"/>
    <col min="3842" max="3842" width="3.33203125" customWidth="1"/>
    <col min="3844" max="3844" width="3.83203125" customWidth="1"/>
    <col min="3846" max="3846" width="2.5" customWidth="1"/>
    <col min="4097" max="4097" width="70.5" customWidth="1"/>
    <col min="4098" max="4098" width="3.33203125" customWidth="1"/>
    <col min="4100" max="4100" width="3.83203125" customWidth="1"/>
    <col min="4102" max="4102" width="2.5" customWidth="1"/>
    <col min="4353" max="4353" width="70.5" customWidth="1"/>
    <col min="4354" max="4354" width="3.33203125" customWidth="1"/>
    <col min="4356" max="4356" width="3.83203125" customWidth="1"/>
    <col min="4358" max="4358" width="2.5" customWidth="1"/>
    <col min="4609" max="4609" width="70.5" customWidth="1"/>
    <col min="4610" max="4610" width="3.33203125" customWidth="1"/>
    <col min="4612" max="4612" width="3.83203125" customWidth="1"/>
    <col min="4614" max="4614" width="2.5" customWidth="1"/>
    <col min="4865" max="4865" width="70.5" customWidth="1"/>
    <col min="4866" max="4866" width="3.33203125" customWidth="1"/>
    <col min="4868" max="4868" width="3.83203125" customWidth="1"/>
    <col min="4870" max="4870" width="2.5" customWidth="1"/>
    <col min="5121" max="5121" width="70.5" customWidth="1"/>
    <col min="5122" max="5122" width="3.33203125" customWidth="1"/>
    <col min="5124" max="5124" width="3.83203125" customWidth="1"/>
    <col min="5126" max="5126" width="2.5" customWidth="1"/>
    <col min="5377" max="5377" width="70.5" customWidth="1"/>
    <col min="5378" max="5378" width="3.33203125" customWidth="1"/>
    <col min="5380" max="5380" width="3.83203125" customWidth="1"/>
    <col min="5382" max="5382" width="2.5" customWidth="1"/>
    <col min="5633" max="5633" width="70.5" customWidth="1"/>
    <col min="5634" max="5634" width="3.33203125" customWidth="1"/>
    <col min="5636" max="5636" width="3.83203125" customWidth="1"/>
    <col min="5638" max="5638" width="2.5" customWidth="1"/>
    <col min="5889" max="5889" width="70.5" customWidth="1"/>
    <col min="5890" max="5890" width="3.33203125" customWidth="1"/>
    <col min="5892" max="5892" width="3.83203125" customWidth="1"/>
    <col min="5894" max="5894" width="2.5" customWidth="1"/>
    <col min="6145" max="6145" width="70.5" customWidth="1"/>
    <col min="6146" max="6146" width="3.33203125" customWidth="1"/>
    <col min="6148" max="6148" width="3.83203125" customWidth="1"/>
    <col min="6150" max="6150" width="2.5" customWidth="1"/>
    <col min="6401" max="6401" width="70.5" customWidth="1"/>
    <col min="6402" max="6402" width="3.33203125" customWidth="1"/>
    <col min="6404" max="6404" width="3.83203125" customWidth="1"/>
    <col min="6406" max="6406" width="2.5" customWidth="1"/>
    <col min="6657" max="6657" width="70.5" customWidth="1"/>
    <col min="6658" max="6658" width="3.33203125" customWidth="1"/>
    <col min="6660" max="6660" width="3.83203125" customWidth="1"/>
    <col min="6662" max="6662" width="2.5" customWidth="1"/>
    <col min="6913" max="6913" width="70.5" customWidth="1"/>
    <col min="6914" max="6914" width="3.33203125" customWidth="1"/>
    <col min="6916" max="6916" width="3.83203125" customWidth="1"/>
    <col min="6918" max="6918" width="2.5" customWidth="1"/>
    <col min="7169" max="7169" width="70.5" customWidth="1"/>
    <col min="7170" max="7170" width="3.33203125" customWidth="1"/>
    <col min="7172" max="7172" width="3.83203125" customWidth="1"/>
    <col min="7174" max="7174" width="2.5" customWidth="1"/>
    <col min="7425" max="7425" width="70.5" customWidth="1"/>
    <col min="7426" max="7426" width="3.33203125" customWidth="1"/>
    <col min="7428" max="7428" width="3.83203125" customWidth="1"/>
    <col min="7430" max="7430" width="2.5" customWidth="1"/>
    <col min="7681" max="7681" width="70.5" customWidth="1"/>
    <col min="7682" max="7682" width="3.33203125" customWidth="1"/>
    <col min="7684" max="7684" width="3.83203125" customWidth="1"/>
    <col min="7686" max="7686" width="2.5" customWidth="1"/>
    <col min="7937" max="7937" width="70.5" customWidth="1"/>
    <col min="7938" max="7938" width="3.33203125" customWidth="1"/>
    <col min="7940" max="7940" width="3.83203125" customWidth="1"/>
    <col min="7942" max="7942" width="2.5" customWidth="1"/>
    <col min="8193" max="8193" width="70.5" customWidth="1"/>
    <col min="8194" max="8194" width="3.33203125" customWidth="1"/>
    <col min="8196" max="8196" width="3.83203125" customWidth="1"/>
    <col min="8198" max="8198" width="2.5" customWidth="1"/>
    <col min="8449" max="8449" width="70.5" customWidth="1"/>
    <col min="8450" max="8450" width="3.33203125" customWidth="1"/>
    <col min="8452" max="8452" width="3.83203125" customWidth="1"/>
    <col min="8454" max="8454" width="2.5" customWidth="1"/>
    <col min="8705" max="8705" width="70.5" customWidth="1"/>
    <col min="8706" max="8706" width="3.33203125" customWidth="1"/>
    <col min="8708" max="8708" width="3.83203125" customWidth="1"/>
    <col min="8710" max="8710" width="2.5" customWidth="1"/>
    <col min="8961" max="8961" width="70.5" customWidth="1"/>
    <col min="8962" max="8962" width="3.33203125" customWidth="1"/>
    <col min="8964" max="8964" width="3.83203125" customWidth="1"/>
    <col min="8966" max="8966" width="2.5" customWidth="1"/>
    <col min="9217" max="9217" width="70.5" customWidth="1"/>
    <col min="9218" max="9218" width="3.33203125" customWidth="1"/>
    <col min="9220" max="9220" width="3.83203125" customWidth="1"/>
    <col min="9222" max="9222" width="2.5" customWidth="1"/>
    <col min="9473" max="9473" width="70.5" customWidth="1"/>
    <col min="9474" max="9474" width="3.33203125" customWidth="1"/>
    <col min="9476" max="9476" width="3.83203125" customWidth="1"/>
    <col min="9478" max="9478" width="2.5" customWidth="1"/>
    <col min="9729" max="9729" width="70.5" customWidth="1"/>
    <col min="9730" max="9730" width="3.33203125" customWidth="1"/>
    <col min="9732" max="9732" width="3.83203125" customWidth="1"/>
    <col min="9734" max="9734" width="2.5" customWidth="1"/>
    <col min="9985" max="9985" width="70.5" customWidth="1"/>
    <col min="9986" max="9986" width="3.33203125" customWidth="1"/>
    <col min="9988" max="9988" width="3.83203125" customWidth="1"/>
    <col min="9990" max="9990" width="2.5" customWidth="1"/>
    <col min="10241" max="10241" width="70.5" customWidth="1"/>
    <col min="10242" max="10242" width="3.33203125" customWidth="1"/>
    <col min="10244" max="10244" width="3.83203125" customWidth="1"/>
    <col min="10246" max="10246" width="2.5" customWidth="1"/>
    <col min="10497" max="10497" width="70.5" customWidth="1"/>
    <col min="10498" max="10498" width="3.33203125" customWidth="1"/>
    <col min="10500" max="10500" width="3.83203125" customWidth="1"/>
    <col min="10502" max="10502" width="2.5" customWidth="1"/>
    <col min="10753" max="10753" width="70.5" customWidth="1"/>
    <col min="10754" max="10754" width="3.33203125" customWidth="1"/>
    <col min="10756" max="10756" width="3.83203125" customWidth="1"/>
    <col min="10758" max="10758" width="2.5" customWidth="1"/>
    <col min="11009" max="11009" width="70.5" customWidth="1"/>
    <col min="11010" max="11010" width="3.33203125" customWidth="1"/>
    <col min="11012" max="11012" width="3.83203125" customWidth="1"/>
    <col min="11014" max="11014" width="2.5" customWidth="1"/>
    <col min="11265" max="11265" width="70.5" customWidth="1"/>
    <col min="11266" max="11266" width="3.33203125" customWidth="1"/>
    <col min="11268" max="11268" width="3.83203125" customWidth="1"/>
    <col min="11270" max="11270" width="2.5" customWidth="1"/>
    <col min="11521" max="11521" width="70.5" customWidth="1"/>
    <col min="11522" max="11522" width="3.33203125" customWidth="1"/>
    <col min="11524" max="11524" width="3.83203125" customWidth="1"/>
    <col min="11526" max="11526" width="2.5" customWidth="1"/>
    <col min="11777" max="11777" width="70.5" customWidth="1"/>
    <col min="11778" max="11778" width="3.33203125" customWidth="1"/>
    <col min="11780" max="11780" width="3.83203125" customWidth="1"/>
    <col min="11782" max="11782" width="2.5" customWidth="1"/>
    <col min="12033" max="12033" width="70.5" customWidth="1"/>
    <col min="12034" max="12034" width="3.33203125" customWidth="1"/>
    <col min="12036" max="12036" width="3.83203125" customWidth="1"/>
    <col min="12038" max="12038" width="2.5" customWidth="1"/>
    <col min="12289" max="12289" width="70.5" customWidth="1"/>
    <col min="12290" max="12290" width="3.33203125" customWidth="1"/>
    <col min="12292" max="12292" width="3.83203125" customWidth="1"/>
    <col min="12294" max="12294" width="2.5" customWidth="1"/>
    <col min="12545" max="12545" width="70.5" customWidth="1"/>
    <col min="12546" max="12546" width="3.33203125" customWidth="1"/>
    <col min="12548" max="12548" width="3.83203125" customWidth="1"/>
    <col min="12550" max="12550" width="2.5" customWidth="1"/>
    <col min="12801" max="12801" width="70.5" customWidth="1"/>
    <col min="12802" max="12802" width="3.33203125" customWidth="1"/>
    <col min="12804" max="12804" width="3.83203125" customWidth="1"/>
    <col min="12806" max="12806" width="2.5" customWidth="1"/>
    <col min="13057" max="13057" width="70.5" customWidth="1"/>
    <col min="13058" max="13058" width="3.33203125" customWidth="1"/>
    <col min="13060" max="13060" width="3.83203125" customWidth="1"/>
    <col min="13062" max="13062" width="2.5" customWidth="1"/>
    <col min="13313" max="13313" width="70.5" customWidth="1"/>
    <col min="13314" max="13314" width="3.33203125" customWidth="1"/>
    <col min="13316" max="13316" width="3.83203125" customWidth="1"/>
    <col min="13318" max="13318" width="2.5" customWidth="1"/>
    <col min="13569" max="13569" width="70.5" customWidth="1"/>
    <col min="13570" max="13570" width="3.33203125" customWidth="1"/>
    <col min="13572" max="13572" width="3.83203125" customWidth="1"/>
    <col min="13574" max="13574" width="2.5" customWidth="1"/>
    <col min="13825" max="13825" width="70.5" customWidth="1"/>
    <col min="13826" max="13826" width="3.33203125" customWidth="1"/>
    <col min="13828" max="13828" width="3.83203125" customWidth="1"/>
    <col min="13830" max="13830" width="2.5" customWidth="1"/>
    <col min="14081" max="14081" width="70.5" customWidth="1"/>
    <col min="14082" max="14082" width="3.33203125" customWidth="1"/>
    <col min="14084" max="14084" width="3.83203125" customWidth="1"/>
    <col min="14086" max="14086" width="2.5" customWidth="1"/>
    <col min="14337" max="14337" width="70.5" customWidth="1"/>
    <col min="14338" max="14338" width="3.33203125" customWidth="1"/>
    <col min="14340" max="14340" width="3.83203125" customWidth="1"/>
    <col min="14342" max="14342" width="2.5" customWidth="1"/>
    <col min="14593" max="14593" width="70.5" customWidth="1"/>
    <col min="14594" max="14594" width="3.33203125" customWidth="1"/>
    <col min="14596" max="14596" width="3.83203125" customWidth="1"/>
    <col min="14598" max="14598" width="2.5" customWidth="1"/>
    <col min="14849" max="14849" width="70.5" customWidth="1"/>
    <col min="14850" max="14850" width="3.33203125" customWidth="1"/>
    <col min="14852" max="14852" width="3.83203125" customWidth="1"/>
    <col min="14854" max="14854" width="2.5" customWidth="1"/>
    <col min="15105" max="15105" width="70.5" customWidth="1"/>
    <col min="15106" max="15106" width="3.33203125" customWidth="1"/>
    <col min="15108" max="15108" width="3.83203125" customWidth="1"/>
    <col min="15110" max="15110" width="2.5" customWidth="1"/>
    <col min="15361" max="15361" width="70.5" customWidth="1"/>
    <col min="15362" max="15362" width="3.33203125" customWidth="1"/>
    <col min="15364" max="15364" width="3.83203125" customWidth="1"/>
    <col min="15366" max="15366" width="2.5" customWidth="1"/>
    <col min="15617" max="15617" width="70.5" customWidth="1"/>
    <col min="15618" max="15618" width="3.33203125" customWidth="1"/>
    <col min="15620" max="15620" width="3.83203125" customWidth="1"/>
    <col min="15622" max="15622" width="2.5" customWidth="1"/>
    <col min="15873" max="15873" width="70.5" customWidth="1"/>
    <col min="15874" max="15874" width="3.33203125" customWidth="1"/>
    <col min="15876" max="15876" width="3.83203125" customWidth="1"/>
    <col min="15878" max="15878" width="2.5" customWidth="1"/>
    <col min="16129" max="16129" width="70.5" customWidth="1"/>
    <col min="16130" max="16130" width="3.33203125" customWidth="1"/>
    <col min="16132" max="16132" width="3.83203125" customWidth="1"/>
    <col min="16134" max="16134" width="2.5" customWidth="1"/>
  </cols>
  <sheetData>
    <row r="1" spans="1:6" ht="14" customHeight="1">
      <c r="A1" s="33" t="s">
        <v>589</v>
      </c>
      <c r="B1" s="33"/>
      <c r="C1" s="33"/>
      <c r="D1" s="33"/>
      <c r="E1" s="73"/>
    </row>
    <row r="2" spans="1:6" ht="14" customHeight="1">
      <c r="A2" s="33" t="s">
        <v>590</v>
      </c>
      <c r="B2" s="33"/>
      <c r="C2" s="33"/>
      <c r="D2" s="33"/>
      <c r="E2" s="73"/>
    </row>
    <row r="3" spans="1:6" ht="9" customHeight="1">
      <c r="A3" s="33"/>
      <c r="B3" s="33"/>
      <c r="C3" s="33"/>
      <c r="D3" s="33"/>
      <c r="E3" s="73"/>
    </row>
    <row r="4" spans="1:6" ht="14" customHeight="1">
      <c r="A4" s="33" t="s">
        <v>1677</v>
      </c>
      <c r="B4" s="33"/>
      <c r="C4" s="33"/>
      <c r="D4" s="33"/>
      <c r="E4" s="73"/>
    </row>
    <row r="5" spans="1:6" ht="14" customHeight="1">
      <c r="A5" s="33" t="s">
        <v>2178</v>
      </c>
      <c r="B5" s="33"/>
      <c r="C5" s="33"/>
      <c r="D5" s="33"/>
      <c r="E5" s="73"/>
    </row>
    <row r="6" spans="1:6" ht="9" customHeight="1" thickBot="1">
      <c r="A6" s="199"/>
      <c r="B6" s="199"/>
      <c r="C6" s="199"/>
      <c r="D6" s="199"/>
      <c r="E6" s="198"/>
      <c r="F6" s="198"/>
    </row>
    <row r="7" spans="1:6" ht="12" customHeight="1">
      <c r="A7" s="57"/>
      <c r="B7" s="57"/>
      <c r="C7" s="57"/>
      <c r="D7" s="57"/>
      <c r="E7" s="191"/>
      <c r="F7" s="191"/>
    </row>
    <row r="8" spans="1:6" ht="12" customHeight="1">
      <c r="A8" s="33" t="s">
        <v>1678</v>
      </c>
      <c r="B8" s="33"/>
      <c r="C8" s="1056" t="s">
        <v>1648</v>
      </c>
      <c r="D8" s="1056"/>
      <c r="E8" s="1056"/>
    </row>
    <row r="9" spans="1:6" ht="12" customHeight="1">
      <c r="A9" s="33" t="s">
        <v>1679</v>
      </c>
      <c r="B9" s="33"/>
      <c r="C9" s="1081" t="s">
        <v>1680</v>
      </c>
      <c r="D9" s="1081"/>
      <c r="E9" s="1081"/>
    </row>
    <row r="10" spans="1:6" ht="12" customHeight="1">
      <c r="A10" s="33" t="s">
        <v>1681</v>
      </c>
      <c r="B10" s="33"/>
      <c r="C10" s="682" t="s">
        <v>1651</v>
      </c>
      <c r="D10" s="686"/>
      <c r="E10" s="683" t="s">
        <v>1652</v>
      </c>
    </row>
    <row r="11" spans="1:6" ht="12" customHeight="1" thickBot="1">
      <c r="A11" s="199"/>
      <c r="B11" s="199"/>
      <c r="C11" s="199"/>
      <c r="D11" s="199"/>
      <c r="E11" s="198"/>
      <c r="F11" s="198"/>
    </row>
    <row r="12" spans="1:6" ht="14" customHeight="1">
      <c r="A12" s="57"/>
      <c r="B12" s="57"/>
      <c r="C12" s="604"/>
      <c r="D12" s="57"/>
      <c r="E12" s="191"/>
    </row>
    <row r="13" spans="1:6" ht="17.25" customHeight="1">
      <c r="A13" s="275" t="s">
        <v>1682</v>
      </c>
      <c r="B13" s="57"/>
      <c r="C13" s="604">
        <f>C15+C24</f>
        <v>7010</v>
      </c>
      <c r="D13" s="57"/>
      <c r="E13" s="308">
        <f>E15+E24</f>
        <v>100</v>
      </c>
    </row>
    <row r="14" spans="1:6" ht="12" customHeight="1">
      <c r="A14" s="57"/>
      <c r="B14" s="57"/>
      <c r="C14" s="301"/>
      <c r="D14" s="57"/>
      <c r="E14" s="191"/>
    </row>
    <row r="15" spans="1:6" ht="17.25" customHeight="1">
      <c r="A15" s="68" t="s">
        <v>1683</v>
      </c>
      <c r="B15" s="57"/>
      <c r="C15" s="604">
        <f>SUM(C16:C22)</f>
        <v>2499</v>
      </c>
      <c r="D15" s="68"/>
      <c r="E15" s="73">
        <f>IF(A15&lt;&gt;"",C15/$C$13*100,"")</f>
        <v>35.649072753209701</v>
      </c>
    </row>
    <row r="16" spans="1:6" ht="17.25" customHeight="1">
      <c r="A16" s="14" t="s">
        <v>1684</v>
      </c>
      <c r="B16" s="33"/>
      <c r="C16" s="33">
        <v>213</v>
      </c>
      <c r="D16" s="33"/>
      <c r="E16" s="73">
        <f t="shared" ref="E16:E53" si="0">IF(A16&lt;&gt;"",C16/$C$13*100,"")</f>
        <v>3.0385164051355207</v>
      </c>
    </row>
    <row r="17" spans="1:5" ht="17.25" hidden="1" customHeight="1">
      <c r="A17" s="14" t="s">
        <v>1685</v>
      </c>
      <c r="B17" s="33"/>
      <c r="C17" s="33"/>
      <c r="D17" s="33"/>
      <c r="E17" s="73">
        <f t="shared" si="0"/>
        <v>0</v>
      </c>
    </row>
    <row r="18" spans="1:5" ht="17.25" customHeight="1">
      <c r="A18" s="14" t="s">
        <v>1686</v>
      </c>
      <c r="B18" s="33"/>
      <c r="C18" s="646">
        <v>1009</v>
      </c>
      <c r="D18" s="33"/>
      <c r="E18" s="73">
        <f t="shared" si="0"/>
        <v>14.393723252496434</v>
      </c>
    </row>
    <row r="19" spans="1:5" ht="17.25" customHeight="1">
      <c r="A19" s="14" t="s">
        <v>1687</v>
      </c>
      <c r="B19" s="33"/>
      <c r="C19" s="646">
        <v>1162</v>
      </c>
      <c r="D19" s="33"/>
      <c r="E19" s="73">
        <f t="shared" si="0"/>
        <v>16.576319543509271</v>
      </c>
    </row>
    <row r="20" spans="1:5" ht="17.25" customHeight="1">
      <c r="A20" s="14" t="s">
        <v>1688</v>
      </c>
      <c r="B20" s="33"/>
      <c r="C20" s="646">
        <v>35</v>
      </c>
      <c r="D20" s="33"/>
      <c r="E20" s="73">
        <f t="shared" si="0"/>
        <v>0.49928673323823108</v>
      </c>
    </row>
    <row r="21" spans="1:5" ht="17.25" customHeight="1">
      <c r="A21" s="14" t="s">
        <v>1689</v>
      </c>
      <c r="B21" s="33"/>
      <c r="C21" s="646">
        <v>20</v>
      </c>
      <c r="D21" s="33"/>
      <c r="E21" s="73">
        <f t="shared" si="0"/>
        <v>0.28530670470756064</v>
      </c>
    </row>
    <row r="22" spans="1:5" ht="17.25" customHeight="1">
      <c r="A22" s="14" t="s">
        <v>1690</v>
      </c>
      <c r="B22" s="33"/>
      <c r="C22" s="646">
        <v>60</v>
      </c>
      <c r="D22" s="33"/>
      <c r="E22" s="73">
        <f t="shared" si="0"/>
        <v>0.85592011412268187</v>
      </c>
    </row>
    <row r="23" spans="1:5" ht="17.25" customHeight="1">
      <c r="A23" s="14"/>
      <c r="B23" s="179"/>
      <c r="C23" s="646"/>
      <c r="D23" s="55"/>
      <c r="E23" s="73" t="str">
        <f t="shared" si="0"/>
        <v/>
      </c>
    </row>
    <row r="24" spans="1:5" ht="17.25" customHeight="1">
      <c r="A24" s="17" t="s">
        <v>1691</v>
      </c>
      <c r="B24" s="179"/>
      <c r="C24" s="604">
        <f>SUM(C25:C53)</f>
        <v>4511</v>
      </c>
      <c r="D24" s="55"/>
      <c r="E24" s="73">
        <f t="shared" si="0"/>
        <v>64.350927246790306</v>
      </c>
    </row>
    <row r="25" spans="1:5" ht="17.25" customHeight="1">
      <c r="A25" s="14" t="s">
        <v>1692</v>
      </c>
      <c r="B25" s="179"/>
      <c r="C25" s="646">
        <v>150</v>
      </c>
      <c r="D25" s="55"/>
      <c r="E25" s="73">
        <f t="shared" si="0"/>
        <v>2.1398002853067046</v>
      </c>
    </row>
    <row r="26" spans="1:5" ht="17.25" customHeight="1">
      <c r="A26" s="14" t="s">
        <v>2179</v>
      </c>
      <c r="B26" s="179"/>
      <c r="C26" s="646">
        <v>90</v>
      </c>
      <c r="D26" s="55"/>
      <c r="E26" s="73">
        <f t="shared" si="0"/>
        <v>1.2838801711840229</v>
      </c>
    </row>
    <row r="27" spans="1:5" ht="17.25" customHeight="1">
      <c r="A27" s="14" t="s">
        <v>2180</v>
      </c>
      <c r="B27" s="179"/>
      <c r="C27" s="646">
        <v>412</v>
      </c>
      <c r="D27" s="55"/>
      <c r="E27" s="73"/>
    </row>
    <row r="28" spans="1:5" ht="17.25" customHeight="1">
      <c r="A28" s="14" t="s">
        <v>2181</v>
      </c>
      <c r="B28" s="179"/>
      <c r="C28" s="646">
        <v>230</v>
      </c>
      <c r="D28" s="55"/>
      <c r="E28" s="73"/>
    </row>
    <row r="29" spans="1:5" ht="17.25" customHeight="1">
      <c r="A29" s="14" t="s">
        <v>2182</v>
      </c>
      <c r="B29" s="179"/>
      <c r="C29" s="646">
        <v>136</v>
      </c>
      <c r="D29" s="55"/>
      <c r="E29" s="73">
        <f t="shared" si="0"/>
        <v>1.9400855920114122</v>
      </c>
    </row>
    <row r="30" spans="1:5" ht="17.25" hidden="1" customHeight="1">
      <c r="A30" s="14" t="s">
        <v>1693</v>
      </c>
      <c r="B30" s="179"/>
      <c r="C30" s="646"/>
      <c r="D30" s="55"/>
      <c r="E30" s="73">
        <f t="shared" si="0"/>
        <v>0</v>
      </c>
    </row>
    <row r="31" spans="1:5" ht="17.25" hidden="1" customHeight="1">
      <c r="A31" s="14" t="s">
        <v>1694</v>
      </c>
      <c r="B31" s="179"/>
      <c r="C31" s="646"/>
      <c r="D31" s="55"/>
      <c r="E31" s="73">
        <f t="shared" si="0"/>
        <v>0</v>
      </c>
    </row>
    <row r="32" spans="1:5" ht="17.25" customHeight="1">
      <c r="A32" s="14" t="s">
        <v>1695</v>
      </c>
      <c r="B32" s="179"/>
      <c r="C32" s="646">
        <v>4</v>
      </c>
      <c r="D32" s="55"/>
      <c r="E32" s="73">
        <f t="shared" si="0"/>
        <v>5.7061340941512127E-2</v>
      </c>
    </row>
    <row r="33" spans="1:5" ht="17.25" customHeight="1">
      <c r="A33" s="14" t="s">
        <v>2183</v>
      </c>
      <c r="B33" s="179"/>
      <c r="C33" s="646">
        <v>5</v>
      </c>
      <c r="D33" s="55"/>
      <c r="E33" s="73">
        <f t="shared" si="0"/>
        <v>7.1326676176890161E-2</v>
      </c>
    </row>
    <row r="34" spans="1:5" ht="17.25" customHeight="1">
      <c r="A34" s="524" t="s">
        <v>1697</v>
      </c>
      <c r="B34" s="179"/>
      <c r="C34" s="646">
        <v>136</v>
      </c>
      <c r="D34" s="55"/>
      <c r="E34" s="73">
        <f t="shared" si="0"/>
        <v>1.9400855920114122</v>
      </c>
    </row>
    <row r="35" spans="1:5" ht="28.5" customHeight="1">
      <c r="A35" s="684" t="s">
        <v>1698</v>
      </c>
      <c r="B35" s="179"/>
      <c r="C35" s="646">
        <v>1300</v>
      </c>
      <c r="D35" s="55"/>
      <c r="E35" s="73">
        <f t="shared" si="0"/>
        <v>18.544935805991443</v>
      </c>
    </row>
    <row r="36" spans="1:5" ht="26.25" customHeight="1">
      <c r="A36" s="684" t="s">
        <v>1699</v>
      </c>
      <c r="B36" s="179"/>
      <c r="C36" s="646">
        <v>70</v>
      </c>
      <c r="D36" s="55"/>
      <c r="E36" s="73">
        <f t="shared" si="0"/>
        <v>0.99857346647646217</v>
      </c>
    </row>
    <row r="37" spans="1:5" ht="15.75" customHeight="1">
      <c r="A37" s="684" t="s">
        <v>1700</v>
      </c>
      <c r="B37" s="179"/>
      <c r="C37" s="646">
        <v>2</v>
      </c>
      <c r="D37" s="55"/>
      <c r="E37" s="73">
        <f t="shared" si="0"/>
        <v>2.8530670470756064E-2</v>
      </c>
    </row>
    <row r="38" spans="1:5" ht="15.75" customHeight="1">
      <c r="A38" s="14" t="s">
        <v>1701</v>
      </c>
      <c r="B38" s="179"/>
      <c r="C38" s="646">
        <v>22</v>
      </c>
      <c r="D38" s="55"/>
      <c r="E38" s="73">
        <f t="shared" si="0"/>
        <v>0.31383737517831667</v>
      </c>
    </row>
    <row r="39" spans="1:5" ht="15.75" customHeight="1">
      <c r="A39" s="14" t="s">
        <v>1702</v>
      </c>
      <c r="B39" s="179"/>
      <c r="C39" s="646"/>
      <c r="D39" s="55"/>
      <c r="E39" s="73">
        <f t="shared" si="0"/>
        <v>0</v>
      </c>
    </row>
    <row r="40" spans="1:5" ht="17.25" customHeight="1">
      <c r="A40" s="14" t="s">
        <v>2184</v>
      </c>
      <c r="B40" s="179"/>
      <c r="C40" s="646">
        <v>575</v>
      </c>
      <c r="D40" s="55"/>
      <c r="E40" s="73">
        <f t="shared" si="0"/>
        <v>8.202567760342367</v>
      </c>
    </row>
    <row r="41" spans="1:5" ht="17.25" customHeight="1">
      <c r="A41" s="14" t="s">
        <v>1703</v>
      </c>
      <c r="B41" s="179"/>
      <c r="C41" s="646"/>
      <c r="D41" s="55"/>
      <c r="E41" s="73">
        <f t="shared" si="0"/>
        <v>0</v>
      </c>
    </row>
    <row r="42" spans="1:5" ht="28.5" customHeight="1">
      <c r="A42" s="684" t="s">
        <v>1704</v>
      </c>
      <c r="B42" s="179"/>
      <c r="C42" s="646">
        <v>70</v>
      </c>
      <c r="D42" s="55"/>
      <c r="E42" s="73">
        <f t="shared" si="0"/>
        <v>0.99857346647646217</v>
      </c>
    </row>
    <row r="43" spans="1:5" ht="17.25" customHeight="1">
      <c r="A43" s="14" t="s">
        <v>2185</v>
      </c>
      <c r="B43" s="179"/>
      <c r="C43" s="646">
        <v>100</v>
      </c>
      <c r="D43" s="55"/>
      <c r="E43" s="73">
        <f t="shared" si="0"/>
        <v>1.4265335235378032</v>
      </c>
    </row>
    <row r="44" spans="1:5" ht="17.25" customHeight="1">
      <c r="A44" s="14" t="s">
        <v>1696</v>
      </c>
      <c r="B44" s="179"/>
      <c r="C44" s="646">
        <v>120</v>
      </c>
      <c r="D44" s="55"/>
      <c r="E44" s="73">
        <f t="shared" si="0"/>
        <v>1.7118402282453637</v>
      </c>
    </row>
    <row r="45" spans="1:5" ht="17.25" hidden="1" customHeight="1">
      <c r="A45" s="14" t="s">
        <v>1705</v>
      </c>
      <c r="B45" s="179"/>
      <c r="C45" s="646"/>
      <c r="D45" s="55"/>
      <c r="E45" s="73">
        <f t="shared" si="0"/>
        <v>0</v>
      </c>
    </row>
    <row r="46" spans="1:5" ht="15" customHeight="1">
      <c r="A46" s="684" t="s">
        <v>1706</v>
      </c>
      <c r="B46" s="179"/>
      <c r="C46" s="646">
        <v>15</v>
      </c>
      <c r="D46" s="55"/>
      <c r="E46" s="73">
        <f t="shared" si="0"/>
        <v>0.21398002853067047</v>
      </c>
    </row>
    <row r="47" spans="1:5" ht="15" customHeight="1">
      <c r="A47" s="684" t="s">
        <v>1707</v>
      </c>
      <c r="B47" s="179"/>
      <c r="C47" s="646">
        <v>15</v>
      </c>
      <c r="D47" s="55"/>
      <c r="E47" s="73">
        <f t="shared" si="0"/>
        <v>0.21398002853067047</v>
      </c>
    </row>
    <row r="48" spans="1:5" ht="15" customHeight="1">
      <c r="A48" s="684" t="s">
        <v>1708</v>
      </c>
      <c r="B48" s="179"/>
      <c r="C48" s="646">
        <v>26</v>
      </c>
      <c r="D48" s="55"/>
      <c r="E48" s="73">
        <f t="shared" si="0"/>
        <v>0.37089871611982883</v>
      </c>
    </row>
    <row r="49" spans="1:5" ht="15" customHeight="1">
      <c r="A49" s="684" t="s">
        <v>1709</v>
      </c>
      <c r="B49" s="179"/>
      <c r="C49" s="646">
        <v>800</v>
      </c>
      <c r="D49" s="55"/>
      <c r="E49" s="73">
        <f t="shared" si="0"/>
        <v>11.412268188302425</v>
      </c>
    </row>
    <row r="50" spans="1:5" ht="15" hidden="1" customHeight="1">
      <c r="A50" s="684" t="s">
        <v>1710</v>
      </c>
      <c r="B50" s="179"/>
      <c r="C50" s="646"/>
      <c r="D50" s="55"/>
      <c r="E50" s="73">
        <f t="shared" si="0"/>
        <v>0</v>
      </c>
    </row>
    <row r="51" spans="1:5" ht="17.25" customHeight="1">
      <c r="A51" s="14" t="s">
        <v>1711</v>
      </c>
      <c r="B51" s="179"/>
      <c r="C51" s="646">
        <v>84</v>
      </c>
      <c r="D51" s="55"/>
      <c r="E51" s="73">
        <f t="shared" si="0"/>
        <v>1.1982881597717547</v>
      </c>
    </row>
    <row r="52" spans="1:5" ht="17.25" customHeight="1">
      <c r="A52" s="14" t="s">
        <v>1712</v>
      </c>
      <c r="B52" s="179"/>
      <c r="C52" s="646">
        <v>67</v>
      </c>
      <c r="D52" s="55"/>
      <c r="E52" s="73">
        <f t="shared" si="0"/>
        <v>0.95577746077032821</v>
      </c>
    </row>
    <row r="53" spans="1:5" ht="16.5" customHeight="1" thickBot="1">
      <c r="A53" s="14" t="s">
        <v>1713</v>
      </c>
      <c r="B53" s="179"/>
      <c r="C53" s="646">
        <v>82</v>
      </c>
      <c r="D53" s="55"/>
      <c r="E53" s="73">
        <f t="shared" si="0"/>
        <v>1.1697574893009985</v>
      </c>
    </row>
    <row r="54" spans="1:5" ht="14" customHeight="1">
      <c r="A54" s="188"/>
      <c r="B54" s="188"/>
      <c r="C54" s="188"/>
      <c r="D54" s="188"/>
      <c r="E54" s="187"/>
    </row>
    <row r="55" spans="1:5" ht="14" customHeight="1">
      <c r="A55" s="484" t="s">
        <v>2186</v>
      </c>
      <c r="B55" s="57"/>
      <c r="C55" s="57"/>
      <c r="D55" s="57"/>
      <c r="E55" s="191"/>
    </row>
    <row r="56" spans="1:5" ht="14" customHeight="1">
      <c r="A56" s="33" t="s">
        <v>1714</v>
      </c>
      <c r="B56" s="33"/>
      <c r="C56" s="33"/>
      <c r="D56" s="33"/>
      <c r="E56" s="73"/>
    </row>
    <row r="57" spans="1:5" ht="14" customHeight="1">
      <c r="A57" s="33" t="s">
        <v>1534</v>
      </c>
      <c r="B57" s="33"/>
      <c r="C57" s="33"/>
      <c r="D57" s="33"/>
      <c r="E57" s="73"/>
    </row>
    <row r="58" spans="1:5">
      <c r="A58" s="33"/>
      <c r="B58" s="33"/>
      <c r="C58" s="33"/>
      <c r="D58" s="33"/>
      <c r="E58" s="73"/>
    </row>
    <row r="59" spans="1:5">
      <c r="A59" s="68"/>
      <c r="B59" s="57"/>
      <c r="C59" s="604"/>
      <c r="D59" s="68"/>
      <c r="E59" s="603"/>
    </row>
    <row r="60" spans="1:5">
      <c r="A60" s="57"/>
      <c r="B60" s="57"/>
      <c r="C60" s="301"/>
      <c r="D60" s="57"/>
      <c r="E60" s="73" t="s">
        <v>154</v>
      </c>
    </row>
    <row r="61" spans="1:5" ht="20.25" customHeight="1">
      <c r="A61" s="55"/>
      <c r="B61" s="33"/>
      <c r="C61" s="568"/>
      <c r="D61" s="33"/>
      <c r="E61" s="73"/>
    </row>
    <row r="62" spans="1:5">
      <c r="A62" s="33"/>
      <c r="B62" s="33"/>
      <c r="C62" s="646"/>
      <c r="D62" s="33"/>
      <c r="E62" s="73"/>
    </row>
    <row r="63" spans="1:5">
      <c r="A63" s="33"/>
      <c r="B63" s="33"/>
      <c r="C63" s="646"/>
      <c r="D63" s="33"/>
      <c r="E63" s="73"/>
    </row>
    <row r="64" spans="1:5">
      <c r="A64" s="33"/>
      <c r="B64" s="33"/>
      <c r="C64" s="646"/>
      <c r="D64" s="33"/>
      <c r="E64" s="73"/>
    </row>
    <row r="65" spans="1:5">
      <c r="A65" s="33"/>
      <c r="B65" s="33"/>
      <c r="C65" s="646"/>
      <c r="D65" s="33"/>
      <c r="E65" s="73"/>
    </row>
    <row r="66" spans="1:5">
      <c r="A66" s="33"/>
      <c r="B66" s="33"/>
      <c r="C66" s="568"/>
      <c r="D66" s="33"/>
      <c r="E66" s="73"/>
    </row>
  </sheetData>
  <mergeCells count="2">
    <mergeCell ref="C8:E8"/>
    <mergeCell ref="C9:E9"/>
  </mergeCells>
  <pageMargins left="0.70866141732283472" right="0.70866141732283472" top="0.74803149606299213" bottom="0.74803149606299213" header="0.31496062992125984" footer="0.31496062992125984"/>
  <pageSetup scale="85" orientation="portrait" horizontalDpi="4294967293" verticalDpi="4294967293"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E46"/>
  <sheetViews>
    <sheetView workbookViewId="0"/>
  </sheetViews>
  <sheetFormatPr baseColWidth="10" defaultRowHeight="13"/>
  <cols>
    <col min="1" max="1" width="64.83203125" style="95" customWidth="1"/>
    <col min="2" max="2" width="3.33203125" style="95" customWidth="1"/>
    <col min="3" max="3" width="10.83203125" style="95"/>
    <col min="4" max="4" width="4" style="95" customWidth="1"/>
    <col min="5" max="256" width="10.83203125" style="95"/>
    <col min="257" max="257" width="64.83203125" style="95" customWidth="1"/>
    <col min="258" max="258" width="3.33203125" style="95" customWidth="1"/>
    <col min="259" max="259" width="10.83203125" style="95"/>
    <col min="260" max="260" width="4" style="95" customWidth="1"/>
    <col min="261" max="512" width="10.83203125" style="95"/>
    <col min="513" max="513" width="64.83203125" style="95" customWidth="1"/>
    <col min="514" max="514" width="3.33203125" style="95" customWidth="1"/>
    <col min="515" max="515" width="10.83203125" style="95"/>
    <col min="516" max="516" width="4" style="95" customWidth="1"/>
    <col min="517" max="768" width="10.83203125" style="95"/>
    <col min="769" max="769" width="64.83203125" style="95" customWidth="1"/>
    <col min="770" max="770" width="3.33203125" style="95" customWidth="1"/>
    <col min="771" max="771" width="10.83203125" style="95"/>
    <col min="772" max="772" width="4" style="95" customWidth="1"/>
    <col min="773" max="1024" width="10.83203125" style="95"/>
    <col min="1025" max="1025" width="64.83203125" style="95" customWidth="1"/>
    <col min="1026" max="1026" width="3.33203125" style="95" customWidth="1"/>
    <col min="1027" max="1027" width="10.83203125" style="95"/>
    <col min="1028" max="1028" width="4" style="95" customWidth="1"/>
    <col min="1029" max="1280" width="10.83203125" style="95"/>
    <col min="1281" max="1281" width="64.83203125" style="95" customWidth="1"/>
    <col min="1282" max="1282" width="3.33203125" style="95" customWidth="1"/>
    <col min="1283" max="1283" width="10.83203125" style="95"/>
    <col min="1284" max="1284" width="4" style="95" customWidth="1"/>
    <col min="1285" max="1536" width="10.83203125" style="95"/>
    <col min="1537" max="1537" width="64.83203125" style="95" customWidth="1"/>
    <col min="1538" max="1538" width="3.33203125" style="95" customWidth="1"/>
    <col min="1539" max="1539" width="10.83203125" style="95"/>
    <col min="1540" max="1540" width="4" style="95" customWidth="1"/>
    <col min="1541" max="1792" width="10.83203125" style="95"/>
    <col min="1793" max="1793" width="64.83203125" style="95" customWidth="1"/>
    <col min="1794" max="1794" width="3.33203125" style="95" customWidth="1"/>
    <col min="1795" max="1795" width="10.83203125" style="95"/>
    <col min="1796" max="1796" width="4" style="95" customWidth="1"/>
    <col min="1797" max="2048" width="10.83203125" style="95"/>
    <col min="2049" max="2049" width="64.83203125" style="95" customWidth="1"/>
    <col min="2050" max="2050" width="3.33203125" style="95" customWidth="1"/>
    <col min="2051" max="2051" width="10.83203125" style="95"/>
    <col min="2052" max="2052" width="4" style="95" customWidth="1"/>
    <col min="2053" max="2304" width="10.83203125" style="95"/>
    <col min="2305" max="2305" width="64.83203125" style="95" customWidth="1"/>
    <col min="2306" max="2306" width="3.33203125" style="95" customWidth="1"/>
    <col min="2307" max="2307" width="10.83203125" style="95"/>
    <col min="2308" max="2308" width="4" style="95" customWidth="1"/>
    <col min="2309" max="2560" width="10.83203125" style="95"/>
    <col min="2561" max="2561" width="64.83203125" style="95" customWidth="1"/>
    <col min="2562" max="2562" width="3.33203125" style="95" customWidth="1"/>
    <col min="2563" max="2563" width="10.83203125" style="95"/>
    <col min="2564" max="2564" width="4" style="95" customWidth="1"/>
    <col min="2565" max="2816" width="10.83203125" style="95"/>
    <col min="2817" max="2817" width="64.83203125" style="95" customWidth="1"/>
    <col min="2818" max="2818" width="3.33203125" style="95" customWidth="1"/>
    <col min="2819" max="2819" width="10.83203125" style="95"/>
    <col min="2820" max="2820" width="4" style="95" customWidth="1"/>
    <col min="2821" max="3072" width="10.83203125" style="95"/>
    <col min="3073" max="3073" width="64.83203125" style="95" customWidth="1"/>
    <col min="3074" max="3074" width="3.33203125" style="95" customWidth="1"/>
    <col min="3075" max="3075" width="10.83203125" style="95"/>
    <col min="3076" max="3076" width="4" style="95" customWidth="1"/>
    <col min="3077" max="3328" width="10.83203125" style="95"/>
    <col min="3329" max="3329" width="64.83203125" style="95" customWidth="1"/>
    <col min="3330" max="3330" width="3.33203125" style="95" customWidth="1"/>
    <col min="3331" max="3331" width="10.83203125" style="95"/>
    <col min="3332" max="3332" width="4" style="95" customWidth="1"/>
    <col min="3333" max="3584" width="10.83203125" style="95"/>
    <col min="3585" max="3585" width="64.83203125" style="95" customWidth="1"/>
    <col min="3586" max="3586" width="3.33203125" style="95" customWidth="1"/>
    <col min="3587" max="3587" width="10.83203125" style="95"/>
    <col min="3588" max="3588" width="4" style="95" customWidth="1"/>
    <col min="3589" max="3840" width="10.83203125" style="95"/>
    <col min="3841" max="3841" width="64.83203125" style="95" customWidth="1"/>
    <col min="3842" max="3842" width="3.33203125" style="95" customWidth="1"/>
    <col min="3843" max="3843" width="10.83203125" style="95"/>
    <col min="3844" max="3844" width="4" style="95" customWidth="1"/>
    <col min="3845" max="4096" width="10.83203125" style="95"/>
    <col min="4097" max="4097" width="64.83203125" style="95" customWidth="1"/>
    <col min="4098" max="4098" width="3.33203125" style="95" customWidth="1"/>
    <col min="4099" max="4099" width="10.83203125" style="95"/>
    <col min="4100" max="4100" width="4" style="95" customWidth="1"/>
    <col min="4101" max="4352" width="10.83203125" style="95"/>
    <col min="4353" max="4353" width="64.83203125" style="95" customWidth="1"/>
    <col min="4354" max="4354" width="3.33203125" style="95" customWidth="1"/>
    <col min="4355" max="4355" width="10.83203125" style="95"/>
    <col min="4356" max="4356" width="4" style="95" customWidth="1"/>
    <col min="4357" max="4608" width="10.83203125" style="95"/>
    <col min="4609" max="4609" width="64.83203125" style="95" customWidth="1"/>
    <col min="4610" max="4610" width="3.33203125" style="95" customWidth="1"/>
    <col min="4611" max="4611" width="10.83203125" style="95"/>
    <col min="4612" max="4612" width="4" style="95" customWidth="1"/>
    <col min="4613" max="4864" width="10.83203125" style="95"/>
    <col min="4865" max="4865" width="64.83203125" style="95" customWidth="1"/>
    <col min="4866" max="4866" width="3.33203125" style="95" customWidth="1"/>
    <col min="4867" max="4867" width="10.83203125" style="95"/>
    <col min="4868" max="4868" width="4" style="95" customWidth="1"/>
    <col min="4869" max="5120" width="10.83203125" style="95"/>
    <col min="5121" max="5121" width="64.83203125" style="95" customWidth="1"/>
    <col min="5122" max="5122" width="3.33203125" style="95" customWidth="1"/>
    <col min="5123" max="5123" width="10.83203125" style="95"/>
    <col min="5124" max="5124" width="4" style="95" customWidth="1"/>
    <col min="5125" max="5376" width="10.83203125" style="95"/>
    <col min="5377" max="5377" width="64.83203125" style="95" customWidth="1"/>
    <col min="5378" max="5378" width="3.33203125" style="95" customWidth="1"/>
    <col min="5379" max="5379" width="10.83203125" style="95"/>
    <col min="5380" max="5380" width="4" style="95" customWidth="1"/>
    <col min="5381" max="5632" width="10.83203125" style="95"/>
    <col min="5633" max="5633" width="64.83203125" style="95" customWidth="1"/>
    <col min="5634" max="5634" width="3.33203125" style="95" customWidth="1"/>
    <col min="5635" max="5635" width="10.83203125" style="95"/>
    <col min="5636" max="5636" width="4" style="95" customWidth="1"/>
    <col min="5637" max="5888" width="10.83203125" style="95"/>
    <col min="5889" max="5889" width="64.83203125" style="95" customWidth="1"/>
    <col min="5890" max="5890" width="3.33203125" style="95" customWidth="1"/>
    <col min="5891" max="5891" width="10.83203125" style="95"/>
    <col min="5892" max="5892" width="4" style="95" customWidth="1"/>
    <col min="5893" max="6144" width="10.83203125" style="95"/>
    <col min="6145" max="6145" width="64.83203125" style="95" customWidth="1"/>
    <col min="6146" max="6146" width="3.33203125" style="95" customWidth="1"/>
    <col min="6147" max="6147" width="10.83203125" style="95"/>
    <col min="6148" max="6148" width="4" style="95" customWidth="1"/>
    <col min="6149" max="6400" width="10.83203125" style="95"/>
    <col min="6401" max="6401" width="64.83203125" style="95" customWidth="1"/>
    <col min="6402" max="6402" width="3.33203125" style="95" customWidth="1"/>
    <col min="6403" max="6403" width="10.83203125" style="95"/>
    <col min="6404" max="6404" width="4" style="95" customWidth="1"/>
    <col min="6405" max="6656" width="10.83203125" style="95"/>
    <col min="6657" max="6657" width="64.83203125" style="95" customWidth="1"/>
    <col min="6658" max="6658" width="3.33203125" style="95" customWidth="1"/>
    <col min="6659" max="6659" width="10.83203125" style="95"/>
    <col min="6660" max="6660" width="4" style="95" customWidth="1"/>
    <col min="6661" max="6912" width="10.83203125" style="95"/>
    <col min="6913" max="6913" width="64.83203125" style="95" customWidth="1"/>
    <col min="6914" max="6914" width="3.33203125" style="95" customWidth="1"/>
    <col min="6915" max="6915" width="10.83203125" style="95"/>
    <col min="6916" max="6916" width="4" style="95" customWidth="1"/>
    <col min="6917" max="7168" width="10.83203125" style="95"/>
    <col min="7169" max="7169" width="64.83203125" style="95" customWidth="1"/>
    <col min="7170" max="7170" width="3.33203125" style="95" customWidth="1"/>
    <col min="7171" max="7171" width="10.83203125" style="95"/>
    <col min="7172" max="7172" width="4" style="95" customWidth="1"/>
    <col min="7173" max="7424" width="10.83203125" style="95"/>
    <col min="7425" max="7425" width="64.83203125" style="95" customWidth="1"/>
    <col min="7426" max="7426" width="3.33203125" style="95" customWidth="1"/>
    <col min="7427" max="7427" width="10.83203125" style="95"/>
    <col min="7428" max="7428" width="4" style="95" customWidth="1"/>
    <col min="7429" max="7680" width="10.83203125" style="95"/>
    <col min="7681" max="7681" width="64.83203125" style="95" customWidth="1"/>
    <col min="7682" max="7682" width="3.33203125" style="95" customWidth="1"/>
    <col min="7683" max="7683" width="10.83203125" style="95"/>
    <col min="7684" max="7684" width="4" style="95" customWidth="1"/>
    <col min="7685" max="7936" width="10.83203125" style="95"/>
    <col min="7937" max="7937" width="64.83203125" style="95" customWidth="1"/>
    <col min="7938" max="7938" width="3.33203125" style="95" customWidth="1"/>
    <col min="7939" max="7939" width="10.83203125" style="95"/>
    <col min="7940" max="7940" width="4" style="95" customWidth="1"/>
    <col min="7941" max="8192" width="10.83203125" style="95"/>
    <col min="8193" max="8193" width="64.83203125" style="95" customWidth="1"/>
    <col min="8194" max="8194" width="3.33203125" style="95" customWidth="1"/>
    <col min="8195" max="8195" width="10.83203125" style="95"/>
    <col min="8196" max="8196" width="4" style="95" customWidth="1"/>
    <col min="8197" max="8448" width="10.83203125" style="95"/>
    <col min="8449" max="8449" width="64.83203125" style="95" customWidth="1"/>
    <col min="8450" max="8450" width="3.33203125" style="95" customWidth="1"/>
    <col min="8451" max="8451" width="10.83203125" style="95"/>
    <col min="8452" max="8452" width="4" style="95" customWidth="1"/>
    <col min="8453" max="8704" width="10.83203125" style="95"/>
    <col min="8705" max="8705" width="64.83203125" style="95" customWidth="1"/>
    <col min="8706" max="8706" width="3.33203125" style="95" customWidth="1"/>
    <col min="8707" max="8707" width="10.83203125" style="95"/>
    <col min="8708" max="8708" width="4" style="95" customWidth="1"/>
    <col min="8709" max="8960" width="10.83203125" style="95"/>
    <col min="8961" max="8961" width="64.83203125" style="95" customWidth="1"/>
    <col min="8962" max="8962" width="3.33203125" style="95" customWidth="1"/>
    <col min="8963" max="8963" width="10.83203125" style="95"/>
    <col min="8964" max="8964" width="4" style="95" customWidth="1"/>
    <col min="8965" max="9216" width="10.83203125" style="95"/>
    <col min="9217" max="9217" width="64.83203125" style="95" customWidth="1"/>
    <col min="9218" max="9218" width="3.33203125" style="95" customWidth="1"/>
    <col min="9219" max="9219" width="10.83203125" style="95"/>
    <col min="9220" max="9220" width="4" style="95" customWidth="1"/>
    <col min="9221" max="9472" width="10.83203125" style="95"/>
    <col min="9473" max="9473" width="64.83203125" style="95" customWidth="1"/>
    <col min="9474" max="9474" width="3.33203125" style="95" customWidth="1"/>
    <col min="9475" max="9475" width="10.83203125" style="95"/>
    <col min="9476" max="9476" width="4" style="95" customWidth="1"/>
    <col min="9477" max="9728" width="10.83203125" style="95"/>
    <col min="9729" max="9729" width="64.83203125" style="95" customWidth="1"/>
    <col min="9730" max="9730" width="3.33203125" style="95" customWidth="1"/>
    <col min="9731" max="9731" width="10.83203125" style="95"/>
    <col min="9732" max="9732" width="4" style="95" customWidth="1"/>
    <col min="9733" max="9984" width="10.83203125" style="95"/>
    <col min="9985" max="9985" width="64.83203125" style="95" customWidth="1"/>
    <col min="9986" max="9986" width="3.33203125" style="95" customWidth="1"/>
    <col min="9987" max="9987" width="10.83203125" style="95"/>
    <col min="9988" max="9988" width="4" style="95" customWidth="1"/>
    <col min="9989" max="10240" width="10.83203125" style="95"/>
    <col min="10241" max="10241" width="64.83203125" style="95" customWidth="1"/>
    <col min="10242" max="10242" width="3.33203125" style="95" customWidth="1"/>
    <col min="10243" max="10243" width="10.83203125" style="95"/>
    <col min="10244" max="10244" width="4" style="95" customWidth="1"/>
    <col min="10245" max="10496" width="10.83203125" style="95"/>
    <col min="10497" max="10497" width="64.83203125" style="95" customWidth="1"/>
    <col min="10498" max="10498" width="3.33203125" style="95" customWidth="1"/>
    <col min="10499" max="10499" width="10.83203125" style="95"/>
    <col min="10500" max="10500" width="4" style="95" customWidth="1"/>
    <col min="10501" max="10752" width="10.83203125" style="95"/>
    <col min="10753" max="10753" width="64.83203125" style="95" customWidth="1"/>
    <col min="10754" max="10754" width="3.33203125" style="95" customWidth="1"/>
    <col min="10755" max="10755" width="10.83203125" style="95"/>
    <col min="10756" max="10756" width="4" style="95" customWidth="1"/>
    <col min="10757" max="11008" width="10.83203125" style="95"/>
    <col min="11009" max="11009" width="64.83203125" style="95" customWidth="1"/>
    <col min="11010" max="11010" width="3.33203125" style="95" customWidth="1"/>
    <col min="11011" max="11011" width="10.83203125" style="95"/>
    <col min="11012" max="11012" width="4" style="95" customWidth="1"/>
    <col min="11013" max="11264" width="10.83203125" style="95"/>
    <col min="11265" max="11265" width="64.83203125" style="95" customWidth="1"/>
    <col min="11266" max="11266" width="3.33203125" style="95" customWidth="1"/>
    <col min="11267" max="11267" width="10.83203125" style="95"/>
    <col min="11268" max="11268" width="4" style="95" customWidth="1"/>
    <col min="11269" max="11520" width="10.83203125" style="95"/>
    <col min="11521" max="11521" width="64.83203125" style="95" customWidth="1"/>
    <col min="11522" max="11522" width="3.33203125" style="95" customWidth="1"/>
    <col min="11523" max="11523" width="10.83203125" style="95"/>
    <col min="11524" max="11524" width="4" style="95" customWidth="1"/>
    <col min="11525" max="11776" width="10.83203125" style="95"/>
    <col min="11777" max="11777" width="64.83203125" style="95" customWidth="1"/>
    <col min="11778" max="11778" width="3.33203125" style="95" customWidth="1"/>
    <col min="11779" max="11779" width="10.83203125" style="95"/>
    <col min="11780" max="11780" width="4" style="95" customWidth="1"/>
    <col min="11781" max="12032" width="10.83203125" style="95"/>
    <col min="12033" max="12033" width="64.83203125" style="95" customWidth="1"/>
    <col min="12034" max="12034" width="3.33203125" style="95" customWidth="1"/>
    <col min="12035" max="12035" width="10.83203125" style="95"/>
    <col min="12036" max="12036" width="4" style="95" customWidth="1"/>
    <col min="12037" max="12288" width="10.83203125" style="95"/>
    <col min="12289" max="12289" width="64.83203125" style="95" customWidth="1"/>
    <col min="12290" max="12290" width="3.33203125" style="95" customWidth="1"/>
    <col min="12291" max="12291" width="10.83203125" style="95"/>
    <col min="12292" max="12292" width="4" style="95" customWidth="1"/>
    <col min="12293" max="12544" width="10.83203125" style="95"/>
    <col min="12545" max="12545" width="64.83203125" style="95" customWidth="1"/>
    <col min="12546" max="12546" width="3.33203125" style="95" customWidth="1"/>
    <col min="12547" max="12547" width="10.83203125" style="95"/>
    <col min="12548" max="12548" width="4" style="95" customWidth="1"/>
    <col min="12549" max="12800" width="10.83203125" style="95"/>
    <col min="12801" max="12801" width="64.83203125" style="95" customWidth="1"/>
    <col min="12802" max="12802" width="3.33203125" style="95" customWidth="1"/>
    <col min="12803" max="12803" width="10.83203125" style="95"/>
    <col min="12804" max="12804" width="4" style="95" customWidth="1"/>
    <col min="12805" max="13056" width="10.83203125" style="95"/>
    <col min="13057" max="13057" width="64.83203125" style="95" customWidth="1"/>
    <col min="13058" max="13058" width="3.33203125" style="95" customWidth="1"/>
    <col min="13059" max="13059" width="10.83203125" style="95"/>
    <col min="13060" max="13060" width="4" style="95" customWidth="1"/>
    <col min="13061" max="13312" width="10.83203125" style="95"/>
    <col min="13313" max="13313" width="64.83203125" style="95" customWidth="1"/>
    <col min="13314" max="13314" width="3.33203125" style="95" customWidth="1"/>
    <col min="13315" max="13315" width="10.83203125" style="95"/>
    <col min="13316" max="13316" width="4" style="95" customWidth="1"/>
    <col min="13317" max="13568" width="10.83203125" style="95"/>
    <col min="13569" max="13569" width="64.83203125" style="95" customWidth="1"/>
    <col min="13570" max="13570" width="3.33203125" style="95" customWidth="1"/>
    <col min="13571" max="13571" width="10.83203125" style="95"/>
    <col min="13572" max="13572" width="4" style="95" customWidth="1"/>
    <col min="13573" max="13824" width="10.83203125" style="95"/>
    <col min="13825" max="13825" width="64.83203125" style="95" customWidth="1"/>
    <col min="13826" max="13826" width="3.33203125" style="95" customWidth="1"/>
    <col min="13827" max="13827" width="10.83203125" style="95"/>
    <col min="13828" max="13828" width="4" style="95" customWidth="1"/>
    <col min="13829" max="14080" width="10.83203125" style="95"/>
    <col min="14081" max="14081" width="64.83203125" style="95" customWidth="1"/>
    <col min="14082" max="14082" width="3.33203125" style="95" customWidth="1"/>
    <col min="14083" max="14083" width="10.83203125" style="95"/>
    <col min="14084" max="14084" width="4" style="95" customWidth="1"/>
    <col min="14085" max="14336" width="10.83203125" style="95"/>
    <col min="14337" max="14337" width="64.83203125" style="95" customWidth="1"/>
    <col min="14338" max="14338" width="3.33203125" style="95" customWidth="1"/>
    <col min="14339" max="14339" width="10.83203125" style="95"/>
    <col min="14340" max="14340" width="4" style="95" customWidth="1"/>
    <col min="14341" max="14592" width="10.83203125" style="95"/>
    <col min="14593" max="14593" width="64.83203125" style="95" customWidth="1"/>
    <col min="14594" max="14594" width="3.33203125" style="95" customWidth="1"/>
    <col min="14595" max="14595" width="10.83203125" style="95"/>
    <col min="14596" max="14596" width="4" style="95" customWidth="1"/>
    <col min="14597" max="14848" width="10.83203125" style="95"/>
    <col min="14849" max="14849" width="64.83203125" style="95" customWidth="1"/>
    <col min="14850" max="14850" width="3.33203125" style="95" customWidth="1"/>
    <col min="14851" max="14851" width="10.83203125" style="95"/>
    <col min="14852" max="14852" width="4" style="95" customWidth="1"/>
    <col min="14853" max="15104" width="10.83203125" style="95"/>
    <col min="15105" max="15105" width="64.83203125" style="95" customWidth="1"/>
    <col min="15106" max="15106" width="3.33203125" style="95" customWidth="1"/>
    <col min="15107" max="15107" width="10.83203125" style="95"/>
    <col min="15108" max="15108" width="4" style="95" customWidth="1"/>
    <col min="15109" max="15360" width="10.83203125" style="95"/>
    <col min="15361" max="15361" width="64.83203125" style="95" customWidth="1"/>
    <col min="15362" max="15362" width="3.33203125" style="95" customWidth="1"/>
    <col min="15363" max="15363" width="10.83203125" style="95"/>
    <col min="15364" max="15364" width="4" style="95" customWidth="1"/>
    <col min="15365" max="15616" width="10.83203125" style="95"/>
    <col min="15617" max="15617" width="64.83203125" style="95" customWidth="1"/>
    <col min="15618" max="15618" width="3.33203125" style="95" customWidth="1"/>
    <col min="15619" max="15619" width="10.83203125" style="95"/>
    <col min="15620" max="15620" width="4" style="95" customWidth="1"/>
    <col min="15621" max="15872" width="10.83203125" style="95"/>
    <col min="15873" max="15873" width="64.83203125" style="95" customWidth="1"/>
    <col min="15874" max="15874" width="3.33203125" style="95" customWidth="1"/>
    <col min="15875" max="15875" width="10.83203125" style="95"/>
    <col min="15876" max="15876" width="4" style="95" customWidth="1"/>
    <col min="15877" max="16128" width="10.83203125" style="95"/>
    <col min="16129" max="16129" width="64.83203125" style="95" customWidth="1"/>
    <col min="16130" max="16130" width="3.33203125" style="95" customWidth="1"/>
    <col min="16131" max="16131" width="10.83203125" style="95"/>
    <col min="16132" max="16132" width="4" style="95" customWidth="1"/>
    <col min="16133" max="16384" width="10.83203125" style="95"/>
  </cols>
  <sheetData>
    <row r="1" spans="1:5">
      <c r="A1" s="95" t="s">
        <v>453</v>
      </c>
    </row>
    <row r="2" spans="1:5">
      <c r="A2" s="95" t="s">
        <v>454</v>
      </c>
    </row>
    <row r="4" spans="1:5">
      <c r="A4" s="33" t="s">
        <v>2187</v>
      </c>
      <c r="B4" s="33"/>
      <c r="C4" s="33"/>
      <c r="D4" s="33"/>
      <c r="E4" s="73"/>
    </row>
    <row r="5" spans="1:5">
      <c r="A5" s="33" t="s">
        <v>2188</v>
      </c>
      <c r="B5" s="33"/>
      <c r="C5" s="33"/>
      <c r="D5" s="33"/>
      <c r="E5" s="73"/>
    </row>
    <row r="6" spans="1:5" ht="14" thickBot="1">
      <c r="A6" s="199"/>
      <c r="B6" s="199"/>
      <c r="C6" s="199"/>
      <c r="D6" s="199"/>
      <c r="E6" s="198"/>
    </row>
    <row r="7" spans="1:5">
      <c r="A7" s="57"/>
      <c r="B7" s="57"/>
      <c r="C7" s="57"/>
      <c r="D7" s="57"/>
      <c r="E7" s="191"/>
    </row>
    <row r="8" spans="1:5">
      <c r="A8" s="33"/>
      <c r="B8" s="33"/>
      <c r="C8" s="1056" t="s">
        <v>1648</v>
      </c>
      <c r="D8" s="1056"/>
      <c r="E8" s="1056"/>
    </row>
    <row r="9" spans="1:5">
      <c r="A9" s="33" t="s">
        <v>1715</v>
      </c>
      <c r="B9" s="33"/>
      <c r="C9" s="1020" t="s">
        <v>1716</v>
      </c>
      <c r="D9" s="1020"/>
      <c r="E9" s="1020"/>
    </row>
    <row r="10" spans="1:5">
      <c r="A10" s="33"/>
      <c r="B10" s="33"/>
      <c r="C10" s="682" t="s">
        <v>1651</v>
      </c>
      <c r="D10" s="686"/>
      <c r="E10" s="683" t="s">
        <v>1652</v>
      </c>
    </row>
    <row r="11" spans="1:5" ht="14" thickBot="1">
      <c r="A11" s="199"/>
      <c r="B11" s="199"/>
      <c r="C11" s="199"/>
      <c r="D11" s="199"/>
      <c r="E11" s="198"/>
    </row>
    <row r="12" spans="1:5">
      <c r="A12" s="57"/>
      <c r="B12" s="57"/>
      <c r="C12" s="301"/>
      <c r="D12" s="57"/>
      <c r="E12" s="191"/>
    </row>
    <row r="13" spans="1:5">
      <c r="A13" s="68" t="s">
        <v>148</v>
      </c>
      <c r="B13" s="57"/>
      <c r="C13" s="604">
        <f>C15+C24</f>
        <v>4845</v>
      </c>
      <c r="D13" s="68"/>
      <c r="E13" s="308">
        <f>E15+E24</f>
        <v>100</v>
      </c>
    </row>
    <row r="14" spans="1:5">
      <c r="A14" s="57"/>
      <c r="B14" s="57"/>
      <c r="C14" s="301"/>
      <c r="D14" s="57"/>
      <c r="E14" s="73" t="str">
        <f>IF($A14&lt;&gt;0,C14/#REF!*100,"")</f>
        <v/>
      </c>
    </row>
    <row r="15" spans="1:5">
      <c r="A15" s="68" t="s">
        <v>2189</v>
      </c>
      <c r="B15" s="57"/>
      <c r="C15" s="590">
        <v>1235</v>
      </c>
      <c r="D15" s="57"/>
      <c r="E15" s="73">
        <f>C15/C13*100</f>
        <v>25.490196078431371</v>
      </c>
    </row>
    <row r="16" spans="1:5" hidden="1">
      <c r="A16" s="33" t="s">
        <v>2190</v>
      </c>
      <c r="B16" s="33"/>
      <c r="C16" s="568"/>
      <c r="D16" s="33"/>
      <c r="E16" s="73"/>
    </row>
    <row r="17" spans="1:5" hidden="1">
      <c r="A17" s="33"/>
      <c r="B17" s="33"/>
      <c r="C17" s="568"/>
      <c r="D17" s="33"/>
      <c r="E17" s="73"/>
    </row>
    <row r="18" spans="1:5" hidden="1">
      <c r="A18" s="33" t="s">
        <v>2191</v>
      </c>
      <c r="B18" s="33"/>
      <c r="C18" s="568"/>
      <c r="D18" s="33"/>
      <c r="E18" s="73"/>
    </row>
    <row r="19" spans="1:5" hidden="1">
      <c r="A19" s="33"/>
      <c r="B19" s="33"/>
      <c r="C19" s="568"/>
      <c r="D19" s="33"/>
      <c r="E19" s="73"/>
    </row>
    <row r="20" spans="1:5" hidden="1">
      <c r="A20" s="33" t="s">
        <v>2192</v>
      </c>
      <c r="B20" s="33"/>
      <c r="C20" s="568"/>
      <c r="D20" s="33"/>
      <c r="E20" s="73"/>
    </row>
    <row r="21" spans="1:5" hidden="1">
      <c r="A21" s="33"/>
      <c r="B21" s="33"/>
      <c r="C21" s="568"/>
      <c r="D21" s="33"/>
      <c r="E21" s="73"/>
    </row>
    <row r="22" spans="1:5" hidden="1">
      <c r="A22" s="95" t="s">
        <v>2193</v>
      </c>
      <c r="C22" s="590"/>
      <c r="E22" s="73"/>
    </row>
    <row r="23" spans="1:5">
      <c r="A23" s="57"/>
      <c r="B23" s="57"/>
      <c r="C23" s="301"/>
      <c r="D23" s="57"/>
      <c r="E23" s="73"/>
    </row>
    <row r="24" spans="1:5">
      <c r="A24" s="275" t="s">
        <v>2194</v>
      </c>
      <c r="B24" s="57"/>
      <c r="C24" s="590">
        <v>3610</v>
      </c>
      <c r="D24" s="57"/>
      <c r="E24" s="73">
        <f>C24/C13*100</f>
        <v>74.509803921568633</v>
      </c>
    </row>
    <row r="25" spans="1:5" hidden="1">
      <c r="A25" s="75" t="s">
        <v>2195</v>
      </c>
      <c r="B25" s="57"/>
      <c r="C25" s="301"/>
      <c r="D25" s="57"/>
      <c r="E25" s="73"/>
    </row>
    <row r="26" spans="1:5" hidden="1">
      <c r="A26" s="75"/>
      <c r="B26" s="57"/>
      <c r="C26" s="301"/>
      <c r="D26" s="57"/>
      <c r="E26" s="73"/>
    </row>
    <row r="27" spans="1:5" hidden="1">
      <c r="A27" s="75" t="s">
        <v>2196</v>
      </c>
      <c r="B27" s="57"/>
      <c r="C27" s="301"/>
      <c r="D27" s="57"/>
      <c r="E27" s="73"/>
    </row>
    <row r="28" spans="1:5" hidden="1">
      <c r="A28" s="75"/>
      <c r="B28" s="57"/>
      <c r="C28" s="301"/>
      <c r="D28" s="57"/>
      <c r="E28" s="73"/>
    </row>
    <row r="29" spans="1:5" hidden="1">
      <c r="A29" s="75" t="s">
        <v>2197</v>
      </c>
      <c r="B29" s="57"/>
      <c r="C29" s="301"/>
      <c r="D29" s="57"/>
      <c r="E29" s="73"/>
    </row>
    <row r="30" spans="1:5" hidden="1">
      <c r="A30" s="75"/>
      <c r="B30" s="57"/>
      <c r="C30" s="301"/>
      <c r="D30" s="57"/>
      <c r="E30" s="73"/>
    </row>
    <row r="31" spans="1:5" ht="14" hidden="1">
      <c r="A31" s="685" t="s">
        <v>2198</v>
      </c>
      <c r="B31" s="57"/>
      <c r="C31" s="301"/>
      <c r="D31" s="57"/>
      <c r="E31" s="73"/>
    </row>
    <row r="32" spans="1:5" hidden="1">
      <c r="A32" s="685"/>
      <c r="B32" s="57"/>
      <c r="C32" s="301"/>
      <c r="D32" s="57"/>
      <c r="E32" s="73"/>
    </row>
    <row r="33" spans="1:5" hidden="1">
      <c r="A33" s="75" t="s">
        <v>2199</v>
      </c>
      <c r="B33" s="57"/>
      <c r="C33" s="301"/>
      <c r="D33" s="57"/>
      <c r="E33" s="73"/>
    </row>
    <row r="34" spans="1:5" ht="10.5" customHeight="1" thickBot="1">
      <c r="A34" s="33"/>
      <c r="B34" s="33"/>
      <c r="C34" s="568"/>
      <c r="D34" s="33"/>
      <c r="E34" s="73"/>
    </row>
    <row r="35" spans="1:5" ht="6.75" customHeight="1">
      <c r="A35" s="188"/>
      <c r="B35" s="188"/>
      <c r="C35" s="188"/>
      <c r="D35" s="188"/>
      <c r="E35" s="187"/>
    </row>
    <row r="36" spans="1:5">
      <c r="A36" s="33" t="s">
        <v>1717</v>
      </c>
      <c r="B36" s="33"/>
      <c r="C36" s="33"/>
      <c r="D36" s="33"/>
      <c r="E36" s="73"/>
    </row>
    <row r="37" spans="1:5">
      <c r="A37" s="33" t="s">
        <v>688</v>
      </c>
      <c r="B37" s="33"/>
      <c r="C37" s="33"/>
      <c r="D37" s="33"/>
      <c r="E37" s="73"/>
    </row>
    <row r="40" spans="1:5">
      <c r="A40" s="68"/>
      <c r="B40" s="57"/>
      <c r="C40" s="604"/>
    </row>
    <row r="41" spans="1:5">
      <c r="A41" s="57"/>
      <c r="B41" s="57"/>
      <c r="C41" s="301"/>
    </row>
    <row r="42" spans="1:5">
      <c r="A42" s="55"/>
      <c r="B42" s="33"/>
      <c r="C42" s="568"/>
    </row>
    <row r="43" spans="1:5">
      <c r="A43" s="33"/>
      <c r="B43" s="33"/>
      <c r="C43" s="568"/>
    </row>
    <row r="44" spans="1:5">
      <c r="A44" s="33"/>
      <c r="B44" s="33"/>
      <c r="C44" s="568"/>
    </row>
    <row r="45" spans="1:5">
      <c r="A45" s="33"/>
      <c r="B45" s="33"/>
      <c r="C45" s="568"/>
    </row>
    <row r="46" spans="1:5">
      <c r="A46" s="33"/>
      <c r="B46" s="33"/>
      <c r="C46" s="568"/>
    </row>
  </sheetData>
  <mergeCells count="2">
    <mergeCell ref="C8:E8"/>
    <mergeCell ref="C9:E9"/>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54"/>
  <sheetViews>
    <sheetView workbookViewId="0"/>
  </sheetViews>
  <sheetFormatPr baseColWidth="10" defaultRowHeight="13"/>
  <cols>
    <col min="1" max="1" width="49.1640625" style="95" customWidth="1"/>
    <col min="2" max="2" width="3" style="95" customWidth="1"/>
    <col min="3" max="3" width="10.83203125" style="95"/>
    <col min="4" max="4" width="4.5" style="95" customWidth="1"/>
    <col min="5" max="5" width="10.83203125" style="95"/>
    <col min="6" max="6" width="4.6640625" style="95" customWidth="1"/>
    <col min="7" max="256" width="10.83203125" style="95"/>
    <col min="257" max="257" width="49.1640625" style="95" customWidth="1"/>
    <col min="258" max="258" width="3" style="95" customWidth="1"/>
    <col min="259" max="259" width="10.83203125" style="95"/>
    <col min="260" max="260" width="4.5" style="95" customWidth="1"/>
    <col min="261" max="261" width="10.83203125" style="95"/>
    <col min="262" max="262" width="4.6640625" style="95" customWidth="1"/>
    <col min="263" max="512" width="10.83203125" style="95"/>
    <col min="513" max="513" width="49.1640625" style="95" customWidth="1"/>
    <col min="514" max="514" width="3" style="95" customWidth="1"/>
    <col min="515" max="515" width="10.83203125" style="95"/>
    <col min="516" max="516" width="4.5" style="95" customWidth="1"/>
    <col min="517" max="517" width="10.83203125" style="95"/>
    <col min="518" max="518" width="4.6640625" style="95" customWidth="1"/>
    <col min="519" max="768" width="10.83203125" style="95"/>
    <col min="769" max="769" width="49.1640625" style="95" customWidth="1"/>
    <col min="770" max="770" width="3" style="95" customWidth="1"/>
    <col min="771" max="771" width="10.83203125" style="95"/>
    <col min="772" max="772" width="4.5" style="95" customWidth="1"/>
    <col min="773" max="773" width="10.83203125" style="95"/>
    <col min="774" max="774" width="4.6640625" style="95" customWidth="1"/>
    <col min="775" max="1024" width="10.83203125" style="95"/>
    <col min="1025" max="1025" width="49.1640625" style="95" customWidth="1"/>
    <col min="1026" max="1026" width="3" style="95" customWidth="1"/>
    <col min="1027" max="1027" width="10.83203125" style="95"/>
    <col min="1028" max="1028" width="4.5" style="95" customWidth="1"/>
    <col min="1029" max="1029" width="10.83203125" style="95"/>
    <col min="1030" max="1030" width="4.6640625" style="95" customWidth="1"/>
    <col min="1031" max="1280" width="10.83203125" style="95"/>
    <col min="1281" max="1281" width="49.1640625" style="95" customWidth="1"/>
    <col min="1282" max="1282" width="3" style="95" customWidth="1"/>
    <col min="1283" max="1283" width="10.83203125" style="95"/>
    <col min="1284" max="1284" width="4.5" style="95" customWidth="1"/>
    <col min="1285" max="1285" width="10.83203125" style="95"/>
    <col min="1286" max="1286" width="4.6640625" style="95" customWidth="1"/>
    <col min="1287" max="1536" width="10.83203125" style="95"/>
    <col min="1537" max="1537" width="49.1640625" style="95" customWidth="1"/>
    <col min="1538" max="1538" width="3" style="95" customWidth="1"/>
    <col min="1539" max="1539" width="10.83203125" style="95"/>
    <col min="1540" max="1540" width="4.5" style="95" customWidth="1"/>
    <col min="1541" max="1541" width="10.83203125" style="95"/>
    <col min="1542" max="1542" width="4.6640625" style="95" customWidth="1"/>
    <col min="1543" max="1792" width="10.83203125" style="95"/>
    <col min="1793" max="1793" width="49.1640625" style="95" customWidth="1"/>
    <col min="1794" max="1794" width="3" style="95" customWidth="1"/>
    <col min="1795" max="1795" width="10.83203125" style="95"/>
    <col min="1796" max="1796" width="4.5" style="95" customWidth="1"/>
    <col min="1797" max="1797" width="10.83203125" style="95"/>
    <col min="1798" max="1798" width="4.6640625" style="95" customWidth="1"/>
    <col min="1799" max="2048" width="10.83203125" style="95"/>
    <col min="2049" max="2049" width="49.1640625" style="95" customWidth="1"/>
    <col min="2050" max="2050" width="3" style="95" customWidth="1"/>
    <col min="2051" max="2051" width="10.83203125" style="95"/>
    <col min="2052" max="2052" width="4.5" style="95" customWidth="1"/>
    <col min="2053" max="2053" width="10.83203125" style="95"/>
    <col min="2054" max="2054" width="4.6640625" style="95" customWidth="1"/>
    <col min="2055" max="2304" width="10.83203125" style="95"/>
    <col min="2305" max="2305" width="49.1640625" style="95" customWidth="1"/>
    <col min="2306" max="2306" width="3" style="95" customWidth="1"/>
    <col min="2307" max="2307" width="10.83203125" style="95"/>
    <col min="2308" max="2308" width="4.5" style="95" customWidth="1"/>
    <col min="2309" max="2309" width="10.83203125" style="95"/>
    <col min="2310" max="2310" width="4.6640625" style="95" customWidth="1"/>
    <col min="2311" max="2560" width="10.83203125" style="95"/>
    <col min="2561" max="2561" width="49.1640625" style="95" customWidth="1"/>
    <col min="2562" max="2562" width="3" style="95" customWidth="1"/>
    <col min="2563" max="2563" width="10.83203125" style="95"/>
    <col min="2564" max="2564" width="4.5" style="95" customWidth="1"/>
    <col min="2565" max="2565" width="10.83203125" style="95"/>
    <col min="2566" max="2566" width="4.6640625" style="95" customWidth="1"/>
    <col min="2567" max="2816" width="10.83203125" style="95"/>
    <col min="2817" max="2817" width="49.1640625" style="95" customWidth="1"/>
    <col min="2818" max="2818" width="3" style="95" customWidth="1"/>
    <col min="2819" max="2819" width="10.83203125" style="95"/>
    <col min="2820" max="2820" width="4.5" style="95" customWidth="1"/>
    <col min="2821" max="2821" width="10.83203125" style="95"/>
    <col min="2822" max="2822" width="4.6640625" style="95" customWidth="1"/>
    <col min="2823" max="3072" width="10.83203125" style="95"/>
    <col min="3073" max="3073" width="49.1640625" style="95" customWidth="1"/>
    <col min="3074" max="3074" width="3" style="95" customWidth="1"/>
    <col min="3075" max="3075" width="10.83203125" style="95"/>
    <col min="3076" max="3076" width="4.5" style="95" customWidth="1"/>
    <col min="3077" max="3077" width="10.83203125" style="95"/>
    <col min="3078" max="3078" width="4.6640625" style="95" customWidth="1"/>
    <col min="3079" max="3328" width="10.83203125" style="95"/>
    <col min="3329" max="3329" width="49.1640625" style="95" customWidth="1"/>
    <col min="3330" max="3330" width="3" style="95" customWidth="1"/>
    <col min="3331" max="3331" width="10.83203125" style="95"/>
    <col min="3332" max="3332" width="4.5" style="95" customWidth="1"/>
    <col min="3333" max="3333" width="10.83203125" style="95"/>
    <col min="3334" max="3334" width="4.6640625" style="95" customWidth="1"/>
    <col min="3335" max="3584" width="10.83203125" style="95"/>
    <col min="3585" max="3585" width="49.1640625" style="95" customWidth="1"/>
    <col min="3586" max="3586" width="3" style="95" customWidth="1"/>
    <col min="3587" max="3587" width="10.83203125" style="95"/>
    <col min="3588" max="3588" width="4.5" style="95" customWidth="1"/>
    <col min="3589" max="3589" width="10.83203125" style="95"/>
    <col min="3590" max="3590" width="4.6640625" style="95" customWidth="1"/>
    <col min="3591" max="3840" width="10.83203125" style="95"/>
    <col min="3841" max="3841" width="49.1640625" style="95" customWidth="1"/>
    <col min="3842" max="3842" width="3" style="95" customWidth="1"/>
    <col min="3843" max="3843" width="10.83203125" style="95"/>
    <col min="3844" max="3844" width="4.5" style="95" customWidth="1"/>
    <col min="3845" max="3845" width="10.83203125" style="95"/>
    <col min="3846" max="3846" width="4.6640625" style="95" customWidth="1"/>
    <col min="3847" max="4096" width="10.83203125" style="95"/>
    <col min="4097" max="4097" width="49.1640625" style="95" customWidth="1"/>
    <col min="4098" max="4098" width="3" style="95" customWidth="1"/>
    <col min="4099" max="4099" width="10.83203125" style="95"/>
    <col min="4100" max="4100" width="4.5" style="95" customWidth="1"/>
    <col min="4101" max="4101" width="10.83203125" style="95"/>
    <col min="4102" max="4102" width="4.6640625" style="95" customWidth="1"/>
    <col min="4103" max="4352" width="10.83203125" style="95"/>
    <col min="4353" max="4353" width="49.1640625" style="95" customWidth="1"/>
    <col min="4354" max="4354" width="3" style="95" customWidth="1"/>
    <col min="4355" max="4355" width="10.83203125" style="95"/>
    <col min="4356" max="4356" width="4.5" style="95" customWidth="1"/>
    <col min="4357" max="4357" width="10.83203125" style="95"/>
    <col min="4358" max="4358" width="4.6640625" style="95" customWidth="1"/>
    <col min="4359" max="4608" width="10.83203125" style="95"/>
    <col min="4609" max="4609" width="49.1640625" style="95" customWidth="1"/>
    <col min="4610" max="4610" width="3" style="95" customWidth="1"/>
    <col min="4611" max="4611" width="10.83203125" style="95"/>
    <col min="4612" max="4612" width="4.5" style="95" customWidth="1"/>
    <col min="4613" max="4613" width="10.83203125" style="95"/>
    <col min="4614" max="4614" width="4.6640625" style="95" customWidth="1"/>
    <col min="4615" max="4864" width="10.83203125" style="95"/>
    <col min="4865" max="4865" width="49.1640625" style="95" customWidth="1"/>
    <col min="4866" max="4866" width="3" style="95" customWidth="1"/>
    <col min="4867" max="4867" width="10.83203125" style="95"/>
    <col min="4868" max="4868" width="4.5" style="95" customWidth="1"/>
    <col min="4869" max="4869" width="10.83203125" style="95"/>
    <col min="4870" max="4870" width="4.6640625" style="95" customWidth="1"/>
    <col min="4871" max="5120" width="10.83203125" style="95"/>
    <col min="5121" max="5121" width="49.1640625" style="95" customWidth="1"/>
    <col min="5122" max="5122" width="3" style="95" customWidth="1"/>
    <col min="5123" max="5123" width="10.83203125" style="95"/>
    <col min="5124" max="5124" width="4.5" style="95" customWidth="1"/>
    <col min="5125" max="5125" width="10.83203125" style="95"/>
    <col min="5126" max="5126" width="4.6640625" style="95" customWidth="1"/>
    <col min="5127" max="5376" width="10.83203125" style="95"/>
    <col min="5377" max="5377" width="49.1640625" style="95" customWidth="1"/>
    <col min="5378" max="5378" width="3" style="95" customWidth="1"/>
    <col min="5379" max="5379" width="10.83203125" style="95"/>
    <col min="5380" max="5380" width="4.5" style="95" customWidth="1"/>
    <col min="5381" max="5381" width="10.83203125" style="95"/>
    <col min="5382" max="5382" width="4.6640625" style="95" customWidth="1"/>
    <col min="5383" max="5632" width="10.83203125" style="95"/>
    <col min="5633" max="5633" width="49.1640625" style="95" customWidth="1"/>
    <col min="5634" max="5634" width="3" style="95" customWidth="1"/>
    <col min="5635" max="5635" width="10.83203125" style="95"/>
    <col min="5636" max="5636" width="4.5" style="95" customWidth="1"/>
    <col min="5637" max="5637" width="10.83203125" style="95"/>
    <col min="5638" max="5638" width="4.6640625" style="95" customWidth="1"/>
    <col min="5639" max="5888" width="10.83203125" style="95"/>
    <col min="5889" max="5889" width="49.1640625" style="95" customWidth="1"/>
    <col min="5890" max="5890" width="3" style="95" customWidth="1"/>
    <col min="5891" max="5891" width="10.83203125" style="95"/>
    <col min="5892" max="5892" width="4.5" style="95" customWidth="1"/>
    <col min="5893" max="5893" width="10.83203125" style="95"/>
    <col min="5894" max="5894" width="4.6640625" style="95" customWidth="1"/>
    <col min="5895" max="6144" width="10.83203125" style="95"/>
    <col min="6145" max="6145" width="49.1640625" style="95" customWidth="1"/>
    <col min="6146" max="6146" width="3" style="95" customWidth="1"/>
    <col min="6147" max="6147" width="10.83203125" style="95"/>
    <col min="6148" max="6148" width="4.5" style="95" customWidth="1"/>
    <col min="6149" max="6149" width="10.83203125" style="95"/>
    <col min="6150" max="6150" width="4.6640625" style="95" customWidth="1"/>
    <col min="6151" max="6400" width="10.83203125" style="95"/>
    <col min="6401" max="6401" width="49.1640625" style="95" customWidth="1"/>
    <col min="6402" max="6402" width="3" style="95" customWidth="1"/>
    <col min="6403" max="6403" width="10.83203125" style="95"/>
    <col min="6404" max="6404" width="4.5" style="95" customWidth="1"/>
    <col min="6405" max="6405" width="10.83203125" style="95"/>
    <col min="6406" max="6406" width="4.6640625" style="95" customWidth="1"/>
    <col min="6407" max="6656" width="10.83203125" style="95"/>
    <col min="6657" max="6657" width="49.1640625" style="95" customWidth="1"/>
    <col min="6658" max="6658" width="3" style="95" customWidth="1"/>
    <col min="6659" max="6659" width="10.83203125" style="95"/>
    <col min="6660" max="6660" width="4.5" style="95" customWidth="1"/>
    <col min="6661" max="6661" width="10.83203125" style="95"/>
    <col min="6662" max="6662" width="4.6640625" style="95" customWidth="1"/>
    <col min="6663" max="6912" width="10.83203125" style="95"/>
    <col min="6913" max="6913" width="49.1640625" style="95" customWidth="1"/>
    <col min="6914" max="6914" width="3" style="95" customWidth="1"/>
    <col min="6915" max="6915" width="10.83203125" style="95"/>
    <col min="6916" max="6916" width="4.5" style="95" customWidth="1"/>
    <col min="6917" max="6917" width="10.83203125" style="95"/>
    <col min="6918" max="6918" width="4.6640625" style="95" customWidth="1"/>
    <col min="6919" max="7168" width="10.83203125" style="95"/>
    <col min="7169" max="7169" width="49.1640625" style="95" customWidth="1"/>
    <col min="7170" max="7170" width="3" style="95" customWidth="1"/>
    <col min="7171" max="7171" width="10.83203125" style="95"/>
    <col min="7172" max="7172" width="4.5" style="95" customWidth="1"/>
    <col min="7173" max="7173" width="10.83203125" style="95"/>
    <col min="7174" max="7174" width="4.6640625" style="95" customWidth="1"/>
    <col min="7175" max="7424" width="10.83203125" style="95"/>
    <col min="7425" max="7425" width="49.1640625" style="95" customWidth="1"/>
    <col min="7426" max="7426" width="3" style="95" customWidth="1"/>
    <col min="7427" max="7427" width="10.83203125" style="95"/>
    <col min="7428" max="7428" width="4.5" style="95" customWidth="1"/>
    <col min="7429" max="7429" width="10.83203125" style="95"/>
    <col min="7430" max="7430" width="4.6640625" style="95" customWidth="1"/>
    <col min="7431" max="7680" width="10.83203125" style="95"/>
    <col min="7681" max="7681" width="49.1640625" style="95" customWidth="1"/>
    <col min="7682" max="7682" width="3" style="95" customWidth="1"/>
    <col min="7683" max="7683" width="10.83203125" style="95"/>
    <col min="7684" max="7684" width="4.5" style="95" customWidth="1"/>
    <col min="7685" max="7685" width="10.83203125" style="95"/>
    <col min="7686" max="7686" width="4.6640625" style="95" customWidth="1"/>
    <col min="7687" max="7936" width="10.83203125" style="95"/>
    <col min="7937" max="7937" width="49.1640625" style="95" customWidth="1"/>
    <col min="7938" max="7938" width="3" style="95" customWidth="1"/>
    <col min="7939" max="7939" width="10.83203125" style="95"/>
    <col min="7940" max="7940" width="4.5" style="95" customWidth="1"/>
    <col min="7941" max="7941" width="10.83203125" style="95"/>
    <col min="7942" max="7942" width="4.6640625" style="95" customWidth="1"/>
    <col min="7943" max="8192" width="10.83203125" style="95"/>
    <col min="8193" max="8193" width="49.1640625" style="95" customWidth="1"/>
    <col min="8194" max="8194" width="3" style="95" customWidth="1"/>
    <col min="8195" max="8195" width="10.83203125" style="95"/>
    <col min="8196" max="8196" width="4.5" style="95" customWidth="1"/>
    <col min="8197" max="8197" width="10.83203125" style="95"/>
    <col min="8198" max="8198" width="4.6640625" style="95" customWidth="1"/>
    <col min="8199" max="8448" width="10.83203125" style="95"/>
    <col min="8449" max="8449" width="49.1640625" style="95" customWidth="1"/>
    <col min="8450" max="8450" width="3" style="95" customWidth="1"/>
    <col min="8451" max="8451" width="10.83203125" style="95"/>
    <col min="8452" max="8452" width="4.5" style="95" customWidth="1"/>
    <col min="8453" max="8453" width="10.83203125" style="95"/>
    <col min="8454" max="8454" width="4.6640625" style="95" customWidth="1"/>
    <col min="8455" max="8704" width="10.83203125" style="95"/>
    <col min="8705" max="8705" width="49.1640625" style="95" customWidth="1"/>
    <col min="8706" max="8706" width="3" style="95" customWidth="1"/>
    <col min="8707" max="8707" width="10.83203125" style="95"/>
    <col min="8708" max="8708" width="4.5" style="95" customWidth="1"/>
    <col min="8709" max="8709" width="10.83203125" style="95"/>
    <col min="8710" max="8710" width="4.6640625" style="95" customWidth="1"/>
    <col min="8711" max="8960" width="10.83203125" style="95"/>
    <col min="8961" max="8961" width="49.1640625" style="95" customWidth="1"/>
    <col min="8962" max="8962" width="3" style="95" customWidth="1"/>
    <col min="8963" max="8963" width="10.83203125" style="95"/>
    <col min="8964" max="8964" width="4.5" style="95" customWidth="1"/>
    <col min="8965" max="8965" width="10.83203125" style="95"/>
    <col min="8966" max="8966" width="4.6640625" style="95" customWidth="1"/>
    <col min="8967" max="9216" width="10.83203125" style="95"/>
    <col min="9217" max="9217" width="49.1640625" style="95" customWidth="1"/>
    <col min="9218" max="9218" width="3" style="95" customWidth="1"/>
    <col min="9219" max="9219" width="10.83203125" style="95"/>
    <col min="9220" max="9220" width="4.5" style="95" customWidth="1"/>
    <col min="9221" max="9221" width="10.83203125" style="95"/>
    <col min="9222" max="9222" width="4.6640625" style="95" customWidth="1"/>
    <col min="9223" max="9472" width="10.83203125" style="95"/>
    <col min="9473" max="9473" width="49.1640625" style="95" customWidth="1"/>
    <col min="9474" max="9474" width="3" style="95" customWidth="1"/>
    <col min="9475" max="9475" width="10.83203125" style="95"/>
    <col min="9476" max="9476" width="4.5" style="95" customWidth="1"/>
    <col min="9477" max="9477" width="10.83203125" style="95"/>
    <col min="9478" max="9478" width="4.6640625" style="95" customWidth="1"/>
    <col min="9479" max="9728" width="10.83203125" style="95"/>
    <col min="9729" max="9729" width="49.1640625" style="95" customWidth="1"/>
    <col min="9730" max="9730" width="3" style="95" customWidth="1"/>
    <col min="9731" max="9731" width="10.83203125" style="95"/>
    <col min="9732" max="9732" width="4.5" style="95" customWidth="1"/>
    <col min="9733" max="9733" width="10.83203125" style="95"/>
    <col min="9734" max="9734" width="4.6640625" style="95" customWidth="1"/>
    <col min="9735" max="9984" width="10.83203125" style="95"/>
    <col min="9985" max="9985" width="49.1640625" style="95" customWidth="1"/>
    <col min="9986" max="9986" width="3" style="95" customWidth="1"/>
    <col min="9987" max="9987" width="10.83203125" style="95"/>
    <col min="9988" max="9988" width="4.5" style="95" customWidth="1"/>
    <col min="9989" max="9989" width="10.83203125" style="95"/>
    <col min="9990" max="9990" width="4.6640625" style="95" customWidth="1"/>
    <col min="9991" max="10240" width="10.83203125" style="95"/>
    <col min="10241" max="10241" width="49.1640625" style="95" customWidth="1"/>
    <col min="10242" max="10242" width="3" style="95" customWidth="1"/>
    <col min="10243" max="10243" width="10.83203125" style="95"/>
    <col min="10244" max="10244" width="4.5" style="95" customWidth="1"/>
    <col min="10245" max="10245" width="10.83203125" style="95"/>
    <col min="10246" max="10246" width="4.6640625" style="95" customWidth="1"/>
    <col min="10247" max="10496" width="10.83203125" style="95"/>
    <col min="10497" max="10497" width="49.1640625" style="95" customWidth="1"/>
    <col min="10498" max="10498" width="3" style="95" customWidth="1"/>
    <col min="10499" max="10499" width="10.83203125" style="95"/>
    <col min="10500" max="10500" width="4.5" style="95" customWidth="1"/>
    <col min="10501" max="10501" width="10.83203125" style="95"/>
    <col min="10502" max="10502" width="4.6640625" style="95" customWidth="1"/>
    <col min="10503" max="10752" width="10.83203125" style="95"/>
    <col min="10753" max="10753" width="49.1640625" style="95" customWidth="1"/>
    <col min="10754" max="10754" width="3" style="95" customWidth="1"/>
    <col min="10755" max="10755" width="10.83203125" style="95"/>
    <col min="10756" max="10756" width="4.5" style="95" customWidth="1"/>
    <col min="10757" max="10757" width="10.83203125" style="95"/>
    <col min="10758" max="10758" width="4.6640625" style="95" customWidth="1"/>
    <col min="10759" max="11008" width="10.83203125" style="95"/>
    <col min="11009" max="11009" width="49.1640625" style="95" customWidth="1"/>
    <col min="11010" max="11010" width="3" style="95" customWidth="1"/>
    <col min="11011" max="11011" width="10.83203125" style="95"/>
    <col min="11012" max="11012" width="4.5" style="95" customWidth="1"/>
    <col min="11013" max="11013" width="10.83203125" style="95"/>
    <col min="11014" max="11014" width="4.6640625" style="95" customWidth="1"/>
    <col min="11015" max="11264" width="10.83203125" style="95"/>
    <col min="11265" max="11265" width="49.1640625" style="95" customWidth="1"/>
    <col min="11266" max="11266" width="3" style="95" customWidth="1"/>
    <col min="11267" max="11267" width="10.83203125" style="95"/>
    <col min="11268" max="11268" width="4.5" style="95" customWidth="1"/>
    <col min="11269" max="11269" width="10.83203125" style="95"/>
    <col min="11270" max="11270" width="4.6640625" style="95" customWidth="1"/>
    <col min="11271" max="11520" width="10.83203125" style="95"/>
    <col min="11521" max="11521" width="49.1640625" style="95" customWidth="1"/>
    <col min="11522" max="11522" width="3" style="95" customWidth="1"/>
    <col min="11523" max="11523" width="10.83203125" style="95"/>
    <col min="11524" max="11524" width="4.5" style="95" customWidth="1"/>
    <col min="11525" max="11525" width="10.83203125" style="95"/>
    <col min="11526" max="11526" width="4.6640625" style="95" customWidth="1"/>
    <col min="11527" max="11776" width="10.83203125" style="95"/>
    <col min="11777" max="11777" width="49.1640625" style="95" customWidth="1"/>
    <col min="11778" max="11778" width="3" style="95" customWidth="1"/>
    <col min="11779" max="11779" width="10.83203125" style="95"/>
    <col min="11780" max="11780" width="4.5" style="95" customWidth="1"/>
    <col min="11781" max="11781" width="10.83203125" style="95"/>
    <col min="11782" max="11782" width="4.6640625" style="95" customWidth="1"/>
    <col min="11783" max="12032" width="10.83203125" style="95"/>
    <col min="12033" max="12033" width="49.1640625" style="95" customWidth="1"/>
    <col min="12034" max="12034" width="3" style="95" customWidth="1"/>
    <col min="12035" max="12035" width="10.83203125" style="95"/>
    <col min="12036" max="12036" width="4.5" style="95" customWidth="1"/>
    <col min="12037" max="12037" width="10.83203125" style="95"/>
    <col min="12038" max="12038" width="4.6640625" style="95" customWidth="1"/>
    <col min="12039" max="12288" width="10.83203125" style="95"/>
    <col min="12289" max="12289" width="49.1640625" style="95" customWidth="1"/>
    <col min="12290" max="12290" width="3" style="95" customWidth="1"/>
    <col min="12291" max="12291" width="10.83203125" style="95"/>
    <col min="12292" max="12292" width="4.5" style="95" customWidth="1"/>
    <col min="12293" max="12293" width="10.83203125" style="95"/>
    <col min="12294" max="12294" width="4.6640625" style="95" customWidth="1"/>
    <col min="12295" max="12544" width="10.83203125" style="95"/>
    <col min="12545" max="12545" width="49.1640625" style="95" customWidth="1"/>
    <col min="12546" max="12546" width="3" style="95" customWidth="1"/>
    <col min="12547" max="12547" width="10.83203125" style="95"/>
    <col min="12548" max="12548" width="4.5" style="95" customWidth="1"/>
    <col min="12549" max="12549" width="10.83203125" style="95"/>
    <col min="12550" max="12550" width="4.6640625" style="95" customWidth="1"/>
    <col min="12551" max="12800" width="10.83203125" style="95"/>
    <col min="12801" max="12801" width="49.1640625" style="95" customWidth="1"/>
    <col min="12802" max="12802" width="3" style="95" customWidth="1"/>
    <col min="12803" max="12803" width="10.83203125" style="95"/>
    <col min="12804" max="12804" width="4.5" style="95" customWidth="1"/>
    <col min="12805" max="12805" width="10.83203125" style="95"/>
    <col min="12806" max="12806" width="4.6640625" style="95" customWidth="1"/>
    <col min="12807" max="13056" width="10.83203125" style="95"/>
    <col min="13057" max="13057" width="49.1640625" style="95" customWidth="1"/>
    <col min="13058" max="13058" width="3" style="95" customWidth="1"/>
    <col min="13059" max="13059" width="10.83203125" style="95"/>
    <col min="13060" max="13060" width="4.5" style="95" customWidth="1"/>
    <col min="13061" max="13061" width="10.83203125" style="95"/>
    <col min="13062" max="13062" width="4.6640625" style="95" customWidth="1"/>
    <col min="13063" max="13312" width="10.83203125" style="95"/>
    <col min="13313" max="13313" width="49.1640625" style="95" customWidth="1"/>
    <col min="13314" max="13314" width="3" style="95" customWidth="1"/>
    <col min="13315" max="13315" width="10.83203125" style="95"/>
    <col min="13316" max="13316" width="4.5" style="95" customWidth="1"/>
    <col min="13317" max="13317" width="10.83203125" style="95"/>
    <col min="13318" max="13318" width="4.6640625" style="95" customWidth="1"/>
    <col min="13319" max="13568" width="10.83203125" style="95"/>
    <col min="13569" max="13569" width="49.1640625" style="95" customWidth="1"/>
    <col min="13570" max="13570" width="3" style="95" customWidth="1"/>
    <col min="13571" max="13571" width="10.83203125" style="95"/>
    <col min="13572" max="13572" width="4.5" style="95" customWidth="1"/>
    <col min="13573" max="13573" width="10.83203125" style="95"/>
    <col min="13574" max="13574" width="4.6640625" style="95" customWidth="1"/>
    <col min="13575" max="13824" width="10.83203125" style="95"/>
    <col min="13825" max="13825" width="49.1640625" style="95" customWidth="1"/>
    <col min="13826" max="13826" width="3" style="95" customWidth="1"/>
    <col min="13827" max="13827" width="10.83203125" style="95"/>
    <col min="13828" max="13828" width="4.5" style="95" customWidth="1"/>
    <col min="13829" max="13829" width="10.83203125" style="95"/>
    <col min="13830" max="13830" width="4.6640625" style="95" customWidth="1"/>
    <col min="13831" max="14080" width="10.83203125" style="95"/>
    <col min="14081" max="14081" width="49.1640625" style="95" customWidth="1"/>
    <col min="14082" max="14082" width="3" style="95" customWidth="1"/>
    <col min="14083" max="14083" width="10.83203125" style="95"/>
    <col min="14084" max="14084" width="4.5" style="95" customWidth="1"/>
    <col min="14085" max="14085" width="10.83203125" style="95"/>
    <col min="14086" max="14086" width="4.6640625" style="95" customWidth="1"/>
    <col min="14087" max="14336" width="10.83203125" style="95"/>
    <col min="14337" max="14337" width="49.1640625" style="95" customWidth="1"/>
    <col min="14338" max="14338" width="3" style="95" customWidth="1"/>
    <col min="14339" max="14339" width="10.83203125" style="95"/>
    <col min="14340" max="14340" width="4.5" style="95" customWidth="1"/>
    <col min="14341" max="14341" width="10.83203125" style="95"/>
    <col min="14342" max="14342" width="4.6640625" style="95" customWidth="1"/>
    <col min="14343" max="14592" width="10.83203125" style="95"/>
    <col min="14593" max="14593" width="49.1640625" style="95" customWidth="1"/>
    <col min="14594" max="14594" width="3" style="95" customWidth="1"/>
    <col min="14595" max="14595" width="10.83203125" style="95"/>
    <col min="14596" max="14596" width="4.5" style="95" customWidth="1"/>
    <col min="14597" max="14597" width="10.83203125" style="95"/>
    <col min="14598" max="14598" width="4.6640625" style="95" customWidth="1"/>
    <col min="14599" max="14848" width="10.83203125" style="95"/>
    <col min="14849" max="14849" width="49.1640625" style="95" customWidth="1"/>
    <col min="14850" max="14850" width="3" style="95" customWidth="1"/>
    <col min="14851" max="14851" width="10.83203125" style="95"/>
    <col min="14852" max="14852" width="4.5" style="95" customWidth="1"/>
    <col min="14853" max="14853" width="10.83203125" style="95"/>
    <col min="14854" max="14854" width="4.6640625" style="95" customWidth="1"/>
    <col min="14855" max="15104" width="10.83203125" style="95"/>
    <col min="15105" max="15105" width="49.1640625" style="95" customWidth="1"/>
    <col min="15106" max="15106" width="3" style="95" customWidth="1"/>
    <col min="15107" max="15107" width="10.83203125" style="95"/>
    <col min="15108" max="15108" width="4.5" style="95" customWidth="1"/>
    <col min="15109" max="15109" width="10.83203125" style="95"/>
    <col min="15110" max="15110" width="4.6640625" style="95" customWidth="1"/>
    <col min="15111" max="15360" width="10.83203125" style="95"/>
    <col min="15361" max="15361" width="49.1640625" style="95" customWidth="1"/>
    <col min="15362" max="15362" width="3" style="95" customWidth="1"/>
    <col min="15363" max="15363" width="10.83203125" style="95"/>
    <col min="15364" max="15364" width="4.5" style="95" customWidth="1"/>
    <col min="15365" max="15365" width="10.83203125" style="95"/>
    <col min="15366" max="15366" width="4.6640625" style="95" customWidth="1"/>
    <col min="15367" max="15616" width="10.83203125" style="95"/>
    <col min="15617" max="15617" width="49.1640625" style="95" customWidth="1"/>
    <col min="15618" max="15618" width="3" style="95" customWidth="1"/>
    <col min="15619" max="15619" width="10.83203125" style="95"/>
    <col min="15620" max="15620" width="4.5" style="95" customWidth="1"/>
    <col min="15621" max="15621" width="10.83203125" style="95"/>
    <col min="15622" max="15622" width="4.6640625" style="95" customWidth="1"/>
    <col min="15623" max="15872" width="10.83203125" style="95"/>
    <col min="15873" max="15873" width="49.1640625" style="95" customWidth="1"/>
    <col min="15874" max="15874" width="3" style="95" customWidth="1"/>
    <col min="15875" max="15875" width="10.83203125" style="95"/>
    <col min="15876" max="15876" width="4.5" style="95" customWidth="1"/>
    <col min="15877" max="15877" width="10.83203125" style="95"/>
    <col min="15878" max="15878" width="4.6640625" style="95" customWidth="1"/>
    <col min="15879" max="16128" width="10.83203125" style="95"/>
    <col min="16129" max="16129" width="49.1640625" style="95" customWidth="1"/>
    <col min="16130" max="16130" width="3" style="95" customWidth="1"/>
    <col min="16131" max="16131" width="10.83203125" style="95"/>
    <col min="16132" max="16132" width="4.5" style="95" customWidth="1"/>
    <col min="16133" max="16133" width="10.83203125" style="95"/>
    <col min="16134" max="16134" width="4.6640625" style="95" customWidth="1"/>
    <col min="16135" max="16384" width="10.83203125" style="95"/>
  </cols>
  <sheetData>
    <row r="1" spans="1:11">
      <c r="A1" s="95" t="s">
        <v>521</v>
      </c>
    </row>
    <row r="2" spans="1:11">
      <c r="A2" s="95" t="s">
        <v>454</v>
      </c>
    </row>
    <row r="3" spans="1:11" ht="8.25" customHeight="1"/>
    <row r="4" spans="1:11">
      <c r="A4" s="33" t="s">
        <v>2200</v>
      </c>
    </row>
    <row r="5" spans="1:11">
      <c r="A5" s="33" t="s">
        <v>2201</v>
      </c>
    </row>
    <row r="6" spans="1:11" ht="6.75" customHeight="1" thickBot="1">
      <c r="F6" s="102"/>
    </row>
    <row r="7" spans="1:11" ht="9.75" customHeight="1">
      <c r="A7" s="188"/>
      <c r="B7" s="188"/>
      <c r="C7" s="188"/>
      <c r="D7" s="188"/>
      <c r="E7" s="187"/>
    </row>
    <row r="8" spans="1:11">
      <c r="A8" s="57"/>
      <c r="B8" s="57"/>
      <c r="C8" s="1056" t="s">
        <v>1648</v>
      </c>
      <c r="D8" s="1056"/>
      <c r="E8" s="1056"/>
    </row>
    <row r="9" spans="1:11">
      <c r="A9" s="33" t="s">
        <v>1715</v>
      </c>
      <c r="B9" s="33"/>
      <c r="C9" s="1020" t="s">
        <v>1716</v>
      </c>
      <c r="D9" s="1020"/>
      <c r="E9" s="1020"/>
    </row>
    <row r="10" spans="1:11">
      <c r="A10" s="33"/>
      <c r="B10" s="33"/>
      <c r="C10" s="682" t="s">
        <v>1651</v>
      </c>
      <c r="D10" s="686"/>
      <c r="E10" s="683" t="s">
        <v>1652</v>
      </c>
    </row>
    <row r="11" spans="1:11" ht="9" customHeight="1" thickBot="1">
      <c r="A11" s="199"/>
      <c r="B11" s="199"/>
      <c r="C11" s="199"/>
      <c r="D11" s="199"/>
      <c r="E11" s="198"/>
      <c r="F11" s="102"/>
    </row>
    <row r="12" spans="1:11" ht="10.5" customHeight="1"/>
    <row r="13" spans="1:11">
      <c r="A13" s="55" t="s">
        <v>148</v>
      </c>
      <c r="C13" s="687">
        <f>SUM(C15+C21+C28)</f>
        <v>9265</v>
      </c>
      <c r="D13" s="687"/>
      <c r="E13" s="688">
        <f>SUM(E15+E21+E28)</f>
        <v>100.00000000000001</v>
      </c>
      <c r="G13" s="689"/>
      <c r="H13" s="697"/>
      <c r="I13" s="690"/>
      <c r="J13" s="689"/>
      <c r="K13" s="688"/>
    </row>
    <row r="14" spans="1:11" ht="10" customHeight="1">
      <c r="C14" s="175"/>
      <c r="D14" s="104"/>
      <c r="E14" s="104"/>
      <c r="G14" s="697"/>
      <c r="H14" s="697"/>
      <c r="I14" s="692"/>
      <c r="J14" s="697"/>
      <c r="K14" s="701"/>
    </row>
    <row r="15" spans="1:11">
      <c r="A15" s="691" t="s">
        <v>1718</v>
      </c>
      <c r="B15" s="420"/>
      <c r="C15" s="693">
        <f>SUM(C16:C19)</f>
        <v>6277</v>
      </c>
      <c r="D15" s="420"/>
      <c r="E15" s="702">
        <f>IF(A15&lt;&gt;0,C15/$C$13*100,"")</f>
        <v>67.749595250944424</v>
      </c>
      <c r="F15" s="697"/>
      <c r="G15" s="689"/>
      <c r="H15" s="697"/>
      <c r="I15" s="692"/>
      <c r="J15" s="697"/>
      <c r="K15" s="701"/>
    </row>
    <row r="16" spans="1:11" ht="15">
      <c r="A16" s="420" t="s">
        <v>1719</v>
      </c>
      <c r="B16" s="420"/>
      <c r="C16" s="693">
        <v>2007</v>
      </c>
      <c r="D16" s="420"/>
      <c r="E16" s="702">
        <f>IF(A16&lt;&gt;0,C16/$C$13*100,"")</f>
        <v>21.662169454937938</v>
      </c>
      <c r="F16" s="697"/>
      <c r="G16" s="697"/>
      <c r="H16" s="697"/>
      <c r="I16" s="694"/>
      <c r="J16" s="697"/>
      <c r="K16" s="701"/>
    </row>
    <row r="17" spans="1:11">
      <c r="A17" s="420" t="s">
        <v>1720</v>
      </c>
      <c r="B17" s="420"/>
      <c r="C17" s="693">
        <v>1920</v>
      </c>
      <c r="D17" s="420"/>
      <c r="E17" s="702">
        <f>IF(A17&lt;&gt;0,C17/$C$13*100,"")</f>
        <v>20.723151645979492</v>
      </c>
      <c r="F17" s="697"/>
      <c r="G17" s="697"/>
      <c r="H17" s="697"/>
      <c r="I17" s="694"/>
      <c r="J17" s="697"/>
      <c r="K17" s="701"/>
    </row>
    <row r="18" spans="1:11">
      <c r="A18" s="420" t="s">
        <v>1721</v>
      </c>
      <c r="B18" s="420"/>
      <c r="C18" s="693">
        <v>2300</v>
      </c>
      <c r="D18" s="420"/>
      <c r="E18" s="702">
        <f>IF(A18&lt;&gt;0,C18/$C$13*100,"")</f>
        <v>24.824608742579603</v>
      </c>
      <c r="F18" s="697"/>
      <c r="G18" s="697"/>
      <c r="H18" s="697"/>
      <c r="I18" s="694"/>
      <c r="J18" s="697"/>
      <c r="K18" s="701"/>
    </row>
    <row r="19" spans="1:11" ht="14">
      <c r="A19" s="695" t="s">
        <v>2202</v>
      </c>
      <c r="B19" s="420"/>
      <c r="C19" s="693">
        <v>50</v>
      </c>
      <c r="D19" s="420"/>
      <c r="E19" s="702">
        <f>IF(A19&lt;&gt;0,C19/$C$13*100,"")</f>
        <v>0.53966540744738267</v>
      </c>
      <c r="F19" s="697"/>
      <c r="G19" s="697"/>
      <c r="H19" s="697"/>
      <c r="I19" s="694"/>
      <c r="J19" s="697"/>
      <c r="K19" s="701"/>
    </row>
    <row r="20" spans="1:11" ht="10" customHeight="1">
      <c r="A20" s="420"/>
      <c r="B20" s="420"/>
      <c r="C20" s="693"/>
      <c r="D20" s="420"/>
      <c r="E20" s="702" t="str">
        <f t="shared" ref="E20:E34" si="0">IF(A20&lt;&gt;0,C20/$C$13*100,"")</f>
        <v/>
      </c>
      <c r="F20" s="697"/>
      <c r="G20" s="697"/>
      <c r="H20" s="697"/>
      <c r="I20" s="694"/>
      <c r="J20" s="697"/>
      <c r="K20" s="701"/>
    </row>
    <row r="21" spans="1:11">
      <c r="A21" s="691" t="s">
        <v>1722</v>
      </c>
      <c r="B21" s="420"/>
      <c r="C21" s="696">
        <f>SUM(C22:C26)</f>
        <v>1100</v>
      </c>
      <c r="D21" s="691"/>
      <c r="E21" s="702">
        <f t="shared" si="0"/>
        <v>11.872638963842418</v>
      </c>
      <c r="F21" s="697"/>
      <c r="G21" s="689"/>
      <c r="H21" s="697"/>
      <c r="I21" s="694"/>
      <c r="J21" s="697"/>
      <c r="K21" s="701"/>
    </row>
    <row r="22" spans="1:11" ht="15">
      <c r="A22" s="420" t="s">
        <v>1723</v>
      </c>
      <c r="B22" s="420"/>
      <c r="C22" s="693">
        <v>400</v>
      </c>
      <c r="D22" s="420"/>
      <c r="E22" s="702">
        <f t="shared" si="0"/>
        <v>4.3173232595790614</v>
      </c>
      <c r="F22" s="697"/>
      <c r="G22" s="689"/>
      <c r="H22" s="697"/>
      <c r="I22" s="694"/>
      <c r="J22" s="697"/>
      <c r="K22" s="701"/>
    </row>
    <row r="23" spans="1:11" ht="30.5" customHeight="1">
      <c r="A23" s="695" t="s">
        <v>2203</v>
      </c>
      <c r="B23" s="420"/>
      <c r="C23" s="693">
        <v>226</v>
      </c>
      <c r="D23" s="420"/>
      <c r="E23" s="702">
        <f t="shared" si="0"/>
        <v>2.4392876416621694</v>
      </c>
      <c r="F23" s="697"/>
      <c r="G23" s="689"/>
      <c r="H23" s="697"/>
      <c r="I23" s="694"/>
      <c r="J23" s="697"/>
      <c r="K23" s="701"/>
    </row>
    <row r="24" spans="1:11" ht="42">
      <c r="A24" s="695" t="s">
        <v>2204</v>
      </c>
      <c r="B24" s="420"/>
      <c r="C24" s="693">
        <v>249</v>
      </c>
      <c r="D24" s="420"/>
      <c r="E24" s="702">
        <f t="shared" si="0"/>
        <v>2.6875337290879657</v>
      </c>
      <c r="F24" s="697"/>
      <c r="G24" s="689"/>
      <c r="H24" s="697"/>
      <c r="I24" s="694"/>
      <c r="J24" s="697"/>
      <c r="K24" s="701"/>
    </row>
    <row r="25" spans="1:11" ht="14">
      <c r="A25" s="695" t="s">
        <v>1724</v>
      </c>
      <c r="B25" s="420"/>
      <c r="C25" s="703"/>
      <c r="D25" s="420"/>
      <c r="E25" s="702">
        <f t="shared" si="0"/>
        <v>0</v>
      </c>
      <c r="F25" s="697"/>
      <c r="G25" s="689"/>
      <c r="H25" s="697"/>
      <c r="I25" s="694"/>
      <c r="J25" s="697"/>
      <c r="K25" s="701"/>
    </row>
    <row r="26" spans="1:11" ht="28">
      <c r="A26" s="695" t="s">
        <v>2205</v>
      </c>
      <c r="B26" s="697"/>
      <c r="C26" s="694">
        <v>225</v>
      </c>
      <c r="D26" s="697"/>
      <c r="E26" s="702">
        <f t="shared" si="0"/>
        <v>2.4284943335132216</v>
      </c>
      <c r="F26" s="697"/>
      <c r="G26" s="697"/>
      <c r="H26" s="697"/>
      <c r="I26" s="694"/>
      <c r="J26" s="697"/>
      <c r="K26" s="701"/>
    </row>
    <row r="27" spans="1:11" ht="10" customHeight="1">
      <c r="A27" s="420"/>
      <c r="B27" s="697"/>
      <c r="C27" s="694"/>
      <c r="D27" s="697"/>
      <c r="E27" s="702" t="str">
        <f t="shared" si="0"/>
        <v/>
      </c>
      <c r="F27" s="697"/>
      <c r="G27" s="697"/>
      <c r="H27" s="697"/>
      <c r="I27" s="692"/>
      <c r="J27" s="697"/>
      <c r="K27" s="701"/>
    </row>
    <row r="28" spans="1:11" ht="15">
      <c r="A28" s="691" t="s">
        <v>1725</v>
      </c>
      <c r="B28" s="420"/>
      <c r="C28" s="696">
        <f>SUM(C29:C37)</f>
        <v>1888</v>
      </c>
      <c r="D28" s="691"/>
      <c r="E28" s="702">
        <f t="shared" si="0"/>
        <v>20.377765785213168</v>
      </c>
      <c r="F28" s="420"/>
      <c r="G28" s="689"/>
      <c r="H28" s="697"/>
      <c r="I28" s="698"/>
      <c r="J28" s="697"/>
      <c r="K28" s="701"/>
    </row>
    <row r="29" spans="1:11" ht="14.25" customHeight="1">
      <c r="A29" s="420" t="s">
        <v>1726</v>
      </c>
      <c r="B29" s="420"/>
      <c r="C29" s="693">
        <v>365</v>
      </c>
      <c r="D29" s="691"/>
      <c r="E29" s="702">
        <f t="shared" si="0"/>
        <v>3.939557474365893</v>
      </c>
      <c r="F29" s="420"/>
      <c r="G29" s="689"/>
      <c r="H29" s="697"/>
      <c r="I29" s="698"/>
      <c r="J29" s="697"/>
      <c r="K29" s="701"/>
    </row>
    <row r="30" spans="1:11" ht="26.5" customHeight="1">
      <c r="A30" s="1001" t="s">
        <v>2206</v>
      </c>
      <c r="B30" s="420"/>
      <c r="C30" s="693">
        <v>1228</v>
      </c>
      <c r="D30" s="691"/>
      <c r="E30" s="702">
        <f t="shared" si="0"/>
        <v>13.254182406907717</v>
      </c>
      <c r="F30" s="420"/>
      <c r="G30" s="689"/>
      <c r="H30" s="697"/>
      <c r="I30" s="698"/>
      <c r="J30" s="697"/>
      <c r="K30" s="701"/>
    </row>
    <row r="31" spans="1:11" ht="15.5" customHeight="1">
      <c r="A31" s="1001" t="s">
        <v>2207</v>
      </c>
      <c r="B31" s="420"/>
      <c r="C31" s="693">
        <v>17</v>
      </c>
      <c r="D31" s="691"/>
      <c r="E31" s="702">
        <f t="shared" si="0"/>
        <v>0.1834862385321101</v>
      </c>
      <c r="F31" s="420"/>
      <c r="G31" s="689"/>
      <c r="H31" s="697"/>
      <c r="I31" s="698"/>
      <c r="J31" s="697"/>
      <c r="K31" s="701"/>
    </row>
    <row r="32" spans="1:11" ht="14.25" customHeight="1">
      <c r="A32" s="420" t="s">
        <v>2208</v>
      </c>
      <c r="B32" s="420"/>
      <c r="C32" s="693">
        <v>103</v>
      </c>
      <c r="D32" s="691"/>
      <c r="E32" s="702">
        <f t="shared" si="0"/>
        <v>1.1117107393416081</v>
      </c>
      <c r="F32" s="420"/>
      <c r="G32" s="689"/>
      <c r="H32" s="697"/>
      <c r="I32" s="698"/>
      <c r="J32" s="697"/>
      <c r="K32" s="701"/>
    </row>
    <row r="33" spans="1:11" ht="15" customHeight="1">
      <c r="A33" s="695" t="s">
        <v>1727</v>
      </c>
      <c r="B33" s="420"/>
      <c r="C33" s="693">
        <v>12</v>
      </c>
      <c r="D33" s="691"/>
      <c r="E33" s="702">
        <f t="shared" si="0"/>
        <v>0.12951969778737185</v>
      </c>
      <c r="F33" s="420"/>
      <c r="G33" s="689"/>
      <c r="H33" s="697"/>
      <c r="I33" s="698"/>
      <c r="J33" s="697"/>
      <c r="K33" s="701"/>
    </row>
    <row r="34" spans="1:11" ht="14">
      <c r="A34" s="699" t="s">
        <v>1728</v>
      </c>
      <c r="B34" s="420"/>
      <c r="C34" s="693">
        <v>3</v>
      </c>
      <c r="D34" s="691"/>
      <c r="E34" s="702">
        <f t="shared" si="0"/>
        <v>3.2379924446842963E-2</v>
      </c>
      <c r="F34" s="420"/>
      <c r="G34" s="689"/>
      <c r="H34" s="697"/>
      <c r="I34" s="698"/>
      <c r="J34" s="697"/>
      <c r="K34" s="701"/>
    </row>
    <row r="35" spans="1:11" ht="14">
      <c r="A35" s="699" t="s">
        <v>1729</v>
      </c>
      <c r="B35" s="420"/>
      <c r="C35" s="693">
        <v>25</v>
      </c>
      <c r="D35" s="691"/>
      <c r="E35" s="701">
        <f>IF(A35&lt;&gt;0,C35/$C$13*100,"")</f>
        <v>0.26983270372369134</v>
      </c>
      <c r="F35" s="420"/>
      <c r="G35" s="689"/>
      <c r="H35" s="697"/>
      <c r="I35" s="698"/>
      <c r="J35" s="697"/>
      <c r="K35" s="701"/>
    </row>
    <row r="36" spans="1:11">
      <c r="A36" s="420" t="s">
        <v>2209</v>
      </c>
      <c r="B36" s="420"/>
      <c r="C36" s="693">
        <v>125</v>
      </c>
      <c r="D36" s="691"/>
      <c r="E36" s="701"/>
      <c r="F36" s="420"/>
      <c r="G36" s="689"/>
      <c r="H36" s="697"/>
      <c r="I36" s="698"/>
      <c r="J36" s="697"/>
      <c r="K36" s="701"/>
    </row>
    <row r="37" spans="1:11" ht="14.25" customHeight="1">
      <c r="A37" s="699" t="s">
        <v>1730</v>
      </c>
      <c r="B37" s="420"/>
      <c r="C37" s="693">
        <v>10</v>
      </c>
      <c r="D37" s="691"/>
      <c r="E37" s="701">
        <f>IF(A37&lt;&gt;0,C37/$C$13*100,"")</f>
        <v>0.10793308148947653</v>
      </c>
      <c r="F37" s="420"/>
      <c r="G37" s="689"/>
      <c r="H37" s="697"/>
      <c r="I37" s="698"/>
      <c r="J37" s="697"/>
      <c r="K37" s="701"/>
    </row>
    <row r="38" spans="1:11" s="111" customFormat="1" ht="10" customHeight="1" thickBot="1">
      <c r="A38" s="700"/>
      <c r="B38" s="700"/>
      <c r="C38" s="700"/>
      <c r="D38" s="700"/>
      <c r="E38" s="700"/>
      <c r="F38" s="704"/>
    </row>
    <row r="39" spans="1:11" ht="10" customHeight="1">
      <c r="A39" s="697"/>
      <c r="B39" s="697"/>
      <c r="C39" s="697"/>
      <c r="D39" s="697"/>
      <c r="E39" s="697"/>
      <c r="F39" s="697"/>
      <c r="G39" s="697"/>
      <c r="H39" s="697"/>
      <c r="I39" s="697"/>
    </row>
    <row r="40" spans="1:11" ht="15">
      <c r="A40" s="420" t="s">
        <v>1731</v>
      </c>
      <c r="B40" s="697"/>
      <c r="C40" s="697"/>
      <c r="D40" s="697"/>
      <c r="E40" s="697"/>
      <c r="F40" s="697"/>
      <c r="G40" s="697"/>
      <c r="H40" s="697"/>
      <c r="I40" s="697"/>
    </row>
    <row r="41" spans="1:11">
      <c r="A41" s="420" t="s">
        <v>1732</v>
      </c>
      <c r="B41" s="697"/>
      <c r="C41" s="697"/>
      <c r="D41" s="697"/>
      <c r="E41" s="697"/>
      <c r="F41" s="697"/>
      <c r="G41" s="697"/>
      <c r="H41" s="697"/>
      <c r="I41" s="697"/>
    </row>
    <row r="42" spans="1:11">
      <c r="A42" s="420" t="s">
        <v>1733</v>
      </c>
      <c r="B42" s="697"/>
      <c r="C42" s="697"/>
      <c r="D42" s="697"/>
      <c r="E42" s="697"/>
      <c r="F42" s="697"/>
      <c r="G42" s="697"/>
      <c r="H42" s="697"/>
      <c r="I42" s="697"/>
    </row>
    <row r="43" spans="1:11" ht="15">
      <c r="A43" s="420" t="s">
        <v>1734</v>
      </c>
      <c r="B43" s="697"/>
      <c r="C43" s="697"/>
      <c r="D43" s="697"/>
      <c r="E43" s="697"/>
      <c r="F43" s="697"/>
      <c r="G43" s="697"/>
      <c r="H43" s="697"/>
      <c r="I43" s="697"/>
    </row>
    <row r="44" spans="1:11">
      <c r="A44" s="420" t="s">
        <v>2210</v>
      </c>
      <c r="B44" s="697"/>
      <c r="C44" s="697"/>
      <c r="D44" s="697"/>
      <c r="E44" s="697"/>
      <c r="F44" s="697"/>
      <c r="G44" s="697"/>
      <c r="H44" s="697"/>
      <c r="I44" s="697"/>
    </row>
    <row r="45" spans="1:11" ht="15">
      <c r="A45" s="420" t="s">
        <v>1735</v>
      </c>
      <c r="B45" s="697"/>
      <c r="C45" s="697"/>
      <c r="D45" s="697"/>
      <c r="E45" s="697"/>
      <c r="F45" s="697"/>
      <c r="G45" s="697"/>
      <c r="H45" s="697"/>
      <c r="I45" s="697"/>
    </row>
    <row r="46" spans="1:11">
      <c r="A46" s="420" t="s">
        <v>1736</v>
      </c>
      <c r="B46" s="697"/>
      <c r="C46" s="697"/>
      <c r="D46" s="697"/>
      <c r="E46" s="697"/>
      <c r="F46" s="697"/>
      <c r="G46" s="697"/>
      <c r="H46" s="697"/>
      <c r="I46" s="697"/>
    </row>
    <row r="47" spans="1:11" ht="9" customHeight="1">
      <c r="A47" s="420"/>
      <c r="B47" s="697"/>
      <c r="C47" s="697"/>
      <c r="D47" s="697"/>
      <c r="E47" s="697"/>
      <c r="F47" s="697"/>
      <c r="G47" s="697"/>
      <c r="H47" s="697"/>
      <c r="I47" s="697"/>
    </row>
    <row r="48" spans="1:11">
      <c r="A48" s="33" t="s">
        <v>1737</v>
      </c>
    </row>
    <row r="49" spans="1:1">
      <c r="A49" s="33" t="s">
        <v>452</v>
      </c>
    </row>
    <row r="53" spans="1:1">
      <c r="A53" s="420"/>
    </row>
    <row r="54" spans="1:1">
      <c r="A54" s="420"/>
    </row>
  </sheetData>
  <mergeCells count="2">
    <mergeCell ref="C8:E8"/>
    <mergeCell ref="C9:E9"/>
  </mergeCells>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5" tint="-0.249977111117893"/>
  </sheetPr>
  <dimension ref="A1:K39"/>
  <sheetViews>
    <sheetView workbookViewId="0"/>
  </sheetViews>
  <sheetFormatPr baseColWidth="10" defaultRowHeight="15"/>
  <sheetData>
    <row r="1" spans="1:11" ht="12.75" customHeight="1">
      <c r="A1" s="33"/>
      <c r="B1" s="33"/>
      <c r="C1" s="33"/>
    </row>
    <row r="2" spans="1:11" ht="12.75" customHeight="1">
      <c r="A2" s="28"/>
      <c r="B2" s="28"/>
      <c r="C2" s="28"/>
      <c r="J2" s="29"/>
    </row>
    <row r="3" spans="1:11" ht="12.75" customHeight="1">
      <c r="H3" s="30"/>
    </row>
    <row r="4" spans="1:11" ht="12.75" customHeight="1">
      <c r="A4" s="705"/>
      <c r="B4" s="705"/>
      <c r="C4" s="705"/>
      <c r="H4" s="31"/>
      <c r="K4" s="32"/>
    </row>
    <row r="5" spans="1:11">
      <c r="A5" s="706"/>
      <c r="B5" s="707"/>
      <c r="C5" s="638"/>
    </row>
    <row r="6" spans="1:11">
      <c r="A6" s="638"/>
      <c r="B6" s="638"/>
      <c r="C6" s="638"/>
    </row>
    <row r="7" spans="1:11">
      <c r="A7" s="638"/>
      <c r="B7" s="546"/>
      <c r="C7" s="638"/>
    </row>
    <row r="8" spans="1:11">
      <c r="A8" s="638"/>
      <c r="B8" s="546"/>
      <c r="C8" s="638"/>
    </row>
    <row r="9" spans="1:11">
      <c r="A9" s="546"/>
      <c r="B9" s="546"/>
      <c r="C9" s="546"/>
      <c r="D9" s="28"/>
    </row>
    <row r="10" spans="1:11">
      <c r="B10" s="28"/>
    </row>
    <row r="13" spans="1:11">
      <c r="A13" s="33"/>
    </row>
    <row r="14" spans="1:11">
      <c r="A14" s="33"/>
    </row>
    <row r="15" spans="1:11">
      <c r="A15" s="33"/>
    </row>
    <row r="18" spans="2:2">
      <c r="B18" s="28"/>
    </row>
    <row r="19" spans="2:2">
      <c r="B19" s="28"/>
    </row>
    <row r="20" spans="2:2">
      <c r="B20" s="28"/>
    </row>
    <row r="39" spans="4:4">
      <c r="D39" s="28"/>
    </row>
  </sheetData>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rgb="FFFFFF00"/>
  </sheetPr>
  <dimension ref="A1:J8"/>
  <sheetViews>
    <sheetView workbookViewId="0"/>
  </sheetViews>
  <sheetFormatPr baseColWidth="10" defaultRowHeight="15"/>
  <cols>
    <col min="1" max="1" width="13.5" customWidth="1"/>
  </cols>
  <sheetData>
    <row r="1" spans="1:10" ht="16">
      <c r="A1" s="5" t="s">
        <v>126</v>
      </c>
    </row>
    <row r="2" spans="1:10" ht="16">
      <c r="A2" s="7" t="s">
        <v>1455</v>
      </c>
    </row>
    <row r="3" spans="1:10">
      <c r="A3" s="8"/>
    </row>
    <row r="4" spans="1:10" ht="16">
      <c r="A4" s="7" t="s">
        <v>651</v>
      </c>
    </row>
    <row r="5" spans="1:10">
      <c r="A5" s="8"/>
    </row>
    <row r="6" spans="1:10" ht="16">
      <c r="A6" s="499" t="s">
        <v>1456</v>
      </c>
      <c r="B6" s="1082" t="s">
        <v>2211</v>
      </c>
      <c r="C6" s="1082"/>
      <c r="D6" s="1082"/>
      <c r="E6" s="1082"/>
      <c r="F6" s="1082"/>
      <c r="G6" s="1082"/>
      <c r="H6" s="1082"/>
      <c r="I6" s="1082"/>
      <c r="J6" s="1082"/>
    </row>
    <row r="7" spans="1:10" ht="16">
      <c r="A7" s="9"/>
      <c r="B7" s="10"/>
    </row>
    <row r="8" spans="1:10" ht="16">
      <c r="A8" s="497"/>
    </row>
  </sheetData>
  <mergeCells count="1">
    <mergeCell ref="B6:J6"/>
  </mergeCells>
  <pageMargins left="0.70866141732283472" right="0.70866141732283472" top="0.74803149606299213" bottom="0.74803149606299213" header="0.31496062992125984" footer="0.31496062992125984"/>
  <pageSetup scale="95"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N50"/>
  <sheetViews>
    <sheetView topLeftCell="A4" workbookViewId="0">
      <selection activeCell="A3" sqref="A3"/>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22</v>
      </c>
      <c r="C12" s="112">
        <f>IF($A12&lt;&gt;0,F12+I12+L12,"")</f>
        <v>986.5</v>
      </c>
      <c r="D12" s="139">
        <f>IF($A12&lt;&gt;0,G12+J12+M12,"")</f>
        <v>100</v>
      </c>
      <c r="F12" s="112">
        <f>SUM(F14+F33)</f>
        <v>4</v>
      </c>
      <c r="G12" s="112">
        <f>IF($A12&lt;&gt;0,F12/$C12*100,"")</f>
        <v>0.40547389761784086</v>
      </c>
      <c r="I12" s="112">
        <f>SUM(I14+I33)</f>
        <v>4</v>
      </c>
      <c r="J12" s="112">
        <f>IF($A12&lt;&gt;0,I12/$C12*100,"")</f>
        <v>0.40547389761784086</v>
      </c>
      <c r="L12" s="112">
        <f>SUM(L14+L33)</f>
        <v>978.5</v>
      </c>
      <c r="M12" s="112">
        <f>IF($A12&lt;&gt;0,L12/$C12*100,"")</f>
        <v>99.189052204764323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28" si="0">IF($A14&lt;&gt;0,F14+I14+L14,"")</f>
        <v>671.75</v>
      </c>
      <c r="D14" s="139">
        <f t="shared" si="0"/>
        <v>100</v>
      </c>
      <c r="F14" s="112">
        <f>SUM(F16+F21)</f>
        <v>0</v>
      </c>
      <c r="G14" s="112">
        <f t="shared" ref="G14:G36" si="1">IF($A14&lt;&gt;0,F14/$C14*100,"")</f>
        <v>0</v>
      </c>
      <c r="I14" s="112">
        <f>SUM(I16+I21)</f>
        <v>0</v>
      </c>
      <c r="J14" s="112">
        <f t="shared" ref="J14:J36" si="2">IF($A14&lt;&gt;0,I14/$C14*100,"")</f>
        <v>0</v>
      </c>
      <c r="L14" s="112">
        <f>SUM(L16+L21)</f>
        <v>671.75</v>
      </c>
      <c r="M14" s="112">
        <f t="shared" ref="M14:M36" si="3">IF($A14&lt;&gt;0,L14/$C14*100,"")</f>
        <v>100</v>
      </c>
    </row>
    <row r="15" spans="1:14" ht="7" customHeight="1">
      <c r="C15" s="112" t="str">
        <f t="shared" si="0"/>
        <v/>
      </c>
      <c r="D15" s="139" t="str">
        <f t="shared" si="0"/>
        <v/>
      </c>
      <c r="G15" s="112" t="str">
        <f t="shared" si="1"/>
        <v/>
      </c>
      <c r="J15" s="112" t="str">
        <f t="shared" si="2"/>
        <v/>
      </c>
      <c r="L15" s="112" t="s">
        <v>154</v>
      </c>
      <c r="M15" s="112" t="str">
        <f t="shared" si="3"/>
        <v/>
      </c>
    </row>
    <row r="16" spans="1:14">
      <c r="A16" s="111" t="s">
        <v>308</v>
      </c>
      <c r="C16" s="112">
        <f t="shared" si="0"/>
        <v>164.25</v>
      </c>
      <c r="D16" s="139">
        <f t="shared" si="0"/>
        <v>100</v>
      </c>
      <c r="F16" s="112">
        <f>SUM(F18:F19)</f>
        <v>0</v>
      </c>
      <c r="G16" s="112">
        <f t="shared" si="1"/>
        <v>0</v>
      </c>
      <c r="I16" s="112">
        <f>SUM(I18:I19)</f>
        <v>0</v>
      </c>
      <c r="J16" s="112">
        <f t="shared" si="2"/>
        <v>0</v>
      </c>
      <c r="L16" s="112">
        <f>SUM(L18:L19)</f>
        <v>164.25</v>
      </c>
      <c r="M16" s="112">
        <f t="shared" si="3"/>
        <v>100</v>
      </c>
    </row>
    <row r="17" spans="1:13">
      <c r="C17" s="112" t="str">
        <f t="shared" si="0"/>
        <v/>
      </c>
      <c r="D17" s="139" t="str">
        <f t="shared" si="0"/>
        <v/>
      </c>
      <c r="G17" s="112" t="str">
        <f t="shared" si="1"/>
        <v/>
      </c>
      <c r="J17" s="112" t="str">
        <f t="shared" si="2"/>
        <v/>
      </c>
      <c r="L17" s="112" t="s">
        <v>154</v>
      </c>
      <c r="M17" s="112" t="str">
        <f t="shared" si="3"/>
        <v/>
      </c>
    </row>
    <row r="18" spans="1:13">
      <c r="A18" s="111" t="s">
        <v>309</v>
      </c>
      <c r="C18" s="112">
        <f t="shared" si="0"/>
        <v>86</v>
      </c>
      <c r="D18" s="139">
        <f t="shared" si="0"/>
        <v>100</v>
      </c>
      <c r="F18" s="112">
        <v>0</v>
      </c>
      <c r="G18" s="112">
        <f t="shared" si="1"/>
        <v>0</v>
      </c>
      <c r="I18" s="112">
        <v>0</v>
      </c>
      <c r="J18" s="112">
        <f t="shared" si="2"/>
        <v>0</v>
      </c>
      <c r="L18" s="112">
        <v>86</v>
      </c>
      <c r="M18" s="112">
        <f t="shared" si="3"/>
        <v>100</v>
      </c>
    </row>
    <row r="19" spans="1:13">
      <c r="A19" s="111" t="s">
        <v>310</v>
      </c>
      <c r="C19" s="112">
        <f t="shared" si="0"/>
        <v>78.25</v>
      </c>
      <c r="D19" s="139">
        <f t="shared" si="0"/>
        <v>100</v>
      </c>
      <c r="F19" s="112">
        <v>0</v>
      </c>
      <c r="G19" s="112">
        <f t="shared" si="1"/>
        <v>0</v>
      </c>
      <c r="I19" s="112">
        <v>0</v>
      </c>
      <c r="J19" s="112">
        <f t="shared" si="2"/>
        <v>0</v>
      </c>
      <c r="L19" s="112">
        <v>78.25</v>
      </c>
      <c r="M19" s="112">
        <f t="shared" si="3"/>
        <v>100</v>
      </c>
    </row>
    <row r="20" spans="1:13">
      <c r="C20" s="112" t="str">
        <f t="shared" si="0"/>
        <v/>
      </c>
      <c r="D20" s="139" t="str">
        <f t="shared" si="0"/>
        <v/>
      </c>
      <c r="G20" s="112" t="str">
        <f t="shared" si="1"/>
        <v/>
      </c>
      <c r="J20" s="112" t="str">
        <f t="shared" si="2"/>
        <v/>
      </c>
      <c r="L20" s="112" t="s">
        <v>154</v>
      </c>
      <c r="M20" s="112" t="str">
        <f t="shared" si="3"/>
        <v/>
      </c>
    </row>
    <row r="21" spans="1:13">
      <c r="A21" s="111" t="s">
        <v>311</v>
      </c>
      <c r="C21" s="112">
        <f t="shared" si="0"/>
        <v>507.5</v>
      </c>
      <c r="D21" s="139">
        <f t="shared" si="0"/>
        <v>100</v>
      </c>
      <c r="F21" s="112">
        <f>SUM(F23:F31)</f>
        <v>0</v>
      </c>
      <c r="G21" s="112">
        <f t="shared" si="1"/>
        <v>0</v>
      </c>
      <c r="I21" s="112">
        <f>SUM(I23:I31)</f>
        <v>0</v>
      </c>
      <c r="J21" s="112">
        <f t="shared" si="2"/>
        <v>0</v>
      </c>
      <c r="L21" s="112">
        <f>SUM(L23:L31)</f>
        <v>507.5</v>
      </c>
      <c r="M21" s="112">
        <f t="shared" si="3"/>
        <v>100</v>
      </c>
    </row>
    <row r="22" spans="1:13">
      <c r="C22" s="112" t="str">
        <f t="shared" si="0"/>
        <v/>
      </c>
      <c r="D22" s="139" t="str">
        <f t="shared" si="0"/>
        <v/>
      </c>
      <c r="G22" s="112" t="str">
        <f t="shared" si="1"/>
        <v/>
      </c>
      <c r="J22" s="112" t="str">
        <f t="shared" si="2"/>
        <v/>
      </c>
      <c r="L22" s="112" t="s">
        <v>154</v>
      </c>
      <c r="M22" s="112" t="str">
        <f t="shared" si="3"/>
        <v/>
      </c>
    </row>
    <row r="23" spans="1:13">
      <c r="A23" s="111" t="s">
        <v>312</v>
      </c>
      <c r="C23" s="112">
        <f t="shared" si="0"/>
        <v>69.5</v>
      </c>
      <c r="D23" s="139">
        <f t="shared" si="0"/>
        <v>100</v>
      </c>
      <c r="F23" s="112">
        <v>0</v>
      </c>
      <c r="G23" s="112">
        <f t="shared" si="1"/>
        <v>0</v>
      </c>
      <c r="I23" s="112">
        <v>0</v>
      </c>
      <c r="J23" s="112">
        <f t="shared" si="2"/>
        <v>0</v>
      </c>
      <c r="L23" s="112">
        <v>69.5</v>
      </c>
      <c r="M23" s="112">
        <f t="shared" si="3"/>
        <v>100</v>
      </c>
    </row>
    <row r="24" spans="1:13">
      <c r="A24" s="111" t="s">
        <v>313</v>
      </c>
      <c r="C24" s="112">
        <f t="shared" si="0"/>
        <v>25</v>
      </c>
      <c r="D24" s="139">
        <f t="shared" si="0"/>
        <v>100</v>
      </c>
      <c r="F24" s="112">
        <v>0</v>
      </c>
      <c r="G24" s="112">
        <f t="shared" si="1"/>
        <v>0</v>
      </c>
      <c r="I24" s="112">
        <v>0</v>
      </c>
      <c r="J24" s="112">
        <f t="shared" si="2"/>
        <v>0</v>
      </c>
      <c r="L24" s="112">
        <v>25</v>
      </c>
      <c r="M24" s="112">
        <f t="shared" si="3"/>
        <v>100</v>
      </c>
    </row>
    <row r="25" spans="1:13">
      <c r="A25" s="111" t="s">
        <v>314</v>
      </c>
      <c r="C25" s="112">
        <f t="shared" si="0"/>
        <v>188</v>
      </c>
      <c r="D25" s="139">
        <f t="shared" si="0"/>
        <v>100</v>
      </c>
      <c r="F25" s="112">
        <v>0</v>
      </c>
      <c r="G25" s="112">
        <f t="shared" si="1"/>
        <v>0</v>
      </c>
      <c r="I25" s="112">
        <v>0</v>
      </c>
      <c r="J25" s="112">
        <f t="shared" si="2"/>
        <v>0</v>
      </c>
      <c r="L25" s="112">
        <v>188</v>
      </c>
      <c r="M25" s="112">
        <f t="shared" si="3"/>
        <v>100</v>
      </c>
    </row>
    <row r="26" spans="1:13">
      <c r="A26" s="111" t="s">
        <v>315</v>
      </c>
      <c r="C26" s="112">
        <f t="shared" si="0"/>
        <v>12</v>
      </c>
      <c r="D26" s="139">
        <f t="shared" si="0"/>
        <v>100</v>
      </c>
      <c r="F26" s="112">
        <v>0</v>
      </c>
      <c r="G26" s="112">
        <f t="shared" si="1"/>
        <v>0</v>
      </c>
      <c r="I26" s="112">
        <v>0</v>
      </c>
      <c r="J26" s="112">
        <f t="shared" si="2"/>
        <v>0</v>
      </c>
      <c r="L26" s="112">
        <v>12</v>
      </c>
      <c r="M26" s="112">
        <f t="shared" si="3"/>
        <v>100</v>
      </c>
    </row>
    <row r="27" spans="1:13">
      <c r="A27" s="111" t="s">
        <v>316</v>
      </c>
      <c r="C27" s="112">
        <f t="shared" si="0"/>
        <v>42</v>
      </c>
      <c r="D27" s="139">
        <f t="shared" si="0"/>
        <v>100</v>
      </c>
      <c r="F27" s="112">
        <v>0</v>
      </c>
      <c r="G27" s="112">
        <f t="shared" si="1"/>
        <v>0</v>
      </c>
      <c r="I27" s="112">
        <v>0</v>
      </c>
      <c r="J27" s="112">
        <f t="shared" si="2"/>
        <v>0</v>
      </c>
      <c r="L27" s="112">
        <v>42</v>
      </c>
      <c r="M27" s="112">
        <f t="shared" si="3"/>
        <v>100</v>
      </c>
    </row>
    <row r="28" spans="1:13">
      <c r="A28" s="111" t="s">
        <v>317</v>
      </c>
      <c r="C28" s="112">
        <f t="shared" si="0"/>
        <v>151</v>
      </c>
      <c r="D28" s="139">
        <f t="shared" si="0"/>
        <v>100</v>
      </c>
      <c r="F28" s="112">
        <v>0</v>
      </c>
      <c r="G28" s="112">
        <f t="shared" si="1"/>
        <v>0</v>
      </c>
      <c r="I28" s="112">
        <v>0</v>
      </c>
      <c r="J28" s="112">
        <f t="shared" si="2"/>
        <v>0</v>
      </c>
      <c r="L28" s="112">
        <v>151</v>
      </c>
      <c r="M28" s="112">
        <f t="shared" si="3"/>
        <v>100</v>
      </c>
    </row>
    <row r="29" spans="1:13">
      <c r="A29" s="14" t="s">
        <v>318</v>
      </c>
      <c r="C29" s="112">
        <f>IF($A29&lt;&gt;0,F29+I29+L29,"")</f>
        <v>1</v>
      </c>
      <c r="D29" s="139">
        <f>IF($A29&lt;&gt;0,G29+J29+M29,"")</f>
        <v>100</v>
      </c>
      <c r="F29" s="112">
        <v>0</v>
      </c>
      <c r="G29" s="112">
        <f>IF($A29&lt;&gt;0,F29/$C29*100,"")</f>
        <v>0</v>
      </c>
      <c r="I29" s="112">
        <v>0</v>
      </c>
      <c r="J29" s="112">
        <f>IF($A29&lt;&gt;0,I29/$C29*100,"")</f>
        <v>0</v>
      </c>
      <c r="L29" s="112">
        <v>1</v>
      </c>
      <c r="M29" s="112">
        <f>IF($A29&lt;&gt;0,L29/$C29*100,"")</f>
        <v>100</v>
      </c>
    </row>
    <row r="30" spans="1:13">
      <c r="A30" s="111" t="s">
        <v>319</v>
      </c>
      <c r="C30" s="112">
        <f t="shared" ref="C30:D39" si="4">IF($A30&lt;&gt;0,F30+I30+L30,"")</f>
        <v>17</v>
      </c>
      <c r="D30" s="139">
        <f t="shared" si="4"/>
        <v>100</v>
      </c>
      <c r="F30" s="112">
        <v>0</v>
      </c>
      <c r="G30" s="112">
        <f t="shared" si="1"/>
        <v>0</v>
      </c>
      <c r="I30" s="112">
        <v>0</v>
      </c>
      <c r="J30" s="112">
        <f t="shared" si="2"/>
        <v>0</v>
      </c>
      <c r="L30" s="112">
        <v>17</v>
      </c>
      <c r="M30" s="112">
        <f t="shared" si="3"/>
        <v>100</v>
      </c>
    </row>
    <row r="31" spans="1:13">
      <c r="A31" s="111" t="s">
        <v>320</v>
      </c>
      <c r="C31" s="112">
        <f t="shared" si="4"/>
        <v>2</v>
      </c>
      <c r="D31" s="139">
        <f t="shared" si="4"/>
        <v>100</v>
      </c>
      <c r="F31" s="112">
        <v>0</v>
      </c>
      <c r="G31" s="112">
        <f t="shared" si="1"/>
        <v>0</v>
      </c>
      <c r="I31" s="112">
        <v>0</v>
      </c>
      <c r="J31" s="112">
        <f t="shared" si="2"/>
        <v>0</v>
      </c>
      <c r="L31" s="112">
        <v>2</v>
      </c>
      <c r="M31" s="112">
        <f t="shared" si="3"/>
        <v>100</v>
      </c>
    </row>
    <row r="32" spans="1:13" ht="12" customHeight="1">
      <c r="C32" s="112" t="str">
        <f t="shared" si="4"/>
        <v/>
      </c>
      <c r="D32" s="139" t="str">
        <f t="shared" si="4"/>
        <v/>
      </c>
      <c r="G32" s="112" t="str">
        <f t="shared" si="1"/>
        <v/>
      </c>
      <c r="J32" s="112" t="str">
        <f t="shared" si="2"/>
        <v/>
      </c>
      <c r="L32" s="112" t="s">
        <v>154</v>
      </c>
      <c r="M32" s="112" t="str">
        <f t="shared" si="3"/>
        <v/>
      </c>
    </row>
    <row r="33" spans="1:13">
      <c r="A33" s="17" t="s">
        <v>351</v>
      </c>
      <c r="C33" s="112">
        <f t="shared" si="4"/>
        <v>314.75</v>
      </c>
      <c r="D33" s="139">
        <f t="shared" si="4"/>
        <v>100</v>
      </c>
      <c r="F33" s="112">
        <f>SUM(F35:F39)</f>
        <v>4</v>
      </c>
      <c r="G33" s="112">
        <f t="shared" si="1"/>
        <v>1.2708498808578237</v>
      </c>
      <c r="I33" s="112">
        <f>SUM(I35:I39)</f>
        <v>4</v>
      </c>
      <c r="J33" s="112">
        <f t="shared" si="2"/>
        <v>1.2708498808578237</v>
      </c>
      <c r="L33" s="112">
        <f>SUM(L35:L39)</f>
        <v>306.75</v>
      </c>
      <c r="M33" s="112">
        <f t="shared" si="3"/>
        <v>97.458300238284352</v>
      </c>
    </row>
    <row r="34" spans="1:13" ht="7" customHeight="1">
      <c r="C34" s="112" t="str">
        <f t="shared" si="4"/>
        <v/>
      </c>
      <c r="D34" s="139" t="str">
        <f t="shared" si="4"/>
        <v/>
      </c>
      <c r="G34" s="112" t="str">
        <f t="shared" si="1"/>
        <v/>
      </c>
      <c r="J34" s="112" t="str">
        <f t="shared" si="2"/>
        <v/>
      </c>
      <c r="L34" s="112" t="s">
        <v>154</v>
      </c>
      <c r="M34" s="112" t="str">
        <f t="shared" si="3"/>
        <v/>
      </c>
    </row>
    <row r="35" spans="1:13" ht="15">
      <c r="A35" s="26" t="s">
        <v>1738</v>
      </c>
      <c r="C35" s="112">
        <f t="shared" si="4"/>
        <v>103.75</v>
      </c>
      <c r="D35" s="139">
        <f t="shared" si="4"/>
        <v>100</v>
      </c>
      <c r="F35" s="156">
        <v>1</v>
      </c>
      <c r="G35" s="112">
        <f t="shared" si="1"/>
        <v>0.96385542168674709</v>
      </c>
      <c r="I35" s="112">
        <v>2</v>
      </c>
      <c r="J35" s="112">
        <f t="shared" si="2"/>
        <v>1.9277108433734942</v>
      </c>
      <c r="L35" s="112">
        <v>100.75</v>
      </c>
      <c r="M35" s="112">
        <f t="shared" si="3"/>
        <v>97.108433734939752</v>
      </c>
    </row>
    <row r="36" spans="1:13" ht="15">
      <c r="A36" s="26" t="s">
        <v>1739</v>
      </c>
      <c r="C36" s="112">
        <f t="shared" si="4"/>
        <v>74.5</v>
      </c>
      <c r="D36" s="139">
        <f t="shared" si="4"/>
        <v>100</v>
      </c>
      <c r="F36" s="112">
        <v>1</v>
      </c>
      <c r="G36" s="112">
        <f t="shared" si="1"/>
        <v>1.3422818791946309</v>
      </c>
      <c r="I36" s="112">
        <v>1</v>
      </c>
      <c r="J36" s="112">
        <f t="shared" si="2"/>
        <v>1.3422818791946309</v>
      </c>
      <c r="L36" s="112">
        <v>72.5</v>
      </c>
      <c r="M36" s="112">
        <f t="shared" si="3"/>
        <v>97.31543624161074</v>
      </c>
    </row>
    <row r="37" spans="1:13" ht="15">
      <c r="A37" s="26" t="s">
        <v>1740</v>
      </c>
      <c r="C37" s="112">
        <f t="shared" si="4"/>
        <v>82</v>
      </c>
      <c r="D37" s="139">
        <f t="shared" si="4"/>
        <v>100</v>
      </c>
      <c r="F37" s="156">
        <v>1</v>
      </c>
      <c r="G37" s="112">
        <f>IF($A37&lt;&gt;0,F37/$C37*100,"")</f>
        <v>1.2195121951219512</v>
      </c>
      <c r="I37" s="112">
        <v>1</v>
      </c>
      <c r="J37" s="112">
        <f>IF($A37&lt;&gt;0,I37/$C37*100,"")</f>
        <v>1.2195121951219512</v>
      </c>
      <c r="L37" s="112">
        <v>80</v>
      </c>
      <c r="M37" s="112">
        <f>IF($A37&lt;&gt;0,L37/$C37*100,"")</f>
        <v>97.560975609756099</v>
      </c>
    </row>
    <row r="38" spans="1:13">
      <c r="A38" s="26" t="s">
        <v>375</v>
      </c>
      <c r="C38" s="112">
        <f t="shared" si="4"/>
        <v>25</v>
      </c>
      <c r="D38" s="139">
        <f t="shared" si="4"/>
        <v>100</v>
      </c>
      <c r="F38" s="112">
        <v>1</v>
      </c>
      <c r="G38" s="112">
        <f>IF($A38&lt;&gt;0,F38/$C38*100,"")</f>
        <v>4</v>
      </c>
      <c r="I38" s="112">
        <v>0</v>
      </c>
      <c r="J38" s="112">
        <f>IF($A38&lt;&gt;0,I38/$C38*100,"")</f>
        <v>0</v>
      </c>
      <c r="L38" s="112">
        <v>24</v>
      </c>
      <c r="M38" s="112">
        <f>IF($A38&lt;&gt;0,L38/$C38*100,"")</f>
        <v>96</v>
      </c>
    </row>
    <row r="39" spans="1:13">
      <c r="A39" s="26" t="s">
        <v>381</v>
      </c>
      <c r="C39" s="112">
        <f t="shared" si="4"/>
        <v>29.5</v>
      </c>
      <c r="D39" s="139">
        <f t="shared" si="4"/>
        <v>100</v>
      </c>
      <c r="F39" s="112">
        <v>0</v>
      </c>
      <c r="G39" s="112">
        <f>IF($A39&lt;&gt;0,F39/$C39*100,"")</f>
        <v>0</v>
      </c>
      <c r="I39" s="112">
        <v>0</v>
      </c>
      <c r="J39" s="112">
        <f>IF($A39&lt;&gt;0,I39/$C39*100,"")</f>
        <v>0</v>
      </c>
      <c r="L39" s="112">
        <v>29.5</v>
      </c>
      <c r="M39" s="112">
        <f>IF($A39&lt;&gt;0,L39/$C39*100,"")</f>
        <v>100</v>
      </c>
    </row>
    <row r="40" spans="1:13" ht="7" customHeight="1" thickBot="1">
      <c r="A40" s="124"/>
      <c r="B40" s="102"/>
      <c r="C40" s="136"/>
      <c r="D40" s="124"/>
      <c r="E40" s="124"/>
      <c r="F40" s="136"/>
      <c r="G40" s="136"/>
      <c r="H40" s="136"/>
      <c r="I40" s="136"/>
      <c r="J40" s="136"/>
      <c r="K40" s="136"/>
      <c r="L40" s="136"/>
      <c r="M40" s="136"/>
    </row>
    <row r="41" spans="1:13" ht="7" customHeight="1"/>
    <row r="42" spans="1:13" ht="13.5" customHeight="1">
      <c r="A42" s="27" t="s">
        <v>1841</v>
      </c>
    </row>
    <row r="43" spans="1:13" ht="15">
      <c r="A43" s="27" t="s">
        <v>383</v>
      </c>
    </row>
    <row r="44" spans="1:13" ht="15">
      <c r="A44" s="27" t="s">
        <v>384</v>
      </c>
    </row>
    <row r="45" spans="1:13" ht="15">
      <c r="A45" s="27" t="s">
        <v>385</v>
      </c>
    </row>
    <row r="46" spans="1:13" ht="4.5" customHeight="1">
      <c r="A46" s="27" t="s">
        <v>386</v>
      </c>
    </row>
    <row r="47" spans="1:13">
      <c r="A47" s="14" t="s">
        <v>1842</v>
      </c>
    </row>
    <row r="48" spans="1:13">
      <c r="A48" s="111" t="s">
        <v>387</v>
      </c>
    </row>
    <row r="50" spans="1:1">
      <c r="A50" s="157"/>
    </row>
  </sheetData>
  <mergeCells count="2">
    <mergeCell ref="C7:M7"/>
    <mergeCell ref="C8:D8"/>
  </mergeCells>
  <pageMargins left="0.70866141732283472" right="0.70866141732283472" top="0.74803149606299213" bottom="0.74803149606299213" header="0.31496062992125984" footer="0.31496062992125984"/>
  <pageSetup scale="85"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5" tint="-0.249977111117893"/>
  </sheetPr>
  <dimension ref="B2:K4"/>
  <sheetViews>
    <sheetView workbookViewId="0">
      <selection activeCell="A2" sqref="A2"/>
    </sheetView>
  </sheetViews>
  <sheetFormatPr baseColWidth="10" defaultRowHeight="15"/>
  <sheetData>
    <row r="2" spans="2:11" ht="23">
      <c r="B2" s="33"/>
      <c r="C2" s="33"/>
      <c r="D2" s="33"/>
      <c r="J2" s="29"/>
    </row>
    <row r="3" spans="2:11" ht="23">
      <c r="B3" s="28"/>
      <c r="C3" s="28"/>
      <c r="D3" s="28"/>
      <c r="H3" s="30"/>
    </row>
    <row r="4" spans="2:11" ht="23">
      <c r="H4" s="31"/>
      <c r="K4" s="3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2:O52"/>
  <sheetViews>
    <sheetView workbookViewId="0">
      <selection activeCell="K4" sqref="K4"/>
    </sheetView>
  </sheetViews>
  <sheetFormatPr baseColWidth="10" defaultRowHeight="15"/>
  <sheetData>
    <row r="2" spans="2:14">
      <c r="F2" s="33"/>
      <c r="G2" s="33"/>
      <c r="H2" s="33"/>
      <c r="I2" s="33"/>
      <c r="K2" s="33"/>
      <c r="L2" s="33"/>
      <c r="M2" s="33"/>
      <c r="N2" s="33"/>
    </row>
    <row r="3" spans="2:14">
      <c r="C3" t="s">
        <v>603</v>
      </c>
      <c r="D3" t="s">
        <v>604</v>
      </c>
      <c r="F3" s="35"/>
      <c r="G3" s="35"/>
      <c r="H3" s="35"/>
      <c r="I3" s="35"/>
      <c r="J3" s="33"/>
      <c r="K3" s="28"/>
      <c r="L3" s="28"/>
      <c r="M3" s="28"/>
      <c r="N3" s="28"/>
    </row>
    <row r="4" spans="2:14">
      <c r="B4" t="s">
        <v>605</v>
      </c>
      <c r="C4" s="36">
        <v>56.44</v>
      </c>
      <c r="D4" s="36">
        <v>55.61</v>
      </c>
      <c r="F4" s="36"/>
      <c r="G4" s="33"/>
      <c r="M4" s="28"/>
      <c r="N4" s="28"/>
    </row>
    <row r="5" spans="2:14">
      <c r="B5" t="s">
        <v>500</v>
      </c>
      <c r="C5" s="36">
        <v>7.72</v>
      </c>
      <c r="D5" s="36">
        <v>7.26</v>
      </c>
      <c r="F5" s="28"/>
      <c r="G5" s="28"/>
      <c r="H5" s="28"/>
      <c r="I5" s="28"/>
      <c r="J5" s="28"/>
      <c r="K5" s="28"/>
    </row>
    <row r="6" spans="2:14">
      <c r="B6" t="s">
        <v>606</v>
      </c>
      <c r="C6" s="36">
        <v>35.25</v>
      </c>
      <c r="D6" s="36">
        <v>36.44</v>
      </c>
      <c r="E6" s="77"/>
      <c r="F6" s="36"/>
      <c r="G6" s="28"/>
      <c r="H6" s="28"/>
      <c r="I6" s="28"/>
      <c r="J6" s="28"/>
      <c r="K6" s="28"/>
    </row>
    <row r="7" spans="2:14">
      <c r="B7" s="33" t="s">
        <v>478</v>
      </c>
      <c r="C7" s="36">
        <v>0.43</v>
      </c>
      <c r="D7" s="36">
        <v>0.52910052910052907</v>
      </c>
      <c r="E7" s="77"/>
      <c r="F7" s="36"/>
      <c r="G7" s="28"/>
      <c r="H7" s="28"/>
      <c r="I7" s="28"/>
      <c r="J7" s="28"/>
      <c r="K7" s="28"/>
    </row>
    <row r="8" spans="2:14">
      <c r="B8" t="s">
        <v>501</v>
      </c>
      <c r="C8" s="36">
        <v>0.16034206306787815</v>
      </c>
      <c r="D8" s="36">
        <v>0.15873015873015872</v>
      </c>
      <c r="E8" s="77"/>
      <c r="F8" s="36"/>
      <c r="G8" s="28"/>
    </row>
    <row r="17" spans="2:3">
      <c r="B17" s="36"/>
      <c r="C17" s="36"/>
    </row>
    <row r="18" spans="2:3">
      <c r="B18" s="36"/>
      <c r="C18" s="36"/>
    </row>
    <row r="19" spans="2:3">
      <c r="B19" s="36"/>
      <c r="C19" s="36"/>
    </row>
    <row r="20" spans="2:3">
      <c r="B20" s="36"/>
      <c r="C20" s="36"/>
    </row>
    <row r="21" spans="2:3">
      <c r="B21" s="36"/>
      <c r="C21" s="36"/>
    </row>
    <row r="38" spans="1:5">
      <c r="A38" s="36"/>
      <c r="B38" s="36"/>
      <c r="C38" s="36"/>
      <c r="D38" s="36"/>
      <c r="E38" s="36"/>
    </row>
    <row r="39" spans="1:5">
      <c r="A39" s="36"/>
      <c r="B39" s="36"/>
      <c r="C39" s="36"/>
      <c r="D39" s="36"/>
      <c r="E39" s="36"/>
    </row>
    <row r="52" spans="3:15">
      <c r="C52" s="28"/>
      <c r="F52" s="28"/>
      <c r="I52" s="28"/>
      <c r="L52" s="28"/>
      <c r="O52" s="28"/>
    </row>
  </sheetData>
  <pageMargins left="0.7" right="0.7" top="0.75" bottom="0.75" header="0.3" footer="0.3"/>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rgb="FFFFFF00"/>
  </sheetPr>
  <dimension ref="A1:J10"/>
  <sheetViews>
    <sheetView workbookViewId="0">
      <selection activeCell="K18" sqref="K18"/>
    </sheetView>
  </sheetViews>
  <sheetFormatPr baseColWidth="10" defaultColWidth="11.5" defaultRowHeight="15"/>
  <cols>
    <col min="1" max="1" width="13.33203125" style="422" customWidth="1"/>
    <col min="2" max="16384" width="11.5" style="422"/>
  </cols>
  <sheetData>
    <row r="1" spans="1:10" ht="16">
      <c r="A1" s="5" t="s">
        <v>126</v>
      </c>
    </row>
    <row r="2" spans="1:10" ht="16">
      <c r="A2" s="423" t="s">
        <v>1457</v>
      </c>
    </row>
    <row r="3" spans="1:10">
      <c r="A3" s="424"/>
    </row>
    <row r="4" spans="1:10" ht="16">
      <c r="A4" s="423" t="s">
        <v>651</v>
      </c>
    </row>
    <row r="5" spans="1:10" ht="16">
      <c r="A5" s="10" t="s">
        <v>1458</v>
      </c>
      <c r="B5" s="1083" t="s">
        <v>2213</v>
      </c>
      <c r="C5" s="1083"/>
      <c r="D5" s="1083"/>
      <c r="E5" s="1083"/>
      <c r="F5" s="1083"/>
      <c r="G5" s="1083"/>
      <c r="H5" s="1083"/>
      <c r="I5" s="1083"/>
      <c r="J5" s="1083"/>
    </row>
    <row r="6" spans="1:10">
      <c r="A6" s="424"/>
    </row>
    <row r="7" spans="1:10" ht="16">
      <c r="A7" s="423" t="s">
        <v>1459</v>
      </c>
    </row>
    <row r="8" spans="1:10" ht="16">
      <c r="A8" s="10" t="s">
        <v>1460</v>
      </c>
      <c r="B8" s="1083" t="s">
        <v>2214</v>
      </c>
      <c r="C8" s="1083"/>
      <c r="D8" s="1083"/>
      <c r="E8" s="1083"/>
      <c r="F8" s="1083"/>
      <c r="G8" s="1083"/>
      <c r="H8" s="1083"/>
      <c r="I8" s="1083"/>
      <c r="J8" s="1083"/>
    </row>
    <row r="9" spans="1:10" ht="16">
      <c r="A9" s="10" t="s">
        <v>1461</v>
      </c>
      <c r="B9" s="1083" t="s">
        <v>2246</v>
      </c>
      <c r="C9" s="1083"/>
      <c r="D9" s="1083"/>
      <c r="E9" s="1083"/>
      <c r="F9" s="1083"/>
      <c r="G9" s="1083"/>
      <c r="H9" s="1083"/>
      <c r="I9" s="1083"/>
      <c r="J9" s="1083"/>
    </row>
    <row r="10" spans="1:10" ht="16">
      <c r="A10" s="10"/>
      <c r="B10" s="10"/>
    </row>
  </sheetData>
  <mergeCells count="3">
    <mergeCell ref="B5:J5"/>
    <mergeCell ref="B8:J8"/>
    <mergeCell ref="B9:J9"/>
  </mergeCells>
  <pageMargins left="0.70866141732283472" right="0.70866141732283472" top="0.74803149606299213" bottom="0.74803149606299213" header="0.31496062992125984" footer="0.31496062992125984"/>
  <pageSetup scale="9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N64"/>
  <sheetViews>
    <sheetView workbookViewId="0">
      <selection activeCell="J5" sqref="J5"/>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2215</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971"/>
      <c r="H8" s="19"/>
      <c r="I8" s="18" t="s">
        <v>150</v>
      </c>
      <c r="J8" s="971"/>
      <c r="K8" s="19"/>
      <c r="L8" s="18" t="s">
        <v>151</v>
      </c>
      <c r="M8" s="971"/>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81">
        <f>IF($A12&lt;&gt;0,F12+I12+L12,"")</f>
        <v>727.5</v>
      </c>
      <c r="D12" s="451">
        <f>IF($A12&lt;&gt;0,G12+J12+M12,"")</f>
        <v>100</v>
      </c>
      <c r="E12" s="17"/>
      <c r="F12" s="181">
        <f>SUM(F14+F54)</f>
        <v>70.75</v>
      </c>
      <c r="G12" s="181">
        <f>IF($A12&lt;&gt;0,F12/$C12*100,"")</f>
        <v>9.7250859106529219</v>
      </c>
      <c r="H12" s="181"/>
      <c r="I12" s="181">
        <f>SUM(I14+I54)</f>
        <v>40.25</v>
      </c>
      <c r="J12" s="181">
        <f>IF($A12&lt;&gt;0,I12/$C12*100,"")</f>
        <v>5.5326460481099655</v>
      </c>
      <c r="K12" s="181"/>
      <c r="L12" s="181">
        <f>SUM(L14+L54)</f>
        <v>616.5</v>
      </c>
      <c r="M12" s="181">
        <f>IF($A12&lt;&gt;0,L12/$C12*100,"")</f>
        <v>84.742268041237111</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82</v>
      </c>
      <c r="C14" s="181">
        <f t="shared" ref="C14:D55" si="0">IF($A14&lt;&gt;0,F14+I14+L14,"")</f>
        <v>726.5</v>
      </c>
      <c r="D14" s="451">
        <f t="shared" si="0"/>
        <v>100</v>
      </c>
      <c r="E14" s="17"/>
      <c r="F14" s="181">
        <f>SUM(F20+F28+F40+F16+F18)</f>
        <v>69.75</v>
      </c>
      <c r="G14" s="181">
        <f t="shared" ref="G14:G55" si="1">IF($A14&lt;&gt;0,F14/$C14*100,"")</f>
        <v>9.6008258774948381</v>
      </c>
      <c r="H14" s="181"/>
      <c r="I14" s="181">
        <f>SUM(I20+I28+I40+I16+I18)</f>
        <v>40.25</v>
      </c>
      <c r="J14" s="181">
        <f t="shared" ref="J14:J55" si="2">IF($A14&lt;&gt;0,I14/$C14*100,"")</f>
        <v>5.5402615278733656</v>
      </c>
      <c r="K14" s="181"/>
      <c r="L14" s="181">
        <f>SUM(L20+L28+L40+L16+L18)</f>
        <v>616.5</v>
      </c>
      <c r="M14" s="181">
        <f t="shared" ref="M14:M55" si="3">IF($A14&lt;&gt;0,L14/$C14*100,"")</f>
        <v>84.858912594631803</v>
      </c>
    </row>
    <row r="15" spans="1:14" ht="7" customHeight="1">
      <c r="C15" s="112" t="str">
        <f t="shared" si="0"/>
        <v/>
      </c>
      <c r="D15" s="139" t="str">
        <f t="shared" si="0"/>
        <v/>
      </c>
      <c r="G15" s="112" t="str">
        <f t="shared" si="1"/>
        <v/>
      </c>
      <c r="J15" s="112" t="str">
        <f t="shared" si="2"/>
        <v/>
      </c>
      <c r="L15" s="112" t="s">
        <v>154</v>
      </c>
      <c r="M15" s="112" t="str">
        <f t="shared" si="3"/>
        <v/>
      </c>
    </row>
    <row r="16" spans="1:14">
      <c r="A16" s="111" t="s">
        <v>321</v>
      </c>
      <c r="C16" s="112">
        <f t="shared" si="0"/>
        <v>56.25</v>
      </c>
      <c r="D16" s="139">
        <f t="shared" si="0"/>
        <v>100</v>
      </c>
      <c r="F16" s="112">
        <v>8.5</v>
      </c>
      <c r="G16" s="112">
        <f t="shared" si="1"/>
        <v>15.111111111111111</v>
      </c>
      <c r="I16" s="112">
        <v>0</v>
      </c>
      <c r="J16" s="112">
        <f t="shared" si="2"/>
        <v>0</v>
      </c>
      <c r="L16" s="112">
        <v>47.75</v>
      </c>
      <c r="M16" s="112">
        <f t="shared" si="3"/>
        <v>84.888888888888886</v>
      </c>
    </row>
    <row r="17" spans="1:13">
      <c r="C17" s="112" t="str">
        <f t="shared" si="0"/>
        <v/>
      </c>
      <c r="D17" s="139" t="str">
        <f t="shared" si="0"/>
        <v/>
      </c>
      <c r="G17" s="112" t="str">
        <f t="shared" si="1"/>
        <v/>
      </c>
      <c r="J17" s="112" t="str">
        <f t="shared" si="2"/>
        <v/>
      </c>
      <c r="L17" s="112" t="s">
        <v>154</v>
      </c>
      <c r="M17" s="112" t="str">
        <f t="shared" si="3"/>
        <v/>
      </c>
    </row>
    <row r="18" spans="1:13">
      <c r="A18" s="111" t="s">
        <v>322</v>
      </c>
      <c r="C18" s="112">
        <f t="shared" si="0"/>
        <v>28</v>
      </c>
      <c r="D18" s="139">
        <f t="shared" si="0"/>
        <v>100</v>
      </c>
      <c r="F18" s="112">
        <v>1</v>
      </c>
      <c r="G18" s="112">
        <f t="shared" si="1"/>
        <v>3.5714285714285712</v>
      </c>
      <c r="I18" s="112">
        <v>0</v>
      </c>
      <c r="J18" s="112">
        <f t="shared" si="2"/>
        <v>0</v>
      </c>
      <c r="L18" s="112">
        <v>27</v>
      </c>
      <c r="M18" s="112">
        <f t="shared" si="3"/>
        <v>96.428571428571431</v>
      </c>
    </row>
    <row r="19" spans="1:13">
      <c r="C19" s="112" t="str">
        <f t="shared" si="0"/>
        <v/>
      </c>
      <c r="D19" s="139" t="str">
        <f t="shared" si="0"/>
        <v/>
      </c>
      <c r="G19" s="112" t="str">
        <f t="shared" si="1"/>
        <v/>
      </c>
      <c r="J19" s="112" t="str">
        <f t="shared" si="2"/>
        <v/>
      </c>
      <c r="L19" s="112" t="s">
        <v>154</v>
      </c>
      <c r="M19" s="112" t="str">
        <f t="shared" si="3"/>
        <v/>
      </c>
    </row>
    <row r="20" spans="1:13">
      <c r="A20" s="111" t="s">
        <v>323</v>
      </c>
      <c r="C20" s="112">
        <f t="shared" si="0"/>
        <v>191.625</v>
      </c>
      <c r="D20" s="139">
        <f t="shared" si="0"/>
        <v>100</v>
      </c>
      <c r="F20" s="112">
        <f>SUM(F22:F26)</f>
        <v>21</v>
      </c>
      <c r="G20" s="112">
        <f t="shared" si="1"/>
        <v>10.95890410958904</v>
      </c>
      <c r="I20" s="112">
        <f>SUM(I22:I26)</f>
        <v>36.75</v>
      </c>
      <c r="J20" s="112">
        <f t="shared" si="2"/>
        <v>19.17808219178082</v>
      </c>
      <c r="L20" s="112">
        <f>SUM(L22:L26)</f>
        <v>133.875</v>
      </c>
      <c r="M20" s="112">
        <f t="shared" si="3"/>
        <v>69.863013698630141</v>
      </c>
    </row>
    <row r="21" spans="1:13">
      <c r="C21" s="112" t="str">
        <f t="shared" si="0"/>
        <v/>
      </c>
      <c r="D21" s="139" t="str">
        <f t="shared" si="0"/>
        <v/>
      </c>
      <c r="G21" s="112" t="str">
        <f t="shared" si="1"/>
        <v/>
      </c>
      <c r="J21" s="112" t="str">
        <f t="shared" si="2"/>
        <v/>
      </c>
      <c r="L21" s="112" t="s">
        <v>154</v>
      </c>
      <c r="M21" s="112" t="str">
        <f t="shared" si="3"/>
        <v/>
      </c>
    </row>
    <row r="22" spans="1:13">
      <c r="A22" s="26" t="s">
        <v>324</v>
      </c>
      <c r="C22" s="112">
        <f t="shared" si="0"/>
        <v>21</v>
      </c>
      <c r="D22" s="139">
        <f t="shared" si="0"/>
        <v>99.999999999999986</v>
      </c>
      <c r="F22" s="112">
        <v>6</v>
      </c>
      <c r="G22" s="112">
        <f t="shared" si="1"/>
        <v>28.571428571428569</v>
      </c>
      <c r="I22" s="112">
        <v>1</v>
      </c>
      <c r="J22" s="112">
        <f t="shared" si="2"/>
        <v>4.7619047619047619</v>
      </c>
      <c r="L22" s="112">
        <v>14</v>
      </c>
      <c r="M22" s="112">
        <f t="shared" si="3"/>
        <v>66.666666666666657</v>
      </c>
    </row>
    <row r="23" spans="1:13">
      <c r="A23" s="26" t="s">
        <v>325</v>
      </c>
      <c r="C23" s="112">
        <f t="shared" si="0"/>
        <v>53.5</v>
      </c>
      <c r="D23" s="139">
        <f t="shared" si="0"/>
        <v>100</v>
      </c>
      <c r="F23" s="112">
        <v>5.5</v>
      </c>
      <c r="G23" s="112">
        <f t="shared" si="1"/>
        <v>10.2803738317757</v>
      </c>
      <c r="I23" s="112">
        <v>15.5</v>
      </c>
      <c r="J23" s="112">
        <f t="shared" si="2"/>
        <v>28.971962616822427</v>
      </c>
      <c r="L23" s="112">
        <v>32.5</v>
      </c>
      <c r="M23" s="112">
        <f t="shared" si="3"/>
        <v>60.747663551401864</v>
      </c>
    </row>
    <row r="24" spans="1:13">
      <c r="A24" s="26" t="s">
        <v>326</v>
      </c>
      <c r="C24" s="112">
        <f t="shared" si="0"/>
        <v>74.5</v>
      </c>
      <c r="D24" s="139">
        <f t="shared" si="0"/>
        <v>100</v>
      </c>
      <c r="F24" s="112">
        <v>7</v>
      </c>
      <c r="G24" s="112">
        <f t="shared" si="1"/>
        <v>9.3959731543624159</v>
      </c>
      <c r="I24" s="112">
        <v>20.25</v>
      </c>
      <c r="J24" s="112">
        <f t="shared" si="2"/>
        <v>27.181208053691275</v>
      </c>
      <c r="L24" s="112">
        <v>47.25</v>
      </c>
      <c r="M24" s="112">
        <f t="shared" si="3"/>
        <v>63.422818791946312</v>
      </c>
    </row>
    <row r="25" spans="1:13">
      <c r="A25" s="26" t="s">
        <v>327</v>
      </c>
      <c r="C25" s="112">
        <f t="shared" si="0"/>
        <v>11.5</v>
      </c>
      <c r="D25" s="139">
        <f t="shared" si="0"/>
        <v>100</v>
      </c>
      <c r="F25" s="112">
        <v>1.5</v>
      </c>
      <c r="G25" s="112">
        <f t="shared" si="1"/>
        <v>13.043478260869565</v>
      </c>
      <c r="I25" s="112">
        <v>0</v>
      </c>
      <c r="J25" s="112">
        <f t="shared" si="2"/>
        <v>0</v>
      </c>
      <c r="L25" s="112">
        <v>10</v>
      </c>
      <c r="M25" s="112">
        <f t="shared" si="3"/>
        <v>86.956521739130437</v>
      </c>
    </row>
    <row r="26" spans="1:13">
      <c r="A26" s="26" t="s">
        <v>328</v>
      </c>
      <c r="C26" s="112">
        <f t="shared" si="0"/>
        <v>31.125</v>
      </c>
      <c r="D26" s="139">
        <f t="shared" si="0"/>
        <v>100</v>
      </c>
      <c r="F26" s="112">
        <v>1</v>
      </c>
      <c r="G26" s="112">
        <f t="shared" si="1"/>
        <v>3.2128514056224895</v>
      </c>
      <c r="I26" s="112">
        <v>0</v>
      </c>
      <c r="J26" s="112">
        <f t="shared" si="2"/>
        <v>0</v>
      </c>
      <c r="L26" s="112">
        <v>30.125</v>
      </c>
      <c r="M26" s="112">
        <f t="shared" si="3"/>
        <v>96.787148594377513</v>
      </c>
    </row>
    <row r="27" spans="1:13">
      <c r="A27" s="14"/>
      <c r="C27" s="112" t="str">
        <f t="shared" si="0"/>
        <v/>
      </c>
      <c r="D27" s="139" t="str">
        <f t="shared" si="0"/>
        <v/>
      </c>
      <c r="G27" s="112" t="str">
        <f t="shared" si="1"/>
        <v/>
      </c>
      <c r="J27" s="112" t="str">
        <f t="shared" si="2"/>
        <v/>
      </c>
      <c r="L27" s="112" t="s">
        <v>154</v>
      </c>
      <c r="M27" s="112" t="str">
        <f t="shared" si="3"/>
        <v/>
      </c>
    </row>
    <row r="28" spans="1:13">
      <c r="A28" s="14" t="s">
        <v>329</v>
      </c>
      <c r="C28" s="112">
        <f t="shared" si="0"/>
        <v>155.5</v>
      </c>
      <c r="D28" s="139">
        <f t="shared" si="0"/>
        <v>100</v>
      </c>
      <c r="F28" s="112">
        <f>SUM(F30:F38)</f>
        <v>10.25</v>
      </c>
      <c r="G28" s="112">
        <f t="shared" si="1"/>
        <v>6.5916398713826361</v>
      </c>
      <c r="I28" s="112">
        <f>SUM(I30:I38)</f>
        <v>2.5</v>
      </c>
      <c r="J28" s="112">
        <f t="shared" si="2"/>
        <v>1.607717041800643</v>
      </c>
      <c r="L28" s="112">
        <f>SUM(L30:L38)</f>
        <v>142.75</v>
      </c>
      <c r="M28" s="112">
        <f t="shared" si="3"/>
        <v>91.80064308681672</v>
      </c>
    </row>
    <row r="29" spans="1:13">
      <c r="A29" s="14"/>
      <c r="C29" s="112" t="str">
        <f t="shared" si="0"/>
        <v/>
      </c>
      <c r="D29" s="139" t="str">
        <f t="shared" si="0"/>
        <v/>
      </c>
      <c r="G29" s="112" t="str">
        <f t="shared" si="1"/>
        <v/>
      </c>
      <c r="J29" s="112" t="str">
        <f t="shared" si="2"/>
        <v/>
      </c>
      <c r="L29" s="112" t="s">
        <v>154</v>
      </c>
      <c r="M29" s="112" t="str">
        <f t="shared" si="3"/>
        <v/>
      </c>
    </row>
    <row r="30" spans="1:13">
      <c r="A30" s="26" t="s">
        <v>330</v>
      </c>
      <c r="C30" s="112">
        <f t="shared" si="0"/>
        <v>5</v>
      </c>
      <c r="D30" s="139">
        <f t="shared" si="0"/>
        <v>100</v>
      </c>
      <c r="F30" s="112">
        <v>1</v>
      </c>
      <c r="G30" s="112">
        <f t="shared" si="1"/>
        <v>20</v>
      </c>
      <c r="I30" s="112">
        <v>0</v>
      </c>
      <c r="J30" s="112">
        <f t="shared" si="2"/>
        <v>0</v>
      </c>
      <c r="L30" s="112">
        <v>4</v>
      </c>
      <c r="M30" s="112">
        <f t="shared" si="3"/>
        <v>80</v>
      </c>
    </row>
    <row r="31" spans="1:13">
      <c r="A31" s="26" t="s">
        <v>331</v>
      </c>
      <c r="C31" s="112">
        <f t="shared" si="0"/>
        <v>17</v>
      </c>
      <c r="D31" s="139">
        <f t="shared" si="0"/>
        <v>99.999999999999986</v>
      </c>
      <c r="F31" s="112">
        <v>1</v>
      </c>
      <c r="G31" s="112">
        <f t="shared" si="1"/>
        <v>5.8823529411764701</v>
      </c>
      <c r="I31" s="112">
        <v>0</v>
      </c>
      <c r="J31" s="112">
        <f t="shared" si="2"/>
        <v>0</v>
      </c>
      <c r="L31" s="112">
        <v>16</v>
      </c>
      <c r="M31" s="112">
        <f t="shared" si="3"/>
        <v>94.117647058823522</v>
      </c>
    </row>
    <row r="32" spans="1:13">
      <c r="A32" s="26" t="s">
        <v>332</v>
      </c>
      <c r="C32" s="112">
        <f t="shared" si="0"/>
        <v>9</v>
      </c>
      <c r="D32" s="139">
        <f t="shared" si="0"/>
        <v>100</v>
      </c>
      <c r="F32" s="112">
        <v>1</v>
      </c>
      <c r="G32" s="112">
        <f t="shared" si="1"/>
        <v>11.111111111111111</v>
      </c>
      <c r="I32" s="112">
        <v>0</v>
      </c>
      <c r="J32" s="112">
        <f t="shared" si="2"/>
        <v>0</v>
      </c>
      <c r="L32" s="112">
        <v>8</v>
      </c>
      <c r="M32" s="112">
        <f t="shared" si="3"/>
        <v>88.888888888888886</v>
      </c>
    </row>
    <row r="33" spans="1:13">
      <c r="A33" s="26" t="s">
        <v>333</v>
      </c>
      <c r="C33" s="112">
        <f t="shared" si="0"/>
        <v>19.5</v>
      </c>
      <c r="D33" s="139">
        <f t="shared" si="0"/>
        <v>99.999999999999986</v>
      </c>
      <c r="F33" s="112">
        <v>1</v>
      </c>
      <c r="G33" s="112">
        <f t="shared" si="1"/>
        <v>5.1282051282051277</v>
      </c>
      <c r="I33" s="112">
        <v>0</v>
      </c>
      <c r="J33" s="112">
        <f t="shared" si="2"/>
        <v>0</v>
      </c>
      <c r="L33" s="112">
        <v>18.5</v>
      </c>
      <c r="M33" s="112">
        <f t="shared" si="3"/>
        <v>94.871794871794862</v>
      </c>
    </row>
    <row r="34" spans="1:13">
      <c r="A34" s="26" t="s">
        <v>334</v>
      </c>
      <c r="C34" s="112">
        <f t="shared" si="0"/>
        <v>18.25</v>
      </c>
      <c r="D34" s="139">
        <f t="shared" si="0"/>
        <v>100</v>
      </c>
      <c r="F34" s="112">
        <v>2.25</v>
      </c>
      <c r="G34" s="112">
        <f t="shared" si="1"/>
        <v>12.328767123287671</v>
      </c>
      <c r="I34" s="112">
        <v>0</v>
      </c>
      <c r="J34" s="112">
        <f t="shared" si="2"/>
        <v>0</v>
      </c>
      <c r="L34" s="112">
        <v>16</v>
      </c>
      <c r="M34" s="112">
        <f t="shared" si="3"/>
        <v>87.671232876712324</v>
      </c>
    </row>
    <row r="35" spans="1:13">
      <c r="A35" s="26" t="s">
        <v>335</v>
      </c>
      <c r="C35" s="112">
        <f t="shared" si="0"/>
        <v>35</v>
      </c>
      <c r="D35" s="139">
        <f t="shared" si="0"/>
        <v>100</v>
      </c>
      <c r="F35" s="112">
        <v>1</v>
      </c>
      <c r="G35" s="112">
        <f t="shared" si="1"/>
        <v>2.8571428571428572</v>
      </c>
      <c r="I35" s="112">
        <v>0</v>
      </c>
      <c r="J35" s="112">
        <f t="shared" si="2"/>
        <v>0</v>
      </c>
      <c r="L35" s="112">
        <v>34</v>
      </c>
      <c r="M35" s="112">
        <f t="shared" si="3"/>
        <v>97.142857142857139</v>
      </c>
    </row>
    <row r="36" spans="1:13">
      <c r="A36" s="26" t="s">
        <v>336</v>
      </c>
      <c r="C36" s="112">
        <f t="shared" si="0"/>
        <v>20.25</v>
      </c>
      <c r="D36" s="139">
        <f t="shared" si="0"/>
        <v>100</v>
      </c>
      <c r="F36" s="112">
        <v>1</v>
      </c>
      <c r="G36" s="112">
        <f t="shared" si="1"/>
        <v>4.9382716049382713</v>
      </c>
      <c r="I36" s="112">
        <v>1</v>
      </c>
      <c r="J36" s="112">
        <f t="shared" si="2"/>
        <v>4.9382716049382713</v>
      </c>
      <c r="L36" s="112">
        <v>18.25</v>
      </c>
      <c r="M36" s="112">
        <f t="shared" si="3"/>
        <v>90.123456790123456</v>
      </c>
    </row>
    <row r="37" spans="1:13">
      <c r="A37" s="26" t="s">
        <v>337</v>
      </c>
      <c r="C37" s="112">
        <f t="shared" si="0"/>
        <v>14.5</v>
      </c>
      <c r="D37" s="139">
        <f t="shared" si="0"/>
        <v>100</v>
      </c>
      <c r="F37" s="112">
        <v>1</v>
      </c>
      <c r="G37" s="112">
        <f t="shared" si="1"/>
        <v>6.8965517241379306</v>
      </c>
      <c r="I37" s="112">
        <v>1.5</v>
      </c>
      <c r="J37" s="112">
        <f t="shared" si="2"/>
        <v>10.344827586206897</v>
      </c>
      <c r="L37" s="112">
        <v>12</v>
      </c>
      <c r="M37" s="112">
        <f t="shared" si="3"/>
        <v>82.758620689655174</v>
      </c>
    </row>
    <row r="38" spans="1:13">
      <c r="A38" s="26" t="s">
        <v>338</v>
      </c>
      <c r="C38" s="112">
        <f t="shared" si="0"/>
        <v>17</v>
      </c>
      <c r="D38" s="139">
        <f t="shared" si="0"/>
        <v>99.999999999999986</v>
      </c>
      <c r="F38" s="112">
        <v>1</v>
      </c>
      <c r="G38" s="112">
        <f t="shared" si="1"/>
        <v>5.8823529411764701</v>
      </c>
      <c r="I38" s="112">
        <v>0</v>
      </c>
      <c r="J38" s="112">
        <f t="shared" si="2"/>
        <v>0</v>
      </c>
      <c r="L38" s="112">
        <v>16</v>
      </c>
      <c r="M38" s="112">
        <f t="shared" si="3"/>
        <v>94.117647058823522</v>
      </c>
    </row>
    <row r="39" spans="1:13">
      <c r="C39" s="112" t="str">
        <f t="shared" si="0"/>
        <v/>
      </c>
      <c r="D39" s="139" t="str">
        <f t="shared" si="0"/>
        <v/>
      </c>
      <c r="G39" s="112" t="str">
        <f t="shared" si="1"/>
        <v/>
      </c>
      <c r="J39" s="112" t="str">
        <f t="shared" si="2"/>
        <v/>
      </c>
      <c r="L39" s="112" t="s">
        <v>154</v>
      </c>
      <c r="M39" s="112" t="str">
        <f t="shared" si="3"/>
        <v/>
      </c>
    </row>
    <row r="40" spans="1:13">
      <c r="A40" s="111" t="s">
        <v>339</v>
      </c>
      <c r="C40" s="112">
        <f t="shared" si="0"/>
        <v>295.125</v>
      </c>
      <c r="D40" s="139">
        <f t="shared" si="0"/>
        <v>100</v>
      </c>
      <c r="F40" s="112">
        <f>SUM(F42:F52)</f>
        <v>29</v>
      </c>
      <c r="G40" s="112">
        <f t="shared" si="1"/>
        <v>9.8263447691656083</v>
      </c>
      <c r="I40" s="112">
        <f>SUM(I42:I52)</f>
        <v>1</v>
      </c>
      <c r="J40" s="112">
        <f t="shared" si="2"/>
        <v>0.33883947479881404</v>
      </c>
      <c r="L40" s="112">
        <f>SUM(L42:L52)</f>
        <v>265.125</v>
      </c>
      <c r="M40" s="112">
        <f t="shared" si="3"/>
        <v>89.834815756035582</v>
      </c>
    </row>
    <row r="41" spans="1:13">
      <c r="C41" s="112" t="str">
        <f t="shared" si="0"/>
        <v/>
      </c>
      <c r="D41" s="139" t="str">
        <f t="shared" si="0"/>
        <v/>
      </c>
      <c r="G41" s="112" t="str">
        <f t="shared" si="1"/>
        <v/>
      </c>
      <c r="J41" s="112" t="str">
        <f t="shared" si="2"/>
        <v/>
      </c>
      <c r="L41" s="112" t="s">
        <v>154</v>
      </c>
      <c r="M41" s="112" t="str">
        <f t="shared" si="3"/>
        <v/>
      </c>
    </row>
    <row r="42" spans="1:13">
      <c r="A42" s="111" t="s">
        <v>340</v>
      </c>
      <c r="C42" s="112">
        <f t="shared" si="0"/>
        <v>31.5</v>
      </c>
      <c r="D42" s="139">
        <f t="shared" si="0"/>
        <v>100</v>
      </c>
      <c r="F42" s="112">
        <v>0</v>
      </c>
      <c r="G42" s="112">
        <f t="shared" si="1"/>
        <v>0</v>
      </c>
      <c r="I42" s="112">
        <v>0</v>
      </c>
      <c r="J42" s="112">
        <f t="shared" si="2"/>
        <v>0</v>
      </c>
      <c r="L42" s="112">
        <v>31.5</v>
      </c>
      <c r="M42" s="112">
        <f t="shared" si="3"/>
        <v>100</v>
      </c>
    </row>
    <row r="43" spans="1:13">
      <c r="A43" s="111" t="s">
        <v>341</v>
      </c>
      <c r="C43" s="112">
        <f t="shared" si="0"/>
        <v>35</v>
      </c>
      <c r="D43" s="139">
        <f t="shared" si="0"/>
        <v>100</v>
      </c>
      <c r="F43" s="112">
        <v>0</v>
      </c>
      <c r="G43" s="112">
        <f t="shared" si="1"/>
        <v>0</v>
      </c>
      <c r="I43" s="112">
        <v>0</v>
      </c>
      <c r="J43" s="112">
        <f t="shared" si="2"/>
        <v>0</v>
      </c>
      <c r="L43" s="112">
        <v>35</v>
      </c>
      <c r="M43" s="112">
        <f t="shared" si="3"/>
        <v>100</v>
      </c>
    </row>
    <row r="44" spans="1:13">
      <c r="A44" s="111" t="s">
        <v>342</v>
      </c>
      <c r="C44" s="112">
        <f t="shared" si="0"/>
        <v>17.625</v>
      </c>
      <c r="D44" s="139">
        <f t="shared" si="0"/>
        <v>100</v>
      </c>
      <c r="F44" s="112">
        <v>0</v>
      </c>
      <c r="G44" s="112">
        <f t="shared" si="1"/>
        <v>0</v>
      </c>
      <c r="I44" s="112">
        <v>0</v>
      </c>
      <c r="J44" s="112">
        <f t="shared" si="2"/>
        <v>0</v>
      </c>
      <c r="L44" s="112">
        <v>17.625</v>
      </c>
      <c r="M44" s="112">
        <f t="shared" si="3"/>
        <v>100</v>
      </c>
    </row>
    <row r="45" spans="1:13">
      <c r="A45" s="111" t="s">
        <v>343</v>
      </c>
      <c r="C45" s="112">
        <f t="shared" si="0"/>
        <v>31</v>
      </c>
      <c r="D45" s="139">
        <f t="shared" si="0"/>
        <v>100</v>
      </c>
      <c r="F45" s="112">
        <v>0</v>
      </c>
      <c r="G45" s="112">
        <f t="shared" si="1"/>
        <v>0</v>
      </c>
      <c r="I45" s="112">
        <v>0</v>
      </c>
      <c r="J45" s="112">
        <f t="shared" si="2"/>
        <v>0</v>
      </c>
      <c r="L45" s="112">
        <v>31</v>
      </c>
      <c r="M45" s="112">
        <f t="shared" si="3"/>
        <v>100</v>
      </c>
    </row>
    <row r="46" spans="1:13">
      <c r="A46" s="111" t="s">
        <v>344</v>
      </c>
      <c r="C46" s="112">
        <f t="shared" si="0"/>
        <v>18</v>
      </c>
      <c r="D46" s="139">
        <f t="shared" si="0"/>
        <v>100</v>
      </c>
      <c r="F46" s="112">
        <v>2</v>
      </c>
      <c r="G46" s="112">
        <f t="shared" si="1"/>
        <v>11.111111111111111</v>
      </c>
      <c r="I46" s="112">
        <v>0</v>
      </c>
      <c r="J46" s="112">
        <f t="shared" si="2"/>
        <v>0</v>
      </c>
      <c r="L46" s="112">
        <v>16</v>
      </c>
      <c r="M46" s="112">
        <f t="shared" si="3"/>
        <v>88.888888888888886</v>
      </c>
    </row>
    <row r="47" spans="1:13">
      <c r="A47" s="111" t="s">
        <v>345</v>
      </c>
      <c r="C47" s="112">
        <f t="shared" si="0"/>
        <v>87.5</v>
      </c>
      <c r="D47" s="139">
        <f t="shared" si="0"/>
        <v>100</v>
      </c>
      <c r="F47" s="112">
        <v>0</v>
      </c>
      <c r="G47" s="112">
        <f t="shared" si="1"/>
        <v>0</v>
      </c>
      <c r="I47" s="112">
        <v>0</v>
      </c>
      <c r="J47" s="112">
        <f t="shared" si="2"/>
        <v>0</v>
      </c>
      <c r="L47" s="112">
        <v>87.5</v>
      </c>
      <c r="M47" s="112">
        <f t="shared" si="3"/>
        <v>100</v>
      </c>
    </row>
    <row r="48" spans="1:13">
      <c r="A48" s="111" t="s">
        <v>346</v>
      </c>
      <c r="C48" s="112">
        <f t="shared" si="0"/>
        <v>4.5</v>
      </c>
      <c r="D48" s="139">
        <f t="shared" si="0"/>
        <v>99.999999999999986</v>
      </c>
      <c r="F48" s="112">
        <v>1.5</v>
      </c>
      <c r="G48" s="112">
        <f t="shared" si="1"/>
        <v>33.333333333333329</v>
      </c>
      <c r="I48" s="112">
        <v>0</v>
      </c>
      <c r="J48" s="112">
        <f t="shared" si="2"/>
        <v>0</v>
      </c>
      <c r="L48" s="112">
        <v>3</v>
      </c>
      <c r="M48" s="112">
        <f t="shared" si="3"/>
        <v>66.666666666666657</v>
      </c>
    </row>
    <row r="49" spans="1:13">
      <c r="A49" s="111" t="s">
        <v>347</v>
      </c>
      <c r="C49" s="112">
        <f t="shared" si="0"/>
        <v>16.5</v>
      </c>
      <c r="D49" s="139">
        <f t="shared" si="0"/>
        <v>100</v>
      </c>
      <c r="F49" s="112">
        <v>9.5</v>
      </c>
      <c r="G49" s="112">
        <f t="shared" si="1"/>
        <v>57.575757575757578</v>
      </c>
      <c r="I49" s="112">
        <v>0</v>
      </c>
      <c r="J49" s="112">
        <f t="shared" si="2"/>
        <v>0</v>
      </c>
      <c r="L49" s="112">
        <v>7</v>
      </c>
      <c r="M49" s="112">
        <f t="shared" si="3"/>
        <v>42.424242424242422</v>
      </c>
    </row>
    <row r="50" spans="1:13">
      <c r="A50" s="111" t="s">
        <v>348</v>
      </c>
      <c r="C50" s="112">
        <f t="shared" si="0"/>
        <v>41.5</v>
      </c>
      <c r="D50" s="139">
        <f t="shared" si="0"/>
        <v>100</v>
      </c>
      <c r="F50" s="112">
        <v>16</v>
      </c>
      <c r="G50" s="112">
        <f t="shared" si="1"/>
        <v>38.554216867469883</v>
      </c>
      <c r="I50" s="112">
        <v>1</v>
      </c>
      <c r="J50" s="112">
        <f t="shared" si="2"/>
        <v>2.4096385542168677</v>
      </c>
      <c r="L50" s="112">
        <v>24.5</v>
      </c>
      <c r="M50" s="112">
        <f t="shared" si="3"/>
        <v>59.036144578313255</v>
      </c>
    </row>
    <row r="51" spans="1:13">
      <c r="A51" s="111" t="s">
        <v>349</v>
      </c>
      <c r="C51" s="112">
        <f t="shared" si="0"/>
        <v>4</v>
      </c>
      <c r="D51" s="139">
        <f t="shared" si="0"/>
        <v>100</v>
      </c>
      <c r="F51" s="112">
        <v>0</v>
      </c>
      <c r="G51" s="112">
        <f t="shared" si="1"/>
        <v>0</v>
      </c>
      <c r="I51" s="112">
        <v>0</v>
      </c>
      <c r="J51" s="112">
        <f t="shared" si="2"/>
        <v>0</v>
      </c>
      <c r="L51" s="112">
        <v>4</v>
      </c>
      <c r="M51" s="112">
        <f t="shared" si="3"/>
        <v>100</v>
      </c>
    </row>
    <row r="52" spans="1:13">
      <c r="A52" s="111" t="s">
        <v>350</v>
      </c>
      <c r="C52" s="112">
        <f t="shared" si="0"/>
        <v>8</v>
      </c>
      <c r="D52" s="139">
        <f t="shared" si="0"/>
        <v>100</v>
      </c>
      <c r="F52" s="112">
        <v>0</v>
      </c>
      <c r="G52" s="112">
        <f t="shared" si="1"/>
        <v>0</v>
      </c>
      <c r="I52" s="112">
        <v>0</v>
      </c>
      <c r="J52" s="112">
        <f t="shared" si="2"/>
        <v>0</v>
      </c>
      <c r="L52" s="112">
        <v>8</v>
      </c>
      <c r="M52" s="112">
        <f t="shared" si="3"/>
        <v>100</v>
      </c>
    </row>
    <row r="53" spans="1:13" ht="7" customHeight="1">
      <c r="C53" s="112" t="str">
        <f t="shared" si="0"/>
        <v/>
      </c>
      <c r="D53" s="139" t="str">
        <f t="shared" si="0"/>
        <v/>
      </c>
      <c r="G53" s="112" t="str">
        <f t="shared" si="1"/>
        <v/>
      </c>
      <c r="J53" s="112" t="str">
        <f t="shared" si="2"/>
        <v/>
      </c>
      <c r="L53" s="112" t="s">
        <v>154</v>
      </c>
      <c r="M53" s="112" t="str">
        <f t="shared" si="3"/>
        <v/>
      </c>
    </row>
    <row r="54" spans="1:13">
      <c r="A54" s="17" t="s">
        <v>351</v>
      </c>
      <c r="C54" s="181">
        <f t="shared" si="0"/>
        <v>1</v>
      </c>
      <c r="D54" s="451">
        <f t="shared" si="0"/>
        <v>100</v>
      </c>
      <c r="E54" s="17"/>
      <c r="F54" s="181">
        <f>SUM(F56)</f>
        <v>1</v>
      </c>
      <c r="G54" s="181">
        <f t="shared" si="1"/>
        <v>100</v>
      </c>
      <c r="H54" s="181"/>
      <c r="I54" s="181">
        <f>SUM(I56)</f>
        <v>0</v>
      </c>
      <c r="J54" s="181">
        <f t="shared" si="2"/>
        <v>0</v>
      </c>
      <c r="K54" s="181"/>
      <c r="L54" s="181">
        <f>SUM(L56)</f>
        <v>0</v>
      </c>
      <c r="M54" s="181">
        <f t="shared" si="3"/>
        <v>0</v>
      </c>
    </row>
    <row r="55" spans="1:13" ht="7" customHeight="1">
      <c r="C55" s="112" t="str">
        <f t="shared" si="0"/>
        <v/>
      </c>
      <c r="D55" s="139" t="str">
        <f t="shared" si="0"/>
        <v/>
      </c>
      <c r="G55" s="112" t="str">
        <f t="shared" si="1"/>
        <v/>
      </c>
      <c r="J55" s="112" t="str">
        <f t="shared" si="2"/>
        <v/>
      </c>
      <c r="L55" s="112" t="s">
        <v>154</v>
      </c>
      <c r="M55" s="112" t="str">
        <f t="shared" si="3"/>
        <v/>
      </c>
    </row>
    <row r="56" spans="1:13">
      <c r="A56" s="26" t="s">
        <v>382</v>
      </c>
      <c r="C56" s="112">
        <f>IF($A56&lt;&gt;0,F56+I56+L56,"")</f>
        <v>1</v>
      </c>
      <c r="D56" s="139">
        <f>IF($A56&lt;&gt;0,G56+J56+M56,"")</f>
        <v>100</v>
      </c>
      <c r="F56" s="112">
        <v>1</v>
      </c>
      <c r="G56" s="112">
        <f>IF($A56&lt;&gt;0,F56/$C56*100,"")</f>
        <v>100</v>
      </c>
      <c r="I56" s="112">
        <v>0</v>
      </c>
      <c r="J56" s="112">
        <f>IF($A56&lt;&gt;0,I56/$C56*100,"")</f>
        <v>0</v>
      </c>
      <c r="L56" s="112">
        <v>0</v>
      </c>
      <c r="M56" s="112">
        <f>IF($A56&lt;&gt;0,L56/$C56*100,"")</f>
        <v>0</v>
      </c>
    </row>
    <row r="57" spans="1:13" ht="7" customHeight="1" thickBot="1">
      <c r="A57" s="124"/>
      <c r="B57" s="102"/>
      <c r="C57" s="136"/>
      <c r="D57" s="124"/>
      <c r="E57" s="124"/>
      <c r="F57" s="136"/>
      <c r="G57" s="136"/>
      <c r="H57" s="136"/>
      <c r="I57" s="136"/>
      <c r="J57" s="136"/>
      <c r="K57" s="136"/>
      <c r="L57" s="136"/>
      <c r="M57" s="136"/>
    </row>
    <row r="58" spans="1:13" ht="7" customHeight="1"/>
    <row r="59" spans="1:13" ht="13.5" customHeight="1">
      <c r="A59" s="27" t="s">
        <v>1841</v>
      </c>
    </row>
    <row r="60" spans="1:13" ht="4.5" customHeight="1">
      <c r="A60" s="27" t="s">
        <v>386</v>
      </c>
    </row>
    <row r="61" spans="1:13">
      <c r="A61" s="14" t="s">
        <v>1842</v>
      </c>
    </row>
    <row r="62" spans="1:13">
      <c r="A62" s="111" t="s">
        <v>387</v>
      </c>
    </row>
    <row r="64" spans="1:13">
      <c r="A64" s="157"/>
    </row>
  </sheetData>
  <mergeCells count="2">
    <mergeCell ref="C7:M7"/>
    <mergeCell ref="C8:D8"/>
  </mergeCells>
  <pageMargins left="0.7" right="0.7" top="0.75" bottom="0.75" header="0.3" footer="0.3"/>
  <pageSetup orientation="portrait" horizontalDpi="4294967293" verticalDpi="4294967293"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5" tint="-0.249977111117893"/>
  </sheetPr>
  <dimension ref="B2:K5"/>
  <sheetViews>
    <sheetView workbookViewId="0">
      <selection activeCell="A2" sqref="A2"/>
    </sheetView>
  </sheetViews>
  <sheetFormatPr baseColWidth="10" defaultRowHeight="15"/>
  <sheetData>
    <row r="2" spans="2:11" ht="23">
      <c r="J2" s="29"/>
    </row>
    <row r="3" spans="2:11" ht="23">
      <c r="B3" s="33"/>
      <c r="C3" s="33"/>
      <c r="D3" s="33"/>
      <c r="H3" s="30"/>
    </row>
    <row r="4" spans="2:11" ht="23">
      <c r="B4" s="546"/>
      <c r="C4" s="546"/>
      <c r="D4" s="546"/>
      <c r="H4" s="31"/>
      <c r="K4" s="32"/>
    </row>
    <row r="5" spans="2:11">
      <c r="C5" t="s">
        <v>154</v>
      </c>
    </row>
  </sheetData>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J57"/>
  <sheetViews>
    <sheetView workbookViewId="0">
      <selection activeCell="A3" sqref="A3"/>
    </sheetView>
  </sheetViews>
  <sheetFormatPr baseColWidth="10" defaultColWidth="8.83203125" defaultRowHeight="16"/>
  <cols>
    <col min="1" max="1" width="43.6640625" style="387" customWidth="1"/>
    <col min="2" max="2" width="16.6640625" style="505" customWidth="1"/>
    <col min="3" max="3" width="22.5" style="505" customWidth="1"/>
    <col min="4" max="4" width="3.5" style="288" customWidth="1"/>
    <col min="5" max="5" width="20.6640625" style="505" customWidth="1"/>
    <col min="6" max="6" width="3.5" style="505" hidden="1" customWidth="1"/>
    <col min="7" max="7" width="3" customWidth="1"/>
    <col min="8" max="8" width="11.6640625" customWidth="1"/>
    <col min="257" max="257" width="43.6640625" customWidth="1"/>
    <col min="258" max="258" width="16.6640625" customWidth="1"/>
    <col min="259" max="259" width="22.5" customWidth="1"/>
    <col min="260" max="260" width="3.5" customWidth="1"/>
    <col min="261" max="261" width="20.6640625" customWidth="1"/>
    <col min="262" max="262" width="0" hidden="1" customWidth="1"/>
    <col min="263" max="263" width="3" customWidth="1"/>
    <col min="264" max="264" width="11.6640625" customWidth="1"/>
    <col min="513" max="513" width="43.6640625" customWidth="1"/>
    <col min="514" max="514" width="16.6640625" customWidth="1"/>
    <col min="515" max="515" width="22.5" customWidth="1"/>
    <col min="516" max="516" width="3.5" customWidth="1"/>
    <col min="517" max="517" width="20.6640625" customWidth="1"/>
    <col min="518" max="518" width="0" hidden="1" customWidth="1"/>
    <col min="519" max="519" width="3" customWidth="1"/>
    <col min="520" max="520" width="11.6640625" customWidth="1"/>
    <col min="769" max="769" width="43.6640625" customWidth="1"/>
    <col min="770" max="770" width="16.6640625" customWidth="1"/>
    <col min="771" max="771" width="22.5" customWidth="1"/>
    <col min="772" max="772" width="3.5" customWidth="1"/>
    <col min="773" max="773" width="20.6640625" customWidth="1"/>
    <col min="774" max="774" width="0" hidden="1" customWidth="1"/>
    <col min="775" max="775" width="3" customWidth="1"/>
    <col min="776" max="776" width="11.6640625" customWidth="1"/>
    <col min="1025" max="1025" width="43.6640625" customWidth="1"/>
    <col min="1026" max="1026" width="16.6640625" customWidth="1"/>
    <col min="1027" max="1027" width="22.5" customWidth="1"/>
    <col min="1028" max="1028" width="3.5" customWidth="1"/>
    <col min="1029" max="1029" width="20.6640625" customWidth="1"/>
    <col min="1030" max="1030" width="0" hidden="1" customWidth="1"/>
    <col min="1031" max="1031" width="3" customWidth="1"/>
    <col min="1032" max="1032" width="11.6640625" customWidth="1"/>
    <col min="1281" max="1281" width="43.6640625" customWidth="1"/>
    <col min="1282" max="1282" width="16.6640625" customWidth="1"/>
    <col min="1283" max="1283" width="22.5" customWidth="1"/>
    <col min="1284" max="1284" width="3.5" customWidth="1"/>
    <col min="1285" max="1285" width="20.6640625" customWidth="1"/>
    <col min="1286" max="1286" width="0" hidden="1" customWidth="1"/>
    <col min="1287" max="1287" width="3" customWidth="1"/>
    <col min="1288" max="1288" width="11.6640625" customWidth="1"/>
    <col min="1537" max="1537" width="43.6640625" customWidth="1"/>
    <col min="1538" max="1538" width="16.6640625" customWidth="1"/>
    <col min="1539" max="1539" width="22.5" customWidth="1"/>
    <col min="1540" max="1540" width="3.5" customWidth="1"/>
    <col min="1541" max="1541" width="20.6640625" customWidth="1"/>
    <col min="1542" max="1542" width="0" hidden="1" customWidth="1"/>
    <col min="1543" max="1543" width="3" customWidth="1"/>
    <col min="1544" max="1544" width="11.6640625" customWidth="1"/>
    <col min="1793" max="1793" width="43.6640625" customWidth="1"/>
    <col min="1794" max="1794" width="16.6640625" customWidth="1"/>
    <col min="1795" max="1795" width="22.5" customWidth="1"/>
    <col min="1796" max="1796" width="3.5" customWidth="1"/>
    <col min="1797" max="1797" width="20.6640625" customWidth="1"/>
    <col min="1798" max="1798" width="0" hidden="1" customWidth="1"/>
    <col min="1799" max="1799" width="3" customWidth="1"/>
    <col min="1800" max="1800" width="11.6640625" customWidth="1"/>
    <col min="2049" max="2049" width="43.6640625" customWidth="1"/>
    <col min="2050" max="2050" width="16.6640625" customWidth="1"/>
    <col min="2051" max="2051" width="22.5" customWidth="1"/>
    <col min="2052" max="2052" width="3.5" customWidth="1"/>
    <col min="2053" max="2053" width="20.6640625" customWidth="1"/>
    <col min="2054" max="2054" width="0" hidden="1" customWidth="1"/>
    <col min="2055" max="2055" width="3" customWidth="1"/>
    <col min="2056" max="2056" width="11.6640625" customWidth="1"/>
    <col min="2305" max="2305" width="43.6640625" customWidth="1"/>
    <col min="2306" max="2306" width="16.6640625" customWidth="1"/>
    <col min="2307" max="2307" width="22.5" customWidth="1"/>
    <col min="2308" max="2308" width="3.5" customWidth="1"/>
    <col min="2309" max="2309" width="20.6640625" customWidth="1"/>
    <col min="2310" max="2310" width="0" hidden="1" customWidth="1"/>
    <col min="2311" max="2311" width="3" customWidth="1"/>
    <col min="2312" max="2312" width="11.6640625" customWidth="1"/>
    <col min="2561" max="2561" width="43.6640625" customWidth="1"/>
    <col min="2562" max="2562" width="16.6640625" customWidth="1"/>
    <col min="2563" max="2563" width="22.5" customWidth="1"/>
    <col min="2564" max="2564" width="3.5" customWidth="1"/>
    <col min="2565" max="2565" width="20.6640625" customWidth="1"/>
    <col min="2566" max="2566" width="0" hidden="1" customWidth="1"/>
    <col min="2567" max="2567" width="3" customWidth="1"/>
    <col min="2568" max="2568" width="11.6640625" customWidth="1"/>
    <col min="2817" max="2817" width="43.6640625" customWidth="1"/>
    <col min="2818" max="2818" width="16.6640625" customWidth="1"/>
    <col min="2819" max="2819" width="22.5" customWidth="1"/>
    <col min="2820" max="2820" width="3.5" customWidth="1"/>
    <col min="2821" max="2821" width="20.6640625" customWidth="1"/>
    <col min="2822" max="2822" width="0" hidden="1" customWidth="1"/>
    <col min="2823" max="2823" width="3" customWidth="1"/>
    <col min="2824" max="2824" width="11.6640625" customWidth="1"/>
    <col min="3073" max="3073" width="43.6640625" customWidth="1"/>
    <col min="3074" max="3074" width="16.6640625" customWidth="1"/>
    <col min="3075" max="3075" width="22.5" customWidth="1"/>
    <col min="3076" max="3076" width="3.5" customWidth="1"/>
    <col min="3077" max="3077" width="20.6640625" customWidth="1"/>
    <col min="3078" max="3078" width="0" hidden="1" customWidth="1"/>
    <col min="3079" max="3079" width="3" customWidth="1"/>
    <col min="3080" max="3080" width="11.6640625" customWidth="1"/>
    <col min="3329" max="3329" width="43.6640625" customWidth="1"/>
    <col min="3330" max="3330" width="16.6640625" customWidth="1"/>
    <col min="3331" max="3331" width="22.5" customWidth="1"/>
    <col min="3332" max="3332" width="3.5" customWidth="1"/>
    <col min="3333" max="3333" width="20.6640625" customWidth="1"/>
    <col min="3334" max="3334" width="0" hidden="1" customWidth="1"/>
    <col min="3335" max="3335" width="3" customWidth="1"/>
    <col min="3336" max="3336" width="11.6640625" customWidth="1"/>
    <col min="3585" max="3585" width="43.6640625" customWidth="1"/>
    <col min="3586" max="3586" width="16.6640625" customWidth="1"/>
    <col min="3587" max="3587" width="22.5" customWidth="1"/>
    <col min="3588" max="3588" width="3.5" customWidth="1"/>
    <col min="3589" max="3589" width="20.6640625" customWidth="1"/>
    <col min="3590" max="3590" width="0" hidden="1" customWidth="1"/>
    <col min="3591" max="3591" width="3" customWidth="1"/>
    <col min="3592" max="3592" width="11.6640625" customWidth="1"/>
    <col min="3841" max="3841" width="43.6640625" customWidth="1"/>
    <col min="3842" max="3842" width="16.6640625" customWidth="1"/>
    <col min="3843" max="3843" width="22.5" customWidth="1"/>
    <col min="3844" max="3844" width="3.5" customWidth="1"/>
    <col min="3845" max="3845" width="20.6640625" customWidth="1"/>
    <col min="3846" max="3846" width="0" hidden="1" customWidth="1"/>
    <col min="3847" max="3847" width="3" customWidth="1"/>
    <col min="3848" max="3848" width="11.6640625" customWidth="1"/>
    <col min="4097" max="4097" width="43.6640625" customWidth="1"/>
    <col min="4098" max="4098" width="16.6640625" customWidth="1"/>
    <col min="4099" max="4099" width="22.5" customWidth="1"/>
    <col min="4100" max="4100" width="3.5" customWidth="1"/>
    <col min="4101" max="4101" width="20.6640625" customWidth="1"/>
    <col min="4102" max="4102" width="0" hidden="1" customWidth="1"/>
    <col min="4103" max="4103" width="3" customWidth="1"/>
    <col min="4104" max="4104" width="11.6640625" customWidth="1"/>
    <col min="4353" max="4353" width="43.6640625" customWidth="1"/>
    <col min="4354" max="4354" width="16.6640625" customWidth="1"/>
    <col min="4355" max="4355" width="22.5" customWidth="1"/>
    <col min="4356" max="4356" width="3.5" customWidth="1"/>
    <col min="4357" max="4357" width="20.6640625" customWidth="1"/>
    <col min="4358" max="4358" width="0" hidden="1" customWidth="1"/>
    <col min="4359" max="4359" width="3" customWidth="1"/>
    <col min="4360" max="4360" width="11.6640625" customWidth="1"/>
    <col min="4609" max="4609" width="43.6640625" customWidth="1"/>
    <col min="4610" max="4610" width="16.6640625" customWidth="1"/>
    <col min="4611" max="4611" width="22.5" customWidth="1"/>
    <col min="4612" max="4612" width="3.5" customWidth="1"/>
    <col min="4613" max="4613" width="20.6640625" customWidth="1"/>
    <col min="4614" max="4614" width="0" hidden="1" customWidth="1"/>
    <col min="4615" max="4615" width="3" customWidth="1"/>
    <col min="4616" max="4616" width="11.6640625" customWidth="1"/>
    <col min="4865" max="4865" width="43.6640625" customWidth="1"/>
    <col min="4866" max="4866" width="16.6640625" customWidth="1"/>
    <col min="4867" max="4867" width="22.5" customWidth="1"/>
    <col min="4868" max="4868" width="3.5" customWidth="1"/>
    <col min="4869" max="4869" width="20.6640625" customWidth="1"/>
    <col min="4870" max="4870" width="0" hidden="1" customWidth="1"/>
    <col min="4871" max="4871" width="3" customWidth="1"/>
    <col min="4872" max="4872" width="11.6640625" customWidth="1"/>
    <col min="5121" max="5121" width="43.6640625" customWidth="1"/>
    <col min="5122" max="5122" width="16.6640625" customWidth="1"/>
    <col min="5123" max="5123" width="22.5" customWidth="1"/>
    <col min="5124" max="5124" width="3.5" customWidth="1"/>
    <col min="5125" max="5125" width="20.6640625" customWidth="1"/>
    <col min="5126" max="5126" width="0" hidden="1" customWidth="1"/>
    <col min="5127" max="5127" width="3" customWidth="1"/>
    <col min="5128" max="5128" width="11.6640625" customWidth="1"/>
    <col min="5377" max="5377" width="43.6640625" customWidth="1"/>
    <col min="5378" max="5378" width="16.6640625" customWidth="1"/>
    <col min="5379" max="5379" width="22.5" customWidth="1"/>
    <col min="5380" max="5380" width="3.5" customWidth="1"/>
    <col min="5381" max="5381" width="20.6640625" customWidth="1"/>
    <col min="5382" max="5382" width="0" hidden="1" customWidth="1"/>
    <col min="5383" max="5383" width="3" customWidth="1"/>
    <col min="5384" max="5384" width="11.6640625" customWidth="1"/>
    <col min="5633" max="5633" width="43.6640625" customWidth="1"/>
    <col min="5634" max="5634" width="16.6640625" customWidth="1"/>
    <col min="5635" max="5635" width="22.5" customWidth="1"/>
    <col min="5636" max="5636" width="3.5" customWidth="1"/>
    <col min="5637" max="5637" width="20.6640625" customWidth="1"/>
    <col min="5638" max="5638" width="0" hidden="1" customWidth="1"/>
    <col min="5639" max="5639" width="3" customWidth="1"/>
    <col min="5640" max="5640" width="11.6640625" customWidth="1"/>
    <col min="5889" max="5889" width="43.6640625" customWidth="1"/>
    <col min="5890" max="5890" width="16.6640625" customWidth="1"/>
    <col min="5891" max="5891" width="22.5" customWidth="1"/>
    <col min="5892" max="5892" width="3.5" customWidth="1"/>
    <col min="5893" max="5893" width="20.6640625" customWidth="1"/>
    <col min="5894" max="5894" width="0" hidden="1" customWidth="1"/>
    <col min="5895" max="5895" width="3" customWidth="1"/>
    <col min="5896" max="5896" width="11.6640625" customWidth="1"/>
    <col min="6145" max="6145" width="43.6640625" customWidth="1"/>
    <col min="6146" max="6146" width="16.6640625" customWidth="1"/>
    <col min="6147" max="6147" width="22.5" customWidth="1"/>
    <col min="6148" max="6148" width="3.5" customWidth="1"/>
    <col min="6149" max="6149" width="20.6640625" customWidth="1"/>
    <col min="6150" max="6150" width="0" hidden="1" customWidth="1"/>
    <col min="6151" max="6151" width="3" customWidth="1"/>
    <col min="6152" max="6152" width="11.6640625" customWidth="1"/>
    <col min="6401" max="6401" width="43.6640625" customWidth="1"/>
    <col min="6402" max="6402" width="16.6640625" customWidth="1"/>
    <col min="6403" max="6403" width="22.5" customWidth="1"/>
    <col min="6404" max="6404" width="3.5" customWidth="1"/>
    <col min="6405" max="6405" width="20.6640625" customWidth="1"/>
    <col min="6406" max="6406" width="0" hidden="1" customWidth="1"/>
    <col min="6407" max="6407" width="3" customWidth="1"/>
    <col min="6408" max="6408" width="11.6640625" customWidth="1"/>
    <col min="6657" max="6657" width="43.6640625" customWidth="1"/>
    <col min="6658" max="6658" width="16.6640625" customWidth="1"/>
    <col min="6659" max="6659" width="22.5" customWidth="1"/>
    <col min="6660" max="6660" width="3.5" customWidth="1"/>
    <col min="6661" max="6661" width="20.6640625" customWidth="1"/>
    <col min="6662" max="6662" width="0" hidden="1" customWidth="1"/>
    <col min="6663" max="6663" width="3" customWidth="1"/>
    <col min="6664" max="6664" width="11.6640625" customWidth="1"/>
    <col min="6913" max="6913" width="43.6640625" customWidth="1"/>
    <col min="6914" max="6914" width="16.6640625" customWidth="1"/>
    <col min="6915" max="6915" width="22.5" customWidth="1"/>
    <col min="6916" max="6916" width="3.5" customWidth="1"/>
    <col min="6917" max="6917" width="20.6640625" customWidth="1"/>
    <col min="6918" max="6918" width="0" hidden="1" customWidth="1"/>
    <col min="6919" max="6919" width="3" customWidth="1"/>
    <col min="6920" max="6920" width="11.6640625" customWidth="1"/>
    <col min="7169" max="7169" width="43.6640625" customWidth="1"/>
    <col min="7170" max="7170" width="16.6640625" customWidth="1"/>
    <col min="7171" max="7171" width="22.5" customWidth="1"/>
    <col min="7172" max="7172" width="3.5" customWidth="1"/>
    <col min="7173" max="7173" width="20.6640625" customWidth="1"/>
    <col min="7174" max="7174" width="0" hidden="1" customWidth="1"/>
    <col min="7175" max="7175" width="3" customWidth="1"/>
    <col min="7176" max="7176" width="11.6640625" customWidth="1"/>
    <col min="7425" max="7425" width="43.6640625" customWidth="1"/>
    <col min="7426" max="7426" width="16.6640625" customWidth="1"/>
    <col min="7427" max="7427" width="22.5" customWidth="1"/>
    <col min="7428" max="7428" width="3.5" customWidth="1"/>
    <col min="7429" max="7429" width="20.6640625" customWidth="1"/>
    <col min="7430" max="7430" width="0" hidden="1" customWidth="1"/>
    <col min="7431" max="7431" width="3" customWidth="1"/>
    <col min="7432" max="7432" width="11.6640625" customWidth="1"/>
    <col min="7681" max="7681" width="43.6640625" customWidth="1"/>
    <col min="7682" max="7682" width="16.6640625" customWidth="1"/>
    <col min="7683" max="7683" width="22.5" customWidth="1"/>
    <col min="7684" max="7684" width="3.5" customWidth="1"/>
    <col min="7685" max="7685" width="20.6640625" customWidth="1"/>
    <col min="7686" max="7686" width="0" hidden="1" customWidth="1"/>
    <col min="7687" max="7687" width="3" customWidth="1"/>
    <col min="7688" max="7688" width="11.6640625" customWidth="1"/>
    <col min="7937" max="7937" width="43.6640625" customWidth="1"/>
    <col min="7938" max="7938" width="16.6640625" customWidth="1"/>
    <col min="7939" max="7939" width="22.5" customWidth="1"/>
    <col min="7940" max="7940" width="3.5" customWidth="1"/>
    <col min="7941" max="7941" width="20.6640625" customWidth="1"/>
    <col min="7942" max="7942" width="0" hidden="1" customWidth="1"/>
    <col min="7943" max="7943" width="3" customWidth="1"/>
    <col min="7944" max="7944" width="11.6640625" customWidth="1"/>
    <col min="8193" max="8193" width="43.6640625" customWidth="1"/>
    <col min="8194" max="8194" width="16.6640625" customWidth="1"/>
    <col min="8195" max="8195" width="22.5" customWidth="1"/>
    <col min="8196" max="8196" width="3.5" customWidth="1"/>
    <col min="8197" max="8197" width="20.6640625" customWidth="1"/>
    <col min="8198" max="8198" width="0" hidden="1" customWidth="1"/>
    <col min="8199" max="8199" width="3" customWidth="1"/>
    <col min="8200" max="8200" width="11.6640625" customWidth="1"/>
    <col min="8449" max="8449" width="43.6640625" customWidth="1"/>
    <col min="8450" max="8450" width="16.6640625" customWidth="1"/>
    <col min="8451" max="8451" width="22.5" customWidth="1"/>
    <col min="8452" max="8452" width="3.5" customWidth="1"/>
    <col min="8453" max="8453" width="20.6640625" customWidth="1"/>
    <col min="8454" max="8454" width="0" hidden="1" customWidth="1"/>
    <col min="8455" max="8455" width="3" customWidth="1"/>
    <col min="8456" max="8456" width="11.6640625" customWidth="1"/>
    <col min="8705" max="8705" width="43.6640625" customWidth="1"/>
    <col min="8706" max="8706" width="16.6640625" customWidth="1"/>
    <col min="8707" max="8707" width="22.5" customWidth="1"/>
    <col min="8708" max="8708" width="3.5" customWidth="1"/>
    <col min="8709" max="8709" width="20.6640625" customWidth="1"/>
    <col min="8710" max="8710" width="0" hidden="1" customWidth="1"/>
    <col min="8711" max="8711" width="3" customWidth="1"/>
    <col min="8712" max="8712" width="11.6640625" customWidth="1"/>
    <col min="8961" max="8961" width="43.6640625" customWidth="1"/>
    <col min="8962" max="8962" width="16.6640625" customWidth="1"/>
    <col min="8963" max="8963" width="22.5" customWidth="1"/>
    <col min="8964" max="8964" width="3.5" customWidth="1"/>
    <col min="8965" max="8965" width="20.6640625" customWidth="1"/>
    <col min="8966" max="8966" width="0" hidden="1" customWidth="1"/>
    <col min="8967" max="8967" width="3" customWidth="1"/>
    <col min="8968" max="8968" width="11.6640625" customWidth="1"/>
    <col min="9217" max="9217" width="43.6640625" customWidth="1"/>
    <col min="9218" max="9218" width="16.6640625" customWidth="1"/>
    <col min="9219" max="9219" width="22.5" customWidth="1"/>
    <col min="9220" max="9220" width="3.5" customWidth="1"/>
    <col min="9221" max="9221" width="20.6640625" customWidth="1"/>
    <col min="9222" max="9222" width="0" hidden="1" customWidth="1"/>
    <col min="9223" max="9223" width="3" customWidth="1"/>
    <col min="9224" max="9224" width="11.6640625" customWidth="1"/>
    <col min="9473" max="9473" width="43.6640625" customWidth="1"/>
    <col min="9474" max="9474" width="16.6640625" customWidth="1"/>
    <col min="9475" max="9475" width="22.5" customWidth="1"/>
    <col min="9476" max="9476" width="3.5" customWidth="1"/>
    <col min="9477" max="9477" width="20.6640625" customWidth="1"/>
    <col min="9478" max="9478" width="0" hidden="1" customWidth="1"/>
    <col min="9479" max="9479" width="3" customWidth="1"/>
    <col min="9480" max="9480" width="11.6640625" customWidth="1"/>
    <col min="9729" max="9729" width="43.6640625" customWidth="1"/>
    <col min="9730" max="9730" width="16.6640625" customWidth="1"/>
    <col min="9731" max="9731" width="22.5" customWidth="1"/>
    <col min="9732" max="9732" width="3.5" customWidth="1"/>
    <col min="9733" max="9733" width="20.6640625" customWidth="1"/>
    <col min="9734" max="9734" width="0" hidden="1" customWidth="1"/>
    <col min="9735" max="9735" width="3" customWidth="1"/>
    <col min="9736" max="9736" width="11.6640625" customWidth="1"/>
    <col min="9985" max="9985" width="43.6640625" customWidth="1"/>
    <col min="9986" max="9986" width="16.6640625" customWidth="1"/>
    <col min="9987" max="9987" width="22.5" customWidth="1"/>
    <col min="9988" max="9988" width="3.5" customWidth="1"/>
    <col min="9989" max="9989" width="20.6640625" customWidth="1"/>
    <col min="9990" max="9990" width="0" hidden="1" customWidth="1"/>
    <col min="9991" max="9991" width="3" customWidth="1"/>
    <col min="9992" max="9992" width="11.6640625" customWidth="1"/>
    <col min="10241" max="10241" width="43.6640625" customWidth="1"/>
    <col min="10242" max="10242" width="16.6640625" customWidth="1"/>
    <col min="10243" max="10243" width="22.5" customWidth="1"/>
    <col min="10244" max="10244" width="3.5" customWidth="1"/>
    <col min="10245" max="10245" width="20.6640625" customWidth="1"/>
    <col min="10246" max="10246" width="0" hidden="1" customWidth="1"/>
    <col min="10247" max="10247" width="3" customWidth="1"/>
    <col min="10248" max="10248" width="11.6640625" customWidth="1"/>
    <col min="10497" max="10497" width="43.6640625" customWidth="1"/>
    <col min="10498" max="10498" width="16.6640625" customWidth="1"/>
    <col min="10499" max="10499" width="22.5" customWidth="1"/>
    <col min="10500" max="10500" width="3.5" customWidth="1"/>
    <col min="10501" max="10501" width="20.6640625" customWidth="1"/>
    <col min="10502" max="10502" width="0" hidden="1" customWidth="1"/>
    <col min="10503" max="10503" width="3" customWidth="1"/>
    <col min="10504" max="10504" width="11.6640625" customWidth="1"/>
    <col min="10753" max="10753" width="43.6640625" customWidth="1"/>
    <col min="10754" max="10754" width="16.6640625" customWidth="1"/>
    <col min="10755" max="10755" width="22.5" customWidth="1"/>
    <col min="10756" max="10756" width="3.5" customWidth="1"/>
    <col min="10757" max="10757" width="20.6640625" customWidth="1"/>
    <col min="10758" max="10758" width="0" hidden="1" customWidth="1"/>
    <col min="10759" max="10759" width="3" customWidth="1"/>
    <col min="10760" max="10760" width="11.6640625" customWidth="1"/>
    <col min="11009" max="11009" width="43.6640625" customWidth="1"/>
    <col min="11010" max="11010" width="16.6640625" customWidth="1"/>
    <col min="11011" max="11011" width="22.5" customWidth="1"/>
    <col min="11012" max="11012" width="3.5" customWidth="1"/>
    <col min="11013" max="11013" width="20.6640625" customWidth="1"/>
    <col min="11014" max="11014" width="0" hidden="1" customWidth="1"/>
    <col min="11015" max="11015" width="3" customWidth="1"/>
    <col min="11016" max="11016" width="11.6640625" customWidth="1"/>
    <col min="11265" max="11265" width="43.6640625" customWidth="1"/>
    <col min="11266" max="11266" width="16.6640625" customWidth="1"/>
    <col min="11267" max="11267" width="22.5" customWidth="1"/>
    <col min="11268" max="11268" width="3.5" customWidth="1"/>
    <col min="11269" max="11269" width="20.6640625" customWidth="1"/>
    <col min="11270" max="11270" width="0" hidden="1" customWidth="1"/>
    <col min="11271" max="11271" width="3" customWidth="1"/>
    <col min="11272" max="11272" width="11.6640625" customWidth="1"/>
    <col min="11521" max="11521" width="43.6640625" customWidth="1"/>
    <col min="11522" max="11522" width="16.6640625" customWidth="1"/>
    <col min="11523" max="11523" width="22.5" customWidth="1"/>
    <col min="11524" max="11524" width="3.5" customWidth="1"/>
    <col min="11525" max="11525" width="20.6640625" customWidth="1"/>
    <col min="11526" max="11526" width="0" hidden="1" customWidth="1"/>
    <col min="11527" max="11527" width="3" customWidth="1"/>
    <col min="11528" max="11528" width="11.6640625" customWidth="1"/>
    <col min="11777" max="11777" width="43.6640625" customWidth="1"/>
    <col min="11778" max="11778" width="16.6640625" customWidth="1"/>
    <col min="11779" max="11779" width="22.5" customWidth="1"/>
    <col min="11780" max="11780" width="3.5" customWidth="1"/>
    <col min="11781" max="11781" width="20.6640625" customWidth="1"/>
    <col min="11782" max="11782" width="0" hidden="1" customWidth="1"/>
    <col min="11783" max="11783" width="3" customWidth="1"/>
    <col min="11784" max="11784" width="11.6640625" customWidth="1"/>
    <col min="12033" max="12033" width="43.6640625" customWidth="1"/>
    <col min="12034" max="12034" width="16.6640625" customWidth="1"/>
    <col min="12035" max="12035" width="22.5" customWidth="1"/>
    <col min="12036" max="12036" width="3.5" customWidth="1"/>
    <col min="12037" max="12037" width="20.6640625" customWidth="1"/>
    <col min="12038" max="12038" width="0" hidden="1" customWidth="1"/>
    <col min="12039" max="12039" width="3" customWidth="1"/>
    <col min="12040" max="12040" width="11.6640625" customWidth="1"/>
    <col min="12289" max="12289" width="43.6640625" customWidth="1"/>
    <col min="12290" max="12290" width="16.6640625" customWidth="1"/>
    <col min="12291" max="12291" width="22.5" customWidth="1"/>
    <col min="12292" max="12292" width="3.5" customWidth="1"/>
    <col min="12293" max="12293" width="20.6640625" customWidth="1"/>
    <col min="12294" max="12294" width="0" hidden="1" customWidth="1"/>
    <col min="12295" max="12295" width="3" customWidth="1"/>
    <col min="12296" max="12296" width="11.6640625" customWidth="1"/>
    <col min="12545" max="12545" width="43.6640625" customWidth="1"/>
    <col min="12546" max="12546" width="16.6640625" customWidth="1"/>
    <col min="12547" max="12547" width="22.5" customWidth="1"/>
    <col min="12548" max="12548" width="3.5" customWidth="1"/>
    <col min="12549" max="12549" width="20.6640625" customWidth="1"/>
    <col min="12550" max="12550" width="0" hidden="1" customWidth="1"/>
    <col min="12551" max="12551" width="3" customWidth="1"/>
    <col min="12552" max="12552" width="11.6640625" customWidth="1"/>
    <col min="12801" max="12801" width="43.6640625" customWidth="1"/>
    <col min="12802" max="12802" width="16.6640625" customWidth="1"/>
    <col min="12803" max="12803" width="22.5" customWidth="1"/>
    <col min="12804" max="12804" width="3.5" customWidth="1"/>
    <col min="12805" max="12805" width="20.6640625" customWidth="1"/>
    <col min="12806" max="12806" width="0" hidden="1" customWidth="1"/>
    <col min="12807" max="12807" width="3" customWidth="1"/>
    <col min="12808" max="12808" width="11.6640625" customWidth="1"/>
    <col min="13057" max="13057" width="43.6640625" customWidth="1"/>
    <col min="13058" max="13058" width="16.6640625" customWidth="1"/>
    <col min="13059" max="13059" width="22.5" customWidth="1"/>
    <col min="13060" max="13060" width="3.5" customWidth="1"/>
    <col min="13061" max="13061" width="20.6640625" customWidth="1"/>
    <col min="13062" max="13062" width="0" hidden="1" customWidth="1"/>
    <col min="13063" max="13063" width="3" customWidth="1"/>
    <col min="13064" max="13064" width="11.6640625" customWidth="1"/>
    <col min="13313" max="13313" width="43.6640625" customWidth="1"/>
    <col min="13314" max="13314" width="16.6640625" customWidth="1"/>
    <col min="13315" max="13315" width="22.5" customWidth="1"/>
    <col min="13316" max="13316" width="3.5" customWidth="1"/>
    <col min="13317" max="13317" width="20.6640625" customWidth="1"/>
    <col min="13318" max="13318" width="0" hidden="1" customWidth="1"/>
    <col min="13319" max="13319" width="3" customWidth="1"/>
    <col min="13320" max="13320" width="11.6640625" customWidth="1"/>
    <col min="13569" max="13569" width="43.6640625" customWidth="1"/>
    <col min="13570" max="13570" width="16.6640625" customWidth="1"/>
    <col min="13571" max="13571" width="22.5" customWidth="1"/>
    <col min="13572" max="13572" width="3.5" customWidth="1"/>
    <col min="13573" max="13573" width="20.6640625" customWidth="1"/>
    <col min="13574" max="13574" width="0" hidden="1" customWidth="1"/>
    <col min="13575" max="13575" width="3" customWidth="1"/>
    <col min="13576" max="13576" width="11.6640625" customWidth="1"/>
    <col min="13825" max="13825" width="43.6640625" customWidth="1"/>
    <col min="13826" max="13826" width="16.6640625" customWidth="1"/>
    <col min="13827" max="13827" width="22.5" customWidth="1"/>
    <col min="13828" max="13828" width="3.5" customWidth="1"/>
    <col min="13829" max="13829" width="20.6640625" customWidth="1"/>
    <col min="13830" max="13830" width="0" hidden="1" customWidth="1"/>
    <col min="13831" max="13831" width="3" customWidth="1"/>
    <col min="13832" max="13832" width="11.6640625" customWidth="1"/>
    <col min="14081" max="14081" width="43.6640625" customWidth="1"/>
    <col min="14082" max="14082" width="16.6640625" customWidth="1"/>
    <col min="14083" max="14083" width="22.5" customWidth="1"/>
    <col min="14084" max="14084" width="3.5" customWidth="1"/>
    <col min="14085" max="14085" width="20.6640625" customWidth="1"/>
    <col min="14086" max="14086" width="0" hidden="1" customWidth="1"/>
    <col min="14087" max="14087" width="3" customWidth="1"/>
    <col min="14088" max="14088" width="11.6640625" customWidth="1"/>
    <col min="14337" max="14337" width="43.6640625" customWidth="1"/>
    <col min="14338" max="14338" width="16.6640625" customWidth="1"/>
    <col min="14339" max="14339" width="22.5" customWidth="1"/>
    <col min="14340" max="14340" width="3.5" customWidth="1"/>
    <col min="14341" max="14341" width="20.6640625" customWidth="1"/>
    <col min="14342" max="14342" width="0" hidden="1" customWidth="1"/>
    <col min="14343" max="14343" width="3" customWidth="1"/>
    <col min="14344" max="14344" width="11.6640625" customWidth="1"/>
    <col min="14593" max="14593" width="43.6640625" customWidth="1"/>
    <col min="14594" max="14594" width="16.6640625" customWidth="1"/>
    <col min="14595" max="14595" width="22.5" customWidth="1"/>
    <col min="14596" max="14596" width="3.5" customWidth="1"/>
    <col min="14597" max="14597" width="20.6640625" customWidth="1"/>
    <col min="14598" max="14598" width="0" hidden="1" customWidth="1"/>
    <col min="14599" max="14599" width="3" customWidth="1"/>
    <col min="14600" max="14600" width="11.6640625" customWidth="1"/>
    <col min="14849" max="14849" width="43.6640625" customWidth="1"/>
    <col min="14850" max="14850" width="16.6640625" customWidth="1"/>
    <col min="14851" max="14851" width="22.5" customWidth="1"/>
    <col min="14852" max="14852" width="3.5" customWidth="1"/>
    <col min="14853" max="14853" width="20.6640625" customWidth="1"/>
    <col min="14854" max="14854" width="0" hidden="1" customWidth="1"/>
    <col min="14855" max="14855" width="3" customWidth="1"/>
    <col min="14856" max="14856" width="11.6640625" customWidth="1"/>
    <col min="15105" max="15105" width="43.6640625" customWidth="1"/>
    <col min="15106" max="15106" width="16.6640625" customWidth="1"/>
    <col min="15107" max="15107" width="22.5" customWidth="1"/>
    <col min="15108" max="15108" width="3.5" customWidth="1"/>
    <col min="15109" max="15109" width="20.6640625" customWidth="1"/>
    <col min="15110" max="15110" width="0" hidden="1" customWidth="1"/>
    <col min="15111" max="15111" width="3" customWidth="1"/>
    <col min="15112" max="15112" width="11.6640625" customWidth="1"/>
    <col min="15361" max="15361" width="43.6640625" customWidth="1"/>
    <col min="15362" max="15362" width="16.6640625" customWidth="1"/>
    <col min="15363" max="15363" width="22.5" customWidth="1"/>
    <col min="15364" max="15364" width="3.5" customWidth="1"/>
    <col min="15365" max="15365" width="20.6640625" customWidth="1"/>
    <col min="15366" max="15366" width="0" hidden="1" customWidth="1"/>
    <col min="15367" max="15367" width="3" customWidth="1"/>
    <col min="15368" max="15368" width="11.6640625" customWidth="1"/>
    <col min="15617" max="15617" width="43.6640625" customWidth="1"/>
    <col min="15618" max="15618" width="16.6640625" customWidth="1"/>
    <col min="15619" max="15619" width="22.5" customWidth="1"/>
    <col min="15620" max="15620" width="3.5" customWidth="1"/>
    <col min="15621" max="15621" width="20.6640625" customWidth="1"/>
    <col min="15622" max="15622" width="0" hidden="1" customWidth="1"/>
    <col min="15623" max="15623" width="3" customWidth="1"/>
    <col min="15624" max="15624" width="11.6640625" customWidth="1"/>
    <col min="15873" max="15873" width="43.6640625" customWidth="1"/>
    <col min="15874" max="15874" width="16.6640625" customWidth="1"/>
    <col min="15875" max="15875" width="22.5" customWidth="1"/>
    <col min="15876" max="15876" width="3.5" customWidth="1"/>
    <col min="15877" max="15877" width="20.6640625" customWidth="1"/>
    <col min="15878" max="15878" width="0" hidden="1" customWidth="1"/>
    <col min="15879" max="15879" width="3" customWidth="1"/>
    <col min="15880" max="15880" width="11.6640625" customWidth="1"/>
    <col min="16129" max="16129" width="43.6640625" customWidth="1"/>
    <col min="16130" max="16130" width="16.6640625" customWidth="1"/>
    <col min="16131" max="16131" width="22.5" customWidth="1"/>
    <col min="16132" max="16132" width="3.5" customWidth="1"/>
    <col min="16133" max="16133" width="20.6640625" customWidth="1"/>
    <col min="16134" max="16134" width="0" hidden="1" customWidth="1"/>
    <col min="16135" max="16135" width="3" customWidth="1"/>
    <col min="16136" max="16136" width="11.6640625" customWidth="1"/>
  </cols>
  <sheetData>
    <row r="1" spans="1:7" ht="17" customHeight="1">
      <c r="A1" s="387" t="s">
        <v>144</v>
      </c>
      <c r="B1"/>
      <c r="C1" s="28"/>
    </row>
    <row r="2" spans="1:7" ht="17" customHeight="1">
      <c r="A2" s="387" t="s">
        <v>145</v>
      </c>
      <c r="B2"/>
      <c r="C2" s="28"/>
    </row>
    <row r="3" spans="1:7" ht="13.5" customHeight="1">
      <c r="C3" s="506"/>
      <c r="D3" s="373"/>
    </row>
    <row r="4" spans="1:7" ht="17" customHeight="1">
      <c r="A4" s="387" t="s">
        <v>2216</v>
      </c>
      <c r="F4" s="505" t="s">
        <v>1741</v>
      </c>
    </row>
    <row r="5" spans="1:7" ht="13.5" customHeight="1">
      <c r="A5" s="387" t="s">
        <v>2217</v>
      </c>
    </row>
    <row r="6" spans="1:7" ht="13.5" customHeight="1" thickBot="1">
      <c r="G6" s="505"/>
    </row>
    <row r="7" spans="1:7" ht="15" customHeight="1">
      <c r="A7" s="464"/>
      <c r="B7" s="708"/>
      <c r="C7" s="708"/>
      <c r="D7" s="375"/>
      <c r="E7" s="708"/>
      <c r="F7" s="708"/>
      <c r="G7" s="708"/>
    </row>
    <row r="8" spans="1:7" ht="15" customHeight="1">
      <c r="A8" s="388" t="s">
        <v>1742</v>
      </c>
      <c r="B8" s="389" t="s">
        <v>1648</v>
      </c>
      <c r="C8" s="389" t="s">
        <v>1743</v>
      </c>
      <c r="D8" s="296"/>
      <c r="E8" s="389" t="s">
        <v>1744</v>
      </c>
      <c r="F8" s="709"/>
    </row>
    <row r="9" spans="1:7" ht="15" customHeight="1">
      <c r="A9" s="388"/>
      <c r="B9" s="389" t="s">
        <v>1745</v>
      </c>
      <c r="C9" s="389"/>
      <c r="D9" s="296"/>
      <c r="E9" s="389" t="s">
        <v>1746</v>
      </c>
      <c r="F9" s="709"/>
    </row>
    <row r="10" spans="1:7" ht="15" customHeight="1" thickBot="1">
      <c r="A10" s="463"/>
      <c r="B10" s="463"/>
      <c r="C10" s="710"/>
      <c r="D10" s="293"/>
      <c r="E10" s="463"/>
      <c r="F10" s="710"/>
    </row>
    <row r="11" spans="1:7" ht="15" customHeight="1">
      <c r="A11" s="388"/>
      <c r="B11" s="388"/>
      <c r="C11" s="711"/>
      <c r="D11" s="379"/>
      <c r="E11" s="389"/>
      <c r="F11" s="711"/>
      <c r="G11" s="708"/>
    </row>
    <row r="12" spans="1:7" ht="15" customHeight="1">
      <c r="A12" s="493" t="s">
        <v>1747</v>
      </c>
      <c r="B12" s="1009">
        <f>SUM(B14+B16)</f>
        <v>286</v>
      </c>
      <c r="C12" s="1010">
        <f>SUM(C14+C16)</f>
        <v>2406608030.9000001</v>
      </c>
      <c r="D12" s="639"/>
      <c r="E12" s="1010">
        <f>IF(B12&lt;&gt;0,C12/B12,"")</f>
        <v>8414713.3947552443</v>
      </c>
      <c r="F12" s="711"/>
    </row>
    <row r="13" spans="1:7" ht="15" customHeight="1">
      <c r="A13" s="388"/>
      <c r="B13" s="711"/>
      <c r="C13" s="713"/>
      <c r="D13" s="379"/>
      <c r="E13" s="713"/>
      <c r="F13" s="711"/>
    </row>
    <row r="14" spans="1:7" ht="15" customHeight="1">
      <c r="A14" s="387" t="s">
        <v>1748</v>
      </c>
      <c r="B14" s="714">
        <v>252</v>
      </c>
      <c r="C14" s="715">
        <f>E14*B14</f>
        <v>2343967511.7600002</v>
      </c>
      <c r="E14" s="712">
        <v>9301458.3800000008</v>
      </c>
    </row>
    <row r="15" spans="1:7" ht="15" customHeight="1">
      <c r="B15" s="714"/>
      <c r="C15" s="715"/>
      <c r="E15" s="716"/>
    </row>
    <row r="16" spans="1:7" ht="15" customHeight="1">
      <c r="A16" s="387" t="s">
        <v>1749</v>
      </c>
      <c r="B16" s="717">
        <v>34</v>
      </c>
      <c r="C16" s="715">
        <f>E16*B16</f>
        <v>62640519.140000001</v>
      </c>
      <c r="D16" s="290"/>
      <c r="E16" s="715">
        <v>1842368.21</v>
      </c>
    </row>
    <row r="17" spans="1:8" ht="15" customHeight="1" thickBot="1"/>
    <row r="18" spans="1:8" ht="15" customHeight="1">
      <c r="A18" s="464"/>
      <c r="B18" s="708"/>
      <c r="C18" s="708"/>
      <c r="D18" s="375"/>
      <c r="E18" s="708"/>
      <c r="F18" s="708"/>
      <c r="G18" s="708"/>
    </row>
    <row r="19" spans="1:8" ht="15" customHeight="1">
      <c r="A19" s="387" t="s">
        <v>1750</v>
      </c>
    </row>
    <row r="20" spans="1:8" ht="15" customHeight="1">
      <c r="A20" s="387" t="s">
        <v>452</v>
      </c>
    </row>
    <row r="21" spans="1:8">
      <c r="C21" s="502"/>
    </row>
    <row r="23" spans="1:8">
      <c r="A23" s="502"/>
    </row>
    <row r="24" spans="1:8">
      <c r="A24" s="502"/>
    </row>
    <row r="25" spans="1:8" hidden="1">
      <c r="A25" s="502"/>
    </row>
    <row r="26" spans="1:8" hidden="1">
      <c r="A26" s="502"/>
      <c r="H26" s="387"/>
    </row>
    <row r="27" spans="1:8" hidden="1">
      <c r="A27" s="502"/>
      <c r="E27" s="502"/>
      <c r="H27" s="387"/>
    </row>
    <row r="28" spans="1:8" hidden="1">
      <c r="A28" s="502"/>
      <c r="E28" s="502"/>
      <c r="H28" s="387"/>
    </row>
    <row r="29" spans="1:8" hidden="1">
      <c r="A29" s="502"/>
      <c r="E29" s="502"/>
      <c r="H29" s="387"/>
    </row>
    <row r="30" spans="1:8" hidden="1">
      <c r="A30" s="502"/>
      <c r="E30" s="502"/>
      <c r="H30" s="387"/>
    </row>
    <row r="31" spans="1:8" hidden="1">
      <c r="A31" s="502"/>
      <c r="E31" s="502"/>
      <c r="H31" s="387"/>
    </row>
    <row r="32" spans="1:8" hidden="1">
      <c r="A32" s="502"/>
      <c r="E32" s="502"/>
      <c r="H32" s="387"/>
    </row>
    <row r="33" spans="1:10" hidden="1">
      <c r="A33" s="502"/>
      <c r="E33" s="502"/>
      <c r="H33" s="505"/>
      <c r="J33" s="35"/>
    </row>
    <row r="34" spans="1:10" hidden="1">
      <c r="A34" s="502"/>
    </row>
    <row r="35" spans="1:10" hidden="1">
      <c r="A35" s="502"/>
    </row>
    <row r="36" spans="1:10" hidden="1">
      <c r="A36" s="502"/>
      <c r="H36" s="387"/>
    </row>
    <row r="37" spans="1:10" hidden="1">
      <c r="A37" s="502"/>
      <c r="H37" s="387"/>
    </row>
    <row r="38" spans="1:10" hidden="1">
      <c r="A38" s="502"/>
      <c r="H38" s="387"/>
    </row>
    <row r="39" spans="1:10" hidden="1">
      <c r="A39" s="502"/>
      <c r="H39" s="387"/>
    </row>
    <row r="40" spans="1:10" hidden="1">
      <c r="A40" s="502"/>
      <c r="H40" s="387"/>
    </row>
    <row r="41" spans="1:10" hidden="1">
      <c r="A41" s="502"/>
      <c r="H41" s="387"/>
    </row>
    <row r="42" spans="1:10" hidden="1">
      <c r="A42" s="502"/>
      <c r="H42" s="505"/>
    </row>
    <row r="43" spans="1:10" ht="15.75" hidden="1" customHeight="1">
      <c r="A43" s="502"/>
    </row>
    <row r="44" spans="1:10" hidden="1">
      <c r="A44" s="502"/>
    </row>
    <row r="45" spans="1:10" hidden="1">
      <c r="A45" s="502"/>
    </row>
    <row r="46" spans="1:10" hidden="1">
      <c r="A46" s="502"/>
    </row>
    <row r="47" spans="1:10" hidden="1">
      <c r="A47" s="502"/>
    </row>
    <row r="48" spans="1:10" hidden="1">
      <c r="A48" s="502"/>
    </row>
    <row r="49" spans="1:3" hidden="1">
      <c r="A49" s="502"/>
    </row>
    <row r="51" spans="1:3">
      <c r="B51" s="718"/>
      <c r="C51" s="718"/>
    </row>
    <row r="52" spans="1:3">
      <c r="B52" s="502"/>
      <c r="C52" s="502"/>
    </row>
    <row r="53" spans="1:3">
      <c r="B53" s="718"/>
      <c r="C53" s="718"/>
    </row>
    <row r="54" spans="1:3">
      <c r="B54" s="718"/>
      <c r="C54" s="718"/>
    </row>
    <row r="55" spans="1:3">
      <c r="B55" s="718"/>
      <c r="C55" s="718"/>
    </row>
    <row r="56" spans="1:3">
      <c r="B56" s="718"/>
      <c r="C56" s="718"/>
    </row>
    <row r="57" spans="1:3">
      <c r="B57" s="718"/>
      <c r="C57" s="718"/>
    </row>
  </sheetData>
  <pageMargins left="0.70866141732283472" right="0.70866141732283472" top="0.74803149606299213" bottom="0.74803149606299213" header="0.31496062992125984" footer="0.31496062992125984"/>
  <pageSetup scale="80" orientation="portrait" horizontalDpi="4294967293" verticalDpi="4294967293"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50"/>
  <sheetViews>
    <sheetView workbookViewId="0"/>
  </sheetViews>
  <sheetFormatPr baseColWidth="10" defaultColWidth="8.83203125" defaultRowHeight="16"/>
  <cols>
    <col min="1" max="1" width="43.6640625" style="387" customWidth="1"/>
    <col min="2" max="2" width="22.6640625" style="505" customWidth="1"/>
    <col min="3" max="3" width="18.6640625" style="505" customWidth="1"/>
    <col min="4" max="4" width="3.5" customWidth="1"/>
    <col min="257" max="257" width="43.6640625" customWidth="1"/>
    <col min="258" max="258" width="22.6640625" customWidth="1"/>
    <col min="259" max="259" width="18.6640625" customWidth="1"/>
    <col min="260" max="260" width="3.5" customWidth="1"/>
    <col min="513" max="513" width="43.6640625" customWidth="1"/>
    <col min="514" max="514" width="22.6640625" customWidth="1"/>
    <col min="515" max="515" width="18.6640625" customWidth="1"/>
    <col min="516" max="516" width="3.5" customWidth="1"/>
    <col min="769" max="769" width="43.6640625" customWidth="1"/>
    <col min="770" max="770" width="22.6640625" customWidth="1"/>
    <col min="771" max="771" width="18.6640625" customWidth="1"/>
    <col min="772" max="772" width="3.5" customWidth="1"/>
    <col min="1025" max="1025" width="43.6640625" customWidth="1"/>
    <col min="1026" max="1026" width="22.6640625" customWidth="1"/>
    <col min="1027" max="1027" width="18.6640625" customWidth="1"/>
    <col min="1028" max="1028" width="3.5" customWidth="1"/>
    <col min="1281" max="1281" width="43.6640625" customWidth="1"/>
    <col min="1282" max="1282" width="22.6640625" customWidth="1"/>
    <col min="1283" max="1283" width="18.6640625" customWidth="1"/>
    <col min="1284" max="1284" width="3.5" customWidth="1"/>
    <col min="1537" max="1537" width="43.6640625" customWidth="1"/>
    <col min="1538" max="1538" width="22.6640625" customWidth="1"/>
    <col min="1539" max="1539" width="18.6640625" customWidth="1"/>
    <col min="1540" max="1540" width="3.5" customWidth="1"/>
    <col min="1793" max="1793" width="43.6640625" customWidth="1"/>
    <col min="1794" max="1794" width="22.6640625" customWidth="1"/>
    <col min="1795" max="1795" width="18.6640625" customWidth="1"/>
    <col min="1796" max="1796" width="3.5" customWidth="1"/>
    <col min="2049" max="2049" width="43.6640625" customWidth="1"/>
    <col min="2050" max="2050" width="22.6640625" customWidth="1"/>
    <col min="2051" max="2051" width="18.6640625" customWidth="1"/>
    <col min="2052" max="2052" width="3.5" customWidth="1"/>
    <col min="2305" max="2305" width="43.6640625" customWidth="1"/>
    <col min="2306" max="2306" width="22.6640625" customWidth="1"/>
    <col min="2307" max="2307" width="18.6640625" customWidth="1"/>
    <col min="2308" max="2308" width="3.5" customWidth="1"/>
    <col min="2561" max="2561" width="43.6640625" customWidth="1"/>
    <col min="2562" max="2562" width="22.6640625" customWidth="1"/>
    <col min="2563" max="2563" width="18.6640625" customWidth="1"/>
    <col min="2564" max="2564" width="3.5" customWidth="1"/>
    <col min="2817" max="2817" width="43.6640625" customWidth="1"/>
    <col min="2818" max="2818" width="22.6640625" customWidth="1"/>
    <col min="2819" max="2819" width="18.6640625" customWidth="1"/>
    <col min="2820" max="2820" width="3.5" customWidth="1"/>
    <col min="3073" max="3073" width="43.6640625" customWidth="1"/>
    <col min="3074" max="3074" width="22.6640625" customWidth="1"/>
    <col min="3075" max="3075" width="18.6640625" customWidth="1"/>
    <col min="3076" max="3076" width="3.5" customWidth="1"/>
    <col min="3329" max="3329" width="43.6640625" customWidth="1"/>
    <col min="3330" max="3330" width="22.6640625" customWidth="1"/>
    <col min="3331" max="3331" width="18.6640625" customWidth="1"/>
    <col min="3332" max="3332" width="3.5" customWidth="1"/>
    <col min="3585" max="3585" width="43.6640625" customWidth="1"/>
    <col min="3586" max="3586" width="22.6640625" customWidth="1"/>
    <col min="3587" max="3587" width="18.6640625" customWidth="1"/>
    <col min="3588" max="3588" width="3.5" customWidth="1"/>
    <col min="3841" max="3841" width="43.6640625" customWidth="1"/>
    <col min="3842" max="3842" width="22.6640625" customWidth="1"/>
    <col min="3843" max="3843" width="18.6640625" customWidth="1"/>
    <col min="3844" max="3844" width="3.5" customWidth="1"/>
    <col min="4097" max="4097" width="43.6640625" customWidth="1"/>
    <col min="4098" max="4098" width="22.6640625" customWidth="1"/>
    <col min="4099" max="4099" width="18.6640625" customWidth="1"/>
    <col min="4100" max="4100" width="3.5" customWidth="1"/>
    <col min="4353" max="4353" width="43.6640625" customWidth="1"/>
    <col min="4354" max="4354" width="22.6640625" customWidth="1"/>
    <col min="4355" max="4355" width="18.6640625" customWidth="1"/>
    <col min="4356" max="4356" width="3.5" customWidth="1"/>
    <col min="4609" max="4609" width="43.6640625" customWidth="1"/>
    <col min="4610" max="4610" width="22.6640625" customWidth="1"/>
    <col min="4611" max="4611" width="18.6640625" customWidth="1"/>
    <col min="4612" max="4612" width="3.5" customWidth="1"/>
    <col min="4865" max="4865" width="43.6640625" customWidth="1"/>
    <col min="4866" max="4866" width="22.6640625" customWidth="1"/>
    <col min="4867" max="4867" width="18.6640625" customWidth="1"/>
    <col min="4868" max="4868" width="3.5" customWidth="1"/>
    <col min="5121" max="5121" width="43.6640625" customWidth="1"/>
    <col min="5122" max="5122" width="22.6640625" customWidth="1"/>
    <col min="5123" max="5123" width="18.6640625" customWidth="1"/>
    <col min="5124" max="5124" width="3.5" customWidth="1"/>
    <col min="5377" max="5377" width="43.6640625" customWidth="1"/>
    <col min="5378" max="5378" width="22.6640625" customWidth="1"/>
    <col min="5379" max="5379" width="18.6640625" customWidth="1"/>
    <col min="5380" max="5380" width="3.5" customWidth="1"/>
    <col min="5633" max="5633" width="43.6640625" customWidth="1"/>
    <col min="5634" max="5634" width="22.6640625" customWidth="1"/>
    <col min="5635" max="5635" width="18.6640625" customWidth="1"/>
    <col min="5636" max="5636" width="3.5" customWidth="1"/>
    <col min="5889" max="5889" width="43.6640625" customWidth="1"/>
    <col min="5890" max="5890" width="22.6640625" customWidth="1"/>
    <col min="5891" max="5891" width="18.6640625" customWidth="1"/>
    <col min="5892" max="5892" width="3.5" customWidth="1"/>
    <col min="6145" max="6145" width="43.6640625" customWidth="1"/>
    <col min="6146" max="6146" width="22.6640625" customWidth="1"/>
    <col min="6147" max="6147" width="18.6640625" customWidth="1"/>
    <col min="6148" max="6148" width="3.5" customWidth="1"/>
    <col min="6401" max="6401" width="43.6640625" customWidth="1"/>
    <col min="6402" max="6402" width="22.6640625" customWidth="1"/>
    <col min="6403" max="6403" width="18.6640625" customWidth="1"/>
    <col min="6404" max="6404" width="3.5" customWidth="1"/>
    <col min="6657" max="6657" width="43.6640625" customWidth="1"/>
    <col min="6658" max="6658" width="22.6640625" customWidth="1"/>
    <col min="6659" max="6659" width="18.6640625" customWidth="1"/>
    <col min="6660" max="6660" width="3.5" customWidth="1"/>
    <col min="6913" max="6913" width="43.6640625" customWidth="1"/>
    <col min="6914" max="6914" width="22.6640625" customWidth="1"/>
    <col min="6915" max="6915" width="18.6640625" customWidth="1"/>
    <col min="6916" max="6916" width="3.5" customWidth="1"/>
    <col min="7169" max="7169" width="43.6640625" customWidth="1"/>
    <col min="7170" max="7170" width="22.6640625" customWidth="1"/>
    <col min="7171" max="7171" width="18.6640625" customWidth="1"/>
    <col min="7172" max="7172" width="3.5" customWidth="1"/>
    <col min="7425" max="7425" width="43.6640625" customWidth="1"/>
    <col min="7426" max="7426" width="22.6640625" customWidth="1"/>
    <col min="7427" max="7427" width="18.6640625" customWidth="1"/>
    <col min="7428" max="7428" width="3.5" customWidth="1"/>
    <col min="7681" max="7681" width="43.6640625" customWidth="1"/>
    <col min="7682" max="7682" width="22.6640625" customWidth="1"/>
    <col min="7683" max="7683" width="18.6640625" customWidth="1"/>
    <col min="7684" max="7684" width="3.5" customWidth="1"/>
    <col min="7937" max="7937" width="43.6640625" customWidth="1"/>
    <col min="7938" max="7938" width="22.6640625" customWidth="1"/>
    <col min="7939" max="7939" width="18.6640625" customWidth="1"/>
    <col min="7940" max="7940" width="3.5" customWidth="1"/>
    <col min="8193" max="8193" width="43.6640625" customWidth="1"/>
    <col min="8194" max="8194" width="22.6640625" customWidth="1"/>
    <col min="8195" max="8195" width="18.6640625" customWidth="1"/>
    <col min="8196" max="8196" width="3.5" customWidth="1"/>
    <col min="8449" max="8449" width="43.6640625" customWidth="1"/>
    <col min="8450" max="8450" width="22.6640625" customWidth="1"/>
    <col min="8451" max="8451" width="18.6640625" customWidth="1"/>
    <col min="8452" max="8452" width="3.5" customWidth="1"/>
    <col min="8705" max="8705" width="43.6640625" customWidth="1"/>
    <col min="8706" max="8706" width="22.6640625" customWidth="1"/>
    <col min="8707" max="8707" width="18.6640625" customWidth="1"/>
    <col min="8708" max="8708" width="3.5" customWidth="1"/>
    <col min="8961" max="8961" width="43.6640625" customWidth="1"/>
    <col min="8962" max="8962" width="22.6640625" customWidth="1"/>
    <col min="8963" max="8963" width="18.6640625" customWidth="1"/>
    <col min="8964" max="8964" width="3.5" customWidth="1"/>
    <col min="9217" max="9217" width="43.6640625" customWidth="1"/>
    <col min="9218" max="9218" width="22.6640625" customWidth="1"/>
    <col min="9219" max="9219" width="18.6640625" customWidth="1"/>
    <col min="9220" max="9220" width="3.5" customWidth="1"/>
    <col min="9473" max="9473" width="43.6640625" customWidth="1"/>
    <col min="9474" max="9474" width="22.6640625" customWidth="1"/>
    <col min="9475" max="9475" width="18.6640625" customWidth="1"/>
    <col min="9476" max="9476" width="3.5" customWidth="1"/>
    <col min="9729" max="9729" width="43.6640625" customWidth="1"/>
    <col min="9730" max="9730" width="22.6640625" customWidth="1"/>
    <col min="9731" max="9731" width="18.6640625" customWidth="1"/>
    <col min="9732" max="9732" width="3.5" customWidth="1"/>
    <col min="9985" max="9985" width="43.6640625" customWidth="1"/>
    <col min="9986" max="9986" width="22.6640625" customWidth="1"/>
    <col min="9987" max="9987" width="18.6640625" customWidth="1"/>
    <col min="9988" max="9988" width="3.5" customWidth="1"/>
    <col min="10241" max="10241" width="43.6640625" customWidth="1"/>
    <col min="10242" max="10242" width="22.6640625" customWidth="1"/>
    <col min="10243" max="10243" width="18.6640625" customWidth="1"/>
    <col min="10244" max="10244" width="3.5" customWidth="1"/>
    <col min="10497" max="10497" width="43.6640625" customWidth="1"/>
    <col min="10498" max="10498" width="22.6640625" customWidth="1"/>
    <col min="10499" max="10499" width="18.6640625" customWidth="1"/>
    <col min="10500" max="10500" width="3.5" customWidth="1"/>
    <col min="10753" max="10753" width="43.6640625" customWidth="1"/>
    <col min="10754" max="10754" width="22.6640625" customWidth="1"/>
    <col min="10755" max="10755" width="18.6640625" customWidth="1"/>
    <col min="10756" max="10756" width="3.5" customWidth="1"/>
    <col min="11009" max="11009" width="43.6640625" customWidth="1"/>
    <col min="11010" max="11010" width="22.6640625" customWidth="1"/>
    <col min="11011" max="11011" width="18.6640625" customWidth="1"/>
    <col min="11012" max="11012" width="3.5" customWidth="1"/>
    <col min="11265" max="11265" width="43.6640625" customWidth="1"/>
    <col min="11266" max="11266" width="22.6640625" customWidth="1"/>
    <col min="11267" max="11267" width="18.6640625" customWidth="1"/>
    <col min="11268" max="11268" width="3.5" customWidth="1"/>
    <col min="11521" max="11521" width="43.6640625" customWidth="1"/>
    <col min="11522" max="11522" width="22.6640625" customWidth="1"/>
    <col min="11523" max="11523" width="18.6640625" customWidth="1"/>
    <col min="11524" max="11524" width="3.5" customWidth="1"/>
    <col min="11777" max="11777" width="43.6640625" customWidth="1"/>
    <col min="11778" max="11778" width="22.6640625" customWidth="1"/>
    <col min="11779" max="11779" width="18.6640625" customWidth="1"/>
    <col min="11780" max="11780" width="3.5" customWidth="1"/>
    <col min="12033" max="12033" width="43.6640625" customWidth="1"/>
    <col min="12034" max="12034" width="22.6640625" customWidth="1"/>
    <col min="12035" max="12035" width="18.6640625" customWidth="1"/>
    <col min="12036" max="12036" width="3.5" customWidth="1"/>
    <col min="12289" max="12289" width="43.6640625" customWidth="1"/>
    <col min="12290" max="12290" width="22.6640625" customWidth="1"/>
    <col min="12291" max="12291" width="18.6640625" customWidth="1"/>
    <col min="12292" max="12292" width="3.5" customWidth="1"/>
    <col min="12545" max="12545" width="43.6640625" customWidth="1"/>
    <col min="12546" max="12546" width="22.6640625" customWidth="1"/>
    <col min="12547" max="12547" width="18.6640625" customWidth="1"/>
    <col min="12548" max="12548" width="3.5" customWidth="1"/>
    <col min="12801" max="12801" width="43.6640625" customWidth="1"/>
    <col min="12802" max="12802" width="22.6640625" customWidth="1"/>
    <col min="12803" max="12803" width="18.6640625" customWidth="1"/>
    <col min="12804" max="12804" width="3.5" customWidth="1"/>
    <col min="13057" max="13057" width="43.6640625" customWidth="1"/>
    <col min="13058" max="13058" width="22.6640625" customWidth="1"/>
    <col min="13059" max="13059" width="18.6640625" customWidth="1"/>
    <col min="13060" max="13060" width="3.5" customWidth="1"/>
    <col min="13313" max="13313" width="43.6640625" customWidth="1"/>
    <col min="13314" max="13314" width="22.6640625" customWidth="1"/>
    <col min="13315" max="13315" width="18.6640625" customWidth="1"/>
    <col min="13316" max="13316" width="3.5" customWidth="1"/>
    <col min="13569" max="13569" width="43.6640625" customWidth="1"/>
    <col min="13570" max="13570" width="22.6640625" customWidth="1"/>
    <col min="13571" max="13571" width="18.6640625" customWidth="1"/>
    <col min="13572" max="13572" width="3.5" customWidth="1"/>
    <col min="13825" max="13825" width="43.6640625" customWidth="1"/>
    <col min="13826" max="13826" width="22.6640625" customWidth="1"/>
    <col min="13827" max="13827" width="18.6640625" customWidth="1"/>
    <col min="13828" max="13828" width="3.5" customWidth="1"/>
    <col min="14081" max="14081" width="43.6640625" customWidth="1"/>
    <col min="14082" max="14082" width="22.6640625" customWidth="1"/>
    <col min="14083" max="14083" width="18.6640625" customWidth="1"/>
    <col min="14084" max="14084" width="3.5" customWidth="1"/>
    <col min="14337" max="14337" width="43.6640625" customWidth="1"/>
    <col min="14338" max="14338" width="22.6640625" customWidth="1"/>
    <col min="14339" max="14339" width="18.6640625" customWidth="1"/>
    <col min="14340" max="14340" width="3.5" customWidth="1"/>
    <col min="14593" max="14593" width="43.6640625" customWidth="1"/>
    <col min="14594" max="14594" width="22.6640625" customWidth="1"/>
    <col min="14595" max="14595" width="18.6640625" customWidth="1"/>
    <col min="14596" max="14596" width="3.5" customWidth="1"/>
    <col min="14849" max="14849" width="43.6640625" customWidth="1"/>
    <col min="14850" max="14850" width="22.6640625" customWidth="1"/>
    <col min="14851" max="14851" width="18.6640625" customWidth="1"/>
    <col min="14852" max="14852" width="3.5" customWidth="1"/>
    <col min="15105" max="15105" width="43.6640625" customWidth="1"/>
    <col min="15106" max="15106" width="22.6640625" customWidth="1"/>
    <col min="15107" max="15107" width="18.6640625" customWidth="1"/>
    <col min="15108" max="15108" width="3.5" customWidth="1"/>
    <col min="15361" max="15361" width="43.6640625" customWidth="1"/>
    <col min="15362" max="15362" width="22.6640625" customWidth="1"/>
    <col min="15363" max="15363" width="18.6640625" customWidth="1"/>
    <col min="15364" max="15364" width="3.5" customWidth="1"/>
    <col min="15617" max="15617" width="43.6640625" customWidth="1"/>
    <col min="15618" max="15618" width="22.6640625" customWidth="1"/>
    <col min="15619" max="15619" width="18.6640625" customWidth="1"/>
    <col min="15620" max="15620" width="3.5" customWidth="1"/>
    <col min="15873" max="15873" width="43.6640625" customWidth="1"/>
    <col min="15874" max="15874" width="22.6640625" customWidth="1"/>
    <col min="15875" max="15875" width="18.6640625" customWidth="1"/>
    <col min="15876" max="15876" width="3.5" customWidth="1"/>
    <col min="16129" max="16129" width="43.6640625" customWidth="1"/>
    <col min="16130" max="16130" width="22.6640625" customWidth="1"/>
    <col min="16131" max="16131" width="18.6640625" customWidth="1"/>
    <col min="16132" max="16132" width="3.5" customWidth="1"/>
  </cols>
  <sheetData>
    <row r="1" spans="1:4" ht="17" customHeight="1">
      <c r="A1" s="387" t="s">
        <v>144</v>
      </c>
      <c r="B1" s="387"/>
      <c r="C1" s="502"/>
    </row>
    <row r="2" spans="1:4" ht="17" customHeight="1">
      <c r="A2" s="387" t="s">
        <v>145</v>
      </c>
      <c r="B2" s="387"/>
      <c r="C2" s="502"/>
    </row>
    <row r="3" spans="1:4" ht="10.5" customHeight="1">
      <c r="C3" s="506"/>
    </row>
    <row r="4" spans="1:4" ht="17" customHeight="1">
      <c r="A4" s="387" t="s">
        <v>2218</v>
      </c>
    </row>
    <row r="5" spans="1:4" ht="11.25" customHeight="1" thickBot="1"/>
    <row r="6" spans="1:4" ht="13.5" customHeight="1">
      <c r="A6" s="464"/>
      <c r="B6" s="708"/>
      <c r="C6" s="708"/>
      <c r="D6" s="708"/>
    </row>
    <row r="7" spans="1:4" ht="16" customHeight="1">
      <c r="A7" s="388" t="s">
        <v>1742</v>
      </c>
      <c r="B7" s="389" t="s">
        <v>1751</v>
      </c>
      <c r="C7" s="389" t="s">
        <v>1752</v>
      </c>
    </row>
    <row r="8" spans="1:4" ht="15.75" customHeight="1" thickBot="1">
      <c r="A8" s="463"/>
      <c r="B8" s="710"/>
      <c r="C8" s="710"/>
    </row>
    <row r="9" spans="1:4" ht="10.5" customHeight="1">
      <c r="A9" s="388"/>
      <c r="B9" s="711"/>
      <c r="C9" s="711"/>
      <c r="D9" s="708"/>
    </row>
    <row r="10" spans="1:4" ht="15" customHeight="1">
      <c r="A10" s="501" t="s">
        <v>402</v>
      </c>
      <c r="B10" s="1011">
        <f>SUM(B12:B26)</f>
        <v>252</v>
      </c>
      <c r="C10" s="1011">
        <f>SUM(C12:C26)</f>
        <v>39</v>
      </c>
    </row>
    <row r="11" spans="1:4" ht="15" customHeight="1">
      <c r="B11" s="714" t="str">
        <f>IF(A11&lt;&gt;0,C11+#REF!+#REF!,"")</f>
        <v/>
      </c>
      <c r="C11" s="714"/>
    </row>
    <row r="12" spans="1:4" ht="15" customHeight="1">
      <c r="A12" s="387" t="s">
        <v>1753</v>
      </c>
      <c r="B12" s="470">
        <v>23</v>
      </c>
      <c r="C12" s="719">
        <v>2</v>
      </c>
    </row>
    <row r="13" spans="1:4" ht="15" customHeight="1">
      <c r="B13" s="470"/>
      <c r="C13" s="719"/>
    </row>
    <row r="14" spans="1:4" ht="15" customHeight="1">
      <c r="A14" s="387" t="s">
        <v>1754</v>
      </c>
      <c r="B14" s="470">
        <v>42</v>
      </c>
      <c r="C14" s="719">
        <v>8</v>
      </c>
    </row>
    <row r="15" spans="1:4" ht="15" customHeight="1">
      <c r="B15" s="470"/>
      <c r="C15" s="719"/>
    </row>
    <row r="16" spans="1:4" ht="15" customHeight="1">
      <c r="A16" s="387" t="s">
        <v>1755</v>
      </c>
      <c r="B16" s="470">
        <v>51</v>
      </c>
      <c r="C16" s="719">
        <v>11</v>
      </c>
    </row>
    <row r="17" spans="1:4" ht="15" customHeight="1">
      <c r="B17" s="470"/>
      <c r="C17" s="719"/>
    </row>
    <row r="18" spans="1:4" ht="15" customHeight="1">
      <c r="A18" s="387" t="s">
        <v>1756</v>
      </c>
      <c r="B18" s="470">
        <v>38</v>
      </c>
      <c r="C18" s="719">
        <v>8</v>
      </c>
    </row>
    <row r="19" spans="1:4" ht="15" customHeight="1">
      <c r="B19" s="470"/>
      <c r="C19" s="719"/>
    </row>
    <row r="20" spans="1:4" ht="15" customHeight="1">
      <c r="A20" s="387" t="s">
        <v>1757</v>
      </c>
      <c r="B20" s="470">
        <v>40</v>
      </c>
      <c r="C20" s="719">
        <v>3</v>
      </c>
    </row>
    <row r="21" spans="1:4" ht="15" customHeight="1">
      <c r="B21" s="470"/>
      <c r="C21" s="719"/>
    </row>
    <row r="22" spans="1:4" s="55" customFormat="1" ht="15" customHeight="1">
      <c r="A22" s="387" t="s">
        <v>1758</v>
      </c>
      <c r="B22" s="470">
        <v>17</v>
      </c>
      <c r="C22" s="719">
        <v>2</v>
      </c>
      <c r="D22" s="307"/>
    </row>
    <row r="23" spans="1:4" s="55" customFormat="1" ht="15" customHeight="1">
      <c r="A23" s="387"/>
      <c r="B23" s="470"/>
      <c r="C23" s="719"/>
      <c r="D23" s="307"/>
    </row>
    <row r="24" spans="1:4" s="55" customFormat="1" ht="15" customHeight="1">
      <c r="A24" s="387" t="s">
        <v>1013</v>
      </c>
      <c r="B24" s="470">
        <v>37</v>
      </c>
      <c r="C24" s="719">
        <v>1</v>
      </c>
      <c r="D24" s="307"/>
    </row>
    <row r="25" spans="1:4" s="55" customFormat="1" ht="15" customHeight="1">
      <c r="A25" s="387"/>
      <c r="B25" s="719"/>
      <c r="C25" s="719"/>
      <c r="D25" s="307"/>
    </row>
    <row r="26" spans="1:4" s="55" customFormat="1" ht="15" customHeight="1">
      <c r="A26" s="387" t="s">
        <v>1759</v>
      </c>
      <c r="B26" s="719">
        <v>4</v>
      </c>
      <c r="C26" s="719">
        <v>4</v>
      </c>
      <c r="D26" s="307"/>
    </row>
    <row r="27" spans="1:4" ht="13.5" customHeight="1" thickBot="1">
      <c r="C27" s="714"/>
    </row>
    <row r="28" spans="1:4" ht="11.25" customHeight="1">
      <c r="A28" s="464"/>
      <c r="B28" s="708"/>
      <c r="C28" s="708"/>
      <c r="D28" s="708"/>
    </row>
    <row r="29" spans="1:4" s="33" customFormat="1" ht="15" customHeight="1">
      <c r="A29" s="720" t="s">
        <v>1760</v>
      </c>
      <c r="B29" s="201"/>
      <c r="C29" s="201"/>
    </row>
    <row r="30" spans="1:4" s="33" customFormat="1" ht="18" customHeight="1">
      <c r="A30" s="720" t="s">
        <v>1761</v>
      </c>
      <c r="B30" s="201"/>
      <c r="C30" s="201"/>
    </row>
    <row r="31" spans="1:4" ht="9" customHeight="1">
      <c r="A31" s="388"/>
      <c r="B31" s="711"/>
      <c r="C31" s="711"/>
    </row>
    <row r="32" spans="1:4">
      <c r="A32" s="387" t="s">
        <v>1762</v>
      </c>
    </row>
    <row r="33" spans="1:3">
      <c r="A33" s="387" t="s">
        <v>452</v>
      </c>
    </row>
    <row r="35" spans="1:3">
      <c r="A35" s="501"/>
      <c r="B35" s="714"/>
      <c r="C35" s="714"/>
    </row>
    <row r="36" spans="1:3">
      <c r="B36" s="714"/>
      <c r="C36"/>
    </row>
    <row r="37" spans="1:3">
      <c r="B37" s="714"/>
      <c r="C37" s="719"/>
    </row>
    <row r="38" spans="1:3">
      <c r="B38" s="714"/>
      <c r="C38" s="719"/>
    </row>
    <row r="39" spans="1:3">
      <c r="B39" s="714"/>
      <c r="C39" s="719"/>
    </row>
    <row r="40" spans="1:3">
      <c r="B40" s="714"/>
      <c r="C40" s="719"/>
    </row>
    <row r="41" spans="1:3">
      <c r="B41" s="714"/>
      <c r="C41" s="719"/>
    </row>
    <row r="42" spans="1:3">
      <c r="B42" s="714"/>
      <c r="C42" s="719"/>
    </row>
    <row r="43" spans="1:3">
      <c r="B43" s="714"/>
      <c r="C43" s="719"/>
    </row>
    <row r="44" spans="1:3">
      <c r="B44" s="714"/>
      <c r="C44" s="719"/>
    </row>
    <row r="45" spans="1:3">
      <c r="B45" s="714"/>
      <c r="C45" s="719"/>
    </row>
    <row r="46" spans="1:3">
      <c r="B46" s="470"/>
      <c r="C46" s="719"/>
    </row>
    <row r="47" spans="1:3">
      <c r="B47" s="719"/>
      <c r="C47" s="719"/>
    </row>
    <row r="48" spans="1:3">
      <c r="B48" s="719"/>
      <c r="C48" s="719"/>
    </row>
    <row r="49" spans="2:3">
      <c r="B49" s="719"/>
      <c r="C49" s="719"/>
    </row>
    <row r="50" spans="2:3">
      <c r="B50" s="719"/>
      <c r="C50" s="719"/>
    </row>
  </sheetData>
  <pageMargins left="0.70866141732283472" right="0.70866141732283472" top="0.74803149606299213" bottom="0.74803149606299213" header="0.31496062992125984" footer="0.31496062992125984"/>
  <pageSetup scale="95" orientation="portrait" horizontalDpi="4294967293" verticalDpi="4294967293"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theme="5" tint="-0.249977111117893"/>
  </sheetPr>
  <dimension ref="A1:M27"/>
  <sheetViews>
    <sheetView workbookViewId="0">
      <selection activeCell="A2" sqref="A2"/>
    </sheetView>
  </sheetViews>
  <sheetFormatPr baseColWidth="10" defaultRowHeight="15"/>
  <cols>
    <col min="6" max="6" width="18.6640625" customWidth="1"/>
    <col min="11" max="11" width="21.5" customWidth="1"/>
    <col min="262" max="262" width="18.6640625" customWidth="1"/>
    <col min="267" max="267" width="21.5" customWidth="1"/>
    <col min="518" max="518" width="18.6640625" customWidth="1"/>
    <col min="523" max="523" width="21.5" customWidth="1"/>
    <col min="774" max="774" width="18.6640625" customWidth="1"/>
    <col min="779" max="779" width="21.5" customWidth="1"/>
    <col min="1030" max="1030" width="18.6640625" customWidth="1"/>
    <col min="1035" max="1035" width="21.5" customWidth="1"/>
    <col min="1286" max="1286" width="18.6640625" customWidth="1"/>
    <col min="1291" max="1291" width="21.5" customWidth="1"/>
    <col min="1542" max="1542" width="18.6640625" customWidth="1"/>
    <col min="1547" max="1547" width="21.5" customWidth="1"/>
    <col min="1798" max="1798" width="18.6640625" customWidth="1"/>
    <col min="1803" max="1803" width="21.5" customWidth="1"/>
    <col min="2054" max="2054" width="18.6640625" customWidth="1"/>
    <col min="2059" max="2059" width="21.5" customWidth="1"/>
    <col min="2310" max="2310" width="18.6640625" customWidth="1"/>
    <col min="2315" max="2315" width="21.5" customWidth="1"/>
    <col min="2566" max="2566" width="18.6640625" customWidth="1"/>
    <col min="2571" max="2571" width="21.5" customWidth="1"/>
    <col min="2822" max="2822" width="18.6640625" customWidth="1"/>
    <col min="2827" max="2827" width="21.5" customWidth="1"/>
    <col min="3078" max="3078" width="18.6640625" customWidth="1"/>
    <col min="3083" max="3083" width="21.5" customWidth="1"/>
    <col min="3334" max="3334" width="18.6640625" customWidth="1"/>
    <col min="3339" max="3339" width="21.5" customWidth="1"/>
    <col min="3590" max="3590" width="18.6640625" customWidth="1"/>
    <col min="3595" max="3595" width="21.5" customWidth="1"/>
    <col min="3846" max="3846" width="18.6640625" customWidth="1"/>
    <col min="3851" max="3851" width="21.5" customWidth="1"/>
    <col min="4102" max="4102" width="18.6640625" customWidth="1"/>
    <col min="4107" max="4107" width="21.5" customWidth="1"/>
    <col min="4358" max="4358" width="18.6640625" customWidth="1"/>
    <col min="4363" max="4363" width="21.5" customWidth="1"/>
    <col min="4614" max="4614" width="18.6640625" customWidth="1"/>
    <col min="4619" max="4619" width="21.5" customWidth="1"/>
    <col min="4870" max="4870" width="18.6640625" customWidth="1"/>
    <col min="4875" max="4875" width="21.5" customWidth="1"/>
    <col min="5126" max="5126" width="18.6640625" customWidth="1"/>
    <col min="5131" max="5131" width="21.5" customWidth="1"/>
    <col min="5382" max="5382" width="18.6640625" customWidth="1"/>
    <col min="5387" max="5387" width="21.5" customWidth="1"/>
    <col min="5638" max="5638" width="18.6640625" customWidth="1"/>
    <col min="5643" max="5643" width="21.5" customWidth="1"/>
    <col min="5894" max="5894" width="18.6640625" customWidth="1"/>
    <col min="5899" max="5899" width="21.5" customWidth="1"/>
    <col min="6150" max="6150" width="18.6640625" customWidth="1"/>
    <col min="6155" max="6155" width="21.5" customWidth="1"/>
    <col min="6406" max="6406" width="18.6640625" customWidth="1"/>
    <col min="6411" max="6411" width="21.5" customWidth="1"/>
    <col min="6662" max="6662" width="18.6640625" customWidth="1"/>
    <col min="6667" max="6667" width="21.5" customWidth="1"/>
    <col min="6918" max="6918" width="18.6640625" customWidth="1"/>
    <col min="6923" max="6923" width="21.5" customWidth="1"/>
    <col min="7174" max="7174" width="18.6640625" customWidth="1"/>
    <col min="7179" max="7179" width="21.5" customWidth="1"/>
    <col min="7430" max="7430" width="18.6640625" customWidth="1"/>
    <col min="7435" max="7435" width="21.5" customWidth="1"/>
    <col min="7686" max="7686" width="18.6640625" customWidth="1"/>
    <col min="7691" max="7691" width="21.5" customWidth="1"/>
    <col min="7942" max="7942" width="18.6640625" customWidth="1"/>
    <col min="7947" max="7947" width="21.5" customWidth="1"/>
    <col min="8198" max="8198" width="18.6640625" customWidth="1"/>
    <col min="8203" max="8203" width="21.5" customWidth="1"/>
    <col min="8454" max="8454" width="18.6640625" customWidth="1"/>
    <col min="8459" max="8459" width="21.5" customWidth="1"/>
    <col min="8710" max="8710" width="18.6640625" customWidth="1"/>
    <col min="8715" max="8715" width="21.5" customWidth="1"/>
    <col min="8966" max="8966" width="18.6640625" customWidth="1"/>
    <col min="8971" max="8971" width="21.5" customWidth="1"/>
    <col min="9222" max="9222" width="18.6640625" customWidth="1"/>
    <col min="9227" max="9227" width="21.5" customWidth="1"/>
    <col min="9478" max="9478" width="18.6640625" customWidth="1"/>
    <col min="9483" max="9483" width="21.5" customWidth="1"/>
    <col min="9734" max="9734" width="18.6640625" customWidth="1"/>
    <col min="9739" max="9739" width="21.5" customWidth="1"/>
    <col min="9990" max="9990" width="18.6640625" customWidth="1"/>
    <col min="9995" max="9995" width="21.5" customWidth="1"/>
    <col min="10246" max="10246" width="18.6640625" customWidth="1"/>
    <col min="10251" max="10251" width="21.5" customWidth="1"/>
    <col min="10502" max="10502" width="18.6640625" customWidth="1"/>
    <col min="10507" max="10507" width="21.5" customWidth="1"/>
    <col min="10758" max="10758" width="18.6640625" customWidth="1"/>
    <col min="10763" max="10763" width="21.5" customWidth="1"/>
    <col min="11014" max="11014" width="18.6640625" customWidth="1"/>
    <col min="11019" max="11019" width="21.5" customWidth="1"/>
    <col min="11270" max="11270" width="18.6640625" customWidth="1"/>
    <col min="11275" max="11275" width="21.5" customWidth="1"/>
    <col min="11526" max="11526" width="18.6640625" customWidth="1"/>
    <col min="11531" max="11531" width="21.5" customWidth="1"/>
    <col min="11782" max="11782" width="18.6640625" customWidth="1"/>
    <col min="11787" max="11787" width="21.5" customWidth="1"/>
    <col min="12038" max="12038" width="18.6640625" customWidth="1"/>
    <col min="12043" max="12043" width="21.5" customWidth="1"/>
    <col min="12294" max="12294" width="18.6640625" customWidth="1"/>
    <col min="12299" max="12299" width="21.5" customWidth="1"/>
    <col min="12550" max="12550" width="18.6640625" customWidth="1"/>
    <col min="12555" max="12555" width="21.5" customWidth="1"/>
    <col min="12806" max="12806" width="18.6640625" customWidth="1"/>
    <col min="12811" max="12811" width="21.5" customWidth="1"/>
    <col min="13062" max="13062" width="18.6640625" customWidth="1"/>
    <col min="13067" max="13067" width="21.5" customWidth="1"/>
    <col min="13318" max="13318" width="18.6640625" customWidth="1"/>
    <col min="13323" max="13323" width="21.5" customWidth="1"/>
    <col min="13574" max="13574" width="18.6640625" customWidth="1"/>
    <col min="13579" max="13579" width="21.5" customWidth="1"/>
    <col min="13830" max="13830" width="18.6640625" customWidth="1"/>
    <col min="13835" max="13835" width="21.5" customWidth="1"/>
    <col min="14086" max="14086" width="18.6640625" customWidth="1"/>
    <col min="14091" max="14091" width="21.5" customWidth="1"/>
    <col min="14342" max="14342" width="18.6640625" customWidth="1"/>
    <col min="14347" max="14347" width="21.5" customWidth="1"/>
    <col min="14598" max="14598" width="18.6640625" customWidth="1"/>
    <col min="14603" max="14603" width="21.5" customWidth="1"/>
    <col min="14854" max="14854" width="18.6640625" customWidth="1"/>
    <col min="14859" max="14859" width="21.5" customWidth="1"/>
    <col min="15110" max="15110" width="18.6640625" customWidth="1"/>
    <col min="15115" max="15115" width="21.5" customWidth="1"/>
    <col min="15366" max="15366" width="18.6640625" customWidth="1"/>
    <col min="15371" max="15371" width="21.5" customWidth="1"/>
    <col min="15622" max="15622" width="18.6640625" customWidth="1"/>
    <col min="15627" max="15627" width="21.5" customWidth="1"/>
    <col min="15878" max="15878" width="18.6640625" customWidth="1"/>
    <col min="15883" max="15883" width="21.5" customWidth="1"/>
    <col min="16134" max="16134" width="18.6640625" customWidth="1"/>
    <col min="16139" max="16139" width="21.5" customWidth="1"/>
  </cols>
  <sheetData>
    <row r="1" spans="2:13" ht="16">
      <c r="C1" s="33"/>
      <c r="D1" s="33"/>
      <c r="H1" s="387"/>
      <c r="I1" s="470"/>
      <c r="J1" s="719"/>
    </row>
    <row r="2" spans="2:13" ht="16">
      <c r="B2" s="33"/>
      <c r="C2" s="12"/>
      <c r="D2" s="12"/>
      <c r="I2" s="470"/>
      <c r="J2" s="719"/>
      <c r="K2" s="387"/>
      <c r="L2" s="470"/>
      <c r="M2" s="719"/>
    </row>
    <row r="3" spans="2:13" ht="16">
      <c r="B3" s="33"/>
      <c r="C3" s="12"/>
      <c r="D3" s="12"/>
      <c r="I3" s="470"/>
      <c r="J3" s="719"/>
      <c r="K3" s="387"/>
      <c r="L3" s="470"/>
      <c r="M3" s="719"/>
    </row>
    <row r="4" spans="2:13" ht="16">
      <c r="B4" s="14"/>
      <c r="C4" s="12"/>
      <c r="D4" s="12"/>
      <c r="I4" s="470"/>
      <c r="J4" s="719"/>
      <c r="K4" s="387"/>
      <c r="L4" s="470"/>
      <c r="M4" s="719"/>
    </row>
    <row r="5" spans="2:13" ht="16">
      <c r="B5" s="14"/>
      <c r="C5" s="12"/>
      <c r="D5" s="12"/>
      <c r="F5" s="14"/>
      <c r="G5" s="568"/>
      <c r="H5" s="77"/>
      <c r="I5" s="470"/>
      <c r="J5" s="719"/>
      <c r="K5" s="387"/>
      <c r="L5" s="470"/>
      <c r="M5" s="719"/>
    </row>
    <row r="6" spans="2:13" ht="16">
      <c r="B6" s="33"/>
      <c r="C6" s="12"/>
      <c r="D6" s="12"/>
      <c r="F6" s="14"/>
      <c r="I6" s="470"/>
      <c r="J6" s="719"/>
      <c r="K6" s="387"/>
      <c r="L6" s="470"/>
      <c r="M6" s="719"/>
    </row>
    <row r="7" spans="2:13" ht="16">
      <c r="B7" s="14"/>
      <c r="C7" s="12"/>
      <c r="D7" s="12"/>
      <c r="I7" s="470"/>
      <c r="J7" s="719"/>
      <c r="K7" s="387"/>
      <c r="L7" s="470"/>
      <c r="M7" s="719"/>
    </row>
    <row r="8" spans="2:13" ht="16">
      <c r="B8" s="14"/>
      <c r="C8" s="12"/>
      <c r="D8" s="12"/>
      <c r="I8" s="719"/>
      <c r="J8" s="719"/>
      <c r="K8" s="387"/>
      <c r="L8" s="470"/>
      <c r="M8" s="719"/>
    </row>
    <row r="9" spans="2:13" ht="16">
      <c r="B9" s="14"/>
      <c r="C9" s="12"/>
      <c r="D9" s="12"/>
      <c r="K9" s="387"/>
      <c r="L9" s="470"/>
      <c r="M9" s="719"/>
    </row>
    <row r="10" spans="2:13" ht="16">
      <c r="B10" s="14"/>
      <c r="C10" s="12"/>
      <c r="D10" s="12"/>
      <c r="K10" s="387"/>
      <c r="L10" s="470"/>
      <c r="M10" s="719"/>
    </row>
    <row r="11" spans="2:13" ht="16">
      <c r="K11" s="387"/>
      <c r="L11" s="470"/>
      <c r="M11" s="719"/>
    </row>
    <row r="12" spans="2:13" ht="16">
      <c r="K12" s="387"/>
      <c r="L12" s="470"/>
      <c r="M12" s="719"/>
    </row>
    <row r="13" spans="2:13" ht="16">
      <c r="K13" s="387"/>
      <c r="L13" s="470"/>
      <c r="M13" s="719"/>
    </row>
    <row r="14" spans="2:13" ht="16">
      <c r="K14" s="387"/>
      <c r="L14" s="470"/>
      <c r="M14" s="719"/>
    </row>
    <row r="15" spans="2:13" ht="16">
      <c r="K15" s="387"/>
      <c r="L15" s="719"/>
      <c r="M15" s="719"/>
    </row>
    <row r="16" spans="2:13" ht="16">
      <c r="K16" s="387"/>
      <c r="L16" s="719"/>
      <c r="M16" s="719"/>
    </row>
    <row r="20" spans="1:3">
      <c r="A20" s="12"/>
      <c r="B20" s="12"/>
      <c r="C20" s="12"/>
    </row>
    <row r="21" spans="1:3">
      <c r="A21" s="12"/>
      <c r="B21" s="12"/>
      <c r="C21" s="12"/>
    </row>
    <row r="22" spans="1:3">
      <c r="A22" s="12"/>
      <c r="B22" s="12"/>
      <c r="C22" s="12"/>
    </row>
    <row r="23" spans="1:3">
      <c r="A23" s="12"/>
      <c r="B23" s="12"/>
      <c r="C23" s="12"/>
    </row>
    <row r="24" spans="1:3">
      <c r="A24" s="12"/>
      <c r="B24" s="12"/>
      <c r="C24" s="12"/>
    </row>
    <row r="25" spans="1:3">
      <c r="A25" s="12"/>
      <c r="B25" s="12"/>
      <c r="C25" s="12"/>
    </row>
    <row r="26" spans="1:3">
      <c r="A26" s="12"/>
      <c r="B26" s="12"/>
      <c r="C26" s="12"/>
    </row>
    <row r="27" spans="1:3">
      <c r="A27" s="12"/>
      <c r="B27" s="12"/>
      <c r="C27" s="12"/>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122"/>
  <sheetViews>
    <sheetView topLeftCell="A55" workbookViewId="0">
      <selection activeCell="K4" sqref="K4"/>
    </sheetView>
  </sheetViews>
  <sheetFormatPr baseColWidth="10" defaultRowHeight="13"/>
  <cols>
    <col min="1" max="1" width="34.83203125" style="95" customWidth="1"/>
    <col min="2" max="2" width="7.5" style="111" customWidth="1"/>
    <col min="3" max="3" width="7.1640625" style="111" customWidth="1"/>
    <col min="4" max="4" width="3" style="95" customWidth="1"/>
    <col min="5" max="5" width="7.5" style="95" customWidth="1"/>
    <col min="6" max="6" width="8.5" style="95" customWidth="1"/>
    <col min="7" max="7" width="2.6640625" style="95" customWidth="1"/>
    <col min="8" max="8" width="7.33203125" style="95" customWidth="1"/>
    <col min="9" max="9" width="8.5" style="95" customWidth="1"/>
    <col min="10" max="10" width="2.6640625" style="95" customWidth="1"/>
    <col min="11" max="11" width="7.5" style="95" customWidth="1"/>
    <col min="12" max="12" width="8.5" style="95" customWidth="1"/>
    <col min="13" max="13" width="2.6640625" style="95" customWidth="1"/>
    <col min="14" max="14" width="7.1640625" style="95" customWidth="1"/>
    <col min="15" max="15" width="8" style="95" customWidth="1"/>
    <col min="16" max="16" width="2.6640625" style="95" customWidth="1"/>
    <col min="17" max="17" width="7.5" style="95" customWidth="1"/>
    <col min="18" max="18" width="8.5" style="95" customWidth="1"/>
    <col min="19" max="19" width="2.6640625" style="95" customWidth="1"/>
    <col min="20" max="256" width="10.83203125" style="95"/>
    <col min="257" max="257" width="34.83203125" style="95" customWidth="1"/>
    <col min="258" max="258" width="7.5" style="95" customWidth="1"/>
    <col min="259" max="259" width="7.1640625" style="95" customWidth="1"/>
    <col min="260" max="260" width="3" style="95" customWidth="1"/>
    <col min="261" max="261" width="7.5" style="95" customWidth="1"/>
    <col min="262" max="262" width="8.5" style="95" customWidth="1"/>
    <col min="263" max="263" width="2.6640625" style="95" customWidth="1"/>
    <col min="264" max="264" width="7.33203125" style="95" customWidth="1"/>
    <col min="265" max="265" width="8.5" style="95" customWidth="1"/>
    <col min="266" max="266" width="2.6640625" style="95" customWidth="1"/>
    <col min="267" max="267" width="7.5" style="95" customWidth="1"/>
    <col min="268" max="268" width="8.5" style="95" customWidth="1"/>
    <col min="269" max="269" width="2.6640625" style="95" customWidth="1"/>
    <col min="270" max="270" width="7.1640625" style="95" customWidth="1"/>
    <col min="271" max="271" width="8" style="95" customWidth="1"/>
    <col min="272" max="272" width="2.6640625" style="95" customWidth="1"/>
    <col min="273" max="273" width="7.5" style="95" customWidth="1"/>
    <col min="274" max="274" width="8.5" style="95" customWidth="1"/>
    <col min="275" max="275" width="2.6640625" style="95" customWidth="1"/>
    <col min="276" max="512" width="10.83203125" style="95"/>
    <col min="513" max="513" width="34.83203125" style="95" customWidth="1"/>
    <col min="514" max="514" width="7.5" style="95" customWidth="1"/>
    <col min="515" max="515" width="7.1640625" style="95" customWidth="1"/>
    <col min="516" max="516" width="3" style="95" customWidth="1"/>
    <col min="517" max="517" width="7.5" style="95" customWidth="1"/>
    <col min="518" max="518" width="8.5" style="95" customWidth="1"/>
    <col min="519" max="519" width="2.6640625" style="95" customWidth="1"/>
    <col min="520" max="520" width="7.33203125" style="95" customWidth="1"/>
    <col min="521" max="521" width="8.5" style="95" customWidth="1"/>
    <col min="522" max="522" width="2.6640625" style="95" customWidth="1"/>
    <col min="523" max="523" width="7.5" style="95" customWidth="1"/>
    <col min="524" max="524" width="8.5" style="95" customWidth="1"/>
    <col min="525" max="525" width="2.6640625" style="95" customWidth="1"/>
    <col min="526" max="526" width="7.1640625" style="95" customWidth="1"/>
    <col min="527" max="527" width="8" style="95" customWidth="1"/>
    <col min="528" max="528" width="2.6640625" style="95" customWidth="1"/>
    <col min="529" max="529" width="7.5" style="95" customWidth="1"/>
    <col min="530" max="530" width="8.5" style="95" customWidth="1"/>
    <col min="531" max="531" width="2.6640625" style="95" customWidth="1"/>
    <col min="532" max="768" width="10.83203125" style="95"/>
    <col min="769" max="769" width="34.83203125" style="95" customWidth="1"/>
    <col min="770" max="770" width="7.5" style="95" customWidth="1"/>
    <col min="771" max="771" width="7.1640625" style="95" customWidth="1"/>
    <col min="772" max="772" width="3" style="95" customWidth="1"/>
    <col min="773" max="773" width="7.5" style="95" customWidth="1"/>
    <col min="774" max="774" width="8.5" style="95" customWidth="1"/>
    <col min="775" max="775" width="2.6640625" style="95" customWidth="1"/>
    <col min="776" max="776" width="7.33203125" style="95" customWidth="1"/>
    <col min="777" max="777" width="8.5" style="95" customWidth="1"/>
    <col min="778" max="778" width="2.6640625" style="95" customWidth="1"/>
    <col min="779" max="779" width="7.5" style="95" customWidth="1"/>
    <col min="780" max="780" width="8.5" style="95" customWidth="1"/>
    <col min="781" max="781" width="2.6640625" style="95" customWidth="1"/>
    <col min="782" max="782" width="7.1640625" style="95" customWidth="1"/>
    <col min="783" max="783" width="8" style="95" customWidth="1"/>
    <col min="784" max="784" width="2.6640625" style="95" customWidth="1"/>
    <col min="785" max="785" width="7.5" style="95" customWidth="1"/>
    <col min="786" max="786" width="8.5" style="95" customWidth="1"/>
    <col min="787" max="787" width="2.6640625" style="95" customWidth="1"/>
    <col min="788" max="1024" width="10.83203125" style="95"/>
    <col min="1025" max="1025" width="34.83203125" style="95" customWidth="1"/>
    <col min="1026" max="1026" width="7.5" style="95" customWidth="1"/>
    <col min="1027" max="1027" width="7.1640625" style="95" customWidth="1"/>
    <col min="1028" max="1028" width="3" style="95" customWidth="1"/>
    <col min="1029" max="1029" width="7.5" style="95" customWidth="1"/>
    <col min="1030" max="1030" width="8.5" style="95" customWidth="1"/>
    <col min="1031" max="1031" width="2.6640625" style="95" customWidth="1"/>
    <col min="1032" max="1032" width="7.33203125" style="95" customWidth="1"/>
    <col min="1033" max="1033" width="8.5" style="95" customWidth="1"/>
    <col min="1034" max="1034" width="2.6640625" style="95" customWidth="1"/>
    <col min="1035" max="1035" width="7.5" style="95" customWidth="1"/>
    <col min="1036" max="1036" width="8.5" style="95" customWidth="1"/>
    <col min="1037" max="1037" width="2.6640625" style="95" customWidth="1"/>
    <col min="1038" max="1038" width="7.1640625" style="95" customWidth="1"/>
    <col min="1039" max="1039" width="8" style="95" customWidth="1"/>
    <col min="1040" max="1040" width="2.6640625" style="95" customWidth="1"/>
    <col min="1041" max="1041" width="7.5" style="95" customWidth="1"/>
    <col min="1042" max="1042" width="8.5" style="95" customWidth="1"/>
    <col min="1043" max="1043" width="2.6640625" style="95" customWidth="1"/>
    <col min="1044" max="1280" width="10.83203125" style="95"/>
    <col min="1281" max="1281" width="34.83203125" style="95" customWidth="1"/>
    <col min="1282" max="1282" width="7.5" style="95" customWidth="1"/>
    <col min="1283" max="1283" width="7.1640625" style="95" customWidth="1"/>
    <col min="1284" max="1284" width="3" style="95" customWidth="1"/>
    <col min="1285" max="1285" width="7.5" style="95" customWidth="1"/>
    <col min="1286" max="1286" width="8.5" style="95" customWidth="1"/>
    <col min="1287" max="1287" width="2.6640625" style="95" customWidth="1"/>
    <col min="1288" max="1288" width="7.33203125" style="95" customWidth="1"/>
    <col min="1289" max="1289" width="8.5" style="95" customWidth="1"/>
    <col min="1290" max="1290" width="2.6640625" style="95" customWidth="1"/>
    <col min="1291" max="1291" width="7.5" style="95" customWidth="1"/>
    <col min="1292" max="1292" width="8.5" style="95" customWidth="1"/>
    <col min="1293" max="1293" width="2.6640625" style="95" customWidth="1"/>
    <col min="1294" max="1294" width="7.1640625" style="95" customWidth="1"/>
    <col min="1295" max="1295" width="8" style="95" customWidth="1"/>
    <col min="1296" max="1296" width="2.6640625" style="95" customWidth="1"/>
    <col min="1297" max="1297" width="7.5" style="95" customWidth="1"/>
    <col min="1298" max="1298" width="8.5" style="95" customWidth="1"/>
    <col min="1299" max="1299" width="2.6640625" style="95" customWidth="1"/>
    <col min="1300" max="1536" width="10.83203125" style="95"/>
    <col min="1537" max="1537" width="34.83203125" style="95" customWidth="1"/>
    <col min="1538" max="1538" width="7.5" style="95" customWidth="1"/>
    <col min="1539" max="1539" width="7.1640625" style="95" customWidth="1"/>
    <col min="1540" max="1540" width="3" style="95" customWidth="1"/>
    <col min="1541" max="1541" width="7.5" style="95" customWidth="1"/>
    <col min="1542" max="1542" width="8.5" style="95" customWidth="1"/>
    <col min="1543" max="1543" width="2.6640625" style="95" customWidth="1"/>
    <col min="1544" max="1544" width="7.33203125" style="95" customWidth="1"/>
    <col min="1545" max="1545" width="8.5" style="95" customWidth="1"/>
    <col min="1546" max="1546" width="2.6640625" style="95" customWidth="1"/>
    <col min="1547" max="1547" width="7.5" style="95" customWidth="1"/>
    <col min="1548" max="1548" width="8.5" style="95" customWidth="1"/>
    <col min="1549" max="1549" width="2.6640625" style="95" customWidth="1"/>
    <col min="1550" max="1550" width="7.1640625" style="95" customWidth="1"/>
    <col min="1551" max="1551" width="8" style="95" customWidth="1"/>
    <col min="1552" max="1552" width="2.6640625" style="95" customWidth="1"/>
    <col min="1553" max="1553" width="7.5" style="95" customWidth="1"/>
    <col min="1554" max="1554" width="8.5" style="95" customWidth="1"/>
    <col min="1555" max="1555" width="2.6640625" style="95" customWidth="1"/>
    <col min="1556" max="1792" width="10.83203125" style="95"/>
    <col min="1793" max="1793" width="34.83203125" style="95" customWidth="1"/>
    <col min="1794" max="1794" width="7.5" style="95" customWidth="1"/>
    <col min="1795" max="1795" width="7.1640625" style="95" customWidth="1"/>
    <col min="1796" max="1796" width="3" style="95" customWidth="1"/>
    <col min="1797" max="1797" width="7.5" style="95" customWidth="1"/>
    <col min="1798" max="1798" width="8.5" style="95" customWidth="1"/>
    <col min="1799" max="1799" width="2.6640625" style="95" customWidth="1"/>
    <col min="1800" max="1800" width="7.33203125" style="95" customWidth="1"/>
    <col min="1801" max="1801" width="8.5" style="95" customWidth="1"/>
    <col min="1802" max="1802" width="2.6640625" style="95" customWidth="1"/>
    <col min="1803" max="1803" width="7.5" style="95" customWidth="1"/>
    <col min="1804" max="1804" width="8.5" style="95" customWidth="1"/>
    <col min="1805" max="1805" width="2.6640625" style="95" customWidth="1"/>
    <col min="1806" max="1806" width="7.1640625" style="95" customWidth="1"/>
    <col min="1807" max="1807" width="8" style="95" customWidth="1"/>
    <col min="1808" max="1808" width="2.6640625" style="95" customWidth="1"/>
    <col min="1809" max="1809" width="7.5" style="95" customWidth="1"/>
    <col min="1810" max="1810" width="8.5" style="95" customWidth="1"/>
    <col min="1811" max="1811" width="2.6640625" style="95" customWidth="1"/>
    <col min="1812" max="2048" width="10.83203125" style="95"/>
    <col min="2049" max="2049" width="34.83203125" style="95" customWidth="1"/>
    <col min="2050" max="2050" width="7.5" style="95" customWidth="1"/>
    <col min="2051" max="2051" width="7.1640625" style="95" customWidth="1"/>
    <col min="2052" max="2052" width="3" style="95" customWidth="1"/>
    <col min="2053" max="2053" width="7.5" style="95" customWidth="1"/>
    <col min="2054" max="2054" width="8.5" style="95" customWidth="1"/>
    <col min="2055" max="2055" width="2.6640625" style="95" customWidth="1"/>
    <col min="2056" max="2056" width="7.33203125" style="95" customWidth="1"/>
    <col min="2057" max="2057" width="8.5" style="95" customWidth="1"/>
    <col min="2058" max="2058" width="2.6640625" style="95" customWidth="1"/>
    <col min="2059" max="2059" width="7.5" style="95" customWidth="1"/>
    <col min="2060" max="2060" width="8.5" style="95" customWidth="1"/>
    <col min="2061" max="2061" width="2.6640625" style="95" customWidth="1"/>
    <col min="2062" max="2062" width="7.1640625" style="95" customWidth="1"/>
    <col min="2063" max="2063" width="8" style="95" customWidth="1"/>
    <col min="2064" max="2064" width="2.6640625" style="95" customWidth="1"/>
    <col min="2065" max="2065" width="7.5" style="95" customWidth="1"/>
    <col min="2066" max="2066" width="8.5" style="95" customWidth="1"/>
    <col min="2067" max="2067" width="2.6640625" style="95" customWidth="1"/>
    <col min="2068" max="2304" width="10.83203125" style="95"/>
    <col min="2305" max="2305" width="34.83203125" style="95" customWidth="1"/>
    <col min="2306" max="2306" width="7.5" style="95" customWidth="1"/>
    <col min="2307" max="2307" width="7.1640625" style="95" customWidth="1"/>
    <col min="2308" max="2308" width="3" style="95" customWidth="1"/>
    <col min="2309" max="2309" width="7.5" style="95" customWidth="1"/>
    <col min="2310" max="2310" width="8.5" style="95" customWidth="1"/>
    <col min="2311" max="2311" width="2.6640625" style="95" customWidth="1"/>
    <col min="2312" max="2312" width="7.33203125" style="95" customWidth="1"/>
    <col min="2313" max="2313" width="8.5" style="95" customWidth="1"/>
    <col min="2314" max="2314" width="2.6640625" style="95" customWidth="1"/>
    <col min="2315" max="2315" width="7.5" style="95" customWidth="1"/>
    <col min="2316" max="2316" width="8.5" style="95" customWidth="1"/>
    <col min="2317" max="2317" width="2.6640625" style="95" customWidth="1"/>
    <col min="2318" max="2318" width="7.1640625" style="95" customWidth="1"/>
    <col min="2319" max="2319" width="8" style="95" customWidth="1"/>
    <col min="2320" max="2320" width="2.6640625" style="95" customWidth="1"/>
    <col min="2321" max="2321" width="7.5" style="95" customWidth="1"/>
    <col min="2322" max="2322" width="8.5" style="95" customWidth="1"/>
    <col min="2323" max="2323" width="2.6640625" style="95" customWidth="1"/>
    <col min="2324" max="2560" width="10.83203125" style="95"/>
    <col min="2561" max="2561" width="34.83203125" style="95" customWidth="1"/>
    <col min="2562" max="2562" width="7.5" style="95" customWidth="1"/>
    <col min="2563" max="2563" width="7.1640625" style="95" customWidth="1"/>
    <col min="2564" max="2564" width="3" style="95" customWidth="1"/>
    <col min="2565" max="2565" width="7.5" style="95" customWidth="1"/>
    <col min="2566" max="2566" width="8.5" style="95" customWidth="1"/>
    <col min="2567" max="2567" width="2.6640625" style="95" customWidth="1"/>
    <col min="2568" max="2568" width="7.33203125" style="95" customWidth="1"/>
    <col min="2569" max="2569" width="8.5" style="95" customWidth="1"/>
    <col min="2570" max="2570" width="2.6640625" style="95" customWidth="1"/>
    <col min="2571" max="2571" width="7.5" style="95" customWidth="1"/>
    <col min="2572" max="2572" width="8.5" style="95" customWidth="1"/>
    <col min="2573" max="2573" width="2.6640625" style="95" customWidth="1"/>
    <col min="2574" max="2574" width="7.1640625" style="95" customWidth="1"/>
    <col min="2575" max="2575" width="8" style="95" customWidth="1"/>
    <col min="2576" max="2576" width="2.6640625" style="95" customWidth="1"/>
    <col min="2577" max="2577" width="7.5" style="95" customWidth="1"/>
    <col min="2578" max="2578" width="8.5" style="95" customWidth="1"/>
    <col min="2579" max="2579" width="2.6640625" style="95" customWidth="1"/>
    <col min="2580" max="2816" width="10.83203125" style="95"/>
    <col min="2817" max="2817" width="34.83203125" style="95" customWidth="1"/>
    <col min="2818" max="2818" width="7.5" style="95" customWidth="1"/>
    <col min="2819" max="2819" width="7.1640625" style="95" customWidth="1"/>
    <col min="2820" max="2820" width="3" style="95" customWidth="1"/>
    <col min="2821" max="2821" width="7.5" style="95" customWidth="1"/>
    <col min="2822" max="2822" width="8.5" style="95" customWidth="1"/>
    <col min="2823" max="2823" width="2.6640625" style="95" customWidth="1"/>
    <col min="2824" max="2824" width="7.33203125" style="95" customWidth="1"/>
    <col min="2825" max="2825" width="8.5" style="95" customWidth="1"/>
    <col min="2826" max="2826" width="2.6640625" style="95" customWidth="1"/>
    <col min="2827" max="2827" width="7.5" style="95" customWidth="1"/>
    <col min="2828" max="2828" width="8.5" style="95" customWidth="1"/>
    <col min="2829" max="2829" width="2.6640625" style="95" customWidth="1"/>
    <col min="2830" max="2830" width="7.1640625" style="95" customWidth="1"/>
    <col min="2831" max="2831" width="8" style="95" customWidth="1"/>
    <col min="2832" max="2832" width="2.6640625" style="95" customWidth="1"/>
    <col min="2833" max="2833" width="7.5" style="95" customWidth="1"/>
    <col min="2834" max="2834" width="8.5" style="95" customWidth="1"/>
    <col min="2835" max="2835" width="2.6640625" style="95" customWidth="1"/>
    <col min="2836" max="3072" width="10.83203125" style="95"/>
    <col min="3073" max="3073" width="34.83203125" style="95" customWidth="1"/>
    <col min="3074" max="3074" width="7.5" style="95" customWidth="1"/>
    <col min="3075" max="3075" width="7.1640625" style="95" customWidth="1"/>
    <col min="3076" max="3076" width="3" style="95" customWidth="1"/>
    <col min="3077" max="3077" width="7.5" style="95" customWidth="1"/>
    <col min="3078" max="3078" width="8.5" style="95" customWidth="1"/>
    <col min="3079" max="3079" width="2.6640625" style="95" customWidth="1"/>
    <col min="3080" max="3080" width="7.33203125" style="95" customWidth="1"/>
    <col min="3081" max="3081" width="8.5" style="95" customWidth="1"/>
    <col min="3082" max="3082" width="2.6640625" style="95" customWidth="1"/>
    <col min="3083" max="3083" width="7.5" style="95" customWidth="1"/>
    <col min="3084" max="3084" width="8.5" style="95" customWidth="1"/>
    <col min="3085" max="3085" width="2.6640625" style="95" customWidth="1"/>
    <col min="3086" max="3086" width="7.1640625" style="95" customWidth="1"/>
    <col min="3087" max="3087" width="8" style="95" customWidth="1"/>
    <col min="3088" max="3088" width="2.6640625" style="95" customWidth="1"/>
    <col min="3089" max="3089" width="7.5" style="95" customWidth="1"/>
    <col min="3090" max="3090" width="8.5" style="95" customWidth="1"/>
    <col min="3091" max="3091" width="2.6640625" style="95" customWidth="1"/>
    <col min="3092" max="3328" width="10.83203125" style="95"/>
    <col min="3329" max="3329" width="34.83203125" style="95" customWidth="1"/>
    <col min="3330" max="3330" width="7.5" style="95" customWidth="1"/>
    <col min="3331" max="3331" width="7.1640625" style="95" customWidth="1"/>
    <col min="3332" max="3332" width="3" style="95" customWidth="1"/>
    <col min="3333" max="3333" width="7.5" style="95" customWidth="1"/>
    <col min="3334" max="3334" width="8.5" style="95" customWidth="1"/>
    <col min="3335" max="3335" width="2.6640625" style="95" customWidth="1"/>
    <col min="3336" max="3336" width="7.33203125" style="95" customWidth="1"/>
    <col min="3337" max="3337" width="8.5" style="95" customWidth="1"/>
    <col min="3338" max="3338" width="2.6640625" style="95" customWidth="1"/>
    <col min="3339" max="3339" width="7.5" style="95" customWidth="1"/>
    <col min="3340" max="3340" width="8.5" style="95" customWidth="1"/>
    <col min="3341" max="3341" width="2.6640625" style="95" customWidth="1"/>
    <col min="3342" max="3342" width="7.1640625" style="95" customWidth="1"/>
    <col min="3343" max="3343" width="8" style="95" customWidth="1"/>
    <col min="3344" max="3344" width="2.6640625" style="95" customWidth="1"/>
    <col min="3345" max="3345" width="7.5" style="95" customWidth="1"/>
    <col min="3346" max="3346" width="8.5" style="95" customWidth="1"/>
    <col min="3347" max="3347" width="2.6640625" style="95" customWidth="1"/>
    <col min="3348" max="3584" width="10.83203125" style="95"/>
    <col min="3585" max="3585" width="34.83203125" style="95" customWidth="1"/>
    <col min="3586" max="3586" width="7.5" style="95" customWidth="1"/>
    <col min="3587" max="3587" width="7.1640625" style="95" customWidth="1"/>
    <col min="3588" max="3588" width="3" style="95" customWidth="1"/>
    <col min="3589" max="3589" width="7.5" style="95" customWidth="1"/>
    <col min="3590" max="3590" width="8.5" style="95" customWidth="1"/>
    <col min="3591" max="3591" width="2.6640625" style="95" customWidth="1"/>
    <col min="3592" max="3592" width="7.33203125" style="95" customWidth="1"/>
    <col min="3593" max="3593" width="8.5" style="95" customWidth="1"/>
    <col min="3594" max="3594" width="2.6640625" style="95" customWidth="1"/>
    <col min="3595" max="3595" width="7.5" style="95" customWidth="1"/>
    <col min="3596" max="3596" width="8.5" style="95" customWidth="1"/>
    <col min="3597" max="3597" width="2.6640625" style="95" customWidth="1"/>
    <col min="3598" max="3598" width="7.1640625" style="95" customWidth="1"/>
    <col min="3599" max="3599" width="8" style="95" customWidth="1"/>
    <col min="3600" max="3600" width="2.6640625" style="95" customWidth="1"/>
    <col min="3601" max="3601" width="7.5" style="95" customWidth="1"/>
    <col min="3602" max="3602" width="8.5" style="95" customWidth="1"/>
    <col min="3603" max="3603" width="2.6640625" style="95" customWidth="1"/>
    <col min="3604" max="3840" width="10.83203125" style="95"/>
    <col min="3841" max="3841" width="34.83203125" style="95" customWidth="1"/>
    <col min="3842" max="3842" width="7.5" style="95" customWidth="1"/>
    <col min="3843" max="3843" width="7.1640625" style="95" customWidth="1"/>
    <col min="3844" max="3844" width="3" style="95" customWidth="1"/>
    <col min="3845" max="3845" width="7.5" style="95" customWidth="1"/>
    <col min="3846" max="3846" width="8.5" style="95" customWidth="1"/>
    <col min="3847" max="3847" width="2.6640625" style="95" customWidth="1"/>
    <col min="3848" max="3848" width="7.33203125" style="95" customWidth="1"/>
    <col min="3849" max="3849" width="8.5" style="95" customWidth="1"/>
    <col min="3850" max="3850" width="2.6640625" style="95" customWidth="1"/>
    <col min="3851" max="3851" width="7.5" style="95" customWidth="1"/>
    <col min="3852" max="3852" width="8.5" style="95" customWidth="1"/>
    <col min="3853" max="3853" width="2.6640625" style="95" customWidth="1"/>
    <col min="3854" max="3854" width="7.1640625" style="95" customWidth="1"/>
    <col min="3855" max="3855" width="8" style="95" customWidth="1"/>
    <col min="3856" max="3856" width="2.6640625" style="95" customWidth="1"/>
    <col min="3857" max="3857" width="7.5" style="95" customWidth="1"/>
    <col min="3858" max="3858" width="8.5" style="95" customWidth="1"/>
    <col min="3859" max="3859" width="2.6640625" style="95" customWidth="1"/>
    <col min="3860" max="4096" width="10.83203125" style="95"/>
    <col min="4097" max="4097" width="34.83203125" style="95" customWidth="1"/>
    <col min="4098" max="4098" width="7.5" style="95" customWidth="1"/>
    <col min="4099" max="4099" width="7.1640625" style="95" customWidth="1"/>
    <col min="4100" max="4100" width="3" style="95" customWidth="1"/>
    <col min="4101" max="4101" width="7.5" style="95" customWidth="1"/>
    <col min="4102" max="4102" width="8.5" style="95" customWidth="1"/>
    <col min="4103" max="4103" width="2.6640625" style="95" customWidth="1"/>
    <col min="4104" max="4104" width="7.33203125" style="95" customWidth="1"/>
    <col min="4105" max="4105" width="8.5" style="95" customWidth="1"/>
    <col min="4106" max="4106" width="2.6640625" style="95" customWidth="1"/>
    <col min="4107" max="4107" width="7.5" style="95" customWidth="1"/>
    <col min="4108" max="4108" width="8.5" style="95" customWidth="1"/>
    <col min="4109" max="4109" width="2.6640625" style="95" customWidth="1"/>
    <col min="4110" max="4110" width="7.1640625" style="95" customWidth="1"/>
    <col min="4111" max="4111" width="8" style="95" customWidth="1"/>
    <col min="4112" max="4112" width="2.6640625" style="95" customWidth="1"/>
    <col min="4113" max="4113" width="7.5" style="95" customWidth="1"/>
    <col min="4114" max="4114" width="8.5" style="95" customWidth="1"/>
    <col min="4115" max="4115" width="2.6640625" style="95" customWidth="1"/>
    <col min="4116" max="4352" width="10.83203125" style="95"/>
    <col min="4353" max="4353" width="34.83203125" style="95" customWidth="1"/>
    <col min="4354" max="4354" width="7.5" style="95" customWidth="1"/>
    <col min="4355" max="4355" width="7.1640625" style="95" customWidth="1"/>
    <col min="4356" max="4356" width="3" style="95" customWidth="1"/>
    <col min="4357" max="4357" width="7.5" style="95" customWidth="1"/>
    <col min="4358" max="4358" width="8.5" style="95" customWidth="1"/>
    <col min="4359" max="4359" width="2.6640625" style="95" customWidth="1"/>
    <col min="4360" max="4360" width="7.33203125" style="95" customWidth="1"/>
    <col min="4361" max="4361" width="8.5" style="95" customWidth="1"/>
    <col min="4362" max="4362" width="2.6640625" style="95" customWidth="1"/>
    <col min="4363" max="4363" width="7.5" style="95" customWidth="1"/>
    <col min="4364" max="4364" width="8.5" style="95" customWidth="1"/>
    <col min="4365" max="4365" width="2.6640625" style="95" customWidth="1"/>
    <col min="4366" max="4366" width="7.1640625" style="95" customWidth="1"/>
    <col min="4367" max="4367" width="8" style="95" customWidth="1"/>
    <col min="4368" max="4368" width="2.6640625" style="95" customWidth="1"/>
    <col min="4369" max="4369" width="7.5" style="95" customWidth="1"/>
    <col min="4370" max="4370" width="8.5" style="95" customWidth="1"/>
    <col min="4371" max="4371" width="2.6640625" style="95" customWidth="1"/>
    <col min="4372" max="4608" width="10.83203125" style="95"/>
    <col min="4609" max="4609" width="34.83203125" style="95" customWidth="1"/>
    <col min="4610" max="4610" width="7.5" style="95" customWidth="1"/>
    <col min="4611" max="4611" width="7.1640625" style="95" customWidth="1"/>
    <col min="4612" max="4612" width="3" style="95" customWidth="1"/>
    <col min="4613" max="4613" width="7.5" style="95" customWidth="1"/>
    <col min="4614" max="4614" width="8.5" style="95" customWidth="1"/>
    <col min="4615" max="4615" width="2.6640625" style="95" customWidth="1"/>
    <col min="4616" max="4616" width="7.33203125" style="95" customWidth="1"/>
    <col min="4617" max="4617" width="8.5" style="95" customWidth="1"/>
    <col min="4618" max="4618" width="2.6640625" style="95" customWidth="1"/>
    <col min="4619" max="4619" width="7.5" style="95" customWidth="1"/>
    <col min="4620" max="4620" width="8.5" style="95" customWidth="1"/>
    <col min="4621" max="4621" width="2.6640625" style="95" customWidth="1"/>
    <col min="4622" max="4622" width="7.1640625" style="95" customWidth="1"/>
    <col min="4623" max="4623" width="8" style="95" customWidth="1"/>
    <col min="4624" max="4624" width="2.6640625" style="95" customWidth="1"/>
    <col min="4625" max="4625" width="7.5" style="95" customWidth="1"/>
    <col min="4626" max="4626" width="8.5" style="95" customWidth="1"/>
    <col min="4627" max="4627" width="2.6640625" style="95" customWidth="1"/>
    <col min="4628" max="4864" width="10.83203125" style="95"/>
    <col min="4865" max="4865" width="34.83203125" style="95" customWidth="1"/>
    <col min="4866" max="4866" width="7.5" style="95" customWidth="1"/>
    <col min="4867" max="4867" width="7.1640625" style="95" customWidth="1"/>
    <col min="4868" max="4868" width="3" style="95" customWidth="1"/>
    <col min="4869" max="4869" width="7.5" style="95" customWidth="1"/>
    <col min="4870" max="4870" width="8.5" style="95" customWidth="1"/>
    <col min="4871" max="4871" width="2.6640625" style="95" customWidth="1"/>
    <col min="4872" max="4872" width="7.33203125" style="95" customWidth="1"/>
    <col min="4873" max="4873" width="8.5" style="95" customWidth="1"/>
    <col min="4874" max="4874" width="2.6640625" style="95" customWidth="1"/>
    <col min="4875" max="4875" width="7.5" style="95" customWidth="1"/>
    <col min="4876" max="4876" width="8.5" style="95" customWidth="1"/>
    <col min="4877" max="4877" width="2.6640625" style="95" customWidth="1"/>
    <col min="4878" max="4878" width="7.1640625" style="95" customWidth="1"/>
    <col min="4879" max="4879" width="8" style="95" customWidth="1"/>
    <col min="4880" max="4880" width="2.6640625" style="95" customWidth="1"/>
    <col min="4881" max="4881" width="7.5" style="95" customWidth="1"/>
    <col min="4882" max="4882" width="8.5" style="95" customWidth="1"/>
    <col min="4883" max="4883" width="2.6640625" style="95" customWidth="1"/>
    <col min="4884" max="5120" width="10.83203125" style="95"/>
    <col min="5121" max="5121" width="34.83203125" style="95" customWidth="1"/>
    <col min="5122" max="5122" width="7.5" style="95" customWidth="1"/>
    <col min="5123" max="5123" width="7.1640625" style="95" customWidth="1"/>
    <col min="5124" max="5124" width="3" style="95" customWidth="1"/>
    <col min="5125" max="5125" width="7.5" style="95" customWidth="1"/>
    <col min="5126" max="5126" width="8.5" style="95" customWidth="1"/>
    <col min="5127" max="5127" width="2.6640625" style="95" customWidth="1"/>
    <col min="5128" max="5128" width="7.33203125" style="95" customWidth="1"/>
    <col min="5129" max="5129" width="8.5" style="95" customWidth="1"/>
    <col min="5130" max="5130" width="2.6640625" style="95" customWidth="1"/>
    <col min="5131" max="5131" width="7.5" style="95" customWidth="1"/>
    <col min="5132" max="5132" width="8.5" style="95" customWidth="1"/>
    <col min="5133" max="5133" width="2.6640625" style="95" customWidth="1"/>
    <col min="5134" max="5134" width="7.1640625" style="95" customWidth="1"/>
    <col min="5135" max="5135" width="8" style="95" customWidth="1"/>
    <col min="5136" max="5136" width="2.6640625" style="95" customWidth="1"/>
    <col min="5137" max="5137" width="7.5" style="95" customWidth="1"/>
    <col min="5138" max="5138" width="8.5" style="95" customWidth="1"/>
    <col min="5139" max="5139" width="2.6640625" style="95" customWidth="1"/>
    <col min="5140" max="5376" width="10.83203125" style="95"/>
    <col min="5377" max="5377" width="34.83203125" style="95" customWidth="1"/>
    <col min="5378" max="5378" width="7.5" style="95" customWidth="1"/>
    <col min="5379" max="5379" width="7.1640625" style="95" customWidth="1"/>
    <col min="5380" max="5380" width="3" style="95" customWidth="1"/>
    <col min="5381" max="5381" width="7.5" style="95" customWidth="1"/>
    <col min="5382" max="5382" width="8.5" style="95" customWidth="1"/>
    <col min="5383" max="5383" width="2.6640625" style="95" customWidth="1"/>
    <col min="5384" max="5384" width="7.33203125" style="95" customWidth="1"/>
    <col min="5385" max="5385" width="8.5" style="95" customWidth="1"/>
    <col min="5386" max="5386" width="2.6640625" style="95" customWidth="1"/>
    <col min="5387" max="5387" width="7.5" style="95" customWidth="1"/>
    <col min="5388" max="5388" width="8.5" style="95" customWidth="1"/>
    <col min="5389" max="5389" width="2.6640625" style="95" customWidth="1"/>
    <col min="5390" max="5390" width="7.1640625" style="95" customWidth="1"/>
    <col min="5391" max="5391" width="8" style="95" customWidth="1"/>
    <col min="5392" max="5392" width="2.6640625" style="95" customWidth="1"/>
    <col min="5393" max="5393" width="7.5" style="95" customWidth="1"/>
    <col min="5394" max="5394" width="8.5" style="95" customWidth="1"/>
    <col min="5395" max="5395" width="2.6640625" style="95" customWidth="1"/>
    <col min="5396" max="5632" width="10.83203125" style="95"/>
    <col min="5633" max="5633" width="34.83203125" style="95" customWidth="1"/>
    <col min="5634" max="5634" width="7.5" style="95" customWidth="1"/>
    <col min="5635" max="5635" width="7.1640625" style="95" customWidth="1"/>
    <col min="5636" max="5636" width="3" style="95" customWidth="1"/>
    <col min="5637" max="5637" width="7.5" style="95" customWidth="1"/>
    <col min="5638" max="5638" width="8.5" style="95" customWidth="1"/>
    <col min="5639" max="5639" width="2.6640625" style="95" customWidth="1"/>
    <col min="5640" max="5640" width="7.33203125" style="95" customWidth="1"/>
    <col min="5641" max="5641" width="8.5" style="95" customWidth="1"/>
    <col min="5642" max="5642" width="2.6640625" style="95" customWidth="1"/>
    <col min="5643" max="5643" width="7.5" style="95" customWidth="1"/>
    <col min="5644" max="5644" width="8.5" style="95" customWidth="1"/>
    <col min="5645" max="5645" width="2.6640625" style="95" customWidth="1"/>
    <col min="5646" max="5646" width="7.1640625" style="95" customWidth="1"/>
    <col min="5647" max="5647" width="8" style="95" customWidth="1"/>
    <col min="5648" max="5648" width="2.6640625" style="95" customWidth="1"/>
    <col min="5649" max="5649" width="7.5" style="95" customWidth="1"/>
    <col min="5650" max="5650" width="8.5" style="95" customWidth="1"/>
    <col min="5651" max="5651" width="2.6640625" style="95" customWidth="1"/>
    <col min="5652" max="5888" width="10.83203125" style="95"/>
    <col min="5889" max="5889" width="34.83203125" style="95" customWidth="1"/>
    <col min="5890" max="5890" width="7.5" style="95" customWidth="1"/>
    <col min="5891" max="5891" width="7.1640625" style="95" customWidth="1"/>
    <col min="5892" max="5892" width="3" style="95" customWidth="1"/>
    <col min="5893" max="5893" width="7.5" style="95" customWidth="1"/>
    <col min="5894" max="5894" width="8.5" style="95" customWidth="1"/>
    <col min="5895" max="5895" width="2.6640625" style="95" customWidth="1"/>
    <col min="5896" max="5896" width="7.33203125" style="95" customWidth="1"/>
    <col min="5897" max="5897" width="8.5" style="95" customWidth="1"/>
    <col min="5898" max="5898" width="2.6640625" style="95" customWidth="1"/>
    <col min="5899" max="5899" width="7.5" style="95" customWidth="1"/>
    <col min="5900" max="5900" width="8.5" style="95" customWidth="1"/>
    <col min="5901" max="5901" width="2.6640625" style="95" customWidth="1"/>
    <col min="5902" max="5902" width="7.1640625" style="95" customWidth="1"/>
    <col min="5903" max="5903" width="8" style="95" customWidth="1"/>
    <col min="5904" max="5904" width="2.6640625" style="95" customWidth="1"/>
    <col min="5905" max="5905" width="7.5" style="95" customWidth="1"/>
    <col min="5906" max="5906" width="8.5" style="95" customWidth="1"/>
    <col min="5907" max="5907" width="2.6640625" style="95" customWidth="1"/>
    <col min="5908" max="6144" width="10.83203125" style="95"/>
    <col min="6145" max="6145" width="34.83203125" style="95" customWidth="1"/>
    <col min="6146" max="6146" width="7.5" style="95" customWidth="1"/>
    <col min="6147" max="6147" width="7.1640625" style="95" customWidth="1"/>
    <col min="6148" max="6148" width="3" style="95" customWidth="1"/>
    <col min="6149" max="6149" width="7.5" style="95" customWidth="1"/>
    <col min="6150" max="6150" width="8.5" style="95" customWidth="1"/>
    <col min="6151" max="6151" width="2.6640625" style="95" customWidth="1"/>
    <col min="6152" max="6152" width="7.33203125" style="95" customWidth="1"/>
    <col min="6153" max="6153" width="8.5" style="95" customWidth="1"/>
    <col min="6154" max="6154" width="2.6640625" style="95" customWidth="1"/>
    <col min="6155" max="6155" width="7.5" style="95" customWidth="1"/>
    <col min="6156" max="6156" width="8.5" style="95" customWidth="1"/>
    <col min="6157" max="6157" width="2.6640625" style="95" customWidth="1"/>
    <col min="6158" max="6158" width="7.1640625" style="95" customWidth="1"/>
    <col min="6159" max="6159" width="8" style="95" customWidth="1"/>
    <col min="6160" max="6160" width="2.6640625" style="95" customWidth="1"/>
    <col min="6161" max="6161" width="7.5" style="95" customWidth="1"/>
    <col min="6162" max="6162" width="8.5" style="95" customWidth="1"/>
    <col min="6163" max="6163" width="2.6640625" style="95" customWidth="1"/>
    <col min="6164" max="6400" width="10.83203125" style="95"/>
    <col min="6401" max="6401" width="34.83203125" style="95" customWidth="1"/>
    <col min="6402" max="6402" width="7.5" style="95" customWidth="1"/>
    <col min="6403" max="6403" width="7.1640625" style="95" customWidth="1"/>
    <col min="6404" max="6404" width="3" style="95" customWidth="1"/>
    <col min="6405" max="6405" width="7.5" style="95" customWidth="1"/>
    <col min="6406" max="6406" width="8.5" style="95" customWidth="1"/>
    <col min="6407" max="6407" width="2.6640625" style="95" customWidth="1"/>
    <col min="6408" max="6408" width="7.33203125" style="95" customWidth="1"/>
    <col min="6409" max="6409" width="8.5" style="95" customWidth="1"/>
    <col min="6410" max="6410" width="2.6640625" style="95" customWidth="1"/>
    <col min="6411" max="6411" width="7.5" style="95" customWidth="1"/>
    <col min="6412" max="6412" width="8.5" style="95" customWidth="1"/>
    <col min="6413" max="6413" width="2.6640625" style="95" customWidth="1"/>
    <col min="6414" max="6414" width="7.1640625" style="95" customWidth="1"/>
    <col min="6415" max="6415" width="8" style="95" customWidth="1"/>
    <col min="6416" max="6416" width="2.6640625" style="95" customWidth="1"/>
    <col min="6417" max="6417" width="7.5" style="95" customWidth="1"/>
    <col min="6418" max="6418" width="8.5" style="95" customWidth="1"/>
    <col min="6419" max="6419" width="2.6640625" style="95" customWidth="1"/>
    <col min="6420" max="6656" width="10.83203125" style="95"/>
    <col min="6657" max="6657" width="34.83203125" style="95" customWidth="1"/>
    <col min="6658" max="6658" width="7.5" style="95" customWidth="1"/>
    <col min="6659" max="6659" width="7.1640625" style="95" customWidth="1"/>
    <col min="6660" max="6660" width="3" style="95" customWidth="1"/>
    <col min="6661" max="6661" width="7.5" style="95" customWidth="1"/>
    <col min="6662" max="6662" width="8.5" style="95" customWidth="1"/>
    <col min="6663" max="6663" width="2.6640625" style="95" customWidth="1"/>
    <col min="6664" max="6664" width="7.33203125" style="95" customWidth="1"/>
    <col min="6665" max="6665" width="8.5" style="95" customWidth="1"/>
    <col min="6666" max="6666" width="2.6640625" style="95" customWidth="1"/>
    <col min="6667" max="6667" width="7.5" style="95" customWidth="1"/>
    <col min="6668" max="6668" width="8.5" style="95" customWidth="1"/>
    <col min="6669" max="6669" width="2.6640625" style="95" customWidth="1"/>
    <col min="6670" max="6670" width="7.1640625" style="95" customWidth="1"/>
    <col min="6671" max="6671" width="8" style="95" customWidth="1"/>
    <col min="6672" max="6672" width="2.6640625" style="95" customWidth="1"/>
    <col min="6673" max="6673" width="7.5" style="95" customWidth="1"/>
    <col min="6674" max="6674" width="8.5" style="95" customWidth="1"/>
    <col min="6675" max="6675" width="2.6640625" style="95" customWidth="1"/>
    <col min="6676" max="6912" width="10.83203125" style="95"/>
    <col min="6913" max="6913" width="34.83203125" style="95" customWidth="1"/>
    <col min="6914" max="6914" width="7.5" style="95" customWidth="1"/>
    <col min="6915" max="6915" width="7.1640625" style="95" customWidth="1"/>
    <col min="6916" max="6916" width="3" style="95" customWidth="1"/>
    <col min="6917" max="6917" width="7.5" style="95" customWidth="1"/>
    <col min="6918" max="6918" width="8.5" style="95" customWidth="1"/>
    <col min="6919" max="6919" width="2.6640625" style="95" customWidth="1"/>
    <col min="6920" max="6920" width="7.33203125" style="95" customWidth="1"/>
    <col min="6921" max="6921" width="8.5" style="95" customWidth="1"/>
    <col min="6922" max="6922" width="2.6640625" style="95" customWidth="1"/>
    <col min="6923" max="6923" width="7.5" style="95" customWidth="1"/>
    <col min="6924" max="6924" width="8.5" style="95" customWidth="1"/>
    <col min="6925" max="6925" width="2.6640625" style="95" customWidth="1"/>
    <col min="6926" max="6926" width="7.1640625" style="95" customWidth="1"/>
    <col min="6927" max="6927" width="8" style="95" customWidth="1"/>
    <col min="6928" max="6928" width="2.6640625" style="95" customWidth="1"/>
    <col min="6929" max="6929" width="7.5" style="95" customWidth="1"/>
    <col min="6930" max="6930" width="8.5" style="95" customWidth="1"/>
    <col min="6931" max="6931" width="2.6640625" style="95" customWidth="1"/>
    <col min="6932" max="7168" width="10.83203125" style="95"/>
    <col min="7169" max="7169" width="34.83203125" style="95" customWidth="1"/>
    <col min="7170" max="7170" width="7.5" style="95" customWidth="1"/>
    <col min="7171" max="7171" width="7.1640625" style="95" customWidth="1"/>
    <col min="7172" max="7172" width="3" style="95" customWidth="1"/>
    <col min="7173" max="7173" width="7.5" style="95" customWidth="1"/>
    <col min="7174" max="7174" width="8.5" style="95" customWidth="1"/>
    <col min="7175" max="7175" width="2.6640625" style="95" customWidth="1"/>
    <col min="7176" max="7176" width="7.33203125" style="95" customWidth="1"/>
    <col min="7177" max="7177" width="8.5" style="95" customWidth="1"/>
    <col min="7178" max="7178" width="2.6640625" style="95" customWidth="1"/>
    <col min="7179" max="7179" width="7.5" style="95" customWidth="1"/>
    <col min="7180" max="7180" width="8.5" style="95" customWidth="1"/>
    <col min="7181" max="7181" width="2.6640625" style="95" customWidth="1"/>
    <col min="7182" max="7182" width="7.1640625" style="95" customWidth="1"/>
    <col min="7183" max="7183" width="8" style="95" customWidth="1"/>
    <col min="7184" max="7184" width="2.6640625" style="95" customWidth="1"/>
    <col min="7185" max="7185" width="7.5" style="95" customWidth="1"/>
    <col min="7186" max="7186" width="8.5" style="95" customWidth="1"/>
    <col min="7187" max="7187" width="2.6640625" style="95" customWidth="1"/>
    <col min="7188" max="7424" width="10.83203125" style="95"/>
    <col min="7425" max="7425" width="34.83203125" style="95" customWidth="1"/>
    <col min="7426" max="7426" width="7.5" style="95" customWidth="1"/>
    <col min="7427" max="7427" width="7.1640625" style="95" customWidth="1"/>
    <col min="7428" max="7428" width="3" style="95" customWidth="1"/>
    <col min="7429" max="7429" width="7.5" style="95" customWidth="1"/>
    <col min="7430" max="7430" width="8.5" style="95" customWidth="1"/>
    <col min="7431" max="7431" width="2.6640625" style="95" customWidth="1"/>
    <col min="7432" max="7432" width="7.33203125" style="95" customWidth="1"/>
    <col min="7433" max="7433" width="8.5" style="95" customWidth="1"/>
    <col min="7434" max="7434" width="2.6640625" style="95" customWidth="1"/>
    <col min="7435" max="7435" width="7.5" style="95" customWidth="1"/>
    <col min="7436" max="7436" width="8.5" style="95" customWidth="1"/>
    <col min="7437" max="7437" width="2.6640625" style="95" customWidth="1"/>
    <col min="7438" max="7438" width="7.1640625" style="95" customWidth="1"/>
    <col min="7439" max="7439" width="8" style="95" customWidth="1"/>
    <col min="7440" max="7440" width="2.6640625" style="95" customWidth="1"/>
    <col min="7441" max="7441" width="7.5" style="95" customWidth="1"/>
    <col min="7442" max="7442" width="8.5" style="95" customWidth="1"/>
    <col min="7443" max="7443" width="2.6640625" style="95" customWidth="1"/>
    <col min="7444" max="7680" width="10.83203125" style="95"/>
    <col min="7681" max="7681" width="34.83203125" style="95" customWidth="1"/>
    <col min="7682" max="7682" width="7.5" style="95" customWidth="1"/>
    <col min="7683" max="7683" width="7.1640625" style="95" customWidth="1"/>
    <col min="7684" max="7684" width="3" style="95" customWidth="1"/>
    <col min="7685" max="7685" width="7.5" style="95" customWidth="1"/>
    <col min="7686" max="7686" width="8.5" style="95" customWidth="1"/>
    <col min="7687" max="7687" width="2.6640625" style="95" customWidth="1"/>
    <col min="7688" max="7688" width="7.33203125" style="95" customWidth="1"/>
    <col min="7689" max="7689" width="8.5" style="95" customWidth="1"/>
    <col min="7690" max="7690" width="2.6640625" style="95" customWidth="1"/>
    <col min="7691" max="7691" width="7.5" style="95" customWidth="1"/>
    <col min="7692" max="7692" width="8.5" style="95" customWidth="1"/>
    <col min="7693" max="7693" width="2.6640625" style="95" customWidth="1"/>
    <col min="7694" max="7694" width="7.1640625" style="95" customWidth="1"/>
    <col min="7695" max="7695" width="8" style="95" customWidth="1"/>
    <col min="7696" max="7696" width="2.6640625" style="95" customWidth="1"/>
    <col min="7697" max="7697" width="7.5" style="95" customWidth="1"/>
    <col min="7698" max="7698" width="8.5" style="95" customWidth="1"/>
    <col min="7699" max="7699" width="2.6640625" style="95" customWidth="1"/>
    <col min="7700" max="7936" width="10.83203125" style="95"/>
    <col min="7937" max="7937" width="34.83203125" style="95" customWidth="1"/>
    <col min="7938" max="7938" width="7.5" style="95" customWidth="1"/>
    <col min="7939" max="7939" width="7.1640625" style="95" customWidth="1"/>
    <col min="7940" max="7940" width="3" style="95" customWidth="1"/>
    <col min="7941" max="7941" width="7.5" style="95" customWidth="1"/>
    <col min="7942" max="7942" width="8.5" style="95" customWidth="1"/>
    <col min="7943" max="7943" width="2.6640625" style="95" customWidth="1"/>
    <col min="7944" max="7944" width="7.33203125" style="95" customWidth="1"/>
    <col min="7945" max="7945" width="8.5" style="95" customWidth="1"/>
    <col min="7946" max="7946" width="2.6640625" style="95" customWidth="1"/>
    <col min="7947" max="7947" width="7.5" style="95" customWidth="1"/>
    <col min="7948" max="7948" width="8.5" style="95" customWidth="1"/>
    <col min="7949" max="7949" width="2.6640625" style="95" customWidth="1"/>
    <col min="7950" max="7950" width="7.1640625" style="95" customWidth="1"/>
    <col min="7951" max="7951" width="8" style="95" customWidth="1"/>
    <col min="7952" max="7952" width="2.6640625" style="95" customWidth="1"/>
    <col min="7953" max="7953" width="7.5" style="95" customWidth="1"/>
    <col min="7954" max="7954" width="8.5" style="95" customWidth="1"/>
    <col min="7955" max="7955" width="2.6640625" style="95" customWidth="1"/>
    <col min="7956" max="8192" width="10.83203125" style="95"/>
    <col min="8193" max="8193" width="34.83203125" style="95" customWidth="1"/>
    <col min="8194" max="8194" width="7.5" style="95" customWidth="1"/>
    <col min="8195" max="8195" width="7.1640625" style="95" customWidth="1"/>
    <col min="8196" max="8196" width="3" style="95" customWidth="1"/>
    <col min="8197" max="8197" width="7.5" style="95" customWidth="1"/>
    <col min="8198" max="8198" width="8.5" style="95" customWidth="1"/>
    <col min="8199" max="8199" width="2.6640625" style="95" customWidth="1"/>
    <col min="8200" max="8200" width="7.33203125" style="95" customWidth="1"/>
    <col min="8201" max="8201" width="8.5" style="95" customWidth="1"/>
    <col min="8202" max="8202" width="2.6640625" style="95" customWidth="1"/>
    <col min="8203" max="8203" width="7.5" style="95" customWidth="1"/>
    <col min="8204" max="8204" width="8.5" style="95" customWidth="1"/>
    <col min="8205" max="8205" width="2.6640625" style="95" customWidth="1"/>
    <col min="8206" max="8206" width="7.1640625" style="95" customWidth="1"/>
    <col min="8207" max="8207" width="8" style="95" customWidth="1"/>
    <col min="8208" max="8208" width="2.6640625" style="95" customWidth="1"/>
    <col min="8209" max="8209" width="7.5" style="95" customWidth="1"/>
    <col min="8210" max="8210" width="8.5" style="95" customWidth="1"/>
    <col min="8211" max="8211" width="2.6640625" style="95" customWidth="1"/>
    <col min="8212" max="8448" width="10.83203125" style="95"/>
    <col min="8449" max="8449" width="34.83203125" style="95" customWidth="1"/>
    <col min="8450" max="8450" width="7.5" style="95" customWidth="1"/>
    <col min="8451" max="8451" width="7.1640625" style="95" customWidth="1"/>
    <col min="8452" max="8452" width="3" style="95" customWidth="1"/>
    <col min="8453" max="8453" width="7.5" style="95" customWidth="1"/>
    <col min="8454" max="8454" width="8.5" style="95" customWidth="1"/>
    <col min="8455" max="8455" width="2.6640625" style="95" customWidth="1"/>
    <col min="8456" max="8456" width="7.33203125" style="95" customWidth="1"/>
    <col min="8457" max="8457" width="8.5" style="95" customWidth="1"/>
    <col min="8458" max="8458" width="2.6640625" style="95" customWidth="1"/>
    <col min="8459" max="8459" width="7.5" style="95" customWidth="1"/>
    <col min="8460" max="8460" width="8.5" style="95" customWidth="1"/>
    <col min="8461" max="8461" width="2.6640625" style="95" customWidth="1"/>
    <col min="8462" max="8462" width="7.1640625" style="95" customWidth="1"/>
    <col min="8463" max="8463" width="8" style="95" customWidth="1"/>
    <col min="8464" max="8464" width="2.6640625" style="95" customWidth="1"/>
    <col min="8465" max="8465" width="7.5" style="95" customWidth="1"/>
    <col min="8466" max="8466" width="8.5" style="95" customWidth="1"/>
    <col min="8467" max="8467" width="2.6640625" style="95" customWidth="1"/>
    <col min="8468" max="8704" width="10.83203125" style="95"/>
    <col min="8705" max="8705" width="34.83203125" style="95" customWidth="1"/>
    <col min="8706" max="8706" width="7.5" style="95" customWidth="1"/>
    <col min="8707" max="8707" width="7.1640625" style="95" customWidth="1"/>
    <col min="8708" max="8708" width="3" style="95" customWidth="1"/>
    <col min="8709" max="8709" width="7.5" style="95" customWidth="1"/>
    <col min="8710" max="8710" width="8.5" style="95" customWidth="1"/>
    <col min="8711" max="8711" width="2.6640625" style="95" customWidth="1"/>
    <col min="8712" max="8712" width="7.33203125" style="95" customWidth="1"/>
    <col min="8713" max="8713" width="8.5" style="95" customWidth="1"/>
    <col min="8714" max="8714" width="2.6640625" style="95" customWidth="1"/>
    <col min="8715" max="8715" width="7.5" style="95" customWidth="1"/>
    <col min="8716" max="8716" width="8.5" style="95" customWidth="1"/>
    <col min="8717" max="8717" width="2.6640625" style="95" customWidth="1"/>
    <col min="8718" max="8718" width="7.1640625" style="95" customWidth="1"/>
    <col min="8719" max="8719" width="8" style="95" customWidth="1"/>
    <col min="8720" max="8720" width="2.6640625" style="95" customWidth="1"/>
    <col min="8721" max="8721" width="7.5" style="95" customWidth="1"/>
    <col min="8722" max="8722" width="8.5" style="95" customWidth="1"/>
    <col min="8723" max="8723" width="2.6640625" style="95" customWidth="1"/>
    <col min="8724" max="8960" width="10.83203125" style="95"/>
    <col min="8961" max="8961" width="34.83203125" style="95" customWidth="1"/>
    <col min="8962" max="8962" width="7.5" style="95" customWidth="1"/>
    <col min="8963" max="8963" width="7.1640625" style="95" customWidth="1"/>
    <col min="8964" max="8964" width="3" style="95" customWidth="1"/>
    <col min="8965" max="8965" width="7.5" style="95" customWidth="1"/>
    <col min="8966" max="8966" width="8.5" style="95" customWidth="1"/>
    <col min="8967" max="8967" width="2.6640625" style="95" customWidth="1"/>
    <col min="8968" max="8968" width="7.33203125" style="95" customWidth="1"/>
    <col min="8969" max="8969" width="8.5" style="95" customWidth="1"/>
    <col min="8970" max="8970" width="2.6640625" style="95" customWidth="1"/>
    <col min="8971" max="8971" width="7.5" style="95" customWidth="1"/>
    <col min="8972" max="8972" width="8.5" style="95" customWidth="1"/>
    <col min="8973" max="8973" width="2.6640625" style="95" customWidth="1"/>
    <col min="8974" max="8974" width="7.1640625" style="95" customWidth="1"/>
    <col min="8975" max="8975" width="8" style="95" customWidth="1"/>
    <col min="8976" max="8976" width="2.6640625" style="95" customWidth="1"/>
    <col min="8977" max="8977" width="7.5" style="95" customWidth="1"/>
    <col min="8978" max="8978" width="8.5" style="95" customWidth="1"/>
    <col min="8979" max="8979" width="2.6640625" style="95" customWidth="1"/>
    <col min="8980" max="9216" width="10.83203125" style="95"/>
    <col min="9217" max="9217" width="34.83203125" style="95" customWidth="1"/>
    <col min="9218" max="9218" width="7.5" style="95" customWidth="1"/>
    <col min="9219" max="9219" width="7.1640625" style="95" customWidth="1"/>
    <col min="9220" max="9220" width="3" style="95" customWidth="1"/>
    <col min="9221" max="9221" width="7.5" style="95" customWidth="1"/>
    <col min="9222" max="9222" width="8.5" style="95" customWidth="1"/>
    <col min="9223" max="9223" width="2.6640625" style="95" customWidth="1"/>
    <col min="9224" max="9224" width="7.33203125" style="95" customWidth="1"/>
    <col min="9225" max="9225" width="8.5" style="95" customWidth="1"/>
    <col min="9226" max="9226" width="2.6640625" style="95" customWidth="1"/>
    <col min="9227" max="9227" width="7.5" style="95" customWidth="1"/>
    <col min="9228" max="9228" width="8.5" style="95" customWidth="1"/>
    <col min="9229" max="9229" width="2.6640625" style="95" customWidth="1"/>
    <col min="9230" max="9230" width="7.1640625" style="95" customWidth="1"/>
    <col min="9231" max="9231" width="8" style="95" customWidth="1"/>
    <col min="9232" max="9232" width="2.6640625" style="95" customWidth="1"/>
    <col min="9233" max="9233" width="7.5" style="95" customWidth="1"/>
    <col min="9234" max="9234" width="8.5" style="95" customWidth="1"/>
    <col min="9235" max="9235" width="2.6640625" style="95" customWidth="1"/>
    <col min="9236" max="9472" width="10.83203125" style="95"/>
    <col min="9473" max="9473" width="34.83203125" style="95" customWidth="1"/>
    <col min="9474" max="9474" width="7.5" style="95" customWidth="1"/>
    <col min="9475" max="9475" width="7.1640625" style="95" customWidth="1"/>
    <col min="9476" max="9476" width="3" style="95" customWidth="1"/>
    <col min="9477" max="9477" width="7.5" style="95" customWidth="1"/>
    <col min="9478" max="9478" width="8.5" style="95" customWidth="1"/>
    <col min="9479" max="9479" width="2.6640625" style="95" customWidth="1"/>
    <col min="9480" max="9480" width="7.33203125" style="95" customWidth="1"/>
    <col min="9481" max="9481" width="8.5" style="95" customWidth="1"/>
    <col min="9482" max="9482" width="2.6640625" style="95" customWidth="1"/>
    <col min="9483" max="9483" width="7.5" style="95" customWidth="1"/>
    <col min="9484" max="9484" width="8.5" style="95" customWidth="1"/>
    <col min="9485" max="9485" width="2.6640625" style="95" customWidth="1"/>
    <col min="9486" max="9486" width="7.1640625" style="95" customWidth="1"/>
    <col min="9487" max="9487" width="8" style="95" customWidth="1"/>
    <col min="9488" max="9488" width="2.6640625" style="95" customWidth="1"/>
    <col min="9489" max="9489" width="7.5" style="95" customWidth="1"/>
    <col min="9490" max="9490" width="8.5" style="95" customWidth="1"/>
    <col min="9491" max="9491" width="2.6640625" style="95" customWidth="1"/>
    <col min="9492" max="9728" width="10.83203125" style="95"/>
    <col min="9729" max="9729" width="34.83203125" style="95" customWidth="1"/>
    <col min="9730" max="9730" width="7.5" style="95" customWidth="1"/>
    <col min="9731" max="9731" width="7.1640625" style="95" customWidth="1"/>
    <col min="9732" max="9732" width="3" style="95" customWidth="1"/>
    <col min="9733" max="9733" width="7.5" style="95" customWidth="1"/>
    <col min="9734" max="9734" width="8.5" style="95" customWidth="1"/>
    <col min="9735" max="9735" width="2.6640625" style="95" customWidth="1"/>
    <col min="9736" max="9736" width="7.33203125" style="95" customWidth="1"/>
    <col min="9737" max="9737" width="8.5" style="95" customWidth="1"/>
    <col min="9738" max="9738" width="2.6640625" style="95" customWidth="1"/>
    <col min="9739" max="9739" width="7.5" style="95" customWidth="1"/>
    <col min="9740" max="9740" width="8.5" style="95" customWidth="1"/>
    <col min="9741" max="9741" width="2.6640625" style="95" customWidth="1"/>
    <col min="9742" max="9742" width="7.1640625" style="95" customWidth="1"/>
    <col min="9743" max="9743" width="8" style="95" customWidth="1"/>
    <col min="9744" max="9744" width="2.6640625" style="95" customWidth="1"/>
    <col min="9745" max="9745" width="7.5" style="95" customWidth="1"/>
    <col min="9746" max="9746" width="8.5" style="95" customWidth="1"/>
    <col min="9747" max="9747" width="2.6640625" style="95" customWidth="1"/>
    <col min="9748" max="9984" width="10.83203125" style="95"/>
    <col min="9985" max="9985" width="34.83203125" style="95" customWidth="1"/>
    <col min="9986" max="9986" width="7.5" style="95" customWidth="1"/>
    <col min="9987" max="9987" width="7.1640625" style="95" customWidth="1"/>
    <col min="9988" max="9988" width="3" style="95" customWidth="1"/>
    <col min="9989" max="9989" width="7.5" style="95" customWidth="1"/>
    <col min="9990" max="9990" width="8.5" style="95" customWidth="1"/>
    <col min="9991" max="9991" width="2.6640625" style="95" customWidth="1"/>
    <col min="9992" max="9992" width="7.33203125" style="95" customWidth="1"/>
    <col min="9993" max="9993" width="8.5" style="95" customWidth="1"/>
    <col min="9994" max="9994" width="2.6640625" style="95" customWidth="1"/>
    <col min="9995" max="9995" width="7.5" style="95" customWidth="1"/>
    <col min="9996" max="9996" width="8.5" style="95" customWidth="1"/>
    <col min="9997" max="9997" width="2.6640625" style="95" customWidth="1"/>
    <col min="9998" max="9998" width="7.1640625" style="95" customWidth="1"/>
    <col min="9999" max="9999" width="8" style="95" customWidth="1"/>
    <col min="10000" max="10000" width="2.6640625" style="95" customWidth="1"/>
    <col min="10001" max="10001" width="7.5" style="95" customWidth="1"/>
    <col min="10002" max="10002" width="8.5" style="95" customWidth="1"/>
    <col min="10003" max="10003" width="2.6640625" style="95" customWidth="1"/>
    <col min="10004" max="10240" width="10.83203125" style="95"/>
    <col min="10241" max="10241" width="34.83203125" style="95" customWidth="1"/>
    <col min="10242" max="10242" width="7.5" style="95" customWidth="1"/>
    <col min="10243" max="10243" width="7.1640625" style="95" customWidth="1"/>
    <col min="10244" max="10244" width="3" style="95" customWidth="1"/>
    <col min="10245" max="10245" width="7.5" style="95" customWidth="1"/>
    <col min="10246" max="10246" width="8.5" style="95" customWidth="1"/>
    <col min="10247" max="10247" width="2.6640625" style="95" customWidth="1"/>
    <col min="10248" max="10248" width="7.33203125" style="95" customWidth="1"/>
    <col min="10249" max="10249" width="8.5" style="95" customWidth="1"/>
    <col min="10250" max="10250" width="2.6640625" style="95" customWidth="1"/>
    <col min="10251" max="10251" width="7.5" style="95" customWidth="1"/>
    <col min="10252" max="10252" width="8.5" style="95" customWidth="1"/>
    <col min="10253" max="10253" width="2.6640625" style="95" customWidth="1"/>
    <col min="10254" max="10254" width="7.1640625" style="95" customWidth="1"/>
    <col min="10255" max="10255" width="8" style="95" customWidth="1"/>
    <col min="10256" max="10256" width="2.6640625" style="95" customWidth="1"/>
    <col min="10257" max="10257" width="7.5" style="95" customWidth="1"/>
    <col min="10258" max="10258" width="8.5" style="95" customWidth="1"/>
    <col min="10259" max="10259" width="2.6640625" style="95" customWidth="1"/>
    <col min="10260" max="10496" width="10.83203125" style="95"/>
    <col min="10497" max="10497" width="34.83203125" style="95" customWidth="1"/>
    <col min="10498" max="10498" width="7.5" style="95" customWidth="1"/>
    <col min="10499" max="10499" width="7.1640625" style="95" customWidth="1"/>
    <col min="10500" max="10500" width="3" style="95" customWidth="1"/>
    <col min="10501" max="10501" width="7.5" style="95" customWidth="1"/>
    <col min="10502" max="10502" width="8.5" style="95" customWidth="1"/>
    <col min="10503" max="10503" width="2.6640625" style="95" customWidth="1"/>
    <col min="10504" max="10504" width="7.33203125" style="95" customWidth="1"/>
    <col min="10505" max="10505" width="8.5" style="95" customWidth="1"/>
    <col min="10506" max="10506" width="2.6640625" style="95" customWidth="1"/>
    <col min="10507" max="10507" width="7.5" style="95" customWidth="1"/>
    <col min="10508" max="10508" width="8.5" style="95" customWidth="1"/>
    <col min="10509" max="10509" width="2.6640625" style="95" customWidth="1"/>
    <col min="10510" max="10510" width="7.1640625" style="95" customWidth="1"/>
    <col min="10511" max="10511" width="8" style="95" customWidth="1"/>
    <col min="10512" max="10512" width="2.6640625" style="95" customWidth="1"/>
    <col min="10513" max="10513" width="7.5" style="95" customWidth="1"/>
    <col min="10514" max="10514" width="8.5" style="95" customWidth="1"/>
    <col min="10515" max="10515" width="2.6640625" style="95" customWidth="1"/>
    <col min="10516" max="10752" width="10.83203125" style="95"/>
    <col min="10753" max="10753" width="34.83203125" style="95" customWidth="1"/>
    <col min="10754" max="10754" width="7.5" style="95" customWidth="1"/>
    <col min="10755" max="10755" width="7.1640625" style="95" customWidth="1"/>
    <col min="10756" max="10756" width="3" style="95" customWidth="1"/>
    <col min="10757" max="10757" width="7.5" style="95" customWidth="1"/>
    <col min="10758" max="10758" width="8.5" style="95" customWidth="1"/>
    <col min="10759" max="10759" width="2.6640625" style="95" customWidth="1"/>
    <col min="10760" max="10760" width="7.33203125" style="95" customWidth="1"/>
    <col min="10761" max="10761" width="8.5" style="95" customWidth="1"/>
    <col min="10762" max="10762" width="2.6640625" style="95" customWidth="1"/>
    <col min="10763" max="10763" width="7.5" style="95" customWidth="1"/>
    <col min="10764" max="10764" width="8.5" style="95" customWidth="1"/>
    <col min="10765" max="10765" width="2.6640625" style="95" customWidth="1"/>
    <col min="10766" max="10766" width="7.1640625" style="95" customWidth="1"/>
    <col min="10767" max="10767" width="8" style="95" customWidth="1"/>
    <col min="10768" max="10768" width="2.6640625" style="95" customWidth="1"/>
    <col min="10769" max="10769" width="7.5" style="95" customWidth="1"/>
    <col min="10770" max="10770" width="8.5" style="95" customWidth="1"/>
    <col min="10771" max="10771" width="2.6640625" style="95" customWidth="1"/>
    <col min="10772" max="11008" width="10.83203125" style="95"/>
    <col min="11009" max="11009" width="34.83203125" style="95" customWidth="1"/>
    <col min="11010" max="11010" width="7.5" style="95" customWidth="1"/>
    <col min="11011" max="11011" width="7.1640625" style="95" customWidth="1"/>
    <col min="11012" max="11012" width="3" style="95" customWidth="1"/>
    <col min="11013" max="11013" width="7.5" style="95" customWidth="1"/>
    <col min="11014" max="11014" width="8.5" style="95" customWidth="1"/>
    <col min="11015" max="11015" width="2.6640625" style="95" customWidth="1"/>
    <col min="11016" max="11016" width="7.33203125" style="95" customWidth="1"/>
    <col min="11017" max="11017" width="8.5" style="95" customWidth="1"/>
    <col min="11018" max="11018" width="2.6640625" style="95" customWidth="1"/>
    <col min="11019" max="11019" width="7.5" style="95" customWidth="1"/>
    <col min="11020" max="11020" width="8.5" style="95" customWidth="1"/>
    <col min="11021" max="11021" width="2.6640625" style="95" customWidth="1"/>
    <col min="11022" max="11022" width="7.1640625" style="95" customWidth="1"/>
    <col min="11023" max="11023" width="8" style="95" customWidth="1"/>
    <col min="11024" max="11024" width="2.6640625" style="95" customWidth="1"/>
    <col min="11025" max="11025" width="7.5" style="95" customWidth="1"/>
    <col min="11026" max="11026" width="8.5" style="95" customWidth="1"/>
    <col min="11027" max="11027" width="2.6640625" style="95" customWidth="1"/>
    <col min="11028" max="11264" width="10.83203125" style="95"/>
    <col min="11265" max="11265" width="34.83203125" style="95" customWidth="1"/>
    <col min="11266" max="11266" width="7.5" style="95" customWidth="1"/>
    <col min="11267" max="11267" width="7.1640625" style="95" customWidth="1"/>
    <col min="11268" max="11268" width="3" style="95" customWidth="1"/>
    <col min="11269" max="11269" width="7.5" style="95" customWidth="1"/>
    <col min="11270" max="11270" width="8.5" style="95" customWidth="1"/>
    <col min="11271" max="11271" width="2.6640625" style="95" customWidth="1"/>
    <col min="11272" max="11272" width="7.33203125" style="95" customWidth="1"/>
    <col min="11273" max="11273" width="8.5" style="95" customWidth="1"/>
    <col min="11274" max="11274" width="2.6640625" style="95" customWidth="1"/>
    <col min="11275" max="11275" width="7.5" style="95" customWidth="1"/>
    <col min="11276" max="11276" width="8.5" style="95" customWidth="1"/>
    <col min="11277" max="11277" width="2.6640625" style="95" customWidth="1"/>
    <col min="11278" max="11278" width="7.1640625" style="95" customWidth="1"/>
    <col min="11279" max="11279" width="8" style="95" customWidth="1"/>
    <col min="11280" max="11280" width="2.6640625" style="95" customWidth="1"/>
    <col min="11281" max="11281" width="7.5" style="95" customWidth="1"/>
    <col min="11282" max="11282" width="8.5" style="95" customWidth="1"/>
    <col min="11283" max="11283" width="2.6640625" style="95" customWidth="1"/>
    <col min="11284" max="11520" width="10.83203125" style="95"/>
    <col min="11521" max="11521" width="34.83203125" style="95" customWidth="1"/>
    <col min="11522" max="11522" width="7.5" style="95" customWidth="1"/>
    <col min="11523" max="11523" width="7.1640625" style="95" customWidth="1"/>
    <col min="11524" max="11524" width="3" style="95" customWidth="1"/>
    <col min="11525" max="11525" width="7.5" style="95" customWidth="1"/>
    <col min="11526" max="11526" width="8.5" style="95" customWidth="1"/>
    <col min="11527" max="11527" width="2.6640625" style="95" customWidth="1"/>
    <col min="11528" max="11528" width="7.33203125" style="95" customWidth="1"/>
    <col min="11529" max="11529" width="8.5" style="95" customWidth="1"/>
    <col min="11530" max="11530" width="2.6640625" style="95" customWidth="1"/>
    <col min="11531" max="11531" width="7.5" style="95" customWidth="1"/>
    <col min="11532" max="11532" width="8.5" style="95" customWidth="1"/>
    <col min="11533" max="11533" width="2.6640625" style="95" customWidth="1"/>
    <col min="11534" max="11534" width="7.1640625" style="95" customWidth="1"/>
    <col min="11535" max="11535" width="8" style="95" customWidth="1"/>
    <col min="11536" max="11536" width="2.6640625" style="95" customWidth="1"/>
    <col min="11537" max="11537" width="7.5" style="95" customWidth="1"/>
    <col min="11538" max="11538" width="8.5" style="95" customWidth="1"/>
    <col min="11539" max="11539" width="2.6640625" style="95" customWidth="1"/>
    <col min="11540" max="11776" width="10.83203125" style="95"/>
    <col min="11777" max="11777" width="34.83203125" style="95" customWidth="1"/>
    <col min="11778" max="11778" width="7.5" style="95" customWidth="1"/>
    <col min="11779" max="11779" width="7.1640625" style="95" customWidth="1"/>
    <col min="11780" max="11780" width="3" style="95" customWidth="1"/>
    <col min="11781" max="11781" width="7.5" style="95" customWidth="1"/>
    <col min="11782" max="11782" width="8.5" style="95" customWidth="1"/>
    <col min="11783" max="11783" width="2.6640625" style="95" customWidth="1"/>
    <col min="11784" max="11784" width="7.33203125" style="95" customWidth="1"/>
    <col min="11785" max="11785" width="8.5" style="95" customWidth="1"/>
    <col min="11786" max="11786" width="2.6640625" style="95" customWidth="1"/>
    <col min="11787" max="11787" width="7.5" style="95" customWidth="1"/>
    <col min="11788" max="11788" width="8.5" style="95" customWidth="1"/>
    <col min="11789" max="11789" width="2.6640625" style="95" customWidth="1"/>
    <col min="11790" max="11790" width="7.1640625" style="95" customWidth="1"/>
    <col min="11791" max="11791" width="8" style="95" customWidth="1"/>
    <col min="11792" max="11792" width="2.6640625" style="95" customWidth="1"/>
    <col min="11793" max="11793" width="7.5" style="95" customWidth="1"/>
    <col min="11794" max="11794" width="8.5" style="95" customWidth="1"/>
    <col min="11795" max="11795" width="2.6640625" style="95" customWidth="1"/>
    <col min="11796" max="12032" width="10.83203125" style="95"/>
    <col min="12033" max="12033" width="34.83203125" style="95" customWidth="1"/>
    <col min="12034" max="12034" width="7.5" style="95" customWidth="1"/>
    <col min="12035" max="12035" width="7.1640625" style="95" customWidth="1"/>
    <col min="12036" max="12036" width="3" style="95" customWidth="1"/>
    <col min="12037" max="12037" width="7.5" style="95" customWidth="1"/>
    <col min="12038" max="12038" width="8.5" style="95" customWidth="1"/>
    <col min="12039" max="12039" width="2.6640625" style="95" customWidth="1"/>
    <col min="12040" max="12040" width="7.33203125" style="95" customWidth="1"/>
    <col min="12041" max="12041" width="8.5" style="95" customWidth="1"/>
    <col min="12042" max="12042" width="2.6640625" style="95" customWidth="1"/>
    <col min="12043" max="12043" width="7.5" style="95" customWidth="1"/>
    <col min="12044" max="12044" width="8.5" style="95" customWidth="1"/>
    <col min="12045" max="12045" width="2.6640625" style="95" customWidth="1"/>
    <col min="12046" max="12046" width="7.1640625" style="95" customWidth="1"/>
    <col min="12047" max="12047" width="8" style="95" customWidth="1"/>
    <col min="12048" max="12048" width="2.6640625" style="95" customWidth="1"/>
    <col min="12049" max="12049" width="7.5" style="95" customWidth="1"/>
    <col min="12050" max="12050" width="8.5" style="95" customWidth="1"/>
    <col min="12051" max="12051" width="2.6640625" style="95" customWidth="1"/>
    <col min="12052" max="12288" width="10.83203125" style="95"/>
    <col min="12289" max="12289" width="34.83203125" style="95" customWidth="1"/>
    <col min="12290" max="12290" width="7.5" style="95" customWidth="1"/>
    <col min="12291" max="12291" width="7.1640625" style="95" customWidth="1"/>
    <col min="12292" max="12292" width="3" style="95" customWidth="1"/>
    <col min="12293" max="12293" width="7.5" style="95" customWidth="1"/>
    <col min="12294" max="12294" width="8.5" style="95" customWidth="1"/>
    <col min="12295" max="12295" width="2.6640625" style="95" customWidth="1"/>
    <col min="12296" max="12296" width="7.33203125" style="95" customWidth="1"/>
    <col min="12297" max="12297" width="8.5" style="95" customWidth="1"/>
    <col min="12298" max="12298" width="2.6640625" style="95" customWidth="1"/>
    <col min="12299" max="12299" width="7.5" style="95" customWidth="1"/>
    <col min="12300" max="12300" width="8.5" style="95" customWidth="1"/>
    <col min="12301" max="12301" width="2.6640625" style="95" customWidth="1"/>
    <col min="12302" max="12302" width="7.1640625" style="95" customWidth="1"/>
    <col min="12303" max="12303" width="8" style="95" customWidth="1"/>
    <col min="12304" max="12304" width="2.6640625" style="95" customWidth="1"/>
    <col min="12305" max="12305" width="7.5" style="95" customWidth="1"/>
    <col min="12306" max="12306" width="8.5" style="95" customWidth="1"/>
    <col min="12307" max="12307" width="2.6640625" style="95" customWidth="1"/>
    <col min="12308" max="12544" width="10.83203125" style="95"/>
    <col min="12545" max="12545" width="34.83203125" style="95" customWidth="1"/>
    <col min="12546" max="12546" width="7.5" style="95" customWidth="1"/>
    <col min="12547" max="12547" width="7.1640625" style="95" customWidth="1"/>
    <col min="12548" max="12548" width="3" style="95" customWidth="1"/>
    <col min="12549" max="12549" width="7.5" style="95" customWidth="1"/>
    <col min="12550" max="12550" width="8.5" style="95" customWidth="1"/>
    <col min="12551" max="12551" width="2.6640625" style="95" customWidth="1"/>
    <col min="12552" max="12552" width="7.33203125" style="95" customWidth="1"/>
    <col min="12553" max="12553" width="8.5" style="95" customWidth="1"/>
    <col min="12554" max="12554" width="2.6640625" style="95" customWidth="1"/>
    <col min="12555" max="12555" width="7.5" style="95" customWidth="1"/>
    <col min="12556" max="12556" width="8.5" style="95" customWidth="1"/>
    <col min="12557" max="12557" width="2.6640625" style="95" customWidth="1"/>
    <col min="12558" max="12558" width="7.1640625" style="95" customWidth="1"/>
    <col min="12559" max="12559" width="8" style="95" customWidth="1"/>
    <col min="12560" max="12560" width="2.6640625" style="95" customWidth="1"/>
    <col min="12561" max="12561" width="7.5" style="95" customWidth="1"/>
    <col min="12562" max="12562" width="8.5" style="95" customWidth="1"/>
    <col min="12563" max="12563" width="2.6640625" style="95" customWidth="1"/>
    <col min="12564" max="12800" width="10.83203125" style="95"/>
    <col min="12801" max="12801" width="34.83203125" style="95" customWidth="1"/>
    <col min="12802" max="12802" width="7.5" style="95" customWidth="1"/>
    <col min="12803" max="12803" width="7.1640625" style="95" customWidth="1"/>
    <col min="12804" max="12804" width="3" style="95" customWidth="1"/>
    <col min="12805" max="12805" width="7.5" style="95" customWidth="1"/>
    <col min="12806" max="12806" width="8.5" style="95" customWidth="1"/>
    <col min="12807" max="12807" width="2.6640625" style="95" customWidth="1"/>
    <col min="12808" max="12808" width="7.33203125" style="95" customWidth="1"/>
    <col min="12809" max="12809" width="8.5" style="95" customWidth="1"/>
    <col min="12810" max="12810" width="2.6640625" style="95" customWidth="1"/>
    <col min="12811" max="12811" width="7.5" style="95" customWidth="1"/>
    <col min="12812" max="12812" width="8.5" style="95" customWidth="1"/>
    <col min="12813" max="12813" width="2.6640625" style="95" customWidth="1"/>
    <col min="12814" max="12814" width="7.1640625" style="95" customWidth="1"/>
    <col min="12815" max="12815" width="8" style="95" customWidth="1"/>
    <col min="12816" max="12816" width="2.6640625" style="95" customWidth="1"/>
    <col min="12817" max="12817" width="7.5" style="95" customWidth="1"/>
    <col min="12818" max="12818" width="8.5" style="95" customWidth="1"/>
    <col min="12819" max="12819" width="2.6640625" style="95" customWidth="1"/>
    <col min="12820" max="13056" width="10.83203125" style="95"/>
    <col min="13057" max="13057" width="34.83203125" style="95" customWidth="1"/>
    <col min="13058" max="13058" width="7.5" style="95" customWidth="1"/>
    <col min="13059" max="13059" width="7.1640625" style="95" customWidth="1"/>
    <col min="13060" max="13060" width="3" style="95" customWidth="1"/>
    <col min="13061" max="13061" width="7.5" style="95" customWidth="1"/>
    <col min="13062" max="13062" width="8.5" style="95" customWidth="1"/>
    <col min="13063" max="13063" width="2.6640625" style="95" customWidth="1"/>
    <col min="13064" max="13064" width="7.33203125" style="95" customWidth="1"/>
    <col min="13065" max="13065" width="8.5" style="95" customWidth="1"/>
    <col min="13066" max="13066" width="2.6640625" style="95" customWidth="1"/>
    <col min="13067" max="13067" width="7.5" style="95" customWidth="1"/>
    <col min="13068" max="13068" width="8.5" style="95" customWidth="1"/>
    <col min="13069" max="13069" width="2.6640625" style="95" customWidth="1"/>
    <col min="13070" max="13070" width="7.1640625" style="95" customWidth="1"/>
    <col min="13071" max="13071" width="8" style="95" customWidth="1"/>
    <col min="13072" max="13072" width="2.6640625" style="95" customWidth="1"/>
    <col min="13073" max="13073" width="7.5" style="95" customWidth="1"/>
    <col min="13074" max="13074" width="8.5" style="95" customWidth="1"/>
    <col min="13075" max="13075" width="2.6640625" style="95" customWidth="1"/>
    <col min="13076" max="13312" width="10.83203125" style="95"/>
    <col min="13313" max="13313" width="34.83203125" style="95" customWidth="1"/>
    <col min="13314" max="13314" width="7.5" style="95" customWidth="1"/>
    <col min="13315" max="13315" width="7.1640625" style="95" customWidth="1"/>
    <col min="13316" max="13316" width="3" style="95" customWidth="1"/>
    <col min="13317" max="13317" width="7.5" style="95" customWidth="1"/>
    <col min="13318" max="13318" width="8.5" style="95" customWidth="1"/>
    <col min="13319" max="13319" width="2.6640625" style="95" customWidth="1"/>
    <col min="13320" max="13320" width="7.33203125" style="95" customWidth="1"/>
    <col min="13321" max="13321" width="8.5" style="95" customWidth="1"/>
    <col min="13322" max="13322" width="2.6640625" style="95" customWidth="1"/>
    <col min="13323" max="13323" width="7.5" style="95" customWidth="1"/>
    <col min="13324" max="13324" width="8.5" style="95" customWidth="1"/>
    <col min="13325" max="13325" width="2.6640625" style="95" customWidth="1"/>
    <col min="13326" max="13326" width="7.1640625" style="95" customWidth="1"/>
    <col min="13327" max="13327" width="8" style="95" customWidth="1"/>
    <col min="13328" max="13328" width="2.6640625" style="95" customWidth="1"/>
    <col min="13329" max="13329" width="7.5" style="95" customWidth="1"/>
    <col min="13330" max="13330" width="8.5" style="95" customWidth="1"/>
    <col min="13331" max="13331" width="2.6640625" style="95" customWidth="1"/>
    <col min="13332" max="13568" width="10.83203125" style="95"/>
    <col min="13569" max="13569" width="34.83203125" style="95" customWidth="1"/>
    <col min="13570" max="13570" width="7.5" style="95" customWidth="1"/>
    <col min="13571" max="13571" width="7.1640625" style="95" customWidth="1"/>
    <col min="13572" max="13572" width="3" style="95" customWidth="1"/>
    <col min="13573" max="13573" width="7.5" style="95" customWidth="1"/>
    <col min="13574" max="13574" width="8.5" style="95" customWidth="1"/>
    <col min="13575" max="13575" width="2.6640625" style="95" customWidth="1"/>
    <col min="13576" max="13576" width="7.33203125" style="95" customWidth="1"/>
    <col min="13577" max="13577" width="8.5" style="95" customWidth="1"/>
    <col min="13578" max="13578" width="2.6640625" style="95" customWidth="1"/>
    <col min="13579" max="13579" width="7.5" style="95" customWidth="1"/>
    <col min="13580" max="13580" width="8.5" style="95" customWidth="1"/>
    <col min="13581" max="13581" width="2.6640625" style="95" customWidth="1"/>
    <col min="13582" max="13582" width="7.1640625" style="95" customWidth="1"/>
    <col min="13583" max="13583" width="8" style="95" customWidth="1"/>
    <col min="13584" max="13584" width="2.6640625" style="95" customWidth="1"/>
    <col min="13585" max="13585" width="7.5" style="95" customWidth="1"/>
    <col min="13586" max="13586" width="8.5" style="95" customWidth="1"/>
    <col min="13587" max="13587" width="2.6640625" style="95" customWidth="1"/>
    <col min="13588" max="13824" width="10.83203125" style="95"/>
    <col min="13825" max="13825" width="34.83203125" style="95" customWidth="1"/>
    <col min="13826" max="13826" width="7.5" style="95" customWidth="1"/>
    <col min="13827" max="13827" width="7.1640625" style="95" customWidth="1"/>
    <col min="13828" max="13828" width="3" style="95" customWidth="1"/>
    <col min="13829" max="13829" width="7.5" style="95" customWidth="1"/>
    <col min="13830" max="13830" width="8.5" style="95" customWidth="1"/>
    <col min="13831" max="13831" width="2.6640625" style="95" customWidth="1"/>
    <col min="13832" max="13832" width="7.33203125" style="95" customWidth="1"/>
    <col min="13833" max="13833" width="8.5" style="95" customWidth="1"/>
    <col min="13834" max="13834" width="2.6640625" style="95" customWidth="1"/>
    <col min="13835" max="13835" width="7.5" style="95" customWidth="1"/>
    <col min="13836" max="13836" width="8.5" style="95" customWidth="1"/>
    <col min="13837" max="13837" width="2.6640625" style="95" customWidth="1"/>
    <col min="13838" max="13838" width="7.1640625" style="95" customWidth="1"/>
    <col min="13839" max="13839" width="8" style="95" customWidth="1"/>
    <col min="13840" max="13840" width="2.6640625" style="95" customWidth="1"/>
    <col min="13841" max="13841" width="7.5" style="95" customWidth="1"/>
    <col min="13842" max="13842" width="8.5" style="95" customWidth="1"/>
    <col min="13843" max="13843" width="2.6640625" style="95" customWidth="1"/>
    <col min="13844" max="14080" width="10.83203125" style="95"/>
    <col min="14081" max="14081" width="34.83203125" style="95" customWidth="1"/>
    <col min="14082" max="14082" width="7.5" style="95" customWidth="1"/>
    <col min="14083" max="14083" width="7.1640625" style="95" customWidth="1"/>
    <col min="14084" max="14084" width="3" style="95" customWidth="1"/>
    <col min="14085" max="14085" width="7.5" style="95" customWidth="1"/>
    <col min="14086" max="14086" width="8.5" style="95" customWidth="1"/>
    <col min="14087" max="14087" width="2.6640625" style="95" customWidth="1"/>
    <col min="14088" max="14088" width="7.33203125" style="95" customWidth="1"/>
    <col min="14089" max="14089" width="8.5" style="95" customWidth="1"/>
    <col min="14090" max="14090" width="2.6640625" style="95" customWidth="1"/>
    <col min="14091" max="14091" width="7.5" style="95" customWidth="1"/>
    <col min="14092" max="14092" width="8.5" style="95" customWidth="1"/>
    <col min="14093" max="14093" width="2.6640625" style="95" customWidth="1"/>
    <col min="14094" max="14094" width="7.1640625" style="95" customWidth="1"/>
    <col min="14095" max="14095" width="8" style="95" customWidth="1"/>
    <col min="14096" max="14096" width="2.6640625" style="95" customWidth="1"/>
    <col min="14097" max="14097" width="7.5" style="95" customWidth="1"/>
    <col min="14098" max="14098" width="8.5" style="95" customWidth="1"/>
    <col min="14099" max="14099" width="2.6640625" style="95" customWidth="1"/>
    <col min="14100" max="14336" width="10.83203125" style="95"/>
    <col min="14337" max="14337" width="34.83203125" style="95" customWidth="1"/>
    <col min="14338" max="14338" width="7.5" style="95" customWidth="1"/>
    <col min="14339" max="14339" width="7.1640625" style="95" customWidth="1"/>
    <col min="14340" max="14340" width="3" style="95" customWidth="1"/>
    <col min="14341" max="14341" width="7.5" style="95" customWidth="1"/>
    <col min="14342" max="14342" width="8.5" style="95" customWidth="1"/>
    <col min="14343" max="14343" width="2.6640625" style="95" customWidth="1"/>
    <col min="14344" max="14344" width="7.33203125" style="95" customWidth="1"/>
    <col min="14345" max="14345" width="8.5" style="95" customWidth="1"/>
    <col min="14346" max="14346" width="2.6640625" style="95" customWidth="1"/>
    <col min="14347" max="14347" width="7.5" style="95" customWidth="1"/>
    <col min="14348" max="14348" width="8.5" style="95" customWidth="1"/>
    <col min="14349" max="14349" width="2.6640625" style="95" customWidth="1"/>
    <col min="14350" max="14350" width="7.1640625" style="95" customWidth="1"/>
    <col min="14351" max="14351" width="8" style="95" customWidth="1"/>
    <col min="14352" max="14352" width="2.6640625" style="95" customWidth="1"/>
    <col min="14353" max="14353" width="7.5" style="95" customWidth="1"/>
    <col min="14354" max="14354" width="8.5" style="95" customWidth="1"/>
    <col min="14355" max="14355" width="2.6640625" style="95" customWidth="1"/>
    <col min="14356" max="14592" width="10.83203125" style="95"/>
    <col min="14593" max="14593" width="34.83203125" style="95" customWidth="1"/>
    <col min="14594" max="14594" width="7.5" style="95" customWidth="1"/>
    <col min="14595" max="14595" width="7.1640625" style="95" customWidth="1"/>
    <col min="14596" max="14596" width="3" style="95" customWidth="1"/>
    <col min="14597" max="14597" width="7.5" style="95" customWidth="1"/>
    <col min="14598" max="14598" width="8.5" style="95" customWidth="1"/>
    <col min="14599" max="14599" width="2.6640625" style="95" customWidth="1"/>
    <col min="14600" max="14600" width="7.33203125" style="95" customWidth="1"/>
    <col min="14601" max="14601" width="8.5" style="95" customWidth="1"/>
    <col min="14602" max="14602" width="2.6640625" style="95" customWidth="1"/>
    <col min="14603" max="14603" width="7.5" style="95" customWidth="1"/>
    <col min="14604" max="14604" width="8.5" style="95" customWidth="1"/>
    <col min="14605" max="14605" width="2.6640625" style="95" customWidth="1"/>
    <col min="14606" max="14606" width="7.1640625" style="95" customWidth="1"/>
    <col min="14607" max="14607" width="8" style="95" customWidth="1"/>
    <col min="14608" max="14608" width="2.6640625" style="95" customWidth="1"/>
    <col min="14609" max="14609" width="7.5" style="95" customWidth="1"/>
    <col min="14610" max="14610" width="8.5" style="95" customWidth="1"/>
    <col min="14611" max="14611" width="2.6640625" style="95" customWidth="1"/>
    <col min="14612" max="14848" width="10.83203125" style="95"/>
    <col min="14849" max="14849" width="34.83203125" style="95" customWidth="1"/>
    <col min="14850" max="14850" width="7.5" style="95" customWidth="1"/>
    <col min="14851" max="14851" width="7.1640625" style="95" customWidth="1"/>
    <col min="14852" max="14852" width="3" style="95" customWidth="1"/>
    <col min="14853" max="14853" width="7.5" style="95" customWidth="1"/>
    <col min="14854" max="14854" width="8.5" style="95" customWidth="1"/>
    <col min="14855" max="14855" width="2.6640625" style="95" customWidth="1"/>
    <col min="14856" max="14856" width="7.33203125" style="95" customWidth="1"/>
    <col min="14857" max="14857" width="8.5" style="95" customWidth="1"/>
    <col min="14858" max="14858" width="2.6640625" style="95" customWidth="1"/>
    <col min="14859" max="14859" width="7.5" style="95" customWidth="1"/>
    <col min="14860" max="14860" width="8.5" style="95" customWidth="1"/>
    <col min="14861" max="14861" width="2.6640625" style="95" customWidth="1"/>
    <col min="14862" max="14862" width="7.1640625" style="95" customWidth="1"/>
    <col min="14863" max="14863" width="8" style="95" customWidth="1"/>
    <col min="14864" max="14864" width="2.6640625" style="95" customWidth="1"/>
    <col min="14865" max="14865" width="7.5" style="95" customWidth="1"/>
    <col min="14866" max="14866" width="8.5" style="95" customWidth="1"/>
    <col min="14867" max="14867" width="2.6640625" style="95" customWidth="1"/>
    <col min="14868" max="15104" width="10.83203125" style="95"/>
    <col min="15105" max="15105" width="34.83203125" style="95" customWidth="1"/>
    <col min="15106" max="15106" width="7.5" style="95" customWidth="1"/>
    <col min="15107" max="15107" width="7.1640625" style="95" customWidth="1"/>
    <col min="15108" max="15108" width="3" style="95" customWidth="1"/>
    <col min="15109" max="15109" width="7.5" style="95" customWidth="1"/>
    <col min="15110" max="15110" width="8.5" style="95" customWidth="1"/>
    <col min="15111" max="15111" width="2.6640625" style="95" customWidth="1"/>
    <col min="15112" max="15112" width="7.33203125" style="95" customWidth="1"/>
    <col min="15113" max="15113" width="8.5" style="95" customWidth="1"/>
    <col min="15114" max="15114" width="2.6640625" style="95" customWidth="1"/>
    <col min="15115" max="15115" width="7.5" style="95" customWidth="1"/>
    <col min="15116" max="15116" width="8.5" style="95" customWidth="1"/>
    <col min="15117" max="15117" width="2.6640625" style="95" customWidth="1"/>
    <col min="15118" max="15118" width="7.1640625" style="95" customWidth="1"/>
    <col min="15119" max="15119" width="8" style="95" customWidth="1"/>
    <col min="15120" max="15120" width="2.6640625" style="95" customWidth="1"/>
    <col min="15121" max="15121" width="7.5" style="95" customWidth="1"/>
    <col min="15122" max="15122" width="8.5" style="95" customWidth="1"/>
    <col min="15123" max="15123" width="2.6640625" style="95" customWidth="1"/>
    <col min="15124" max="15360" width="10.83203125" style="95"/>
    <col min="15361" max="15361" width="34.83203125" style="95" customWidth="1"/>
    <col min="15362" max="15362" width="7.5" style="95" customWidth="1"/>
    <col min="15363" max="15363" width="7.1640625" style="95" customWidth="1"/>
    <col min="15364" max="15364" width="3" style="95" customWidth="1"/>
    <col min="15365" max="15365" width="7.5" style="95" customWidth="1"/>
    <col min="15366" max="15366" width="8.5" style="95" customWidth="1"/>
    <col min="15367" max="15367" width="2.6640625" style="95" customWidth="1"/>
    <col min="15368" max="15368" width="7.33203125" style="95" customWidth="1"/>
    <col min="15369" max="15369" width="8.5" style="95" customWidth="1"/>
    <col min="15370" max="15370" width="2.6640625" style="95" customWidth="1"/>
    <col min="15371" max="15371" width="7.5" style="95" customWidth="1"/>
    <col min="15372" max="15372" width="8.5" style="95" customWidth="1"/>
    <col min="15373" max="15373" width="2.6640625" style="95" customWidth="1"/>
    <col min="15374" max="15374" width="7.1640625" style="95" customWidth="1"/>
    <col min="15375" max="15375" width="8" style="95" customWidth="1"/>
    <col min="15376" max="15376" width="2.6640625" style="95" customWidth="1"/>
    <col min="15377" max="15377" width="7.5" style="95" customWidth="1"/>
    <col min="15378" max="15378" width="8.5" style="95" customWidth="1"/>
    <col min="15379" max="15379" width="2.6640625" style="95" customWidth="1"/>
    <col min="15380" max="15616" width="10.83203125" style="95"/>
    <col min="15617" max="15617" width="34.83203125" style="95" customWidth="1"/>
    <col min="15618" max="15618" width="7.5" style="95" customWidth="1"/>
    <col min="15619" max="15619" width="7.1640625" style="95" customWidth="1"/>
    <col min="15620" max="15620" width="3" style="95" customWidth="1"/>
    <col min="15621" max="15621" width="7.5" style="95" customWidth="1"/>
    <col min="15622" max="15622" width="8.5" style="95" customWidth="1"/>
    <col min="15623" max="15623" width="2.6640625" style="95" customWidth="1"/>
    <col min="15624" max="15624" width="7.33203125" style="95" customWidth="1"/>
    <col min="15625" max="15625" width="8.5" style="95" customWidth="1"/>
    <col min="15626" max="15626" width="2.6640625" style="95" customWidth="1"/>
    <col min="15627" max="15627" width="7.5" style="95" customWidth="1"/>
    <col min="15628" max="15628" width="8.5" style="95" customWidth="1"/>
    <col min="15629" max="15629" width="2.6640625" style="95" customWidth="1"/>
    <col min="15630" max="15630" width="7.1640625" style="95" customWidth="1"/>
    <col min="15631" max="15631" width="8" style="95" customWidth="1"/>
    <col min="15632" max="15632" width="2.6640625" style="95" customWidth="1"/>
    <col min="15633" max="15633" width="7.5" style="95" customWidth="1"/>
    <col min="15634" max="15634" width="8.5" style="95" customWidth="1"/>
    <col min="15635" max="15635" width="2.6640625" style="95" customWidth="1"/>
    <col min="15636" max="15872" width="10.83203125" style="95"/>
    <col min="15873" max="15873" width="34.83203125" style="95" customWidth="1"/>
    <col min="15874" max="15874" width="7.5" style="95" customWidth="1"/>
    <col min="15875" max="15875" width="7.1640625" style="95" customWidth="1"/>
    <col min="15876" max="15876" width="3" style="95" customWidth="1"/>
    <col min="15877" max="15877" width="7.5" style="95" customWidth="1"/>
    <col min="15878" max="15878" width="8.5" style="95" customWidth="1"/>
    <col min="15879" max="15879" width="2.6640625" style="95" customWidth="1"/>
    <col min="15880" max="15880" width="7.33203125" style="95" customWidth="1"/>
    <col min="15881" max="15881" width="8.5" style="95" customWidth="1"/>
    <col min="15882" max="15882" width="2.6640625" style="95" customWidth="1"/>
    <col min="15883" max="15883" width="7.5" style="95" customWidth="1"/>
    <col min="15884" max="15884" width="8.5" style="95" customWidth="1"/>
    <col min="15885" max="15885" width="2.6640625" style="95" customWidth="1"/>
    <col min="15886" max="15886" width="7.1640625" style="95" customWidth="1"/>
    <col min="15887" max="15887" width="8" style="95" customWidth="1"/>
    <col min="15888" max="15888" width="2.6640625" style="95" customWidth="1"/>
    <col min="15889" max="15889" width="7.5" style="95" customWidth="1"/>
    <col min="15890" max="15890" width="8.5" style="95" customWidth="1"/>
    <col min="15891" max="15891" width="2.6640625" style="95" customWidth="1"/>
    <col min="15892" max="16128" width="10.83203125" style="95"/>
    <col min="16129" max="16129" width="34.83203125" style="95" customWidth="1"/>
    <col min="16130" max="16130" width="7.5" style="95" customWidth="1"/>
    <col min="16131" max="16131" width="7.1640625" style="95" customWidth="1"/>
    <col min="16132" max="16132" width="3" style="95" customWidth="1"/>
    <col min="16133" max="16133" width="7.5" style="95" customWidth="1"/>
    <col min="16134" max="16134" width="8.5" style="95" customWidth="1"/>
    <col min="16135" max="16135" width="2.6640625" style="95" customWidth="1"/>
    <col min="16136" max="16136" width="7.33203125" style="95" customWidth="1"/>
    <col min="16137" max="16137" width="8.5" style="95" customWidth="1"/>
    <col min="16138" max="16138" width="2.6640625" style="95" customWidth="1"/>
    <col min="16139" max="16139" width="7.5" style="95" customWidth="1"/>
    <col min="16140" max="16140" width="8.5" style="95" customWidth="1"/>
    <col min="16141" max="16141" width="2.6640625" style="95" customWidth="1"/>
    <col min="16142" max="16142" width="7.1640625" style="95" customWidth="1"/>
    <col min="16143" max="16143" width="8" style="95" customWidth="1"/>
    <col min="16144" max="16144" width="2.6640625" style="95" customWidth="1"/>
    <col min="16145" max="16145" width="7.5" style="95" customWidth="1"/>
    <col min="16146" max="16146" width="8.5" style="95" customWidth="1"/>
    <col min="16147" max="16147" width="2.6640625" style="95" customWidth="1"/>
    <col min="16148" max="16384" width="10.83203125" style="95"/>
  </cols>
  <sheetData>
    <row r="1" spans="1:19" ht="11" customHeight="1">
      <c r="A1" s="95" t="s">
        <v>453</v>
      </c>
      <c r="B1" s="138"/>
      <c r="C1" s="139"/>
      <c r="E1" s="140"/>
      <c r="F1" s="105"/>
      <c r="H1" s="140"/>
      <c r="I1" s="105"/>
      <c r="J1" s="105"/>
      <c r="K1" s="140"/>
      <c r="L1" s="105"/>
      <c r="N1" s="140"/>
      <c r="Q1" s="140"/>
    </row>
    <row r="2" spans="1:19">
      <c r="A2" s="95" t="s">
        <v>454</v>
      </c>
      <c r="B2" s="138"/>
      <c r="C2" s="139"/>
      <c r="E2" s="140"/>
      <c r="F2" s="105"/>
      <c r="H2" s="140"/>
      <c r="I2" s="105"/>
      <c r="J2" s="105"/>
      <c r="K2" s="140"/>
      <c r="L2" s="105"/>
      <c r="N2" s="140"/>
      <c r="Q2" s="140"/>
    </row>
    <row r="3" spans="1:19" ht="11" customHeight="1">
      <c r="B3" s="138"/>
      <c r="C3" s="139"/>
      <c r="E3" s="140"/>
      <c r="F3" s="105"/>
      <c r="H3" s="140"/>
      <c r="I3" s="105"/>
      <c r="J3" s="105"/>
      <c r="K3" s="140"/>
      <c r="L3" s="105"/>
      <c r="N3" s="140"/>
      <c r="Q3" s="140"/>
    </row>
    <row r="4" spans="1:19">
      <c r="A4" s="14" t="s">
        <v>1854</v>
      </c>
      <c r="B4" s="138"/>
      <c r="C4" s="139"/>
      <c r="E4" s="140"/>
      <c r="F4" s="105"/>
      <c r="H4" s="140"/>
      <c r="I4" s="105"/>
      <c r="J4" s="105"/>
      <c r="K4" s="140"/>
      <c r="L4" s="141"/>
      <c r="N4" s="140"/>
      <c r="O4" s="141"/>
      <c r="Q4" s="140"/>
    </row>
    <row r="5" spans="1:19" ht="14" thickBot="1">
      <c r="B5" s="138"/>
      <c r="C5" s="139"/>
      <c r="E5" s="140"/>
      <c r="F5" s="105"/>
      <c r="H5" s="140"/>
      <c r="I5" s="105"/>
      <c r="J5" s="105"/>
      <c r="K5" s="140"/>
      <c r="L5" s="105"/>
      <c r="N5" s="140"/>
      <c r="O5" s="105"/>
      <c r="Q5" s="140"/>
      <c r="R5" s="105"/>
    </row>
    <row r="6" spans="1:19">
      <c r="A6" s="97" t="s">
        <v>472</v>
      </c>
      <c r="B6" s="142"/>
      <c r="C6" s="143"/>
      <c r="D6" s="97"/>
      <c r="E6" s="144"/>
      <c r="F6" s="99"/>
      <c r="G6" s="97"/>
      <c r="H6" s="144"/>
      <c r="I6" s="99"/>
      <c r="J6" s="99"/>
      <c r="K6" s="144"/>
      <c r="L6" s="99"/>
      <c r="M6" s="97"/>
      <c r="N6" s="144"/>
      <c r="O6" s="99"/>
      <c r="P6" s="99"/>
      <c r="Q6" s="144"/>
      <c r="R6" s="99"/>
      <c r="S6" s="99"/>
    </row>
    <row r="7" spans="1:19" ht="15">
      <c r="A7" s="116" t="s">
        <v>473</v>
      </c>
      <c r="B7" s="1022" t="s">
        <v>497</v>
      </c>
      <c r="C7" s="1022"/>
      <c r="D7" s="116"/>
      <c r="E7" s="1019" t="s">
        <v>498</v>
      </c>
      <c r="F7" s="1019"/>
      <c r="G7" s="116"/>
      <c r="H7" s="1019" t="s">
        <v>499</v>
      </c>
      <c r="I7" s="1019"/>
      <c r="J7" s="135"/>
      <c r="K7" s="1019" t="s">
        <v>500</v>
      </c>
      <c r="L7" s="1019"/>
      <c r="M7" s="116"/>
      <c r="N7" s="1019" t="s">
        <v>501</v>
      </c>
      <c r="O7" s="1019"/>
      <c r="Q7" s="1021" t="s">
        <v>478</v>
      </c>
      <c r="R7" s="1021"/>
    </row>
    <row r="8" spans="1:19">
      <c r="A8" s="95" t="s">
        <v>479</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 thickBot="1">
      <c r="A9" s="102" t="s">
        <v>480</v>
      </c>
      <c r="B9" s="151"/>
      <c r="C9" s="152"/>
      <c r="D9" s="102"/>
      <c r="E9" s="153"/>
      <c r="F9" s="96"/>
      <c r="G9" s="102"/>
      <c r="H9" s="153"/>
      <c r="I9" s="96"/>
      <c r="J9" s="96"/>
      <c r="K9" s="153"/>
      <c r="L9" s="96"/>
      <c r="M9" s="102"/>
      <c r="N9" s="153"/>
      <c r="O9" s="96"/>
      <c r="P9" s="96"/>
      <c r="Q9" s="153"/>
      <c r="R9" s="96"/>
      <c r="S9" s="96"/>
    </row>
    <row r="10" spans="1:19" ht="11" customHeight="1">
      <c r="B10" s="138"/>
      <c r="C10" s="139"/>
      <c r="E10" s="140"/>
      <c r="F10" s="105"/>
      <c r="H10" s="140"/>
      <c r="I10" s="105"/>
      <c r="J10" s="105"/>
      <c r="K10" s="140"/>
      <c r="L10" s="105"/>
      <c r="N10" s="140"/>
      <c r="Q10" s="140"/>
    </row>
    <row r="11" spans="1:19">
      <c r="A11" s="68" t="s">
        <v>1855</v>
      </c>
      <c r="B11" s="169">
        <f>IF($A11&lt;&gt;"",E11+H11+K11+N11+Q11,"")</f>
        <v>4283</v>
      </c>
      <c r="C11" s="139">
        <f>SUM(C13+C107)</f>
        <v>100</v>
      </c>
      <c r="E11" s="140">
        <f>E13+E107</f>
        <v>266</v>
      </c>
      <c r="F11" s="105">
        <f>IF($A11&lt;&gt;0,E11/$B11*100,"")</f>
        <v>6.210600046696241</v>
      </c>
      <c r="H11" s="140">
        <f>H13+H107</f>
        <v>1470</v>
      </c>
      <c r="I11" s="105">
        <f>IF($A11&lt;&gt;0,H11/$B11*100,"")</f>
        <v>34.321737100163432</v>
      </c>
      <c r="J11" s="105"/>
      <c r="K11" s="140">
        <f>K13+K107</f>
        <v>1121</v>
      </c>
      <c r="L11" s="105">
        <f>IF($A11&lt;&gt;0,K11/$B11*100,"")</f>
        <v>26.173243053934158</v>
      </c>
      <c r="M11" s="116"/>
      <c r="N11" s="140">
        <f>N13+N107</f>
        <v>104</v>
      </c>
      <c r="O11" s="105">
        <f>IF($A11&lt;&gt;0,N11/$B11*100,"")</f>
        <v>2.4282045295353725</v>
      </c>
      <c r="P11" s="135"/>
      <c r="Q11" s="140">
        <f>Q13+Q107</f>
        <v>1322</v>
      </c>
      <c r="R11" s="105">
        <f t="shared" ref="R11:R19" si="0">IF($A11&lt;&gt;"",Q11/$B11*100,"")</f>
        <v>30.866215269670793</v>
      </c>
      <c r="S11" s="135"/>
    </row>
    <row r="12" spans="1:19" ht="11" customHeight="1">
      <c r="B12" s="169" t="str">
        <f t="shared" ref="B12:B75" si="1">IF($A12&lt;&gt;"",E12+H12+K12+N12+Q12,"")</f>
        <v/>
      </c>
      <c r="C12" s="139" t="str">
        <f>IF(A12&lt;&gt;0,B12/$B$10*100,"")</f>
        <v/>
      </c>
      <c r="E12" s="140"/>
      <c r="F12" s="105" t="str">
        <f>IF($A12&lt;&gt;0,E12/$B12*100,"")</f>
        <v/>
      </c>
      <c r="H12" s="140"/>
      <c r="I12" s="105" t="str">
        <f>IF($A12&lt;&gt;0,H12/$B12*100,"")</f>
        <v/>
      </c>
      <c r="J12" s="105"/>
      <c r="K12" s="140"/>
      <c r="L12" s="105" t="str">
        <f>IF($A12&lt;&gt;0,K12/$B12*100,"")</f>
        <v/>
      </c>
      <c r="M12" s="116"/>
      <c r="N12" s="140"/>
      <c r="O12" s="105" t="str">
        <f>IF($A12&lt;&gt;0,N12/$B12*100,"")</f>
        <v/>
      </c>
      <c r="P12" s="135"/>
      <c r="Q12" s="140"/>
      <c r="R12" s="105" t="str">
        <f t="shared" si="0"/>
        <v/>
      </c>
      <c r="S12" s="135"/>
    </row>
    <row r="13" spans="1:19">
      <c r="A13" s="55" t="s">
        <v>403</v>
      </c>
      <c r="B13" s="169">
        <f t="shared" si="1"/>
        <v>3301</v>
      </c>
      <c r="C13" s="139">
        <f>IF(A13&lt;&gt;0,B13/$B$11*100,"")</f>
        <v>77.072145692271775</v>
      </c>
      <c r="E13" s="140">
        <f>E15+E99</f>
        <v>244</v>
      </c>
      <c r="F13" s="105">
        <f>IF($A13&lt;&gt;0,E13/$B13*100,"")</f>
        <v>7.3916994850045441</v>
      </c>
      <c r="H13" s="140">
        <f>H15+H99</f>
        <v>1121</v>
      </c>
      <c r="I13" s="105">
        <f>IF($A13&lt;&gt;0,H13/$B13*100,"")</f>
        <v>33.959406240533177</v>
      </c>
      <c r="J13" s="105"/>
      <c r="K13" s="140">
        <f>K15+K99</f>
        <v>812</v>
      </c>
      <c r="L13" s="105">
        <f>IF($A13&lt;&gt;0,K13/$B13*100,"")</f>
        <v>24.598606482883977</v>
      </c>
      <c r="M13" s="116"/>
      <c r="N13" s="140">
        <f>N15+N99</f>
        <v>79</v>
      </c>
      <c r="O13" s="105">
        <f>IF($A13&lt;&gt;0,N13/$B13*100,"")</f>
        <v>2.3932141775219633</v>
      </c>
      <c r="P13" s="135"/>
      <c r="Q13" s="140">
        <f>Q15+Q99</f>
        <v>1045</v>
      </c>
      <c r="R13" s="105">
        <f t="shared" si="0"/>
        <v>31.657073614056348</v>
      </c>
      <c r="S13" s="135"/>
    </row>
    <row r="14" spans="1:19" ht="11" customHeight="1">
      <c r="B14" s="169" t="str">
        <f t="shared" si="1"/>
        <v/>
      </c>
      <c r="C14" s="139" t="str">
        <f>IF(A14&lt;&gt;0,B14/$B$11*100,"")</f>
        <v/>
      </c>
      <c r="E14" s="140"/>
      <c r="F14" s="105" t="str">
        <f>IF($A14&lt;&gt;0,E14/$B14*100,"")</f>
        <v/>
      </c>
      <c r="H14" s="140"/>
      <c r="I14" s="105" t="str">
        <f>IF($A14&lt;&gt;0,H14/$B14*100,"")</f>
        <v/>
      </c>
      <c r="J14" s="105"/>
      <c r="K14" s="140"/>
      <c r="L14" s="105" t="str">
        <f>IF($A14&lt;&gt;0,K14/$B14*100,"")</f>
        <v/>
      </c>
      <c r="M14" s="116"/>
      <c r="N14" s="140"/>
      <c r="O14" s="105" t="str">
        <f>IF($A14&lt;&gt;0,N14/$B14*100,"")</f>
        <v/>
      </c>
      <c r="P14" s="135"/>
      <c r="Q14" s="140"/>
      <c r="R14" s="105" t="str">
        <f t="shared" si="0"/>
        <v/>
      </c>
      <c r="S14" s="135"/>
    </row>
    <row r="15" spans="1:19">
      <c r="A15" s="55" t="s">
        <v>80</v>
      </c>
      <c r="B15" s="169">
        <f t="shared" si="1"/>
        <v>2808</v>
      </c>
      <c r="C15" s="139">
        <f>IF(A15&lt;&gt;0,B15/$B$11*100,"")</f>
        <v>65.561522297455056</v>
      </c>
      <c r="E15" s="140">
        <f>SUM(E17+E28+E36+E62+E76+E83+E95+E96+E97)</f>
        <v>177</v>
      </c>
      <c r="F15" s="105">
        <f>IF($A15&lt;&gt;0,E15/$B15*100,"")</f>
        <v>6.3034188034188032</v>
      </c>
      <c r="G15" s="140"/>
      <c r="H15" s="140">
        <f>SUM(H17+H28+H36+H62+H76+H83+H95+H96+H97)</f>
        <v>962</v>
      </c>
      <c r="I15" s="105">
        <f>IF($A15&lt;&gt;0,H15/$B15*100,"")</f>
        <v>34.25925925925926</v>
      </c>
      <c r="J15" s="140"/>
      <c r="K15" s="140">
        <f>SUM(K17+K28+K36+K62+K76+K83+K95+K96+K97)</f>
        <v>720</v>
      </c>
      <c r="L15" s="105">
        <f>IF($A15&lt;&gt;0,K15/$B15*100,"")</f>
        <v>25.641025641025639</v>
      </c>
      <c r="M15" s="140"/>
      <c r="N15" s="140">
        <f>SUM(N17+N28+N36+N62+N76+N83+N95+N96+N97)</f>
        <v>69</v>
      </c>
      <c r="O15" s="105">
        <f>IF($A15&lt;&gt;0,N15/$B15*100,"")</f>
        <v>2.4572649572649574</v>
      </c>
      <c r="P15" s="140"/>
      <c r="Q15" s="140">
        <f>SUM(Q17+Q28+Q36+Q62+Q76+Q83+Q95+Q96+Q97)</f>
        <v>880</v>
      </c>
      <c r="R15" s="105">
        <f t="shared" si="0"/>
        <v>31.339031339031337</v>
      </c>
      <c r="S15" s="135"/>
    </row>
    <row r="16" spans="1:19" ht="11" customHeight="1">
      <c r="B16" s="169" t="str">
        <f t="shared" si="1"/>
        <v/>
      </c>
      <c r="C16" s="139" t="str">
        <f t="shared" ref="C16:C79" si="2">IF(A16&lt;&gt;0,B16/$B$11*100,"")</f>
        <v/>
      </c>
      <c r="E16" s="140"/>
      <c r="F16" s="105"/>
      <c r="H16" s="140"/>
      <c r="I16" s="105"/>
      <c r="J16" s="105"/>
      <c r="K16" s="140"/>
      <c r="L16" s="105"/>
      <c r="M16" s="116"/>
      <c r="N16" s="140"/>
      <c r="O16" s="105"/>
      <c r="P16" s="135"/>
      <c r="Q16" s="140"/>
      <c r="R16" s="105"/>
      <c r="S16" s="135"/>
    </row>
    <row r="17" spans="1:19">
      <c r="A17" s="55" t="s">
        <v>404</v>
      </c>
      <c r="B17" s="138">
        <f t="shared" si="1"/>
        <v>213</v>
      </c>
      <c r="C17" s="139">
        <f t="shared" si="2"/>
        <v>4.9731496614522532</v>
      </c>
      <c r="E17" s="140">
        <f>E18+E23</f>
        <v>20</v>
      </c>
      <c r="F17" s="105">
        <f>IF($A17&lt;&gt;0,E17/$B17*100,"")</f>
        <v>9.3896713615023462</v>
      </c>
      <c r="H17" s="140">
        <f>H18+H23</f>
        <v>82</v>
      </c>
      <c r="I17" s="105">
        <f>IF($A17&lt;&gt;0,H17/$B17*100,"")</f>
        <v>38.497652582159624</v>
      </c>
      <c r="J17" s="105"/>
      <c r="K17" s="140">
        <f>K18+K23</f>
        <v>63</v>
      </c>
      <c r="L17" s="105">
        <f>IF($A17&lt;&gt;0,K17/$B17*100,"")</f>
        <v>29.577464788732392</v>
      </c>
      <c r="M17" s="116"/>
      <c r="N17" s="140">
        <f>N18+N23</f>
        <v>8</v>
      </c>
      <c r="O17" s="105">
        <f>IF($A17&lt;&gt;0,N17/$B17*100,"")</f>
        <v>3.755868544600939</v>
      </c>
      <c r="P17" s="135"/>
      <c r="Q17" s="140">
        <f>Q18+Q23</f>
        <v>40</v>
      </c>
      <c r="R17" s="105">
        <f t="shared" si="0"/>
        <v>18.779342723004692</v>
      </c>
      <c r="S17" s="135"/>
    </row>
    <row r="18" spans="1:19">
      <c r="A18" s="95" t="s">
        <v>162</v>
      </c>
      <c r="B18" s="138">
        <f t="shared" si="1"/>
        <v>107</v>
      </c>
      <c r="C18" s="139">
        <f t="shared" si="2"/>
        <v>2.4982488909642777</v>
      </c>
      <c r="E18" s="140">
        <f>SUM(E19:E21)</f>
        <v>8</v>
      </c>
      <c r="F18" s="105">
        <f>IF($A18&lt;&gt;0,E18/$B18*100,"")</f>
        <v>7.4766355140186906</v>
      </c>
      <c r="H18" s="140">
        <f>SUM(H19:H21)</f>
        <v>32</v>
      </c>
      <c r="I18" s="105">
        <f>IF($A18&lt;&gt;0,H18/$B18*100,"")</f>
        <v>29.906542056074763</v>
      </c>
      <c r="J18" s="105"/>
      <c r="K18" s="140">
        <f>SUM(K19:K21)</f>
        <v>38</v>
      </c>
      <c r="L18" s="105">
        <f>IF($A18&lt;&gt;0,K18/$B18*100,"")</f>
        <v>35.514018691588781</v>
      </c>
      <c r="M18" s="116"/>
      <c r="N18" s="140">
        <f>SUM(N19:N21)</f>
        <v>5</v>
      </c>
      <c r="O18" s="105">
        <f>IF($A18&lt;&gt;0,N18/$B18*100,"")</f>
        <v>4.6728971962616823</v>
      </c>
      <c r="P18" s="135"/>
      <c r="Q18" s="140">
        <f>SUM(Q19:Q21)</f>
        <v>24</v>
      </c>
      <c r="R18" s="105">
        <f t="shared" si="0"/>
        <v>22.429906542056074</v>
      </c>
      <c r="S18" s="135"/>
    </row>
    <row r="19" spans="1:19">
      <c r="A19" s="95" t="s">
        <v>163</v>
      </c>
      <c r="B19" s="138">
        <f t="shared" si="1"/>
        <v>23</v>
      </c>
      <c r="C19" s="139">
        <f t="shared" si="2"/>
        <v>0.5370067709549381</v>
      </c>
      <c r="E19" s="769">
        <v>1</v>
      </c>
      <c r="F19" s="769"/>
      <c r="G19" s="769"/>
      <c r="H19" s="769">
        <v>5</v>
      </c>
      <c r="I19" s="769"/>
      <c r="J19" s="769"/>
      <c r="K19" s="769">
        <v>12</v>
      </c>
      <c r="L19" s="769"/>
      <c r="M19" s="769"/>
      <c r="N19" s="769">
        <v>2</v>
      </c>
      <c r="O19" s="769"/>
      <c r="P19" s="769"/>
      <c r="Q19" s="769">
        <v>3</v>
      </c>
      <c r="R19" s="105">
        <f t="shared" si="0"/>
        <v>13.043478260869565</v>
      </c>
      <c r="S19" s="135"/>
    </row>
    <row r="20" spans="1:19">
      <c r="A20" s="95" t="s">
        <v>164</v>
      </c>
      <c r="B20" s="138">
        <f t="shared" si="1"/>
        <v>48</v>
      </c>
      <c r="C20" s="139">
        <f t="shared" si="2"/>
        <v>1.1207097828624797</v>
      </c>
      <c r="E20" s="769">
        <v>3</v>
      </c>
      <c r="F20" s="769"/>
      <c r="G20" s="769"/>
      <c r="H20" s="769">
        <v>15</v>
      </c>
      <c r="I20" s="769"/>
      <c r="J20" s="769"/>
      <c r="K20" s="769">
        <v>14</v>
      </c>
      <c r="L20" s="769"/>
      <c r="M20" s="769"/>
      <c r="N20" s="769">
        <v>0</v>
      </c>
      <c r="O20" s="769"/>
      <c r="P20" s="769"/>
      <c r="Q20" s="769">
        <v>16</v>
      </c>
      <c r="R20" s="105">
        <f>IF($A20&lt;&gt;"",Q20/$B20*100,"")</f>
        <v>33.333333333333329</v>
      </c>
      <c r="S20" s="135"/>
    </row>
    <row r="21" spans="1:19">
      <c r="A21" s="95" t="s">
        <v>165</v>
      </c>
      <c r="B21" s="138">
        <f t="shared" si="1"/>
        <v>36</v>
      </c>
      <c r="C21" s="139">
        <f t="shared" si="2"/>
        <v>0.8405323371468596</v>
      </c>
      <c r="E21" s="769">
        <v>4</v>
      </c>
      <c r="F21" s="769"/>
      <c r="G21" s="769"/>
      <c r="H21" s="769">
        <v>12</v>
      </c>
      <c r="I21" s="769"/>
      <c r="J21" s="769"/>
      <c r="K21" s="769">
        <v>12</v>
      </c>
      <c r="L21" s="769"/>
      <c r="M21" s="769"/>
      <c r="N21" s="769">
        <v>3</v>
      </c>
      <c r="O21" s="769"/>
      <c r="P21" s="769"/>
      <c r="Q21" s="769">
        <v>5</v>
      </c>
      <c r="R21" s="105">
        <f>IF($A21&lt;&gt;"",Q21/$B21*100,"")</f>
        <v>13.888888888888889</v>
      </c>
      <c r="S21" s="135"/>
    </row>
    <row r="22" spans="1:19" ht="11" customHeight="1">
      <c r="B22" s="138" t="str">
        <f t="shared" si="1"/>
        <v/>
      </c>
      <c r="C22" s="139" t="str">
        <f t="shared" si="2"/>
        <v/>
      </c>
      <c r="E22" s="154"/>
      <c r="F22" s="135" t="str">
        <f>IF($A22&lt;&gt;0,E22/$B22*100,"")</f>
        <v/>
      </c>
      <c r="G22" s="116"/>
      <c r="H22" s="154"/>
      <c r="I22" s="135" t="str">
        <f>IF($A22&lt;&gt;0,H22/$B22*100,"")</f>
        <v/>
      </c>
      <c r="J22" s="135"/>
      <c r="K22" s="154"/>
      <c r="L22" s="135" t="str">
        <f>IF($A22&lt;&gt;0,K22/$B22*100,"")</f>
        <v/>
      </c>
      <c r="M22" s="116"/>
      <c r="N22" s="154"/>
      <c r="O22" s="135" t="str">
        <f>IF($A22&lt;&gt;0,N22/$B22*100,"")</f>
        <v/>
      </c>
      <c r="P22" s="135"/>
      <c r="Q22" s="154"/>
      <c r="R22" s="105" t="str">
        <f t="shared" ref="R22:R86" si="3">IF($A22&lt;&gt;"",Q22/$B22*100,"")</f>
        <v/>
      </c>
      <c r="S22" s="135"/>
    </row>
    <row r="23" spans="1:19">
      <c r="A23" s="95" t="s">
        <v>166</v>
      </c>
      <c r="B23" s="138">
        <f t="shared" si="1"/>
        <v>106</v>
      </c>
      <c r="C23" s="139">
        <f t="shared" si="2"/>
        <v>2.474900770487976</v>
      </c>
      <c r="E23" s="154">
        <f>SUM(E24:E26)</f>
        <v>12</v>
      </c>
      <c r="F23" s="135">
        <f>IF($A23&lt;&gt;0,E23/$B23*100,"")</f>
        <v>11.320754716981133</v>
      </c>
      <c r="G23" s="116"/>
      <c r="H23" s="154">
        <f>SUM(H24:H26)</f>
        <v>50</v>
      </c>
      <c r="I23" s="135">
        <f>IF($A23&lt;&gt;0,H23/$B23*100,"")</f>
        <v>47.169811320754718</v>
      </c>
      <c r="J23" s="135"/>
      <c r="K23" s="154">
        <f>SUM(K24:K26)</f>
        <v>25</v>
      </c>
      <c r="L23" s="135">
        <f>IF($A23&lt;&gt;0,K23/$B23*100,"")</f>
        <v>23.584905660377359</v>
      </c>
      <c r="M23" s="116"/>
      <c r="N23" s="154">
        <f>SUM(N24:N26)</f>
        <v>3</v>
      </c>
      <c r="O23" s="135">
        <f>IF($A23&lt;&gt;0,N23/$B23*100,"")</f>
        <v>2.8301886792452833</v>
      </c>
      <c r="P23" s="135"/>
      <c r="Q23" s="154">
        <f>SUM(Q24:Q26)</f>
        <v>16</v>
      </c>
      <c r="R23" s="105">
        <f t="shared" si="3"/>
        <v>15.09433962264151</v>
      </c>
      <c r="S23" s="135"/>
    </row>
    <row r="24" spans="1:19">
      <c r="A24" s="95" t="s">
        <v>167</v>
      </c>
      <c r="B24" s="138">
        <f t="shared" si="1"/>
        <v>16</v>
      </c>
      <c r="C24" s="139">
        <f t="shared" si="2"/>
        <v>0.37356992762082653</v>
      </c>
      <c r="E24" s="769">
        <v>6</v>
      </c>
      <c r="F24" s="769"/>
      <c r="G24" s="769"/>
      <c r="H24" s="769">
        <v>4</v>
      </c>
      <c r="I24" s="769"/>
      <c r="J24" s="769"/>
      <c r="K24" s="769">
        <v>4</v>
      </c>
      <c r="L24" s="769"/>
      <c r="M24" s="769"/>
      <c r="N24" s="769">
        <v>2</v>
      </c>
      <c r="O24" s="769"/>
      <c r="P24" s="769"/>
      <c r="Q24" s="769">
        <v>0</v>
      </c>
      <c r="R24" s="105">
        <f t="shared" si="3"/>
        <v>0</v>
      </c>
      <c r="S24" s="135"/>
    </row>
    <row r="25" spans="1:19">
      <c r="A25" s="95" t="s">
        <v>168</v>
      </c>
      <c r="B25" s="138">
        <f t="shared" si="1"/>
        <v>24</v>
      </c>
      <c r="C25" s="139">
        <f t="shared" si="2"/>
        <v>0.56035489143123984</v>
      </c>
      <c r="E25" s="769">
        <v>6</v>
      </c>
      <c r="F25" s="769"/>
      <c r="G25" s="769"/>
      <c r="H25" s="769">
        <v>8</v>
      </c>
      <c r="I25" s="769"/>
      <c r="J25" s="769"/>
      <c r="K25" s="769">
        <v>9</v>
      </c>
      <c r="L25" s="769"/>
      <c r="M25" s="769"/>
      <c r="N25" s="769">
        <v>0</v>
      </c>
      <c r="O25" s="769"/>
      <c r="P25" s="769"/>
      <c r="Q25" s="769">
        <v>1</v>
      </c>
      <c r="R25" s="105">
        <f t="shared" si="3"/>
        <v>4.1666666666666661</v>
      </c>
      <c r="S25" s="135"/>
    </row>
    <row r="26" spans="1:19">
      <c r="A26" s="95" t="s">
        <v>169</v>
      </c>
      <c r="B26" s="138">
        <f t="shared" si="1"/>
        <v>66</v>
      </c>
      <c r="C26" s="139">
        <f t="shared" si="2"/>
        <v>1.5409759514359094</v>
      </c>
      <c r="E26" s="769">
        <v>0</v>
      </c>
      <c r="F26" s="769"/>
      <c r="G26" s="769"/>
      <c r="H26" s="769">
        <v>38</v>
      </c>
      <c r="I26" s="769"/>
      <c r="J26" s="769"/>
      <c r="K26" s="769">
        <v>12</v>
      </c>
      <c r="L26" s="769"/>
      <c r="M26" s="769"/>
      <c r="N26" s="769">
        <v>1</v>
      </c>
      <c r="O26" s="769"/>
      <c r="P26" s="769"/>
      <c r="Q26" s="769">
        <v>15</v>
      </c>
      <c r="R26" s="105">
        <f t="shared" si="3"/>
        <v>22.727272727272727</v>
      </c>
      <c r="S26" s="135"/>
    </row>
    <row r="27" spans="1:19" ht="11" customHeight="1">
      <c r="B27" s="138" t="str">
        <f t="shared" si="1"/>
        <v/>
      </c>
      <c r="C27" s="139" t="str">
        <f t="shared" si="2"/>
        <v/>
      </c>
      <c r="E27" s="154"/>
      <c r="F27" s="135" t="str">
        <f>IF($A27&lt;&gt;0,E27/$B27*100,"")</f>
        <v/>
      </c>
      <c r="G27" s="116"/>
      <c r="H27" s="154"/>
      <c r="I27" s="135" t="str">
        <f>IF($A27&lt;&gt;0,H27/$B27*100,"")</f>
        <v/>
      </c>
      <c r="J27" s="135"/>
      <c r="K27" s="154"/>
      <c r="L27" s="135" t="str">
        <f>IF($A27&lt;&gt;0,K27/$B27*100,"")</f>
        <v/>
      </c>
      <c r="M27" s="116"/>
      <c r="N27" s="154"/>
      <c r="O27" s="135" t="str">
        <f>IF($A27&lt;&gt;0,N27/$B27*100,"")</f>
        <v/>
      </c>
      <c r="P27" s="135"/>
      <c r="Q27" s="154"/>
      <c r="R27" s="105" t="str">
        <f t="shared" si="3"/>
        <v/>
      </c>
      <c r="S27" s="135"/>
    </row>
    <row r="28" spans="1:19">
      <c r="A28" s="55" t="s">
        <v>464</v>
      </c>
      <c r="B28" s="138">
        <f t="shared" si="1"/>
        <v>226</v>
      </c>
      <c r="C28" s="139">
        <f t="shared" si="2"/>
        <v>5.2766752276441746</v>
      </c>
      <c r="E28" s="154">
        <f>SUM(E29)</f>
        <v>34</v>
      </c>
      <c r="F28" s="135">
        <f>IF($A28&lt;&gt;0,E28/$B28*100,"")</f>
        <v>15.044247787610621</v>
      </c>
      <c r="G28" s="116"/>
      <c r="H28" s="154">
        <f>SUM(H29)</f>
        <v>53</v>
      </c>
      <c r="I28" s="135">
        <f>IF($A28&lt;&gt;0,H28/$B28*100,"")</f>
        <v>23.451327433628318</v>
      </c>
      <c r="J28" s="135"/>
      <c r="K28" s="154">
        <f>SUM(K29)</f>
        <v>54</v>
      </c>
      <c r="L28" s="135">
        <f>IF($A28&lt;&gt;0,K28/$B28*100,"")</f>
        <v>23.893805309734514</v>
      </c>
      <c r="M28" s="116"/>
      <c r="N28" s="154">
        <f>SUM(N29)</f>
        <v>34</v>
      </c>
      <c r="O28" s="135">
        <f>IF($A28&lt;&gt;0,N28/$B28*100,"")</f>
        <v>15.044247787610621</v>
      </c>
      <c r="P28" s="135"/>
      <c r="Q28" s="154">
        <f>SUM(Q29)</f>
        <v>51</v>
      </c>
      <c r="R28" s="105">
        <f t="shared" si="3"/>
        <v>22.566371681415927</v>
      </c>
      <c r="S28" s="135"/>
    </row>
    <row r="29" spans="1:19">
      <c r="A29" s="95" t="s">
        <v>171</v>
      </c>
      <c r="B29" s="138">
        <f t="shared" si="1"/>
        <v>226</v>
      </c>
      <c r="C29" s="139">
        <f t="shared" si="2"/>
        <v>5.2766752276441746</v>
      </c>
      <c r="E29" s="154">
        <f>SUM(E30:E34)</f>
        <v>34</v>
      </c>
      <c r="F29" s="135">
        <f>IF($A29&lt;&gt;0,E29/$B29*100,"")</f>
        <v>15.044247787610621</v>
      </c>
      <c r="G29" s="116"/>
      <c r="H29" s="154">
        <f>SUM(H30:H34)</f>
        <v>53</v>
      </c>
      <c r="I29" s="135">
        <f>IF($A29&lt;&gt;0,H29/$B29*100,"")</f>
        <v>23.451327433628318</v>
      </c>
      <c r="J29" s="135"/>
      <c r="K29" s="154">
        <f>SUM(K30:K34)</f>
        <v>54</v>
      </c>
      <c r="L29" s="135">
        <f>IF($A29&lt;&gt;0,K29/$B29*100,"")</f>
        <v>23.893805309734514</v>
      </c>
      <c r="M29" s="116"/>
      <c r="N29" s="154">
        <f>SUM(N30:N34)</f>
        <v>34</v>
      </c>
      <c r="O29" s="135">
        <f>IF($A29&lt;&gt;0,N29/$B29*100,"")</f>
        <v>15.044247787610621</v>
      </c>
      <c r="P29" s="135"/>
      <c r="Q29" s="154">
        <f>SUM(Q30:Q34)</f>
        <v>51</v>
      </c>
      <c r="R29" s="105">
        <f t="shared" si="3"/>
        <v>22.566371681415927</v>
      </c>
      <c r="S29" s="135"/>
    </row>
    <row r="30" spans="1:19">
      <c r="A30" s="95" t="s">
        <v>172</v>
      </c>
      <c r="B30" s="138">
        <f t="shared" si="1"/>
        <v>18</v>
      </c>
      <c r="C30" s="139">
        <f t="shared" si="2"/>
        <v>0.4202661685734298</v>
      </c>
      <c r="E30" s="769">
        <v>6</v>
      </c>
      <c r="F30" s="769"/>
      <c r="G30" s="769"/>
      <c r="H30" s="769">
        <v>4</v>
      </c>
      <c r="I30" s="769"/>
      <c r="J30" s="769"/>
      <c r="K30" s="769">
        <v>2</v>
      </c>
      <c r="L30" s="769"/>
      <c r="M30" s="769"/>
      <c r="N30" s="769">
        <v>0</v>
      </c>
      <c r="O30" s="769"/>
      <c r="P30" s="769"/>
      <c r="Q30" s="769">
        <v>6</v>
      </c>
      <c r="R30" s="105">
        <f t="shared" si="3"/>
        <v>33.333333333333329</v>
      </c>
      <c r="S30" s="135"/>
    </row>
    <row r="31" spans="1:19">
      <c r="A31" s="95" t="s">
        <v>173</v>
      </c>
      <c r="B31" s="138">
        <f t="shared" si="1"/>
        <v>54</v>
      </c>
      <c r="C31" s="139">
        <f t="shared" si="2"/>
        <v>1.2607985057202895</v>
      </c>
      <c r="E31" s="769">
        <v>8</v>
      </c>
      <c r="F31" s="769"/>
      <c r="G31" s="769"/>
      <c r="H31" s="769">
        <v>12</v>
      </c>
      <c r="I31" s="769"/>
      <c r="J31" s="769"/>
      <c r="K31" s="769">
        <v>6</v>
      </c>
      <c r="L31" s="769"/>
      <c r="M31" s="769"/>
      <c r="N31" s="769">
        <v>14</v>
      </c>
      <c r="O31" s="769"/>
      <c r="P31" s="769"/>
      <c r="Q31" s="769">
        <v>14</v>
      </c>
      <c r="R31" s="105">
        <f t="shared" si="3"/>
        <v>25.925925925925924</v>
      </c>
      <c r="S31" s="135"/>
    </row>
    <row r="32" spans="1:19">
      <c r="A32" s="95" t="s">
        <v>174</v>
      </c>
      <c r="B32" s="138">
        <f t="shared" si="1"/>
        <v>14</v>
      </c>
      <c r="C32" s="139">
        <f t="shared" si="2"/>
        <v>0.3268736866682232</v>
      </c>
      <c r="E32" s="769">
        <v>2</v>
      </c>
      <c r="F32" s="769"/>
      <c r="G32" s="769"/>
      <c r="H32" s="769">
        <v>4</v>
      </c>
      <c r="I32" s="769"/>
      <c r="J32" s="769"/>
      <c r="K32" s="769">
        <v>3</v>
      </c>
      <c r="L32" s="769"/>
      <c r="M32" s="769"/>
      <c r="N32" s="769">
        <v>0</v>
      </c>
      <c r="O32" s="769"/>
      <c r="P32" s="769"/>
      <c r="Q32" s="769">
        <v>5</v>
      </c>
      <c r="R32" s="105">
        <f t="shared" si="3"/>
        <v>35.714285714285715</v>
      </c>
      <c r="S32" s="135"/>
    </row>
    <row r="33" spans="1:19">
      <c r="A33" s="95" t="s">
        <v>175</v>
      </c>
      <c r="B33" s="138">
        <f t="shared" si="1"/>
        <v>102</v>
      </c>
      <c r="C33" s="139">
        <f t="shared" si="2"/>
        <v>2.381508288582769</v>
      </c>
      <c r="E33" s="769">
        <v>15</v>
      </c>
      <c r="F33" s="769"/>
      <c r="G33" s="769"/>
      <c r="H33" s="769">
        <v>16</v>
      </c>
      <c r="I33" s="769"/>
      <c r="J33" s="769"/>
      <c r="K33" s="769">
        <v>33</v>
      </c>
      <c r="L33" s="769"/>
      <c r="M33" s="769"/>
      <c r="N33" s="769">
        <v>17</v>
      </c>
      <c r="O33" s="769"/>
      <c r="P33" s="769"/>
      <c r="Q33" s="769">
        <v>21</v>
      </c>
      <c r="R33" s="105">
        <f t="shared" si="3"/>
        <v>20.588235294117645</v>
      </c>
      <c r="S33" s="135"/>
    </row>
    <row r="34" spans="1:19">
      <c r="A34" s="95" t="s">
        <v>176</v>
      </c>
      <c r="B34" s="138">
        <f t="shared" si="1"/>
        <v>38</v>
      </c>
      <c r="C34" s="139">
        <f t="shared" si="2"/>
        <v>0.88722857809946309</v>
      </c>
      <c r="E34" s="769">
        <v>3</v>
      </c>
      <c r="F34" s="769"/>
      <c r="G34" s="769"/>
      <c r="H34" s="769">
        <v>17</v>
      </c>
      <c r="I34" s="769"/>
      <c r="J34" s="769"/>
      <c r="K34" s="769">
        <v>10</v>
      </c>
      <c r="L34" s="769"/>
      <c r="M34" s="769"/>
      <c r="N34" s="769">
        <v>3</v>
      </c>
      <c r="O34" s="769"/>
      <c r="P34" s="769"/>
      <c r="Q34" s="769">
        <v>5</v>
      </c>
      <c r="R34" s="105">
        <f t="shared" si="3"/>
        <v>13.157894736842104</v>
      </c>
      <c r="S34" s="135"/>
    </row>
    <row r="35" spans="1:19" ht="11" customHeight="1">
      <c r="B35" s="138" t="str">
        <f t="shared" si="1"/>
        <v/>
      </c>
      <c r="C35" s="139" t="str">
        <f t="shared" si="2"/>
        <v/>
      </c>
      <c r="E35" s="154"/>
      <c r="F35" s="135" t="str">
        <f>IF($A35&lt;&gt;0,E35/$B35*100,"")</f>
        <v/>
      </c>
      <c r="G35" s="116"/>
      <c r="H35" s="154"/>
      <c r="I35" s="135" t="str">
        <f>IF($A35&lt;&gt;0,H35/$B35*100,"")</f>
        <v/>
      </c>
      <c r="J35" s="135"/>
      <c r="K35" s="154"/>
      <c r="L35" s="135" t="str">
        <f>IF($A35&lt;&gt;0,K35/$B35*100,"")</f>
        <v/>
      </c>
      <c r="M35" s="116"/>
      <c r="N35" s="154"/>
      <c r="O35" s="135" t="str">
        <f>IF($A35&lt;&gt;0,N35/$B35*100,"")</f>
        <v/>
      </c>
      <c r="P35" s="135"/>
      <c r="Q35" s="154"/>
      <c r="R35" s="105" t="str">
        <f t="shared" si="3"/>
        <v/>
      </c>
      <c r="S35" s="135"/>
    </row>
    <row r="36" spans="1:19">
      <c r="A36" s="55" t="s">
        <v>406</v>
      </c>
      <c r="B36" s="138">
        <f t="shared" si="1"/>
        <v>822</v>
      </c>
      <c r="C36" s="139">
        <f t="shared" si="2"/>
        <v>19.19215503151996</v>
      </c>
      <c r="E36" s="154">
        <f>E37+E43+E53+E55</f>
        <v>64</v>
      </c>
      <c r="F36" s="135">
        <f>IF($A36&lt;&gt;0,E36/$B36*100,"")</f>
        <v>7.785888077858881</v>
      </c>
      <c r="G36" s="116"/>
      <c r="H36" s="154">
        <f>H37+H43+H53+H55</f>
        <v>299</v>
      </c>
      <c r="I36" s="135">
        <f>IF($A36&lt;&gt;0,H36/$B36*100,"")</f>
        <v>36.374695863746958</v>
      </c>
      <c r="J36" s="135"/>
      <c r="K36" s="154">
        <f>K37+K43+K53+K55</f>
        <v>228</v>
      </c>
      <c r="L36" s="135">
        <f>IF($A36&lt;&gt;0,K36/$B36*100,"")</f>
        <v>27.737226277372262</v>
      </c>
      <c r="M36" s="116"/>
      <c r="N36" s="154">
        <f>N37+N43+N53+N55</f>
        <v>10</v>
      </c>
      <c r="O36" s="135">
        <f>IF($A36&lt;&gt;0,N36/$B36*100,"")</f>
        <v>1.2165450121654502</v>
      </c>
      <c r="P36" s="135"/>
      <c r="Q36" s="154">
        <f>Q37+Q43+Q53+Q55</f>
        <v>221</v>
      </c>
      <c r="R36" s="105">
        <f t="shared" si="3"/>
        <v>26.885644768856448</v>
      </c>
      <c r="S36" s="135"/>
    </row>
    <row r="37" spans="1:19">
      <c r="A37" s="95" t="s">
        <v>178</v>
      </c>
      <c r="B37" s="138">
        <f t="shared" si="1"/>
        <v>234</v>
      </c>
      <c r="C37" s="139">
        <f t="shared" si="2"/>
        <v>5.4634601914545877</v>
      </c>
      <c r="E37" s="154">
        <f>SUM(E38:E41)</f>
        <v>8</v>
      </c>
      <c r="F37" s="135">
        <f>IF($A37&lt;&gt;0,E37/$B37*100,"")</f>
        <v>3.4188034188034191</v>
      </c>
      <c r="G37" s="116"/>
      <c r="H37" s="154">
        <f>SUM(H38:H41)</f>
        <v>104</v>
      </c>
      <c r="I37" s="135">
        <f>IF($A37&lt;&gt;0,H37/$B37*100,"")</f>
        <v>44.444444444444443</v>
      </c>
      <c r="J37" s="135"/>
      <c r="K37" s="154">
        <f>SUM(K38:K41)</f>
        <v>71</v>
      </c>
      <c r="L37" s="135">
        <f>IF($A37&lt;&gt;0,K37/$B37*100,"")</f>
        <v>30.341880341880341</v>
      </c>
      <c r="M37" s="116"/>
      <c r="N37" s="154">
        <f>SUM(N38:N41)</f>
        <v>8</v>
      </c>
      <c r="O37" s="135">
        <f>IF($A37&lt;&gt;0,N37/$B37*100,"")</f>
        <v>3.4188034188034191</v>
      </c>
      <c r="P37" s="135"/>
      <c r="Q37" s="154">
        <f>SUM(Q38:Q41)</f>
        <v>43</v>
      </c>
      <c r="R37" s="105">
        <f t="shared" si="3"/>
        <v>18.376068376068378</v>
      </c>
      <c r="S37" s="135"/>
    </row>
    <row r="38" spans="1:19">
      <c r="A38" s="95" t="s">
        <v>179</v>
      </c>
      <c r="B38" s="138">
        <f t="shared" si="1"/>
        <v>97</v>
      </c>
      <c r="C38" s="139">
        <f t="shared" si="2"/>
        <v>2.2647676862012611</v>
      </c>
      <c r="E38" s="769">
        <v>1</v>
      </c>
      <c r="F38" s="769"/>
      <c r="G38" s="769"/>
      <c r="H38" s="769">
        <v>52</v>
      </c>
      <c r="I38" s="769"/>
      <c r="J38" s="769"/>
      <c r="K38" s="769">
        <v>28</v>
      </c>
      <c r="L38" s="769"/>
      <c r="M38" s="769"/>
      <c r="N38" s="769">
        <v>1</v>
      </c>
      <c r="O38" s="769"/>
      <c r="P38" s="769"/>
      <c r="Q38" s="769">
        <v>15</v>
      </c>
      <c r="R38" s="105">
        <f t="shared" si="3"/>
        <v>15.463917525773196</v>
      </c>
      <c r="S38" s="135"/>
    </row>
    <row r="39" spans="1:19">
      <c r="A39" s="95" t="s">
        <v>180</v>
      </c>
      <c r="B39" s="138">
        <f t="shared" si="1"/>
        <v>79</v>
      </c>
      <c r="C39" s="139">
        <f t="shared" si="2"/>
        <v>1.844501517627831</v>
      </c>
      <c r="E39" s="769">
        <v>2</v>
      </c>
      <c r="F39" s="769"/>
      <c r="G39" s="769"/>
      <c r="H39" s="769">
        <v>36</v>
      </c>
      <c r="I39" s="769"/>
      <c r="J39" s="769"/>
      <c r="K39" s="769">
        <v>29</v>
      </c>
      <c r="L39" s="769"/>
      <c r="M39" s="769"/>
      <c r="N39" s="769">
        <v>1</v>
      </c>
      <c r="O39" s="769"/>
      <c r="P39" s="769"/>
      <c r="Q39" s="769">
        <v>11</v>
      </c>
      <c r="R39" s="105">
        <f t="shared" si="3"/>
        <v>13.924050632911392</v>
      </c>
      <c r="S39" s="135"/>
    </row>
    <row r="40" spans="1:19">
      <c r="A40" s="95" t="s">
        <v>181</v>
      </c>
      <c r="B40" s="138">
        <f t="shared" si="1"/>
        <v>33</v>
      </c>
      <c r="C40" s="139">
        <f t="shared" si="2"/>
        <v>0.77048797571795469</v>
      </c>
      <c r="E40" s="769">
        <v>4</v>
      </c>
      <c r="F40" s="769"/>
      <c r="G40" s="769"/>
      <c r="H40" s="769">
        <v>7</v>
      </c>
      <c r="I40" s="769"/>
      <c r="J40" s="769"/>
      <c r="K40" s="769">
        <v>5</v>
      </c>
      <c r="L40" s="769"/>
      <c r="M40" s="769"/>
      <c r="N40" s="769">
        <v>5</v>
      </c>
      <c r="O40" s="769"/>
      <c r="P40" s="769"/>
      <c r="Q40" s="769">
        <v>12</v>
      </c>
      <c r="R40" s="105">
        <f t="shared" si="3"/>
        <v>36.363636363636367</v>
      </c>
      <c r="S40" s="135"/>
    </row>
    <row r="41" spans="1:19">
      <c r="A41" s="95" t="s">
        <v>182</v>
      </c>
      <c r="B41" s="138">
        <f t="shared" si="1"/>
        <v>25</v>
      </c>
      <c r="C41" s="139">
        <f t="shared" si="2"/>
        <v>0.58370301190754148</v>
      </c>
      <c r="E41" s="769">
        <v>1</v>
      </c>
      <c r="F41" s="769"/>
      <c r="G41" s="769"/>
      <c r="H41" s="769">
        <v>9</v>
      </c>
      <c r="I41" s="769"/>
      <c r="J41" s="769"/>
      <c r="K41" s="769">
        <v>9</v>
      </c>
      <c r="L41" s="769"/>
      <c r="M41" s="769"/>
      <c r="N41" s="769">
        <v>1</v>
      </c>
      <c r="O41" s="769"/>
      <c r="P41" s="769"/>
      <c r="Q41" s="769">
        <v>5</v>
      </c>
      <c r="R41" s="105">
        <f t="shared" si="3"/>
        <v>20</v>
      </c>
      <c r="S41" s="135"/>
    </row>
    <row r="42" spans="1:19" ht="11" customHeight="1">
      <c r="B42" s="138" t="str">
        <f t="shared" si="1"/>
        <v/>
      </c>
      <c r="C42" s="139" t="str">
        <f t="shared" si="2"/>
        <v/>
      </c>
      <c r="E42" s="154"/>
      <c r="F42" s="135" t="str">
        <f>IF($A42&lt;&gt;0,E42/$B42*100,"")</f>
        <v/>
      </c>
      <c r="G42" s="116"/>
      <c r="H42" s="154"/>
      <c r="I42" s="135" t="str">
        <f>IF($A42&lt;&gt;0,H42/$B42*100,"")</f>
        <v/>
      </c>
      <c r="J42" s="135"/>
      <c r="K42" s="154"/>
      <c r="L42" s="135" t="str">
        <f>IF($A42&lt;&gt;0,K42/$B42*100,"")</f>
        <v/>
      </c>
      <c r="M42" s="116"/>
      <c r="N42" s="154"/>
      <c r="O42" s="135" t="str">
        <f>IF($A42&lt;&gt;0,N42/$B42*100,"")</f>
        <v/>
      </c>
      <c r="P42" s="135"/>
      <c r="Q42" s="154"/>
      <c r="R42" s="105" t="str">
        <f t="shared" si="3"/>
        <v/>
      </c>
      <c r="S42" s="135"/>
    </row>
    <row r="43" spans="1:19">
      <c r="A43" s="95" t="s">
        <v>183</v>
      </c>
      <c r="B43" s="138">
        <f t="shared" si="1"/>
        <v>270</v>
      </c>
      <c r="C43" s="139">
        <f t="shared" si="2"/>
        <v>6.3039925286014471</v>
      </c>
      <c r="E43" s="154">
        <f>SUM(E44:E51)</f>
        <v>22</v>
      </c>
      <c r="F43" s="135">
        <f>IF($A43&lt;&gt;0,E43/$B43*100,"")</f>
        <v>8.1481481481481488</v>
      </c>
      <c r="G43" s="116"/>
      <c r="H43" s="154">
        <f>SUM(H44:H51)</f>
        <v>99</v>
      </c>
      <c r="I43" s="135">
        <f>IF($A43&lt;&gt;0,H43/$B43*100,"")</f>
        <v>36.666666666666664</v>
      </c>
      <c r="J43" s="135"/>
      <c r="K43" s="154">
        <f>SUM(K44:K51)</f>
        <v>93</v>
      </c>
      <c r="L43" s="135">
        <f>IF($A43&lt;&gt;0,K43/$B43*100,"")</f>
        <v>34.444444444444443</v>
      </c>
      <c r="M43" s="116"/>
      <c r="N43" s="154">
        <f>SUM(N44:N51)</f>
        <v>2</v>
      </c>
      <c r="O43" s="135">
        <f>IF($A43&lt;&gt;0,N43/$B43*100,"")</f>
        <v>0.74074074074074081</v>
      </c>
      <c r="P43" s="135"/>
      <c r="Q43" s="154">
        <f>SUM(Q44:Q51)</f>
        <v>54</v>
      </c>
      <c r="R43" s="105">
        <f t="shared" si="3"/>
        <v>20</v>
      </c>
      <c r="S43" s="135"/>
    </row>
    <row r="44" spans="1:19">
      <c r="A44" s="95" t="s">
        <v>185</v>
      </c>
      <c r="B44" s="138">
        <f t="shared" si="1"/>
        <v>43</v>
      </c>
      <c r="C44" s="139">
        <f t="shared" si="2"/>
        <v>1.0039691804809714</v>
      </c>
      <c r="E44" s="769">
        <v>5</v>
      </c>
      <c r="F44" s="769"/>
      <c r="G44" s="769"/>
      <c r="H44" s="769">
        <v>13</v>
      </c>
      <c r="I44" s="769"/>
      <c r="J44" s="769"/>
      <c r="K44" s="769">
        <v>10</v>
      </c>
      <c r="L44" s="769"/>
      <c r="M44" s="769"/>
      <c r="N44" s="769">
        <v>0</v>
      </c>
      <c r="O44" s="769"/>
      <c r="P44" s="769"/>
      <c r="Q44" s="769">
        <v>15</v>
      </c>
      <c r="R44" s="105">
        <f t="shared" si="3"/>
        <v>34.883720930232556</v>
      </c>
      <c r="S44" s="135"/>
    </row>
    <row r="45" spans="1:19">
      <c r="A45" s="95" t="s">
        <v>191</v>
      </c>
      <c r="B45" s="138">
        <f t="shared" si="1"/>
        <v>13</v>
      </c>
      <c r="C45" s="139">
        <f>IF(A45&lt;&gt;0,B45/$B$11*100,"")</f>
        <v>0.30352556619192156</v>
      </c>
      <c r="E45" s="769">
        <v>3</v>
      </c>
      <c r="F45" s="769"/>
      <c r="G45" s="769"/>
      <c r="H45" s="769">
        <v>5</v>
      </c>
      <c r="I45" s="769"/>
      <c r="J45" s="769"/>
      <c r="K45" s="769">
        <v>1</v>
      </c>
      <c r="L45" s="769"/>
      <c r="M45" s="769"/>
      <c r="N45" s="769">
        <v>1</v>
      </c>
      <c r="O45" s="769"/>
      <c r="P45" s="769"/>
      <c r="Q45" s="769">
        <v>3</v>
      </c>
      <c r="R45" s="105">
        <f t="shared" si="3"/>
        <v>23.076923076923077</v>
      </c>
      <c r="S45" s="135"/>
    </row>
    <row r="46" spans="1:19">
      <c r="A46" s="95" t="s">
        <v>184</v>
      </c>
      <c r="B46" s="138">
        <f t="shared" si="1"/>
        <v>25</v>
      </c>
      <c r="C46" s="139">
        <f>IF(A46&lt;&gt;0,B46/$B$11*100,"")</f>
        <v>0.58370301190754148</v>
      </c>
      <c r="E46" s="769">
        <v>2</v>
      </c>
      <c r="F46" s="769"/>
      <c r="G46" s="769"/>
      <c r="H46" s="769">
        <v>11</v>
      </c>
      <c r="I46" s="769"/>
      <c r="J46" s="769"/>
      <c r="K46" s="769">
        <v>7</v>
      </c>
      <c r="L46" s="769"/>
      <c r="M46" s="769"/>
      <c r="N46" s="769">
        <v>1</v>
      </c>
      <c r="O46" s="769"/>
      <c r="P46" s="769"/>
      <c r="Q46" s="769">
        <v>4</v>
      </c>
      <c r="R46" s="105"/>
      <c r="S46" s="135"/>
    </row>
    <row r="47" spans="1:19">
      <c r="A47" s="95" t="s">
        <v>186</v>
      </c>
      <c r="B47" s="138">
        <f t="shared" si="1"/>
        <v>32</v>
      </c>
      <c r="C47" s="139">
        <f t="shared" si="2"/>
        <v>0.74713985524165305</v>
      </c>
      <c r="E47" s="769">
        <v>6</v>
      </c>
      <c r="F47" s="769"/>
      <c r="G47" s="769"/>
      <c r="H47" s="769">
        <v>8</v>
      </c>
      <c r="I47" s="769"/>
      <c r="J47" s="769"/>
      <c r="K47" s="769">
        <v>11</v>
      </c>
      <c r="L47" s="769"/>
      <c r="M47" s="769"/>
      <c r="N47" s="769">
        <v>0</v>
      </c>
      <c r="O47" s="769"/>
      <c r="P47" s="769"/>
      <c r="Q47" s="769">
        <v>7</v>
      </c>
      <c r="R47" s="105">
        <f t="shared" si="3"/>
        <v>21.875</v>
      </c>
      <c r="S47" s="135"/>
    </row>
    <row r="48" spans="1:19">
      <c r="A48" s="95" t="s">
        <v>408</v>
      </c>
      <c r="B48" s="138">
        <f t="shared" si="1"/>
        <v>30</v>
      </c>
      <c r="C48" s="139">
        <f t="shared" si="2"/>
        <v>0.70044361428904978</v>
      </c>
      <c r="E48" s="769">
        <v>1</v>
      </c>
      <c r="F48" s="769"/>
      <c r="G48" s="769"/>
      <c r="H48" s="769">
        <v>14</v>
      </c>
      <c r="I48" s="769"/>
      <c r="J48" s="769"/>
      <c r="K48" s="769">
        <v>7</v>
      </c>
      <c r="L48" s="769"/>
      <c r="M48" s="769"/>
      <c r="N48" s="769">
        <v>0</v>
      </c>
      <c r="O48" s="769"/>
      <c r="P48" s="769"/>
      <c r="Q48" s="769">
        <v>8</v>
      </c>
      <c r="R48" s="105">
        <f t="shared" si="3"/>
        <v>26.666666666666668</v>
      </c>
      <c r="S48" s="135"/>
    </row>
    <row r="49" spans="1:19">
      <c r="A49" s="95" t="s">
        <v>190</v>
      </c>
      <c r="B49" s="138">
        <f t="shared" si="1"/>
        <v>19</v>
      </c>
      <c r="C49" s="139">
        <f t="shared" si="2"/>
        <v>0.44361428904973155</v>
      </c>
      <c r="E49" s="769">
        <v>0</v>
      </c>
      <c r="F49" s="769"/>
      <c r="G49" s="769"/>
      <c r="H49" s="769">
        <v>9</v>
      </c>
      <c r="I49" s="769"/>
      <c r="J49" s="769"/>
      <c r="K49" s="769">
        <v>8</v>
      </c>
      <c r="L49" s="769"/>
      <c r="M49" s="769"/>
      <c r="N49" s="769">
        <v>0</v>
      </c>
      <c r="O49" s="769"/>
      <c r="P49" s="769"/>
      <c r="Q49" s="769">
        <v>2</v>
      </c>
      <c r="R49" s="105">
        <f t="shared" si="3"/>
        <v>10.526315789473683</v>
      </c>
      <c r="S49" s="135"/>
    </row>
    <row r="50" spans="1:19">
      <c r="A50" s="95" t="s">
        <v>189</v>
      </c>
      <c r="B50" s="138">
        <f t="shared" si="1"/>
        <v>72</v>
      </c>
      <c r="C50" s="139">
        <f t="shared" si="2"/>
        <v>1.6810646742937192</v>
      </c>
      <c r="E50" s="769">
        <v>4</v>
      </c>
      <c r="F50" s="769"/>
      <c r="G50" s="769"/>
      <c r="H50" s="769">
        <v>23</v>
      </c>
      <c r="I50" s="769"/>
      <c r="J50" s="769"/>
      <c r="K50" s="769">
        <v>41</v>
      </c>
      <c r="L50" s="769"/>
      <c r="M50" s="769"/>
      <c r="N50" s="769">
        <v>0</v>
      </c>
      <c r="O50" s="769"/>
      <c r="P50" s="769"/>
      <c r="Q50" s="769">
        <v>4</v>
      </c>
      <c r="R50" s="105">
        <f t="shared" si="3"/>
        <v>5.5555555555555554</v>
      </c>
      <c r="S50" s="135"/>
    </row>
    <row r="51" spans="1:19">
      <c r="A51" s="95" t="s">
        <v>188</v>
      </c>
      <c r="B51" s="138">
        <f t="shared" si="1"/>
        <v>36</v>
      </c>
      <c r="C51" s="139">
        <f t="shared" si="2"/>
        <v>0.8405323371468596</v>
      </c>
      <c r="E51" s="769">
        <v>1</v>
      </c>
      <c r="F51" s="769"/>
      <c r="G51" s="769"/>
      <c r="H51" s="769">
        <v>16</v>
      </c>
      <c r="I51" s="769"/>
      <c r="J51" s="769"/>
      <c r="K51" s="769">
        <v>8</v>
      </c>
      <c r="L51" s="769"/>
      <c r="M51" s="769"/>
      <c r="N51" s="769">
        <v>0</v>
      </c>
      <c r="O51" s="769"/>
      <c r="P51" s="769"/>
      <c r="Q51" s="769">
        <v>11</v>
      </c>
      <c r="R51" s="105">
        <f t="shared" si="3"/>
        <v>30.555555555555557</v>
      </c>
      <c r="S51" s="135"/>
    </row>
    <row r="52" spans="1:19" ht="11" customHeight="1">
      <c r="B52" s="138" t="str">
        <f t="shared" si="1"/>
        <v/>
      </c>
      <c r="C52" s="139" t="str">
        <f t="shared" si="2"/>
        <v/>
      </c>
      <c r="E52" s="116"/>
      <c r="F52" s="116"/>
      <c r="G52" s="116"/>
      <c r="H52" s="116"/>
      <c r="I52" s="116"/>
      <c r="J52" s="116"/>
      <c r="K52" s="116"/>
      <c r="L52" s="116"/>
      <c r="M52" s="116"/>
      <c r="N52" s="116"/>
      <c r="O52" s="116"/>
      <c r="P52" s="116"/>
      <c r="Q52" s="116"/>
      <c r="R52" s="105" t="str">
        <f t="shared" si="3"/>
        <v/>
      </c>
      <c r="S52" s="135"/>
    </row>
    <row r="53" spans="1:19">
      <c r="A53" s="95" t="s">
        <v>192</v>
      </c>
      <c r="B53" s="138">
        <f t="shared" si="1"/>
        <v>117</v>
      </c>
      <c r="C53" s="139">
        <f t="shared" si="2"/>
        <v>2.7317300957272939</v>
      </c>
      <c r="E53" s="769">
        <v>20</v>
      </c>
      <c r="F53" s="769"/>
      <c r="G53" s="769"/>
      <c r="H53" s="769">
        <v>34</v>
      </c>
      <c r="I53" s="769"/>
      <c r="J53" s="769"/>
      <c r="K53" s="769">
        <v>23</v>
      </c>
      <c r="L53" s="769"/>
      <c r="M53" s="769"/>
      <c r="N53" s="769">
        <v>0</v>
      </c>
      <c r="O53" s="769"/>
      <c r="P53" s="769"/>
      <c r="Q53" s="769">
        <v>40</v>
      </c>
      <c r="R53" s="105">
        <f t="shared" si="3"/>
        <v>34.188034188034187</v>
      </c>
      <c r="S53" s="135"/>
    </row>
    <row r="54" spans="1:19" ht="11" customHeight="1">
      <c r="B54" s="138" t="str">
        <f t="shared" si="1"/>
        <v/>
      </c>
      <c r="C54" s="139" t="str">
        <f t="shared" si="2"/>
        <v/>
      </c>
      <c r="E54" s="154"/>
      <c r="F54" s="135" t="str">
        <f>IF($A54&lt;&gt;0,E54/$B54*100,"")</f>
        <v/>
      </c>
      <c r="G54" s="116"/>
      <c r="H54" s="154"/>
      <c r="I54" s="135" t="str">
        <f>IF($A54&lt;&gt;0,H54/$B54*100,"")</f>
        <v/>
      </c>
      <c r="J54" s="135"/>
      <c r="K54" s="154"/>
      <c r="L54" s="135" t="str">
        <f>IF($A54&lt;&gt;0,K54/$B54*100,"")</f>
        <v/>
      </c>
      <c r="M54" s="116"/>
      <c r="N54" s="154"/>
      <c r="O54" s="135" t="str">
        <f>IF($A54&lt;&gt;0,N54/$B54*100,"")</f>
        <v/>
      </c>
      <c r="P54" s="135"/>
      <c r="Q54" s="154"/>
      <c r="R54" s="105" t="str">
        <f t="shared" si="3"/>
        <v/>
      </c>
      <c r="S54" s="135"/>
    </row>
    <row r="55" spans="1:19">
      <c r="A55" s="95" t="s">
        <v>193</v>
      </c>
      <c r="B55" s="138">
        <f t="shared" si="1"/>
        <v>201</v>
      </c>
      <c r="C55" s="139">
        <f t="shared" si="2"/>
        <v>4.6929722157366331</v>
      </c>
      <c r="E55" s="154">
        <f>SUM(E56:E60)</f>
        <v>14</v>
      </c>
      <c r="F55" s="135">
        <f>IF($A55&lt;&gt;0,E55/$B55*100,"")</f>
        <v>6.9651741293532341</v>
      </c>
      <c r="G55" s="116"/>
      <c r="H55" s="154">
        <f>SUM(H56:H60)</f>
        <v>62</v>
      </c>
      <c r="I55" s="135">
        <f>IF($A55&lt;&gt;0,H55/$B55*100,"")</f>
        <v>30.845771144278604</v>
      </c>
      <c r="J55" s="135"/>
      <c r="K55" s="154">
        <f>SUM(K56:K60)</f>
        <v>41</v>
      </c>
      <c r="L55" s="135">
        <f>IF($A55&lt;&gt;0,K55/$B55*100,"")</f>
        <v>20.398009950248756</v>
      </c>
      <c r="M55" s="116"/>
      <c r="N55" s="154">
        <f>SUM(N56:N60)</f>
        <v>0</v>
      </c>
      <c r="O55" s="135">
        <f>IF($A55&lt;&gt;0,N55/$B55*100,"")</f>
        <v>0</v>
      </c>
      <c r="P55" s="135"/>
      <c r="Q55" s="154">
        <f>SUM(Q56:Q60)</f>
        <v>84</v>
      </c>
      <c r="R55" s="105">
        <f t="shared" si="3"/>
        <v>41.791044776119399</v>
      </c>
      <c r="S55" s="135"/>
    </row>
    <row r="56" spans="1:19">
      <c r="A56" s="95" t="s">
        <v>194</v>
      </c>
      <c r="B56" s="138">
        <f t="shared" si="1"/>
        <v>24</v>
      </c>
      <c r="C56" s="139">
        <f t="shared" si="2"/>
        <v>0.56035489143123984</v>
      </c>
      <c r="E56" s="769">
        <v>3</v>
      </c>
      <c r="F56" s="769"/>
      <c r="G56" s="769"/>
      <c r="H56" s="769">
        <v>6</v>
      </c>
      <c r="I56" s="769"/>
      <c r="J56" s="769"/>
      <c r="K56" s="769">
        <v>3</v>
      </c>
      <c r="L56" s="769"/>
      <c r="M56" s="769"/>
      <c r="N56" s="769">
        <v>0</v>
      </c>
      <c r="O56" s="769"/>
      <c r="P56" s="769"/>
      <c r="Q56" s="769">
        <v>12</v>
      </c>
      <c r="R56" s="105">
        <f t="shared" si="3"/>
        <v>50</v>
      </c>
      <c r="S56" s="135"/>
    </row>
    <row r="57" spans="1:19">
      <c r="A57" s="95" t="s">
        <v>195</v>
      </c>
      <c r="B57" s="138">
        <f t="shared" si="1"/>
        <v>66</v>
      </c>
      <c r="C57" s="139">
        <f t="shared" si="2"/>
        <v>1.5409759514359094</v>
      </c>
      <c r="E57" s="769">
        <v>4</v>
      </c>
      <c r="F57" s="769"/>
      <c r="G57" s="769"/>
      <c r="H57" s="769">
        <v>27</v>
      </c>
      <c r="I57" s="769"/>
      <c r="J57" s="769"/>
      <c r="K57" s="769">
        <v>20</v>
      </c>
      <c r="L57" s="769"/>
      <c r="M57" s="769"/>
      <c r="N57" s="769">
        <v>0</v>
      </c>
      <c r="O57" s="769"/>
      <c r="P57" s="769"/>
      <c r="Q57" s="769">
        <v>15</v>
      </c>
      <c r="R57" s="105">
        <f t="shared" si="3"/>
        <v>22.727272727272727</v>
      </c>
      <c r="S57" s="135"/>
    </row>
    <row r="58" spans="1:19">
      <c r="A58" s="95" t="s">
        <v>196</v>
      </c>
      <c r="B58" s="138">
        <f t="shared" si="1"/>
        <v>62</v>
      </c>
      <c r="C58" s="139">
        <f t="shared" si="2"/>
        <v>1.4475834695307026</v>
      </c>
      <c r="E58" s="769">
        <v>4</v>
      </c>
      <c r="F58" s="769"/>
      <c r="G58" s="769"/>
      <c r="H58" s="769">
        <v>14</v>
      </c>
      <c r="I58" s="769"/>
      <c r="J58" s="769"/>
      <c r="K58" s="769">
        <v>7</v>
      </c>
      <c r="L58" s="769"/>
      <c r="M58" s="769"/>
      <c r="N58" s="769">
        <v>0</v>
      </c>
      <c r="O58" s="769"/>
      <c r="P58" s="769"/>
      <c r="Q58" s="769">
        <v>37</v>
      </c>
      <c r="R58" s="105">
        <f t="shared" si="3"/>
        <v>59.677419354838712</v>
      </c>
      <c r="S58" s="135"/>
    </row>
    <row r="59" spans="1:19">
      <c r="A59" s="95" t="s">
        <v>409</v>
      </c>
      <c r="B59" s="138">
        <f t="shared" si="1"/>
        <v>17</v>
      </c>
      <c r="C59" s="139">
        <f t="shared" si="2"/>
        <v>0.39691804809712822</v>
      </c>
      <c r="E59" s="769">
        <v>0</v>
      </c>
      <c r="F59" s="769"/>
      <c r="G59" s="769"/>
      <c r="H59" s="769">
        <v>4</v>
      </c>
      <c r="I59" s="769"/>
      <c r="J59" s="769"/>
      <c r="K59" s="769">
        <v>9</v>
      </c>
      <c r="L59" s="769"/>
      <c r="M59" s="769"/>
      <c r="N59" s="769">
        <v>0</v>
      </c>
      <c r="O59" s="769"/>
      <c r="P59" s="769"/>
      <c r="Q59" s="769">
        <v>4</v>
      </c>
      <c r="R59" s="105">
        <f t="shared" si="3"/>
        <v>23.52941176470588</v>
      </c>
      <c r="S59" s="135"/>
    </row>
    <row r="60" spans="1:19">
      <c r="A60" s="95" t="s">
        <v>198</v>
      </c>
      <c r="B60" s="138">
        <f t="shared" si="1"/>
        <v>32</v>
      </c>
      <c r="C60" s="139">
        <f t="shared" si="2"/>
        <v>0.74713985524165305</v>
      </c>
      <c r="E60" s="769">
        <v>3</v>
      </c>
      <c r="F60" s="769"/>
      <c r="G60" s="769"/>
      <c r="H60" s="769">
        <v>11</v>
      </c>
      <c r="I60" s="769"/>
      <c r="J60" s="769"/>
      <c r="K60" s="769">
        <v>2</v>
      </c>
      <c r="L60" s="769"/>
      <c r="M60" s="769"/>
      <c r="N60" s="769">
        <v>0</v>
      </c>
      <c r="O60" s="769"/>
      <c r="P60" s="769"/>
      <c r="Q60" s="769">
        <v>16</v>
      </c>
      <c r="R60" s="105">
        <f t="shared" si="3"/>
        <v>50</v>
      </c>
      <c r="S60" s="135"/>
    </row>
    <row r="61" spans="1:19" ht="11" customHeight="1">
      <c r="B61" s="138" t="str">
        <f t="shared" si="1"/>
        <v/>
      </c>
      <c r="C61" s="139" t="str">
        <f t="shared" si="2"/>
        <v/>
      </c>
      <c r="E61" s="154"/>
      <c r="F61" s="135" t="str">
        <f>IF($A61&lt;&gt;0,E61/$B61*100,"")</f>
        <v/>
      </c>
      <c r="G61" s="116"/>
      <c r="H61" s="154"/>
      <c r="I61" s="135" t="str">
        <f>IF($A61&lt;&gt;0,H61/$B61*100,"")</f>
        <v/>
      </c>
      <c r="J61" s="135"/>
      <c r="K61" s="154"/>
      <c r="L61" s="135" t="str">
        <f>IF($A61&lt;&gt;0,K61/$B61*100,"")</f>
        <v/>
      </c>
      <c r="M61" s="116"/>
      <c r="N61" s="154"/>
      <c r="O61" s="135" t="str">
        <f>IF($A61&lt;&gt;0,N61/$B61*100,"")</f>
        <v/>
      </c>
      <c r="P61" s="135"/>
      <c r="Q61" s="154"/>
      <c r="R61" s="105" t="str">
        <f t="shared" si="3"/>
        <v/>
      </c>
      <c r="S61" s="135"/>
    </row>
    <row r="62" spans="1:19">
      <c r="A62" s="55" t="s">
        <v>410</v>
      </c>
      <c r="B62" s="138">
        <f t="shared" si="1"/>
        <v>911</v>
      </c>
      <c r="C62" s="139">
        <f t="shared" si="2"/>
        <v>21.270137753910809</v>
      </c>
      <c r="E62" s="154">
        <f>E63+E65+E72+E74</f>
        <v>17</v>
      </c>
      <c r="F62" s="135">
        <f>IF($A62&lt;&gt;0,E62/$B62*100,"")</f>
        <v>1.8660812294182216</v>
      </c>
      <c r="G62" s="116"/>
      <c r="H62" s="154">
        <f>H63+H65+H72+H74</f>
        <v>339</v>
      </c>
      <c r="I62" s="135">
        <f>IF($A62&lt;&gt;0,H62/$B62*100,"")</f>
        <v>37.211855104281014</v>
      </c>
      <c r="J62" s="135"/>
      <c r="K62" s="154">
        <f>K63+K65+K72+K74</f>
        <v>160</v>
      </c>
      <c r="L62" s="135">
        <f>IF($A62&lt;&gt;0,K62/$B62*100,"")</f>
        <v>17.563117453347971</v>
      </c>
      <c r="M62" s="116"/>
      <c r="N62" s="154">
        <f>SUM(N63+N65+N72+N74)</f>
        <v>9</v>
      </c>
      <c r="O62" s="135">
        <f>IF($A62&lt;&gt;0,N62/$B62*100,"")</f>
        <v>0.98792535675082327</v>
      </c>
      <c r="P62" s="135"/>
      <c r="Q62" s="154">
        <f>SUM(Q63+Q65+Q72+Q74)</f>
        <v>386</v>
      </c>
      <c r="R62" s="105">
        <f t="shared" si="3"/>
        <v>42.371020856201973</v>
      </c>
      <c r="S62" s="135"/>
    </row>
    <row r="63" spans="1:19">
      <c r="A63" s="95" t="s">
        <v>411</v>
      </c>
      <c r="B63" s="138">
        <f t="shared" si="1"/>
        <v>76</v>
      </c>
      <c r="C63" s="139">
        <f t="shared" si="2"/>
        <v>1.7744571561989262</v>
      </c>
      <c r="E63" s="769">
        <v>0</v>
      </c>
      <c r="F63" s="769"/>
      <c r="G63" s="769"/>
      <c r="H63" s="769">
        <v>6</v>
      </c>
      <c r="I63" s="769"/>
      <c r="J63" s="769"/>
      <c r="K63" s="769">
        <v>24</v>
      </c>
      <c r="L63" s="769"/>
      <c r="M63" s="769"/>
      <c r="N63" s="769">
        <v>0</v>
      </c>
      <c r="O63" s="769"/>
      <c r="P63" s="769"/>
      <c r="Q63" s="769">
        <v>46</v>
      </c>
      <c r="R63" s="105">
        <f t="shared" si="3"/>
        <v>60.526315789473685</v>
      </c>
      <c r="S63" s="135"/>
    </row>
    <row r="64" spans="1:19" ht="11" customHeight="1">
      <c r="B64" s="138" t="str">
        <f t="shared" si="1"/>
        <v/>
      </c>
      <c r="C64" s="139" t="str">
        <f t="shared" si="2"/>
        <v/>
      </c>
      <c r="E64" s="154"/>
      <c r="F64" s="135" t="str">
        <f>IF($A64&lt;&gt;0,E64/$B64*100,"")</f>
        <v/>
      </c>
      <c r="G64" s="116"/>
      <c r="H64" s="154"/>
      <c r="I64" s="135" t="str">
        <f>IF($A64&lt;&gt;0,H64/$B64*100,"")</f>
        <v/>
      </c>
      <c r="J64" s="135"/>
      <c r="K64" s="154"/>
      <c r="L64" s="135" t="str">
        <f>IF($A64&lt;&gt;0,K64/$B64*100,"")</f>
        <v/>
      </c>
      <c r="M64" s="116"/>
      <c r="N64" s="154"/>
      <c r="O64" s="135" t="str">
        <f>IF($A64&lt;&gt;0,N64/$B64*100,"")</f>
        <v/>
      </c>
      <c r="P64" s="135"/>
      <c r="Q64" s="154"/>
      <c r="R64" s="105" t="str">
        <f t="shared" si="3"/>
        <v/>
      </c>
      <c r="S64" s="135"/>
    </row>
    <row r="65" spans="1:19">
      <c r="A65" s="95" t="s">
        <v>202</v>
      </c>
      <c r="B65" s="138">
        <f t="shared" si="1"/>
        <v>660</v>
      </c>
      <c r="C65" s="139">
        <f t="shared" si="2"/>
        <v>15.409759514359095</v>
      </c>
      <c r="E65" s="154">
        <f>SUM(E66:E70)</f>
        <v>14</v>
      </c>
      <c r="F65" s="135">
        <f>IF($A65&lt;&gt;0,E65/$B65*100,"")</f>
        <v>2.1212121212121215</v>
      </c>
      <c r="G65" s="116"/>
      <c r="H65" s="154">
        <f>SUM(H66:H70)</f>
        <v>255</v>
      </c>
      <c r="I65" s="135">
        <f>IF($A65&lt;&gt;0,H65/$B65*100,"")</f>
        <v>38.636363636363633</v>
      </c>
      <c r="J65" s="135"/>
      <c r="K65" s="154">
        <f>SUM(K66:K70)</f>
        <v>104</v>
      </c>
      <c r="L65" s="135">
        <f>IF($A65&lt;&gt;0,K65/$B65*100,"")</f>
        <v>15.757575757575756</v>
      </c>
      <c r="M65" s="116"/>
      <c r="N65" s="154">
        <f>SUM(N66:N70)</f>
        <v>7</v>
      </c>
      <c r="O65" s="135">
        <f>IF($A65&lt;&gt;0,N65/$B65*100,"")</f>
        <v>1.0606060606060608</v>
      </c>
      <c r="P65" s="135"/>
      <c r="Q65" s="154">
        <f>SUM(Q66:Q70)</f>
        <v>280</v>
      </c>
      <c r="R65" s="105">
        <f t="shared" si="3"/>
        <v>42.424242424242422</v>
      </c>
      <c r="S65" s="135"/>
    </row>
    <row r="66" spans="1:19">
      <c r="A66" s="95" t="s">
        <v>482</v>
      </c>
      <c r="B66" s="138">
        <f t="shared" si="1"/>
        <v>401</v>
      </c>
      <c r="C66" s="139">
        <f t="shared" si="2"/>
        <v>9.362596310996965</v>
      </c>
      <c r="E66" s="769">
        <v>5</v>
      </c>
      <c r="F66" s="769"/>
      <c r="G66" s="769"/>
      <c r="H66" s="769">
        <v>191</v>
      </c>
      <c r="I66" s="769"/>
      <c r="J66" s="769"/>
      <c r="K66" s="769">
        <v>37</v>
      </c>
      <c r="L66" s="769"/>
      <c r="M66" s="769"/>
      <c r="N66" s="769">
        <v>1</v>
      </c>
      <c r="O66" s="769"/>
      <c r="P66" s="769"/>
      <c r="Q66" s="769">
        <v>167</v>
      </c>
      <c r="R66" s="105">
        <f t="shared" si="3"/>
        <v>41.645885286783042</v>
      </c>
      <c r="S66" s="135"/>
    </row>
    <row r="67" spans="1:19">
      <c r="A67" s="95" t="s">
        <v>204</v>
      </c>
      <c r="B67" s="138">
        <f t="shared" si="1"/>
        <v>31</v>
      </c>
      <c r="C67" s="139">
        <f t="shared" si="2"/>
        <v>0.7237917347653513</v>
      </c>
      <c r="E67" s="769">
        <v>2</v>
      </c>
      <c r="F67" s="769"/>
      <c r="G67" s="769"/>
      <c r="H67" s="769">
        <v>10</v>
      </c>
      <c r="I67" s="769"/>
      <c r="J67" s="769"/>
      <c r="K67" s="769">
        <v>13</v>
      </c>
      <c r="L67" s="769"/>
      <c r="M67" s="769"/>
      <c r="N67" s="769">
        <v>0</v>
      </c>
      <c r="O67" s="769"/>
      <c r="P67" s="769"/>
      <c r="Q67" s="769">
        <v>6</v>
      </c>
      <c r="R67" s="105">
        <f t="shared" si="3"/>
        <v>19.35483870967742</v>
      </c>
      <c r="S67" s="135"/>
    </row>
    <row r="68" spans="1:19">
      <c r="A68" s="95" t="s">
        <v>206</v>
      </c>
      <c r="B68" s="138">
        <f t="shared" si="1"/>
        <v>39</v>
      </c>
      <c r="C68" s="139">
        <f t="shared" si="2"/>
        <v>0.91057669857576473</v>
      </c>
      <c r="E68" s="769">
        <v>1</v>
      </c>
      <c r="F68" s="769"/>
      <c r="G68" s="769"/>
      <c r="H68" s="769">
        <v>10</v>
      </c>
      <c r="I68" s="769"/>
      <c r="J68" s="769"/>
      <c r="K68" s="769">
        <v>14</v>
      </c>
      <c r="L68" s="769"/>
      <c r="M68" s="769"/>
      <c r="N68" s="769">
        <v>0</v>
      </c>
      <c r="O68" s="769"/>
      <c r="P68" s="769"/>
      <c r="Q68" s="769">
        <v>14</v>
      </c>
      <c r="R68" s="105">
        <f t="shared" si="3"/>
        <v>35.897435897435898</v>
      </c>
      <c r="S68" s="135"/>
    </row>
    <row r="69" spans="1:19">
      <c r="A69" s="95" t="s">
        <v>205</v>
      </c>
      <c r="B69" s="138">
        <f t="shared" si="1"/>
        <v>31</v>
      </c>
      <c r="C69" s="139">
        <f>IF(A69&lt;&gt;0,B69/$B$11*100,"")</f>
        <v>0.7237917347653513</v>
      </c>
      <c r="E69" s="769">
        <v>5</v>
      </c>
      <c r="F69" s="769"/>
      <c r="G69" s="769"/>
      <c r="H69" s="769">
        <v>13</v>
      </c>
      <c r="I69" s="769"/>
      <c r="J69" s="769"/>
      <c r="K69" s="769">
        <v>8</v>
      </c>
      <c r="L69" s="769"/>
      <c r="M69" s="769"/>
      <c r="N69" s="769">
        <v>0</v>
      </c>
      <c r="O69" s="769"/>
      <c r="P69" s="769"/>
      <c r="Q69" s="769">
        <v>5</v>
      </c>
      <c r="R69" s="105">
        <f t="shared" si="3"/>
        <v>16.129032258064516</v>
      </c>
      <c r="S69" s="135"/>
    </row>
    <row r="70" spans="1:19">
      <c r="A70" s="95" t="s">
        <v>207</v>
      </c>
      <c r="B70" s="138">
        <f t="shared" si="1"/>
        <v>158</v>
      </c>
      <c r="C70" s="139">
        <f t="shared" si="2"/>
        <v>3.689003035255662</v>
      </c>
      <c r="E70" s="769">
        <v>1</v>
      </c>
      <c r="F70" s="769"/>
      <c r="G70" s="769"/>
      <c r="H70" s="769">
        <v>31</v>
      </c>
      <c r="I70" s="769"/>
      <c r="J70" s="769"/>
      <c r="K70" s="769">
        <v>32</v>
      </c>
      <c r="L70" s="769"/>
      <c r="M70" s="769"/>
      <c r="N70" s="769">
        <v>6</v>
      </c>
      <c r="O70" s="769"/>
      <c r="P70" s="769"/>
      <c r="Q70" s="769">
        <v>88</v>
      </c>
      <c r="R70" s="105">
        <f t="shared" si="3"/>
        <v>55.696202531645568</v>
      </c>
      <c r="S70" s="135"/>
    </row>
    <row r="71" spans="1:19" ht="11" customHeight="1">
      <c r="B71" s="138" t="str">
        <f t="shared" si="1"/>
        <v/>
      </c>
      <c r="C71" s="139" t="str">
        <f t="shared" si="2"/>
        <v/>
      </c>
      <c r="E71" s="116"/>
      <c r="F71" s="116"/>
      <c r="G71" s="116"/>
      <c r="H71" s="116"/>
      <c r="I71" s="116"/>
      <c r="J71" s="116"/>
      <c r="K71" s="116"/>
      <c r="L71" s="116"/>
      <c r="M71" s="116"/>
      <c r="N71" s="116"/>
      <c r="O71" s="116"/>
      <c r="P71" s="116"/>
      <c r="Q71" s="116"/>
      <c r="R71" s="105" t="str">
        <f t="shared" si="3"/>
        <v/>
      </c>
      <c r="S71" s="135"/>
    </row>
    <row r="72" spans="1:19">
      <c r="A72" s="95" t="s">
        <v>208</v>
      </c>
      <c r="B72" s="138">
        <f t="shared" si="1"/>
        <v>66</v>
      </c>
      <c r="C72" s="139">
        <f t="shared" si="2"/>
        <v>1.5409759514359094</v>
      </c>
      <c r="E72" s="769">
        <v>2</v>
      </c>
      <c r="F72" s="769"/>
      <c r="G72" s="769"/>
      <c r="H72" s="769">
        <v>10</v>
      </c>
      <c r="I72" s="769"/>
      <c r="J72" s="769"/>
      <c r="K72" s="769">
        <v>5</v>
      </c>
      <c r="L72" s="769"/>
      <c r="M72" s="769"/>
      <c r="N72" s="769">
        <v>2</v>
      </c>
      <c r="O72" s="769"/>
      <c r="P72" s="769"/>
      <c r="Q72" s="769">
        <v>47</v>
      </c>
      <c r="R72" s="105">
        <f t="shared" si="3"/>
        <v>71.212121212121218</v>
      </c>
      <c r="S72" s="135"/>
    </row>
    <row r="73" spans="1:19" ht="11" customHeight="1">
      <c r="B73" s="138" t="str">
        <f t="shared" si="1"/>
        <v/>
      </c>
      <c r="C73" s="139" t="str">
        <f t="shared" si="2"/>
        <v/>
      </c>
      <c r="E73" s="116"/>
      <c r="F73" s="116"/>
      <c r="G73" s="116"/>
      <c r="H73" s="116"/>
      <c r="I73" s="116"/>
      <c r="J73" s="116"/>
      <c r="K73" s="116"/>
      <c r="L73" s="116"/>
      <c r="M73" s="116"/>
      <c r="N73" s="116"/>
      <c r="O73" s="116"/>
      <c r="P73" s="116"/>
      <c r="Q73" s="116"/>
      <c r="R73" s="105" t="str">
        <f t="shared" si="3"/>
        <v/>
      </c>
      <c r="S73" s="135"/>
    </row>
    <row r="74" spans="1:19">
      <c r="A74" s="95" t="s">
        <v>209</v>
      </c>
      <c r="B74" s="138">
        <f t="shared" si="1"/>
        <v>109</v>
      </c>
      <c r="C74" s="139">
        <f t="shared" si="2"/>
        <v>2.5449451319168808</v>
      </c>
      <c r="E74" s="769">
        <v>1</v>
      </c>
      <c r="F74" s="769"/>
      <c r="G74" s="769"/>
      <c r="H74" s="769">
        <v>68</v>
      </c>
      <c r="I74" s="769"/>
      <c r="J74" s="769"/>
      <c r="K74" s="769">
        <v>27</v>
      </c>
      <c r="L74" s="769"/>
      <c r="M74" s="769"/>
      <c r="N74" s="769">
        <v>0</v>
      </c>
      <c r="O74" s="769"/>
      <c r="P74" s="769"/>
      <c r="Q74" s="769">
        <v>13</v>
      </c>
      <c r="R74" s="105">
        <f t="shared" si="3"/>
        <v>11.926605504587156</v>
      </c>
      <c r="S74" s="135"/>
    </row>
    <row r="75" spans="1:19" ht="11" customHeight="1">
      <c r="B75" s="138" t="str">
        <f t="shared" si="1"/>
        <v/>
      </c>
      <c r="C75" s="139" t="str">
        <f t="shared" si="2"/>
        <v/>
      </c>
      <c r="E75" s="154"/>
      <c r="F75" s="135" t="str">
        <f>IF($A75&lt;&gt;0,E75/$B75*100,"")</f>
        <v/>
      </c>
      <c r="G75" s="116"/>
      <c r="H75" s="154"/>
      <c r="I75" s="135" t="str">
        <f>IF($A75&lt;&gt;0,H75/$B75*100,"")</f>
        <v/>
      </c>
      <c r="J75" s="135"/>
      <c r="K75" s="154"/>
      <c r="L75" s="135" t="str">
        <f>IF($A75&lt;&gt;0,K75/$B75*100,"")</f>
        <v/>
      </c>
      <c r="M75" s="116"/>
      <c r="N75" s="154"/>
      <c r="O75" s="135" t="str">
        <f>IF($A75&lt;&gt;0,N75/$B75*100,"")</f>
        <v/>
      </c>
      <c r="P75" s="135"/>
      <c r="Q75" s="154"/>
      <c r="R75" s="105" t="str">
        <f t="shared" si="3"/>
        <v/>
      </c>
      <c r="S75" s="135"/>
    </row>
    <row r="76" spans="1:19">
      <c r="A76" s="55" t="s">
        <v>413</v>
      </c>
      <c r="B76" s="138">
        <f t="shared" ref="B76:B112" si="4">IF($A76&lt;&gt;"",E76+H76+K76+N76+Q76,"")</f>
        <v>52</v>
      </c>
      <c r="C76" s="139">
        <f t="shared" si="2"/>
        <v>1.2141022647676862</v>
      </c>
      <c r="E76" s="154">
        <f>E77</f>
        <v>4</v>
      </c>
      <c r="F76" s="135">
        <f>IF($A76&lt;&gt;0,E76/$B76*100,"")</f>
        <v>7.6923076923076925</v>
      </c>
      <c r="G76" s="116"/>
      <c r="H76" s="154">
        <f>H77</f>
        <v>16</v>
      </c>
      <c r="I76" s="135">
        <f>IF($A76&lt;&gt;0,H76/$B76*100,"")</f>
        <v>30.76923076923077</v>
      </c>
      <c r="J76" s="135"/>
      <c r="K76" s="154">
        <f>K77</f>
        <v>14</v>
      </c>
      <c r="L76" s="135">
        <f>IF($A76&lt;&gt;0,K76/$B76*100,"")</f>
        <v>26.923076923076923</v>
      </c>
      <c r="M76" s="116"/>
      <c r="N76" s="154">
        <f>N77</f>
        <v>2</v>
      </c>
      <c r="O76" s="135">
        <f>IF($A76&lt;&gt;0,N76/$B76*100,"")</f>
        <v>3.8461538461538463</v>
      </c>
      <c r="P76" s="135"/>
      <c r="Q76" s="154">
        <f>SUM(Q77)</f>
        <v>16</v>
      </c>
      <c r="R76" s="105">
        <f t="shared" si="3"/>
        <v>30.76923076923077</v>
      </c>
      <c r="S76" s="135"/>
    </row>
    <row r="77" spans="1:19">
      <c r="A77" s="95" t="s">
        <v>414</v>
      </c>
      <c r="B77" s="138">
        <f t="shared" si="4"/>
        <v>52</v>
      </c>
      <c r="C77" s="139">
        <f t="shared" si="2"/>
        <v>1.2141022647676862</v>
      </c>
      <c r="E77" s="154">
        <f>SUM(E78:E81)</f>
        <v>4</v>
      </c>
      <c r="F77" s="135">
        <f>IF($A77&lt;&gt;0,E77/$B77*100,"")</f>
        <v>7.6923076923076925</v>
      </c>
      <c r="G77" s="116"/>
      <c r="H77" s="154">
        <f>SUM(H78:H81)</f>
        <v>16</v>
      </c>
      <c r="I77" s="135">
        <f>IF($A77&lt;&gt;0,H77/$B77*100,"")</f>
        <v>30.76923076923077</v>
      </c>
      <c r="J77" s="135"/>
      <c r="K77" s="154">
        <f>SUM(K78:K81)</f>
        <v>14</v>
      </c>
      <c r="L77" s="135">
        <f>IF($A77&lt;&gt;0,K77/$B77*100,"")</f>
        <v>26.923076923076923</v>
      </c>
      <c r="M77" s="116"/>
      <c r="N77" s="154">
        <f>SUM(N78:N81)</f>
        <v>2</v>
      </c>
      <c r="O77" s="135">
        <f>IF($A77&lt;&gt;0,N77/$B77*100,"")</f>
        <v>3.8461538461538463</v>
      </c>
      <c r="P77" s="135"/>
      <c r="Q77" s="154">
        <f>SUM(Q78:Q81)</f>
        <v>16</v>
      </c>
      <c r="R77" s="105">
        <f t="shared" si="3"/>
        <v>30.76923076923077</v>
      </c>
      <c r="S77" s="135"/>
    </row>
    <row r="78" spans="1:19">
      <c r="A78" s="95" t="s">
        <v>212</v>
      </c>
      <c r="B78" s="138">
        <f t="shared" si="4"/>
        <v>19</v>
      </c>
      <c r="C78" s="139">
        <f t="shared" si="2"/>
        <v>0.44361428904973155</v>
      </c>
      <c r="E78" s="769">
        <v>1</v>
      </c>
      <c r="F78" s="769"/>
      <c r="G78" s="769"/>
      <c r="H78" s="769">
        <v>7</v>
      </c>
      <c r="I78" s="769"/>
      <c r="J78" s="769"/>
      <c r="K78" s="769">
        <v>3</v>
      </c>
      <c r="L78" s="769"/>
      <c r="M78" s="769"/>
      <c r="N78" s="769">
        <v>2</v>
      </c>
      <c r="O78" s="769"/>
      <c r="P78" s="769"/>
      <c r="Q78" s="769">
        <v>6</v>
      </c>
      <c r="R78" s="105">
        <f t="shared" si="3"/>
        <v>31.578947368421051</v>
      </c>
      <c r="S78" s="135"/>
    </row>
    <row r="79" spans="1:19">
      <c r="A79" s="95" t="s">
        <v>213</v>
      </c>
      <c r="B79" s="138">
        <f t="shared" si="4"/>
        <v>13</v>
      </c>
      <c r="C79" s="139">
        <f t="shared" si="2"/>
        <v>0.30352556619192156</v>
      </c>
      <c r="E79" s="769">
        <v>0</v>
      </c>
      <c r="F79" s="769"/>
      <c r="G79" s="769"/>
      <c r="H79" s="769">
        <v>3</v>
      </c>
      <c r="I79" s="769"/>
      <c r="J79" s="769"/>
      <c r="K79" s="769">
        <v>4</v>
      </c>
      <c r="L79" s="769"/>
      <c r="M79" s="769"/>
      <c r="N79" s="769">
        <v>0</v>
      </c>
      <c r="O79" s="769"/>
      <c r="P79" s="769"/>
      <c r="Q79" s="769">
        <v>6</v>
      </c>
      <c r="R79" s="105">
        <f t="shared" si="3"/>
        <v>46.153846153846153</v>
      </c>
      <c r="S79" s="135"/>
    </row>
    <row r="80" spans="1:19">
      <c r="A80" s="95" t="s">
        <v>214</v>
      </c>
      <c r="B80" s="138">
        <f t="shared" si="4"/>
        <v>9</v>
      </c>
      <c r="C80" s="139">
        <f t="shared" ref="C80:C112" si="5">IF(A80&lt;&gt;0,B80/$B$11*100,"")</f>
        <v>0.2101330842867149</v>
      </c>
      <c r="E80" s="769">
        <v>2</v>
      </c>
      <c r="F80" s="769"/>
      <c r="G80" s="769"/>
      <c r="H80" s="769">
        <v>3</v>
      </c>
      <c r="I80" s="769"/>
      <c r="J80" s="769"/>
      <c r="K80" s="769">
        <v>2</v>
      </c>
      <c r="L80" s="769"/>
      <c r="M80" s="769"/>
      <c r="N80" s="769">
        <v>0</v>
      </c>
      <c r="O80" s="769"/>
      <c r="P80" s="769"/>
      <c r="Q80" s="769">
        <v>2</v>
      </c>
      <c r="R80" s="105">
        <f t="shared" si="3"/>
        <v>22.222222222222221</v>
      </c>
      <c r="S80" s="135"/>
    </row>
    <row r="81" spans="1:19">
      <c r="A81" s="95" t="s">
        <v>215</v>
      </c>
      <c r="B81" s="138">
        <f t="shared" si="4"/>
        <v>11</v>
      </c>
      <c r="C81" s="139">
        <f t="shared" si="5"/>
        <v>0.25682932523931823</v>
      </c>
      <c r="E81" s="769">
        <v>1</v>
      </c>
      <c r="F81" s="769"/>
      <c r="G81" s="769"/>
      <c r="H81" s="769">
        <v>3</v>
      </c>
      <c r="I81" s="769"/>
      <c r="J81" s="769"/>
      <c r="K81" s="769">
        <v>5</v>
      </c>
      <c r="L81" s="769"/>
      <c r="M81" s="769"/>
      <c r="N81" s="769">
        <v>0</v>
      </c>
      <c r="O81" s="769"/>
      <c r="P81" s="769"/>
      <c r="Q81" s="769">
        <v>2</v>
      </c>
      <c r="R81" s="105">
        <f t="shared" si="3"/>
        <v>18.181818181818183</v>
      </c>
      <c r="S81" s="135"/>
    </row>
    <row r="82" spans="1:19" ht="11" customHeight="1">
      <c r="B82" s="138" t="str">
        <f t="shared" si="4"/>
        <v/>
      </c>
      <c r="C82" s="139" t="str">
        <f t="shared" si="5"/>
        <v/>
      </c>
      <c r="E82" s="154"/>
      <c r="F82" s="135" t="str">
        <f>IF($A82&lt;&gt;0,E82/$B82*100,"")</f>
        <v/>
      </c>
      <c r="G82" s="116"/>
      <c r="H82" s="154"/>
      <c r="I82" s="135" t="str">
        <f>IF($A82&lt;&gt;0,H82/$B82*100,"")</f>
        <v/>
      </c>
      <c r="J82" s="135"/>
      <c r="K82" s="154"/>
      <c r="L82" s="135" t="str">
        <f>IF($A82&lt;&gt;0,K82/$B82*100,"")</f>
        <v/>
      </c>
      <c r="M82" s="116"/>
      <c r="N82" s="154"/>
      <c r="O82" s="135" t="str">
        <f>IF($A82&lt;&gt;0,N82/$B82*100,"")</f>
        <v/>
      </c>
      <c r="P82" s="135"/>
      <c r="Q82" s="154"/>
      <c r="R82" s="105" t="str">
        <f t="shared" si="3"/>
        <v/>
      </c>
      <c r="S82" s="135"/>
    </row>
    <row r="83" spans="1:19">
      <c r="A83" s="55" t="s">
        <v>216</v>
      </c>
      <c r="B83" s="138">
        <f t="shared" si="4"/>
        <v>301</v>
      </c>
      <c r="C83" s="139">
        <f t="shared" si="5"/>
        <v>7.0277842633667991</v>
      </c>
      <c r="E83" s="154">
        <f>SUM(E84)</f>
        <v>25</v>
      </c>
      <c r="F83" s="135">
        <f>IF($A83&lt;&gt;0,E83/$B83*100,"")</f>
        <v>8.3056478405315612</v>
      </c>
      <c r="G83" s="116"/>
      <c r="H83" s="154">
        <f>SUM(H84)</f>
        <v>78</v>
      </c>
      <c r="I83" s="135">
        <f>IF($A83&lt;&gt;0,H83/$B83*100,"")</f>
        <v>25.91362126245847</v>
      </c>
      <c r="J83" s="135"/>
      <c r="K83" s="154">
        <f>SUM(K84)</f>
        <v>110</v>
      </c>
      <c r="L83" s="135">
        <f>IF($A83&lt;&gt;0,K83/$B83*100,"")</f>
        <v>36.544850498338874</v>
      </c>
      <c r="M83" s="116"/>
      <c r="N83" s="154">
        <f>SUM(N84)</f>
        <v>5</v>
      </c>
      <c r="O83" s="135">
        <f>IF($A83&lt;&gt;0,N83/$B83*100,"")</f>
        <v>1.6611295681063125</v>
      </c>
      <c r="P83" s="135"/>
      <c r="Q83" s="154">
        <f>SUM(Q84)</f>
        <v>83</v>
      </c>
      <c r="R83" s="105">
        <f t="shared" si="3"/>
        <v>27.574750830564781</v>
      </c>
      <c r="S83" s="135"/>
    </row>
    <row r="84" spans="1:19">
      <c r="A84" s="95" t="s">
        <v>217</v>
      </c>
      <c r="B84" s="138">
        <f t="shared" si="4"/>
        <v>301</v>
      </c>
      <c r="C84" s="139">
        <f t="shared" si="5"/>
        <v>7.0277842633667991</v>
      </c>
      <c r="E84" s="154">
        <f>SUM(E85:E93)</f>
        <v>25</v>
      </c>
      <c r="F84" s="135">
        <f>IF($A84&lt;&gt;0,E84/$B84*100,"")</f>
        <v>8.3056478405315612</v>
      </c>
      <c r="G84" s="116"/>
      <c r="H84" s="154">
        <f>SUM(H85:H93)</f>
        <v>78</v>
      </c>
      <c r="I84" s="135">
        <f>IF($A84&lt;&gt;0,H84/$B84*100,"")</f>
        <v>25.91362126245847</v>
      </c>
      <c r="J84" s="135"/>
      <c r="K84" s="154">
        <f>SUM(K85:K93)</f>
        <v>110</v>
      </c>
      <c r="L84" s="135">
        <f>IF($A84&lt;&gt;0,K84/$B84*100,"")</f>
        <v>36.544850498338874</v>
      </c>
      <c r="M84" s="116"/>
      <c r="N84" s="154">
        <f>SUM(N85:N93)</f>
        <v>5</v>
      </c>
      <c r="O84" s="135">
        <f>IF($A84&lt;&gt;0,N84/$B84*100,"")</f>
        <v>1.6611295681063125</v>
      </c>
      <c r="P84" s="135"/>
      <c r="Q84" s="154">
        <f>SUM(Q85:Q93)</f>
        <v>83</v>
      </c>
      <c r="R84" s="105">
        <f t="shared" si="3"/>
        <v>27.574750830564781</v>
      </c>
      <c r="S84" s="135"/>
    </row>
    <row r="85" spans="1:19">
      <c r="A85" s="95" t="s">
        <v>415</v>
      </c>
      <c r="B85" s="138">
        <f t="shared" si="4"/>
        <v>15</v>
      </c>
      <c r="C85" s="139">
        <f t="shared" si="5"/>
        <v>0.35022180714452489</v>
      </c>
      <c r="E85" s="769">
        <v>2</v>
      </c>
      <c r="F85" s="769"/>
      <c r="G85" s="769"/>
      <c r="H85" s="769">
        <v>1</v>
      </c>
      <c r="I85" s="769"/>
      <c r="J85" s="769"/>
      <c r="K85" s="769">
        <v>7</v>
      </c>
      <c r="L85" s="769"/>
      <c r="M85" s="769"/>
      <c r="N85" s="769">
        <v>0</v>
      </c>
      <c r="O85" s="769"/>
      <c r="P85" s="769"/>
      <c r="Q85" s="769">
        <v>5</v>
      </c>
      <c r="R85" s="105">
        <f t="shared" si="3"/>
        <v>33.333333333333329</v>
      </c>
      <c r="S85" s="135"/>
    </row>
    <row r="86" spans="1:19">
      <c r="A86" s="95" t="s">
        <v>218</v>
      </c>
      <c r="B86" s="138">
        <f t="shared" si="4"/>
        <v>50</v>
      </c>
      <c r="C86" s="139">
        <f t="shared" si="5"/>
        <v>1.167406023815083</v>
      </c>
      <c r="E86" s="769">
        <v>2</v>
      </c>
      <c r="F86" s="769"/>
      <c r="G86" s="769"/>
      <c r="H86" s="769">
        <v>12</v>
      </c>
      <c r="I86" s="769"/>
      <c r="J86" s="769"/>
      <c r="K86" s="769">
        <v>15</v>
      </c>
      <c r="L86" s="769"/>
      <c r="M86" s="769"/>
      <c r="N86" s="769">
        <v>1</v>
      </c>
      <c r="O86" s="769"/>
      <c r="P86" s="769"/>
      <c r="Q86" s="769">
        <v>20</v>
      </c>
      <c r="R86" s="105">
        <f t="shared" si="3"/>
        <v>40</v>
      </c>
      <c r="S86" s="135"/>
    </row>
    <row r="87" spans="1:19">
      <c r="A87" s="95" t="s">
        <v>220</v>
      </c>
      <c r="B87" s="138">
        <f t="shared" si="4"/>
        <v>37</v>
      </c>
      <c r="C87" s="139">
        <f t="shared" si="5"/>
        <v>0.86388045762316124</v>
      </c>
      <c r="E87" s="769">
        <v>4</v>
      </c>
      <c r="F87" s="769"/>
      <c r="G87" s="769"/>
      <c r="H87" s="769">
        <v>0</v>
      </c>
      <c r="I87" s="769"/>
      <c r="J87" s="769"/>
      <c r="K87" s="769">
        <v>10</v>
      </c>
      <c r="L87" s="769"/>
      <c r="M87" s="769"/>
      <c r="N87" s="769">
        <v>0</v>
      </c>
      <c r="O87" s="769"/>
      <c r="P87" s="769"/>
      <c r="Q87" s="769">
        <v>23</v>
      </c>
      <c r="R87" s="105">
        <f t="shared" ref="R87:R112" si="6">IF($A87&lt;&gt;"",Q87/$B87*100,"")</f>
        <v>62.162162162162161</v>
      </c>
      <c r="S87" s="135"/>
    </row>
    <row r="88" spans="1:19">
      <c r="A88" s="95" t="s">
        <v>222</v>
      </c>
      <c r="B88" s="138">
        <f t="shared" si="4"/>
        <v>39</v>
      </c>
      <c r="C88" s="139">
        <f t="shared" si="5"/>
        <v>0.91057669857576473</v>
      </c>
      <c r="E88" s="769">
        <v>5</v>
      </c>
      <c r="F88" s="769"/>
      <c r="G88" s="769"/>
      <c r="H88" s="769">
        <v>12</v>
      </c>
      <c r="I88" s="769"/>
      <c r="J88" s="769"/>
      <c r="K88" s="769">
        <v>11</v>
      </c>
      <c r="L88" s="769"/>
      <c r="M88" s="769"/>
      <c r="N88" s="769">
        <v>0</v>
      </c>
      <c r="O88" s="769"/>
      <c r="P88" s="769"/>
      <c r="Q88" s="769">
        <v>11</v>
      </c>
      <c r="R88" s="105">
        <f t="shared" si="6"/>
        <v>28.205128205128204</v>
      </c>
      <c r="S88" s="135"/>
    </row>
    <row r="89" spans="1:19">
      <c r="A89" s="95" t="s">
        <v>221</v>
      </c>
      <c r="B89" s="138">
        <f t="shared" si="4"/>
        <v>30</v>
      </c>
      <c r="C89" s="139">
        <f t="shared" si="5"/>
        <v>0.70044361428904978</v>
      </c>
      <c r="E89" s="769">
        <v>1</v>
      </c>
      <c r="F89" s="769"/>
      <c r="G89" s="769"/>
      <c r="H89" s="769">
        <v>12</v>
      </c>
      <c r="I89" s="769"/>
      <c r="J89" s="769"/>
      <c r="K89" s="769">
        <v>13</v>
      </c>
      <c r="L89" s="769"/>
      <c r="M89" s="769"/>
      <c r="N89" s="769">
        <v>1</v>
      </c>
      <c r="O89" s="769"/>
      <c r="P89" s="769"/>
      <c r="Q89" s="769">
        <v>3</v>
      </c>
      <c r="R89" s="105">
        <f t="shared" si="6"/>
        <v>10</v>
      </c>
      <c r="S89" s="135"/>
    </row>
    <row r="90" spans="1:19">
      <c r="A90" s="95" t="s">
        <v>219</v>
      </c>
      <c r="B90" s="138">
        <f t="shared" si="4"/>
        <v>29</v>
      </c>
      <c r="C90" s="139">
        <f>IF(A90&lt;&gt;0,B90/$B$11*100,"")</f>
        <v>0.67709549381274814</v>
      </c>
      <c r="E90" s="769">
        <v>2</v>
      </c>
      <c r="F90" s="769"/>
      <c r="G90" s="769"/>
      <c r="H90" s="769">
        <v>10</v>
      </c>
      <c r="I90" s="769"/>
      <c r="J90" s="769"/>
      <c r="K90" s="769">
        <v>13</v>
      </c>
      <c r="L90" s="769"/>
      <c r="M90" s="769"/>
      <c r="N90" s="769">
        <v>0</v>
      </c>
      <c r="O90" s="769"/>
      <c r="P90" s="769"/>
      <c r="Q90" s="769">
        <v>4</v>
      </c>
      <c r="R90" s="105">
        <f t="shared" si="6"/>
        <v>13.793103448275861</v>
      </c>
      <c r="S90" s="135"/>
    </row>
    <row r="91" spans="1:19">
      <c r="A91" s="95" t="s">
        <v>223</v>
      </c>
      <c r="B91" s="138">
        <f t="shared" si="4"/>
        <v>53</v>
      </c>
      <c r="C91" s="139">
        <f t="shared" si="5"/>
        <v>1.237450385243988</v>
      </c>
      <c r="E91" s="769">
        <v>6</v>
      </c>
      <c r="F91" s="769"/>
      <c r="G91" s="769"/>
      <c r="H91" s="769">
        <v>15</v>
      </c>
      <c r="I91" s="769"/>
      <c r="J91" s="769"/>
      <c r="K91" s="769">
        <v>28</v>
      </c>
      <c r="L91" s="769"/>
      <c r="M91" s="769"/>
      <c r="N91" s="769">
        <v>0</v>
      </c>
      <c r="O91" s="769"/>
      <c r="P91" s="769"/>
      <c r="Q91" s="769">
        <v>4</v>
      </c>
      <c r="R91" s="105">
        <f t="shared" si="6"/>
        <v>7.5471698113207548</v>
      </c>
      <c r="S91" s="135"/>
    </row>
    <row r="92" spans="1:19">
      <c r="A92" s="95" t="s">
        <v>226</v>
      </c>
      <c r="B92" s="138">
        <f t="shared" si="4"/>
        <v>27</v>
      </c>
      <c r="C92" s="139">
        <f t="shared" si="5"/>
        <v>0.63039925286014475</v>
      </c>
      <c r="E92" s="769">
        <v>1</v>
      </c>
      <c r="F92" s="769"/>
      <c r="G92" s="769"/>
      <c r="H92" s="769">
        <v>5</v>
      </c>
      <c r="I92" s="769"/>
      <c r="J92" s="769"/>
      <c r="K92" s="769">
        <v>9</v>
      </c>
      <c r="L92" s="769"/>
      <c r="M92" s="769"/>
      <c r="N92" s="769">
        <v>2</v>
      </c>
      <c r="O92" s="769"/>
      <c r="P92" s="769"/>
      <c r="Q92" s="769">
        <v>10</v>
      </c>
      <c r="R92" s="105">
        <f t="shared" si="6"/>
        <v>37.037037037037038</v>
      </c>
      <c r="S92" s="135"/>
    </row>
    <row r="93" spans="1:19">
      <c r="A93" s="95" t="s">
        <v>416</v>
      </c>
      <c r="B93" s="138">
        <f t="shared" si="4"/>
        <v>21</v>
      </c>
      <c r="C93" s="139">
        <f t="shared" si="5"/>
        <v>0.49031053000233477</v>
      </c>
      <c r="E93" s="769">
        <v>2</v>
      </c>
      <c r="F93" s="769"/>
      <c r="G93" s="769"/>
      <c r="H93" s="769">
        <v>11</v>
      </c>
      <c r="I93" s="769"/>
      <c r="J93" s="769"/>
      <c r="K93" s="769">
        <v>4</v>
      </c>
      <c r="L93" s="769"/>
      <c r="M93" s="769"/>
      <c r="N93" s="769">
        <v>1</v>
      </c>
      <c r="O93" s="769"/>
      <c r="P93" s="769"/>
      <c r="Q93" s="769">
        <v>3</v>
      </c>
      <c r="R93" s="105">
        <f t="shared" si="6"/>
        <v>14.285714285714285</v>
      </c>
      <c r="S93" s="135"/>
    </row>
    <row r="94" spans="1:19" ht="11" customHeight="1">
      <c r="B94" s="138" t="str">
        <f t="shared" si="4"/>
        <v/>
      </c>
      <c r="C94" s="139" t="str">
        <f t="shared" si="5"/>
        <v/>
      </c>
      <c r="E94" s="116"/>
      <c r="F94" s="116"/>
      <c r="G94" s="116"/>
      <c r="H94" s="116"/>
      <c r="I94" s="116"/>
      <c r="J94" s="116"/>
      <c r="K94" s="116"/>
      <c r="L94" s="116"/>
      <c r="M94" s="116"/>
      <c r="N94" s="116"/>
      <c r="O94" s="116"/>
      <c r="P94" s="116"/>
      <c r="Q94" s="116"/>
      <c r="R94" s="105" t="str">
        <f t="shared" si="6"/>
        <v/>
      </c>
      <c r="S94" s="135"/>
    </row>
    <row r="95" spans="1:19">
      <c r="A95" s="95" t="s">
        <v>227</v>
      </c>
      <c r="B95" s="138">
        <f t="shared" si="4"/>
        <v>99</v>
      </c>
      <c r="C95" s="139">
        <f t="shared" si="5"/>
        <v>2.3114639271538642</v>
      </c>
      <c r="E95" s="769">
        <v>8</v>
      </c>
      <c r="F95" s="769"/>
      <c r="G95" s="769"/>
      <c r="H95" s="769">
        <v>48</v>
      </c>
      <c r="I95" s="769"/>
      <c r="J95" s="769"/>
      <c r="K95" s="769">
        <v>29</v>
      </c>
      <c r="L95" s="769"/>
      <c r="M95" s="769"/>
      <c r="N95" s="769">
        <v>1</v>
      </c>
      <c r="O95" s="769"/>
      <c r="P95" s="769"/>
      <c r="Q95" s="769">
        <v>13</v>
      </c>
      <c r="R95" s="105">
        <f t="shared" si="6"/>
        <v>13.131313131313133</v>
      </c>
      <c r="S95" s="135"/>
    </row>
    <row r="96" spans="1:19">
      <c r="A96" s="95" t="s">
        <v>417</v>
      </c>
      <c r="B96" s="138">
        <f t="shared" si="4"/>
        <v>64</v>
      </c>
      <c r="C96" s="139">
        <f t="shared" si="5"/>
        <v>1.4942797104833061</v>
      </c>
      <c r="E96" s="769">
        <v>2</v>
      </c>
      <c r="F96" s="769"/>
      <c r="G96" s="769"/>
      <c r="H96" s="769">
        <v>22</v>
      </c>
      <c r="I96" s="769"/>
      <c r="J96" s="769"/>
      <c r="K96" s="769">
        <v>21</v>
      </c>
      <c r="L96" s="769"/>
      <c r="M96" s="769"/>
      <c r="N96" s="769">
        <v>0</v>
      </c>
      <c r="O96" s="769"/>
      <c r="P96" s="769"/>
      <c r="Q96" s="769">
        <v>19</v>
      </c>
      <c r="R96" s="105">
        <f t="shared" si="6"/>
        <v>29.6875</v>
      </c>
      <c r="S96" s="135"/>
    </row>
    <row r="97" spans="1:19">
      <c r="A97" s="95" t="s">
        <v>418</v>
      </c>
      <c r="B97" s="138">
        <f t="shared" si="4"/>
        <v>120</v>
      </c>
      <c r="C97" s="139">
        <f t="shared" si="5"/>
        <v>2.8017744571561991</v>
      </c>
      <c r="E97" s="769">
        <v>3</v>
      </c>
      <c r="F97" s="769"/>
      <c r="G97" s="769"/>
      <c r="H97" s="769">
        <v>25</v>
      </c>
      <c r="I97" s="769"/>
      <c r="J97" s="769"/>
      <c r="K97" s="769">
        <v>41</v>
      </c>
      <c r="L97" s="769"/>
      <c r="M97" s="769"/>
      <c r="N97" s="769">
        <v>0</v>
      </c>
      <c r="O97" s="769"/>
      <c r="P97" s="769"/>
      <c r="Q97" s="769">
        <v>51</v>
      </c>
      <c r="R97" s="105">
        <f t="shared" si="6"/>
        <v>42.5</v>
      </c>
      <c r="S97" s="135"/>
    </row>
    <row r="98" spans="1:19" ht="11" customHeight="1">
      <c r="B98" s="138" t="str">
        <f t="shared" si="4"/>
        <v/>
      </c>
      <c r="C98" s="139" t="str">
        <f t="shared" si="5"/>
        <v/>
      </c>
      <c r="E98" s="154"/>
      <c r="F98" s="135" t="str">
        <f>IF($A98&lt;&gt;0,E98/$B98*100,"")</f>
        <v/>
      </c>
      <c r="G98" s="116"/>
      <c r="H98" s="154"/>
      <c r="I98" s="135" t="str">
        <f>IF($A98&lt;&gt;0,H98/$B98*100,"")</f>
        <v/>
      </c>
      <c r="J98" s="135"/>
      <c r="K98" s="154"/>
      <c r="L98" s="135" t="str">
        <f>IF($A98&lt;&gt;0,K98/$B98*100,"")</f>
        <v/>
      </c>
      <c r="M98" s="116"/>
      <c r="N98" s="154"/>
      <c r="O98" s="135" t="str">
        <f>IF($A98&lt;&gt;0,N98/$B98*100,"")</f>
        <v/>
      </c>
      <c r="P98" s="135"/>
      <c r="Q98" s="154"/>
      <c r="R98" s="105" t="str">
        <f t="shared" si="6"/>
        <v/>
      </c>
      <c r="S98" s="135"/>
    </row>
    <row r="99" spans="1:19">
      <c r="A99" s="55" t="s">
        <v>84</v>
      </c>
      <c r="B99" s="138">
        <f t="shared" si="4"/>
        <v>493</v>
      </c>
      <c r="C99" s="139">
        <f t="shared" si="5"/>
        <v>11.510623394816717</v>
      </c>
      <c r="E99" s="119">
        <f>SUM(E101+E102+E103+E105)</f>
        <v>67</v>
      </c>
      <c r="F99" s="135">
        <f>IF($A99&lt;&gt;0,E99/$B99*100,"")</f>
        <v>13.590263691683571</v>
      </c>
      <c r="G99" s="121"/>
      <c r="H99" s="119">
        <f>SUM(H101+H102+H103+H105)</f>
        <v>159</v>
      </c>
      <c r="I99" s="135">
        <f>IF($A99&lt;&gt;0,H99/$B99*100,"")</f>
        <v>32.251521298174438</v>
      </c>
      <c r="J99" s="146"/>
      <c r="K99" s="119">
        <f>SUM(K101+K102+K103+K105)</f>
        <v>92</v>
      </c>
      <c r="L99" s="135">
        <f>IF($A99&lt;&gt;0,K99/$B99*100,"")</f>
        <v>18.661257606490871</v>
      </c>
      <c r="M99" s="121"/>
      <c r="N99" s="119">
        <f>SUM(N101+N102+N103+N105)</f>
        <v>10</v>
      </c>
      <c r="O99" s="135">
        <f>IF($A99&lt;&gt;0,N99/$B99*100,"")</f>
        <v>2.028397565922921</v>
      </c>
      <c r="P99" s="146"/>
      <c r="Q99" s="119">
        <f>SUM(Q101+Q102+Q103+Q105)</f>
        <v>165</v>
      </c>
      <c r="R99" s="105">
        <f t="shared" si="6"/>
        <v>33.468559837728193</v>
      </c>
      <c r="S99" s="135"/>
    </row>
    <row r="100" spans="1:19" ht="11" customHeight="1">
      <c r="B100" s="138" t="str">
        <f t="shared" si="4"/>
        <v/>
      </c>
      <c r="C100" s="139" t="str">
        <f t="shared" si="5"/>
        <v/>
      </c>
      <c r="E100" s="119"/>
      <c r="F100" s="135" t="str">
        <f>IF($A100&lt;&gt;0,E100/$B100*100,"")</f>
        <v/>
      </c>
      <c r="G100" s="121"/>
      <c r="H100" s="119"/>
      <c r="I100" s="135" t="str">
        <f>IF($A100&lt;&gt;0,H100/$B100*100,"")</f>
        <v/>
      </c>
      <c r="J100" s="146"/>
      <c r="K100" s="119"/>
      <c r="L100" s="135" t="str">
        <f>IF($A100&lt;&gt;0,K100/$B100*100,"")</f>
        <v/>
      </c>
      <c r="M100" s="121"/>
      <c r="N100" s="119"/>
      <c r="O100" s="135" t="str">
        <f>IF($A100&lt;&gt;0,N100/$B100*100,"")</f>
        <v/>
      </c>
      <c r="P100" s="146"/>
      <c r="Q100" s="119"/>
      <c r="R100" s="105" t="str">
        <f t="shared" si="6"/>
        <v/>
      </c>
      <c r="S100" s="135"/>
    </row>
    <row r="101" spans="1:19">
      <c r="A101" s="95" t="s">
        <v>502</v>
      </c>
      <c r="B101" s="138">
        <f t="shared" si="4"/>
        <v>130</v>
      </c>
      <c r="C101" s="139">
        <f t="shared" si="5"/>
        <v>3.0352556619192157</v>
      </c>
      <c r="E101" s="769">
        <v>21</v>
      </c>
      <c r="F101" s="769"/>
      <c r="G101" s="769"/>
      <c r="H101" s="769">
        <v>47</v>
      </c>
      <c r="I101" s="769"/>
      <c r="J101" s="769"/>
      <c r="K101" s="769">
        <v>28</v>
      </c>
      <c r="L101" s="769">
        <v>0</v>
      </c>
      <c r="M101" s="769">
        <v>0</v>
      </c>
      <c r="N101" s="769">
        <v>2</v>
      </c>
      <c r="O101" s="769"/>
      <c r="P101" s="769"/>
      <c r="Q101" s="769">
        <v>32</v>
      </c>
      <c r="R101" s="105">
        <f t="shared" si="6"/>
        <v>24.615384615384617</v>
      </c>
      <c r="S101" s="135"/>
    </row>
    <row r="102" spans="1:19">
      <c r="A102" s="95" t="s">
        <v>486</v>
      </c>
      <c r="B102" s="138">
        <f t="shared" si="4"/>
        <v>178</v>
      </c>
      <c r="C102" s="139">
        <f t="shared" si="5"/>
        <v>4.1559654447816952</v>
      </c>
      <c r="E102" s="769">
        <v>26</v>
      </c>
      <c r="F102" s="769"/>
      <c r="G102" s="769"/>
      <c r="H102" s="769">
        <v>56</v>
      </c>
      <c r="I102" s="769"/>
      <c r="J102" s="769"/>
      <c r="K102" s="769">
        <v>38</v>
      </c>
      <c r="L102" s="769">
        <v>0</v>
      </c>
      <c r="M102" s="769">
        <v>0</v>
      </c>
      <c r="N102" s="769">
        <v>6</v>
      </c>
      <c r="O102" s="769"/>
      <c r="P102" s="769"/>
      <c r="Q102" s="769">
        <v>52</v>
      </c>
      <c r="R102" s="105">
        <f t="shared" si="6"/>
        <v>29.213483146067414</v>
      </c>
      <c r="S102" s="135"/>
    </row>
    <row r="103" spans="1:19">
      <c r="A103" s="95" t="s">
        <v>487</v>
      </c>
      <c r="B103" s="138">
        <f t="shared" si="4"/>
        <v>16</v>
      </c>
      <c r="C103" s="139">
        <f t="shared" si="5"/>
        <v>0.37356992762082653</v>
      </c>
      <c r="E103" s="769">
        <v>2</v>
      </c>
      <c r="F103" s="769"/>
      <c r="G103" s="769"/>
      <c r="H103" s="769">
        <v>7</v>
      </c>
      <c r="I103" s="769"/>
      <c r="J103" s="769"/>
      <c r="K103" s="769">
        <v>4</v>
      </c>
      <c r="L103" s="769">
        <v>0</v>
      </c>
      <c r="M103" s="769">
        <v>0</v>
      </c>
      <c r="N103" s="769">
        <v>0</v>
      </c>
      <c r="O103" s="769"/>
      <c r="P103" s="769"/>
      <c r="Q103" s="769">
        <v>3</v>
      </c>
      <c r="R103" s="105">
        <f t="shared" si="6"/>
        <v>18.75</v>
      </c>
      <c r="S103" s="135"/>
    </row>
    <row r="104" spans="1:19" ht="11" customHeight="1">
      <c r="B104" s="138" t="str">
        <f t="shared" si="4"/>
        <v/>
      </c>
      <c r="C104" s="139" t="str">
        <f t="shared" si="5"/>
        <v/>
      </c>
      <c r="E104" s="116"/>
      <c r="F104" s="116"/>
      <c r="G104" s="116"/>
      <c r="H104" s="116"/>
      <c r="I104" s="116"/>
      <c r="J104" s="116"/>
      <c r="K104" s="116"/>
      <c r="L104" s="116"/>
      <c r="M104" s="116"/>
      <c r="N104" s="116"/>
      <c r="O104" s="116"/>
      <c r="P104" s="116"/>
      <c r="Q104" s="116"/>
      <c r="R104" s="105" t="str">
        <f t="shared" si="6"/>
        <v/>
      </c>
      <c r="S104" s="135"/>
    </row>
    <row r="105" spans="1:19">
      <c r="A105" s="95" t="s">
        <v>503</v>
      </c>
      <c r="B105" s="138">
        <f t="shared" si="4"/>
        <v>169</v>
      </c>
      <c r="C105" s="139">
        <f t="shared" si="5"/>
        <v>3.9458323604949803</v>
      </c>
      <c r="E105" s="769">
        <v>18</v>
      </c>
      <c r="F105" s="769"/>
      <c r="G105" s="769"/>
      <c r="H105" s="769">
        <v>49</v>
      </c>
      <c r="I105" s="769"/>
      <c r="J105" s="769"/>
      <c r="K105" s="769">
        <v>22</v>
      </c>
      <c r="L105" s="769"/>
      <c r="M105" s="769"/>
      <c r="N105" s="769">
        <v>2</v>
      </c>
      <c r="O105" s="769"/>
      <c r="P105" s="769"/>
      <c r="Q105" s="769">
        <v>78</v>
      </c>
      <c r="R105" s="105">
        <f t="shared" si="6"/>
        <v>46.153846153846153</v>
      </c>
      <c r="S105" s="135"/>
    </row>
    <row r="106" spans="1:19" ht="11" customHeight="1">
      <c r="B106" s="138" t="str">
        <f t="shared" si="4"/>
        <v/>
      </c>
      <c r="C106" s="139"/>
      <c r="E106" s="154"/>
      <c r="F106" s="135" t="str">
        <f>IF($A106&lt;&gt;0,E106/$B106*100,"")</f>
        <v/>
      </c>
      <c r="G106" s="116"/>
      <c r="H106" s="154"/>
      <c r="I106" s="135" t="str">
        <f>IF($A106&lt;&gt;0,H106/$B106*100,"")</f>
        <v/>
      </c>
      <c r="J106" s="135"/>
      <c r="K106" s="154"/>
      <c r="L106" s="135" t="str">
        <f>IF($A106&lt;&gt;0,K106/$B106*100,"")</f>
        <v/>
      </c>
      <c r="M106" s="116"/>
      <c r="N106" s="154"/>
      <c r="O106" s="135" t="str">
        <f>IF($A106&lt;&gt;0,N106/$B106*100,"")</f>
        <v/>
      </c>
      <c r="P106" s="135"/>
      <c r="Q106" s="154"/>
      <c r="R106" s="105" t="str">
        <f t="shared" si="6"/>
        <v/>
      </c>
      <c r="S106" s="135"/>
    </row>
    <row r="107" spans="1:19">
      <c r="A107" s="55" t="s">
        <v>423</v>
      </c>
      <c r="B107" s="138">
        <f t="shared" si="4"/>
        <v>982</v>
      </c>
      <c r="C107" s="139">
        <f t="shared" si="5"/>
        <v>22.927854307728225</v>
      </c>
      <c r="E107" s="154">
        <f>SUM(E108:E112)</f>
        <v>22</v>
      </c>
      <c r="F107" s="135">
        <f>IF($A107&lt;&gt;0,E107/$B107*100,"")</f>
        <v>2.2403258655804481</v>
      </c>
      <c r="G107" s="116"/>
      <c r="H107" s="154">
        <f>SUM(H108:H112)</f>
        <v>349</v>
      </c>
      <c r="I107" s="135">
        <f>IF($A107&lt;&gt;0,H107/$B107*100,"")</f>
        <v>35.539714867617107</v>
      </c>
      <c r="J107" s="135"/>
      <c r="K107" s="154">
        <f>SUM(K108:K112)</f>
        <v>309</v>
      </c>
      <c r="L107" s="135">
        <f>IF($A107&lt;&gt;0,K107/$B107*100,"")</f>
        <v>31.466395112016293</v>
      </c>
      <c r="M107" s="116"/>
      <c r="N107" s="154">
        <f>SUM(N108:N112)</f>
        <v>25</v>
      </c>
      <c r="O107" s="135">
        <f>IF($A107&lt;&gt;0,N107/$B107*100,"")</f>
        <v>2.5458248472505094</v>
      </c>
      <c r="P107" s="135"/>
      <c r="Q107" s="154">
        <f>SUM(Q108:Q112)</f>
        <v>277</v>
      </c>
      <c r="R107" s="105">
        <f t="shared" si="6"/>
        <v>28.20773930753564</v>
      </c>
      <c r="S107" s="135"/>
    </row>
    <row r="108" spans="1:19">
      <c r="A108" s="95" t="s">
        <v>424</v>
      </c>
      <c r="B108" s="138">
        <f t="shared" si="4"/>
        <v>261</v>
      </c>
      <c r="C108" s="139">
        <f t="shared" si="5"/>
        <v>6.0938594443147327</v>
      </c>
      <c r="E108" s="769">
        <v>8</v>
      </c>
      <c r="F108" s="769"/>
      <c r="G108" s="769"/>
      <c r="H108" s="769">
        <v>88</v>
      </c>
      <c r="I108" s="769"/>
      <c r="J108" s="769"/>
      <c r="K108" s="769">
        <v>75</v>
      </c>
      <c r="L108" s="769"/>
      <c r="M108" s="769"/>
      <c r="N108" s="769">
        <v>3</v>
      </c>
      <c r="O108" s="769"/>
      <c r="P108" s="769"/>
      <c r="Q108" s="769">
        <v>87</v>
      </c>
      <c r="R108" s="105">
        <f t="shared" si="6"/>
        <v>33.333333333333329</v>
      </c>
      <c r="S108" s="135"/>
    </row>
    <row r="109" spans="1:19">
      <c r="A109" s="95" t="s">
        <v>425</v>
      </c>
      <c r="B109" s="138">
        <f t="shared" si="4"/>
        <v>260</v>
      </c>
      <c r="C109" s="139">
        <f>IF(A109&lt;&gt;0,B109/$B$11*100,"")</f>
        <v>6.0705113238384314</v>
      </c>
      <c r="E109" s="769">
        <v>5</v>
      </c>
      <c r="F109" s="769"/>
      <c r="G109" s="769"/>
      <c r="H109" s="769">
        <v>101</v>
      </c>
      <c r="I109" s="769"/>
      <c r="J109" s="769"/>
      <c r="K109" s="769">
        <v>79</v>
      </c>
      <c r="L109" s="769"/>
      <c r="M109" s="769"/>
      <c r="N109" s="769">
        <v>11</v>
      </c>
      <c r="O109" s="769"/>
      <c r="P109" s="769"/>
      <c r="Q109" s="769">
        <v>64</v>
      </c>
      <c r="R109" s="105">
        <f t="shared" si="6"/>
        <v>24.615384615384617</v>
      </c>
      <c r="S109" s="135"/>
    </row>
    <row r="110" spans="1:19">
      <c r="A110" s="95" t="s">
        <v>426</v>
      </c>
      <c r="B110" s="138">
        <f t="shared" si="4"/>
        <v>219</v>
      </c>
      <c r="C110" s="139">
        <f t="shared" si="5"/>
        <v>5.1132383843100628</v>
      </c>
      <c r="E110" s="769">
        <v>2</v>
      </c>
      <c r="F110" s="769"/>
      <c r="G110" s="769"/>
      <c r="H110" s="769">
        <v>64</v>
      </c>
      <c r="I110" s="769"/>
      <c r="J110" s="769"/>
      <c r="K110" s="769">
        <v>59</v>
      </c>
      <c r="L110" s="769"/>
      <c r="M110" s="769"/>
      <c r="N110" s="769">
        <v>4</v>
      </c>
      <c r="O110" s="769"/>
      <c r="P110" s="769"/>
      <c r="Q110" s="769">
        <v>90</v>
      </c>
      <c r="R110" s="105">
        <f t="shared" si="6"/>
        <v>41.095890410958901</v>
      </c>
      <c r="S110" s="135"/>
    </row>
    <row r="111" spans="1:19">
      <c r="A111" s="33" t="s">
        <v>427</v>
      </c>
      <c r="B111" s="138">
        <f t="shared" si="4"/>
        <v>140</v>
      </c>
      <c r="C111" s="139">
        <f t="shared" si="5"/>
        <v>3.2687368666822323</v>
      </c>
      <c r="E111" s="769">
        <v>3</v>
      </c>
      <c r="F111" s="769"/>
      <c r="G111" s="769"/>
      <c r="H111" s="769">
        <v>57</v>
      </c>
      <c r="I111" s="769"/>
      <c r="J111" s="769"/>
      <c r="K111" s="769">
        <v>57</v>
      </c>
      <c r="L111" s="769"/>
      <c r="M111" s="769"/>
      <c r="N111" s="769">
        <v>5</v>
      </c>
      <c r="O111" s="769"/>
      <c r="P111" s="769"/>
      <c r="Q111" s="769">
        <v>18</v>
      </c>
      <c r="R111" s="105">
        <f t="shared" si="6"/>
        <v>12.857142857142856</v>
      </c>
    </row>
    <row r="112" spans="1:19">
      <c r="A112" s="95" t="s">
        <v>428</v>
      </c>
      <c r="B112" s="138">
        <f t="shared" si="4"/>
        <v>102</v>
      </c>
      <c r="C112" s="139">
        <f t="shared" si="5"/>
        <v>2.381508288582769</v>
      </c>
      <c r="E112" s="769">
        <v>4</v>
      </c>
      <c r="F112" s="769"/>
      <c r="G112" s="769"/>
      <c r="H112" s="769">
        <v>39</v>
      </c>
      <c r="I112" s="769"/>
      <c r="J112" s="769"/>
      <c r="K112" s="769">
        <v>39</v>
      </c>
      <c r="L112" s="769"/>
      <c r="M112" s="769"/>
      <c r="N112" s="769">
        <v>2</v>
      </c>
      <c r="O112" s="769"/>
      <c r="P112" s="769"/>
      <c r="Q112" s="769">
        <v>18</v>
      </c>
      <c r="R112" s="105">
        <f t="shared" si="6"/>
        <v>17.647058823529413</v>
      </c>
    </row>
    <row r="113" spans="1:19" ht="9.75" customHeight="1" thickBot="1">
      <c r="B113" s="138"/>
      <c r="C113" s="139"/>
      <c r="E113" s="140"/>
      <c r="F113" s="105"/>
      <c r="H113" s="140"/>
      <c r="I113" s="105"/>
      <c r="J113" s="105"/>
      <c r="K113" s="140"/>
      <c r="L113" s="105"/>
      <c r="N113" s="140"/>
      <c r="O113" s="105"/>
      <c r="P113" s="105"/>
      <c r="Q113" s="140"/>
      <c r="R113" s="105"/>
      <c r="S113" s="105"/>
    </row>
    <row r="114" spans="1:19" ht="8.25"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504</v>
      </c>
      <c r="B115" s="145"/>
      <c r="C115" s="146"/>
      <c r="D115" s="121"/>
      <c r="E115" s="119"/>
      <c r="F115" s="146"/>
      <c r="G115" s="121"/>
      <c r="H115" s="119"/>
      <c r="I115" s="146"/>
      <c r="J115" s="146"/>
      <c r="K115" s="119"/>
      <c r="L115" s="146"/>
      <c r="M115" s="121"/>
      <c r="N115" s="119"/>
      <c r="O115" s="146"/>
      <c r="P115" s="146"/>
      <c r="Q115" s="119"/>
      <c r="R115" s="135"/>
      <c r="S115" s="135"/>
    </row>
    <row r="116" spans="1:19" ht="11.25" customHeight="1">
      <c r="A116" s="121" t="s">
        <v>505</v>
      </c>
      <c r="B116" s="145"/>
      <c r="C116" s="146"/>
      <c r="D116" s="121"/>
      <c r="E116" s="119"/>
      <c r="F116" s="146"/>
      <c r="G116" s="121"/>
      <c r="H116" s="119"/>
      <c r="I116" s="146"/>
      <c r="J116" s="146"/>
      <c r="K116" s="119"/>
      <c r="L116" s="146"/>
      <c r="M116" s="121"/>
      <c r="N116" s="119"/>
      <c r="O116" s="146"/>
      <c r="P116" s="146"/>
      <c r="Q116" s="119"/>
      <c r="R116" s="135"/>
    </row>
    <row r="117" spans="1:19" ht="6" customHeight="1">
      <c r="A117" s="121"/>
      <c r="B117" s="145"/>
      <c r="C117" s="146"/>
      <c r="D117" s="121"/>
      <c r="E117" s="119"/>
      <c r="F117" s="146"/>
      <c r="G117" s="121"/>
      <c r="H117" s="119"/>
      <c r="I117" s="146"/>
      <c r="J117" s="146"/>
      <c r="K117" s="119"/>
      <c r="L117" s="146"/>
      <c r="M117" s="121"/>
      <c r="N117" s="119"/>
      <c r="O117" s="146"/>
      <c r="P117" s="146"/>
      <c r="Q117" s="119"/>
    </row>
    <row r="118" spans="1:19">
      <c r="A118" s="57" t="s">
        <v>490</v>
      </c>
      <c r="B118" s="145"/>
      <c r="C118" s="146"/>
      <c r="D118" s="121"/>
      <c r="E118" s="119"/>
      <c r="F118" s="146"/>
      <c r="G118" s="121"/>
      <c r="H118" s="119"/>
      <c r="I118" s="146"/>
      <c r="J118" s="146"/>
      <c r="K118" s="119"/>
      <c r="L118" s="146"/>
      <c r="M118" s="121"/>
      <c r="N118" s="119"/>
      <c r="O118" s="146"/>
      <c r="P118" s="146"/>
      <c r="Q118" s="119"/>
    </row>
    <row r="119" spans="1:19" ht="13.5" customHeight="1">
      <c r="A119" s="57" t="s">
        <v>506</v>
      </c>
      <c r="B119" s="145"/>
      <c r="C119" s="146"/>
      <c r="D119" s="121"/>
      <c r="E119" s="119"/>
      <c r="F119" s="146"/>
      <c r="G119" s="121"/>
      <c r="H119" s="119"/>
      <c r="I119" s="146"/>
      <c r="J119" s="146"/>
      <c r="K119" s="119"/>
      <c r="L119" s="146"/>
      <c r="M119" s="121"/>
      <c r="N119" s="119"/>
      <c r="O119" s="146"/>
      <c r="P119" s="146"/>
      <c r="Q119" s="119"/>
    </row>
    <row r="120" spans="1:19">
      <c r="B120" s="138"/>
      <c r="C120" s="139"/>
      <c r="D120" s="111"/>
      <c r="E120" s="155"/>
      <c r="F120" s="139"/>
      <c r="G120" s="111"/>
      <c r="H120" s="155"/>
      <c r="I120" s="139"/>
      <c r="J120" s="139"/>
      <c r="K120" s="155"/>
      <c r="L120" s="139"/>
      <c r="M120" s="111"/>
      <c r="N120" s="155"/>
      <c r="O120" s="111"/>
      <c r="P120" s="111"/>
      <c r="Q120" s="155"/>
    </row>
    <row r="121" spans="1:19">
      <c r="A121" s="95" t="s">
        <v>491</v>
      </c>
    </row>
    <row r="122" spans="1:19">
      <c r="A122" s="95" t="s">
        <v>471</v>
      </c>
    </row>
  </sheetData>
  <mergeCells count="6">
    <mergeCell ref="Q7:R7"/>
    <mergeCell ref="B7:C7"/>
    <mergeCell ref="E7:F7"/>
    <mergeCell ref="H7:I7"/>
    <mergeCell ref="K7:L7"/>
    <mergeCell ref="N7:O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01"/>
  <sheetViews>
    <sheetView workbookViewId="0">
      <selection activeCell="K4" sqref="K4"/>
    </sheetView>
  </sheetViews>
  <sheetFormatPr baseColWidth="10" defaultColWidth="9.1640625" defaultRowHeight="13"/>
  <cols>
    <col min="1" max="1" width="35.33203125" style="95" customWidth="1"/>
    <col min="2" max="2" width="8.33203125" style="138" customWidth="1"/>
    <col min="3" max="3" width="8" style="105" customWidth="1"/>
    <col min="4" max="4" width="2.5" style="95" customWidth="1"/>
    <col min="5" max="5" width="8.33203125" style="140" customWidth="1"/>
    <col min="6" max="6" width="8.33203125" style="105" customWidth="1"/>
    <col min="7" max="7" width="2.5" style="95" customWidth="1"/>
    <col min="8" max="8" width="8.33203125" style="140" customWidth="1"/>
    <col min="9" max="9" width="8.33203125" style="105" customWidth="1"/>
    <col min="10" max="10" width="2.5" style="105" customWidth="1"/>
    <col min="11" max="11" width="7.5" style="140" customWidth="1"/>
    <col min="12" max="12" width="7.6640625" style="105" customWidth="1"/>
    <col min="13" max="13" width="2.6640625" style="95" customWidth="1"/>
    <col min="14" max="14" width="7.6640625" style="140" customWidth="1"/>
    <col min="15" max="15" width="8" style="95" customWidth="1"/>
    <col min="16" max="16" width="2.6640625" style="95" customWidth="1"/>
    <col min="17" max="17" width="7.6640625" style="140" customWidth="1"/>
    <col min="18" max="18" width="7.83203125" style="95" customWidth="1"/>
    <col min="19" max="19" width="2.6640625" style="95" customWidth="1"/>
    <col min="20" max="20" width="3.83203125" style="95" customWidth="1"/>
    <col min="21" max="256" width="9.1640625" style="95"/>
    <col min="257" max="257" width="35.33203125" style="95" customWidth="1"/>
    <col min="258" max="258" width="8.33203125" style="95" customWidth="1"/>
    <col min="259" max="259" width="8" style="95" customWidth="1"/>
    <col min="260" max="260" width="2.5" style="95" customWidth="1"/>
    <col min="261" max="262" width="8.33203125" style="95" customWidth="1"/>
    <col min="263" max="263" width="2.5" style="95" customWidth="1"/>
    <col min="264" max="265" width="8.33203125" style="95" customWidth="1"/>
    <col min="266" max="266" width="2.5" style="95" customWidth="1"/>
    <col min="267" max="267" width="7.5" style="95" customWidth="1"/>
    <col min="268" max="268" width="7.6640625" style="95" customWidth="1"/>
    <col min="269" max="269" width="2.6640625" style="95" customWidth="1"/>
    <col min="270" max="270" width="7.6640625" style="95" customWidth="1"/>
    <col min="271" max="271" width="8" style="95" customWidth="1"/>
    <col min="272" max="272" width="2.6640625" style="95" customWidth="1"/>
    <col min="273" max="273" width="7.6640625" style="95" customWidth="1"/>
    <col min="274" max="274" width="7.83203125" style="95" customWidth="1"/>
    <col min="275" max="275" width="2.6640625" style="95" customWidth="1"/>
    <col min="276" max="276" width="3.83203125" style="95" customWidth="1"/>
    <col min="277" max="512" width="9.1640625" style="95"/>
    <col min="513" max="513" width="35.33203125" style="95" customWidth="1"/>
    <col min="514" max="514" width="8.33203125" style="95" customWidth="1"/>
    <col min="515" max="515" width="8" style="95" customWidth="1"/>
    <col min="516" max="516" width="2.5" style="95" customWidth="1"/>
    <col min="517" max="518" width="8.33203125" style="95" customWidth="1"/>
    <col min="519" max="519" width="2.5" style="95" customWidth="1"/>
    <col min="520" max="521" width="8.33203125" style="95" customWidth="1"/>
    <col min="522" max="522" width="2.5" style="95" customWidth="1"/>
    <col min="523" max="523" width="7.5" style="95" customWidth="1"/>
    <col min="524" max="524" width="7.6640625" style="95" customWidth="1"/>
    <col min="525" max="525" width="2.6640625" style="95" customWidth="1"/>
    <col min="526" max="526" width="7.6640625" style="95" customWidth="1"/>
    <col min="527" max="527" width="8" style="95" customWidth="1"/>
    <col min="528" max="528" width="2.6640625" style="95" customWidth="1"/>
    <col min="529" max="529" width="7.6640625" style="95" customWidth="1"/>
    <col min="530" max="530" width="7.83203125" style="95" customWidth="1"/>
    <col min="531" max="531" width="2.6640625" style="95" customWidth="1"/>
    <col min="532" max="532" width="3.83203125" style="95" customWidth="1"/>
    <col min="533" max="768" width="9.1640625" style="95"/>
    <col min="769" max="769" width="35.33203125" style="95" customWidth="1"/>
    <col min="770" max="770" width="8.33203125" style="95" customWidth="1"/>
    <col min="771" max="771" width="8" style="95" customWidth="1"/>
    <col min="772" max="772" width="2.5" style="95" customWidth="1"/>
    <col min="773" max="774" width="8.33203125" style="95" customWidth="1"/>
    <col min="775" max="775" width="2.5" style="95" customWidth="1"/>
    <col min="776" max="777" width="8.33203125" style="95" customWidth="1"/>
    <col min="778" max="778" width="2.5" style="95" customWidth="1"/>
    <col min="779" max="779" width="7.5" style="95" customWidth="1"/>
    <col min="780" max="780" width="7.6640625" style="95" customWidth="1"/>
    <col min="781" max="781" width="2.6640625" style="95" customWidth="1"/>
    <col min="782" max="782" width="7.6640625" style="95" customWidth="1"/>
    <col min="783" max="783" width="8" style="95" customWidth="1"/>
    <col min="784" max="784" width="2.6640625" style="95" customWidth="1"/>
    <col min="785" max="785" width="7.6640625" style="95" customWidth="1"/>
    <col min="786" max="786" width="7.83203125" style="95" customWidth="1"/>
    <col min="787" max="787" width="2.6640625" style="95" customWidth="1"/>
    <col min="788" max="788" width="3.83203125" style="95" customWidth="1"/>
    <col min="789" max="1024" width="9.1640625" style="95"/>
    <col min="1025" max="1025" width="35.33203125" style="95" customWidth="1"/>
    <col min="1026" max="1026" width="8.33203125" style="95" customWidth="1"/>
    <col min="1027" max="1027" width="8" style="95" customWidth="1"/>
    <col min="1028" max="1028" width="2.5" style="95" customWidth="1"/>
    <col min="1029" max="1030" width="8.33203125" style="95" customWidth="1"/>
    <col min="1031" max="1031" width="2.5" style="95" customWidth="1"/>
    <col min="1032" max="1033" width="8.33203125" style="95" customWidth="1"/>
    <col min="1034" max="1034" width="2.5" style="95" customWidth="1"/>
    <col min="1035" max="1035" width="7.5" style="95" customWidth="1"/>
    <col min="1036" max="1036" width="7.6640625" style="95" customWidth="1"/>
    <col min="1037" max="1037" width="2.6640625" style="95" customWidth="1"/>
    <col min="1038" max="1038" width="7.6640625" style="95" customWidth="1"/>
    <col min="1039" max="1039" width="8" style="95" customWidth="1"/>
    <col min="1040" max="1040" width="2.6640625" style="95" customWidth="1"/>
    <col min="1041" max="1041" width="7.6640625" style="95" customWidth="1"/>
    <col min="1042" max="1042" width="7.83203125" style="95" customWidth="1"/>
    <col min="1043" max="1043" width="2.6640625" style="95" customWidth="1"/>
    <col min="1044" max="1044" width="3.83203125" style="95" customWidth="1"/>
    <col min="1045" max="1280" width="9.1640625" style="95"/>
    <col min="1281" max="1281" width="35.33203125" style="95" customWidth="1"/>
    <col min="1282" max="1282" width="8.33203125" style="95" customWidth="1"/>
    <col min="1283" max="1283" width="8" style="95" customWidth="1"/>
    <col min="1284" max="1284" width="2.5" style="95" customWidth="1"/>
    <col min="1285" max="1286" width="8.33203125" style="95" customWidth="1"/>
    <col min="1287" max="1287" width="2.5" style="95" customWidth="1"/>
    <col min="1288" max="1289" width="8.33203125" style="95" customWidth="1"/>
    <col min="1290" max="1290" width="2.5" style="95" customWidth="1"/>
    <col min="1291" max="1291" width="7.5" style="95" customWidth="1"/>
    <col min="1292" max="1292" width="7.6640625" style="95" customWidth="1"/>
    <col min="1293" max="1293" width="2.6640625" style="95" customWidth="1"/>
    <col min="1294" max="1294" width="7.6640625" style="95" customWidth="1"/>
    <col min="1295" max="1295" width="8" style="95" customWidth="1"/>
    <col min="1296" max="1296" width="2.6640625" style="95" customWidth="1"/>
    <col min="1297" max="1297" width="7.6640625" style="95" customWidth="1"/>
    <col min="1298" max="1298" width="7.83203125" style="95" customWidth="1"/>
    <col min="1299" max="1299" width="2.6640625" style="95" customWidth="1"/>
    <col min="1300" max="1300" width="3.83203125" style="95" customWidth="1"/>
    <col min="1301" max="1536" width="9.1640625" style="95"/>
    <col min="1537" max="1537" width="35.33203125" style="95" customWidth="1"/>
    <col min="1538" max="1538" width="8.33203125" style="95" customWidth="1"/>
    <col min="1539" max="1539" width="8" style="95" customWidth="1"/>
    <col min="1540" max="1540" width="2.5" style="95" customWidth="1"/>
    <col min="1541" max="1542" width="8.33203125" style="95" customWidth="1"/>
    <col min="1543" max="1543" width="2.5" style="95" customWidth="1"/>
    <col min="1544" max="1545" width="8.33203125" style="95" customWidth="1"/>
    <col min="1546" max="1546" width="2.5" style="95" customWidth="1"/>
    <col min="1547" max="1547" width="7.5" style="95" customWidth="1"/>
    <col min="1548" max="1548" width="7.6640625" style="95" customWidth="1"/>
    <col min="1549" max="1549" width="2.6640625" style="95" customWidth="1"/>
    <col min="1550" max="1550" width="7.6640625" style="95" customWidth="1"/>
    <col min="1551" max="1551" width="8" style="95" customWidth="1"/>
    <col min="1552" max="1552" width="2.6640625" style="95" customWidth="1"/>
    <col min="1553" max="1553" width="7.6640625" style="95" customWidth="1"/>
    <col min="1554" max="1554" width="7.83203125" style="95" customWidth="1"/>
    <col min="1555" max="1555" width="2.6640625" style="95" customWidth="1"/>
    <col min="1556" max="1556" width="3.83203125" style="95" customWidth="1"/>
    <col min="1557" max="1792" width="9.1640625" style="95"/>
    <col min="1793" max="1793" width="35.33203125" style="95" customWidth="1"/>
    <col min="1794" max="1794" width="8.33203125" style="95" customWidth="1"/>
    <col min="1795" max="1795" width="8" style="95" customWidth="1"/>
    <col min="1796" max="1796" width="2.5" style="95" customWidth="1"/>
    <col min="1797" max="1798" width="8.33203125" style="95" customWidth="1"/>
    <col min="1799" max="1799" width="2.5" style="95" customWidth="1"/>
    <col min="1800" max="1801" width="8.33203125" style="95" customWidth="1"/>
    <col min="1802" max="1802" width="2.5" style="95" customWidth="1"/>
    <col min="1803" max="1803" width="7.5" style="95" customWidth="1"/>
    <col min="1804" max="1804" width="7.6640625" style="95" customWidth="1"/>
    <col min="1805" max="1805" width="2.6640625" style="95" customWidth="1"/>
    <col min="1806" max="1806" width="7.6640625" style="95" customWidth="1"/>
    <col min="1807" max="1807" width="8" style="95" customWidth="1"/>
    <col min="1808" max="1808" width="2.6640625" style="95" customWidth="1"/>
    <col min="1809" max="1809" width="7.6640625" style="95" customWidth="1"/>
    <col min="1810" max="1810" width="7.83203125" style="95" customWidth="1"/>
    <col min="1811" max="1811" width="2.6640625" style="95" customWidth="1"/>
    <col min="1812" max="1812" width="3.83203125" style="95" customWidth="1"/>
    <col min="1813" max="2048" width="9.1640625" style="95"/>
    <col min="2049" max="2049" width="35.33203125" style="95" customWidth="1"/>
    <col min="2050" max="2050" width="8.33203125" style="95" customWidth="1"/>
    <col min="2051" max="2051" width="8" style="95" customWidth="1"/>
    <col min="2052" max="2052" width="2.5" style="95" customWidth="1"/>
    <col min="2053" max="2054" width="8.33203125" style="95" customWidth="1"/>
    <col min="2055" max="2055" width="2.5" style="95" customWidth="1"/>
    <col min="2056" max="2057" width="8.33203125" style="95" customWidth="1"/>
    <col min="2058" max="2058" width="2.5" style="95" customWidth="1"/>
    <col min="2059" max="2059" width="7.5" style="95" customWidth="1"/>
    <col min="2060" max="2060" width="7.6640625" style="95" customWidth="1"/>
    <col min="2061" max="2061" width="2.6640625" style="95" customWidth="1"/>
    <col min="2062" max="2062" width="7.6640625" style="95" customWidth="1"/>
    <col min="2063" max="2063" width="8" style="95" customWidth="1"/>
    <col min="2064" max="2064" width="2.6640625" style="95" customWidth="1"/>
    <col min="2065" max="2065" width="7.6640625" style="95" customWidth="1"/>
    <col min="2066" max="2066" width="7.83203125" style="95" customWidth="1"/>
    <col min="2067" max="2067" width="2.6640625" style="95" customWidth="1"/>
    <col min="2068" max="2068" width="3.83203125" style="95" customWidth="1"/>
    <col min="2069" max="2304" width="9.1640625" style="95"/>
    <col min="2305" max="2305" width="35.33203125" style="95" customWidth="1"/>
    <col min="2306" max="2306" width="8.33203125" style="95" customWidth="1"/>
    <col min="2307" max="2307" width="8" style="95" customWidth="1"/>
    <col min="2308" max="2308" width="2.5" style="95" customWidth="1"/>
    <col min="2309" max="2310" width="8.33203125" style="95" customWidth="1"/>
    <col min="2311" max="2311" width="2.5" style="95" customWidth="1"/>
    <col min="2312" max="2313" width="8.33203125" style="95" customWidth="1"/>
    <col min="2314" max="2314" width="2.5" style="95" customWidth="1"/>
    <col min="2315" max="2315" width="7.5" style="95" customWidth="1"/>
    <col min="2316" max="2316" width="7.6640625" style="95" customWidth="1"/>
    <col min="2317" max="2317" width="2.6640625" style="95" customWidth="1"/>
    <col min="2318" max="2318" width="7.6640625" style="95" customWidth="1"/>
    <col min="2319" max="2319" width="8" style="95" customWidth="1"/>
    <col min="2320" max="2320" width="2.6640625" style="95" customWidth="1"/>
    <col min="2321" max="2321" width="7.6640625" style="95" customWidth="1"/>
    <col min="2322" max="2322" width="7.83203125" style="95" customWidth="1"/>
    <col min="2323" max="2323" width="2.6640625" style="95" customWidth="1"/>
    <col min="2324" max="2324" width="3.83203125" style="95" customWidth="1"/>
    <col min="2325" max="2560" width="9.1640625" style="95"/>
    <col min="2561" max="2561" width="35.33203125" style="95" customWidth="1"/>
    <col min="2562" max="2562" width="8.33203125" style="95" customWidth="1"/>
    <col min="2563" max="2563" width="8" style="95" customWidth="1"/>
    <col min="2564" max="2564" width="2.5" style="95" customWidth="1"/>
    <col min="2565" max="2566" width="8.33203125" style="95" customWidth="1"/>
    <col min="2567" max="2567" width="2.5" style="95" customWidth="1"/>
    <col min="2568" max="2569" width="8.33203125" style="95" customWidth="1"/>
    <col min="2570" max="2570" width="2.5" style="95" customWidth="1"/>
    <col min="2571" max="2571" width="7.5" style="95" customWidth="1"/>
    <col min="2572" max="2572" width="7.6640625" style="95" customWidth="1"/>
    <col min="2573" max="2573" width="2.6640625" style="95" customWidth="1"/>
    <col min="2574" max="2574" width="7.6640625" style="95" customWidth="1"/>
    <col min="2575" max="2575" width="8" style="95" customWidth="1"/>
    <col min="2576" max="2576" width="2.6640625" style="95" customWidth="1"/>
    <col min="2577" max="2577" width="7.6640625" style="95" customWidth="1"/>
    <col min="2578" max="2578" width="7.83203125" style="95" customWidth="1"/>
    <col min="2579" max="2579" width="2.6640625" style="95" customWidth="1"/>
    <col min="2580" max="2580" width="3.83203125" style="95" customWidth="1"/>
    <col min="2581" max="2816" width="9.1640625" style="95"/>
    <col min="2817" max="2817" width="35.33203125" style="95" customWidth="1"/>
    <col min="2818" max="2818" width="8.33203125" style="95" customWidth="1"/>
    <col min="2819" max="2819" width="8" style="95" customWidth="1"/>
    <col min="2820" max="2820" width="2.5" style="95" customWidth="1"/>
    <col min="2821" max="2822" width="8.33203125" style="95" customWidth="1"/>
    <col min="2823" max="2823" width="2.5" style="95" customWidth="1"/>
    <col min="2824" max="2825" width="8.33203125" style="95" customWidth="1"/>
    <col min="2826" max="2826" width="2.5" style="95" customWidth="1"/>
    <col min="2827" max="2827" width="7.5" style="95" customWidth="1"/>
    <col min="2828" max="2828" width="7.6640625" style="95" customWidth="1"/>
    <col min="2829" max="2829" width="2.6640625" style="95" customWidth="1"/>
    <col min="2830" max="2830" width="7.6640625" style="95" customWidth="1"/>
    <col min="2831" max="2831" width="8" style="95" customWidth="1"/>
    <col min="2832" max="2832" width="2.6640625" style="95" customWidth="1"/>
    <col min="2833" max="2833" width="7.6640625" style="95" customWidth="1"/>
    <col min="2834" max="2834" width="7.83203125" style="95" customWidth="1"/>
    <col min="2835" max="2835" width="2.6640625" style="95" customWidth="1"/>
    <col min="2836" max="2836" width="3.83203125" style="95" customWidth="1"/>
    <col min="2837" max="3072" width="9.1640625" style="95"/>
    <col min="3073" max="3073" width="35.33203125" style="95" customWidth="1"/>
    <col min="3074" max="3074" width="8.33203125" style="95" customWidth="1"/>
    <col min="3075" max="3075" width="8" style="95" customWidth="1"/>
    <col min="3076" max="3076" width="2.5" style="95" customWidth="1"/>
    <col min="3077" max="3078" width="8.33203125" style="95" customWidth="1"/>
    <col min="3079" max="3079" width="2.5" style="95" customWidth="1"/>
    <col min="3080" max="3081" width="8.33203125" style="95" customWidth="1"/>
    <col min="3082" max="3082" width="2.5" style="95" customWidth="1"/>
    <col min="3083" max="3083" width="7.5" style="95" customWidth="1"/>
    <col min="3084" max="3084" width="7.6640625" style="95" customWidth="1"/>
    <col min="3085" max="3085" width="2.6640625" style="95" customWidth="1"/>
    <col min="3086" max="3086" width="7.6640625" style="95" customWidth="1"/>
    <col min="3087" max="3087" width="8" style="95" customWidth="1"/>
    <col min="3088" max="3088" width="2.6640625" style="95" customWidth="1"/>
    <col min="3089" max="3089" width="7.6640625" style="95" customWidth="1"/>
    <col min="3090" max="3090" width="7.83203125" style="95" customWidth="1"/>
    <col min="3091" max="3091" width="2.6640625" style="95" customWidth="1"/>
    <col min="3092" max="3092" width="3.83203125" style="95" customWidth="1"/>
    <col min="3093" max="3328" width="9.1640625" style="95"/>
    <col min="3329" max="3329" width="35.33203125" style="95" customWidth="1"/>
    <col min="3330" max="3330" width="8.33203125" style="95" customWidth="1"/>
    <col min="3331" max="3331" width="8" style="95" customWidth="1"/>
    <col min="3332" max="3332" width="2.5" style="95" customWidth="1"/>
    <col min="3333" max="3334" width="8.33203125" style="95" customWidth="1"/>
    <col min="3335" max="3335" width="2.5" style="95" customWidth="1"/>
    <col min="3336" max="3337" width="8.33203125" style="95" customWidth="1"/>
    <col min="3338" max="3338" width="2.5" style="95" customWidth="1"/>
    <col min="3339" max="3339" width="7.5" style="95" customWidth="1"/>
    <col min="3340" max="3340" width="7.6640625" style="95" customWidth="1"/>
    <col min="3341" max="3341" width="2.6640625" style="95" customWidth="1"/>
    <col min="3342" max="3342" width="7.6640625" style="95" customWidth="1"/>
    <col min="3343" max="3343" width="8" style="95" customWidth="1"/>
    <col min="3344" max="3344" width="2.6640625" style="95" customWidth="1"/>
    <col min="3345" max="3345" width="7.6640625" style="95" customWidth="1"/>
    <col min="3346" max="3346" width="7.83203125" style="95" customWidth="1"/>
    <col min="3347" max="3347" width="2.6640625" style="95" customWidth="1"/>
    <col min="3348" max="3348" width="3.83203125" style="95" customWidth="1"/>
    <col min="3349" max="3584" width="9.1640625" style="95"/>
    <col min="3585" max="3585" width="35.33203125" style="95" customWidth="1"/>
    <col min="3586" max="3586" width="8.33203125" style="95" customWidth="1"/>
    <col min="3587" max="3587" width="8" style="95" customWidth="1"/>
    <col min="3588" max="3588" width="2.5" style="95" customWidth="1"/>
    <col min="3589" max="3590" width="8.33203125" style="95" customWidth="1"/>
    <col min="3591" max="3591" width="2.5" style="95" customWidth="1"/>
    <col min="3592" max="3593" width="8.33203125" style="95" customWidth="1"/>
    <col min="3594" max="3594" width="2.5" style="95" customWidth="1"/>
    <col min="3595" max="3595" width="7.5" style="95" customWidth="1"/>
    <col min="3596" max="3596" width="7.6640625" style="95" customWidth="1"/>
    <col min="3597" max="3597" width="2.6640625" style="95" customWidth="1"/>
    <col min="3598" max="3598" width="7.6640625" style="95" customWidth="1"/>
    <col min="3599" max="3599" width="8" style="95" customWidth="1"/>
    <col min="3600" max="3600" width="2.6640625" style="95" customWidth="1"/>
    <col min="3601" max="3601" width="7.6640625" style="95" customWidth="1"/>
    <col min="3602" max="3602" width="7.83203125" style="95" customWidth="1"/>
    <col min="3603" max="3603" width="2.6640625" style="95" customWidth="1"/>
    <col min="3604" max="3604" width="3.83203125" style="95" customWidth="1"/>
    <col min="3605" max="3840" width="9.1640625" style="95"/>
    <col min="3841" max="3841" width="35.33203125" style="95" customWidth="1"/>
    <col min="3842" max="3842" width="8.33203125" style="95" customWidth="1"/>
    <col min="3843" max="3843" width="8" style="95" customWidth="1"/>
    <col min="3844" max="3844" width="2.5" style="95" customWidth="1"/>
    <col min="3845" max="3846" width="8.33203125" style="95" customWidth="1"/>
    <col min="3847" max="3847" width="2.5" style="95" customWidth="1"/>
    <col min="3848" max="3849" width="8.33203125" style="95" customWidth="1"/>
    <col min="3850" max="3850" width="2.5" style="95" customWidth="1"/>
    <col min="3851" max="3851" width="7.5" style="95" customWidth="1"/>
    <col min="3852" max="3852" width="7.6640625" style="95" customWidth="1"/>
    <col min="3853" max="3853" width="2.6640625" style="95" customWidth="1"/>
    <col min="3854" max="3854" width="7.6640625" style="95" customWidth="1"/>
    <col min="3855" max="3855" width="8" style="95" customWidth="1"/>
    <col min="3856" max="3856" width="2.6640625" style="95" customWidth="1"/>
    <col min="3857" max="3857" width="7.6640625" style="95" customWidth="1"/>
    <col min="3858" max="3858" width="7.83203125" style="95" customWidth="1"/>
    <col min="3859" max="3859" width="2.6640625" style="95" customWidth="1"/>
    <col min="3860" max="3860" width="3.83203125" style="95" customWidth="1"/>
    <col min="3861" max="4096" width="9.1640625" style="95"/>
    <col min="4097" max="4097" width="35.33203125" style="95" customWidth="1"/>
    <col min="4098" max="4098" width="8.33203125" style="95" customWidth="1"/>
    <col min="4099" max="4099" width="8" style="95" customWidth="1"/>
    <col min="4100" max="4100" width="2.5" style="95" customWidth="1"/>
    <col min="4101" max="4102" width="8.33203125" style="95" customWidth="1"/>
    <col min="4103" max="4103" width="2.5" style="95" customWidth="1"/>
    <col min="4104" max="4105" width="8.33203125" style="95" customWidth="1"/>
    <col min="4106" max="4106" width="2.5" style="95" customWidth="1"/>
    <col min="4107" max="4107" width="7.5" style="95" customWidth="1"/>
    <col min="4108" max="4108" width="7.6640625" style="95" customWidth="1"/>
    <col min="4109" max="4109" width="2.6640625" style="95" customWidth="1"/>
    <col min="4110" max="4110" width="7.6640625" style="95" customWidth="1"/>
    <col min="4111" max="4111" width="8" style="95" customWidth="1"/>
    <col min="4112" max="4112" width="2.6640625" style="95" customWidth="1"/>
    <col min="4113" max="4113" width="7.6640625" style="95" customWidth="1"/>
    <col min="4114" max="4114" width="7.83203125" style="95" customWidth="1"/>
    <col min="4115" max="4115" width="2.6640625" style="95" customWidth="1"/>
    <col min="4116" max="4116" width="3.83203125" style="95" customWidth="1"/>
    <col min="4117" max="4352" width="9.1640625" style="95"/>
    <col min="4353" max="4353" width="35.33203125" style="95" customWidth="1"/>
    <col min="4354" max="4354" width="8.33203125" style="95" customWidth="1"/>
    <col min="4355" max="4355" width="8" style="95" customWidth="1"/>
    <col min="4356" max="4356" width="2.5" style="95" customWidth="1"/>
    <col min="4357" max="4358" width="8.33203125" style="95" customWidth="1"/>
    <col min="4359" max="4359" width="2.5" style="95" customWidth="1"/>
    <col min="4360" max="4361" width="8.33203125" style="95" customWidth="1"/>
    <col min="4362" max="4362" width="2.5" style="95" customWidth="1"/>
    <col min="4363" max="4363" width="7.5" style="95" customWidth="1"/>
    <col min="4364" max="4364" width="7.6640625" style="95" customWidth="1"/>
    <col min="4365" max="4365" width="2.6640625" style="95" customWidth="1"/>
    <col min="4366" max="4366" width="7.6640625" style="95" customWidth="1"/>
    <col min="4367" max="4367" width="8" style="95" customWidth="1"/>
    <col min="4368" max="4368" width="2.6640625" style="95" customWidth="1"/>
    <col min="4369" max="4369" width="7.6640625" style="95" customWidth="1"/>
    <col min="4370" max="4370" width="7.83203125" style="95" customWidth="1"/>
    <col min="4371" max="4371" width="2.6640625" style="95" customWidth="1"/>
    <col min="4372" max="4372" width="3.83203125" style="95" customWidth="1"/>
    <col min="4373" max="4608" width="9.1640625" style="95"/>
    <col min="4609" max="4609" width="35.33203125" style="95" customWidth="1"/>
    <col min="4610" max="4610" width="8.33203125" style="95" customWidth="1"/>
    <col min="4611" max="4611" width="8" style="95" customWidth="1"/>
    <col min="4612" max="4612" width="2.5" style="95" customWidth="1"/>
    <col min="4613" max="4614" width="8.33203125" style="95" customWidth="1"/>
    <col min="4615" max="4615" width="2.5" style="95" customWidth="1"/>
    <col min="4616" max="4617" width="8.33203125" style="95" customWidth="1"/>
    <col min="4618" max="4618" width="2.5" style="95" customWidth="1"/>
    <col min="4619" max="4619" width="7.5" style="95" customWidth="1"/>
    <col min="4620" max="4620" width="7.6640625" style="95" customWidth="1"/>
    <col min="4621" max="4621" width="2.6640625" style="95" customWidth="1"/>
    <col min="4622" max="4622" width="7.6640625" style="95" customWidth="1"/>
    <col min="4623" max="4623" width="8" style="95" customWidth="1"/>
    <col min="4624" max="4624" width="2.6640625" style="95" customWidth="1"/>
    <col min="4625" max="4625" width="7.6640625" style="95" customWidth="1"/>
    <col min="4626" max="4626" width="7.83203125" style="95" customWidth="1"/>
    <col min="4627" max="4627" width="2.6640625" style="95" customWidth="1"/>
    <col min="4628" max="4628" width="3.83203125" style="95" customWidth="1"/>
    <col min="4629" max="4864" width="9.1640625" style="95"/>
    <col min="4865" max="4865" width="35.33203125" style="95" customWidth="1"/>
    <col min="4866" max="4866" width="8.33203125" style="95" customWidth="1"/>
    <col min="4867" max="4867" width="8" style="95" customWidth="1"/>
    <col min="4868" max="4868" width="2.5" style="95" customWidth="1"/>
    <col min="4869" max="4870" width="8.33203125" style="95" customWidth="1"/>
    <col min="4871" max="4871" width="2.5" style="95" customWidth="1"/>
    <col min="4872" max="4873" width="8.33203125" style="95" customWidth="1"/>
    <col min="4874" max="4874" width="2.5" style="95" customWidth="1"/>
    <col min="4875" max="4875" width="7.5" style="95" customWidth="1"/>
    <col min="4876" max="4876" width="7.6640625" style="95" customWidth="1"/>
    <col min="4877" max="4877" width="2.6640625" style="95" customWidth="1"/>
    <col min="4878" max="4878" width="7.6640625" style="95" customWidth="1"/>
    <col min="4879" max="4879" width="8" style="95" customWidth="1"/>
    <col min="4880" max="4880" width="2.6640625" style="95" customWidth="1"/>
    <col min="4881" max="4881" width="7.6640625" style="95" customWidth="1"/>
    <col min="4882" max="4882" width="7.83203125" style="95" customWidth="1"/>
    <col min="4883" max="4883" width="2.6640625" style="95" customWidth="1"/>
    <col min="4884" max="4884" width="3.83203125" style="95" customWidth="1"/>
    <col min="4885" max="5120" width="9.1640625" style="95"/>
    <col min="5121" max="5121" width="35.33203125" style="95" customWidth="1"/>
    <col min="5122" max="5122" width="8.33203125" style="95" customWidth="1"/>
    <col min="5123" max="5123" width="8" style="95" customWidth="1"/>
    <col min="5124" max="5124" width="2.5" style="95" customWidth="1"/>
    <col min="5125" max="5126" width="8.33203125" style="95" customWidth="1"/>
    <col min="5127" max="5127" width="2.5" style="95" customWidth="1"/>
    <col min="5128" max="5129" width="8.33203125" style="95" customWidth="1"/>
    <col min="5130" max="5130" width="2.5" style="95" customWidth="1"/>
    <col min="5131" max="5131" width="7.5" style="95" customWidth="1"/>
    <col min="5132" max="5132" width="7.6640625" style="95" customWidth="1"/>
    <col min="5133" max="5133" width="2.6640625" style="95" customWidth="1"/>
    <col min="5134" max="5134" width="7.6640625" style="95" customWidth="1"/>
    <col min="5135" max="5135" width="8" style="95" customWidth="1"/>
    <col min="5136" max="5136" width="2.6640625" style="95" customWidth="1"/>
    <col min="5137" max="5137" width="7.6640625" style="95" customWidth="1"/>
    <col min="5138" max="5138" width="7.83203125" style="95" customWidth="1"/>
    <col min="5139" max="5139" width="2.6640625" style="95" customWidth="1"/>
    <col min="5140" max="5140" width="3.83203125" style="95" customWidth="1"/>
    <col min="5141" max="5376" width="9.1640625" style="95"/>
    <col min="5377" max="5377" width="35.33203125" style="95" customWidth="1"/>
    <col min="5378" max="5378" width="8.33203125" style="95" customWidth="1"/>
    <col min="5379" max="5379" width="8" style="95" customWidth="1"/>
    <col min="5380" max="5380" width="2.5" style="95" customWidth="1"/>
    <col min="5381" max="5382" width="8.33203125" style="95" customWidth="1"/>
    <col min="5383" max="5383" width="2.5" style="95" customWidth="1"/>
    <col min="5384" max="5385" width="8.33203125" style="95" customWidth="1"/>
    <col min="5386" max="5386" width="2.5" style="95" customWidth="1"/>
    <col min="5387" max="5387" width="7.5" style="95" customWidth="1"/>
    <col min="5388" max="5388" width="7.6640625" style="95" customWidth="1"/>
    <col min="5389" max="5389" width="2.6640625" style="95" customWidth="1"/>
    <col min="5390" max="5390" width="7.6640625" style="95" customWidth="1"/>
    <col min="5391" max="5391" width="8" style="95" customWidth="1"/>
    <col min="5392" max="5392" width="2.6640625" style="95" customWidth="1"/>
    <col min="5393" max="5393" width="7.6640625" style="95" customWidth="1"/>
    <col min="5394" max="5394" width="7.83203125" style="95" customWidth="1"/>
    <col min="5395" max="5395" width="2.6640625" style="95" customWidth="1"/>
    <col min="5396" max="5396" width="3.83203125" style="95" customWidth="1"/>
    <col min="5397" max="5632" width="9.1640625" style="95"/>
    <col min="5633" max="5633" width="35.33203125" style="95" customWidth="1"/>
    <col min="5634" max="5634" width="8.33203125" style="95" customWidth="1"/>
    <col min="5635" max="5635" width="8" style="95" customWidth="1"/>
    <col min="5636" max="5636" width="2.5" style="95" customWidth="1"/>
    <col min="5637" max="5638" width="8.33203125" style="95" customWidth="1"/>
    <col min="5639" max="5639" width="2.5" style="95" customWidth="1"/>
    <col min="5640" max="5641" width="8.33203125" style="95" customWidth="1"/>
    <col min="5642" max="5642" width="2.5" style="95" customWidth="1"/>
    <col min="5643" max="5643" width="7.5" style="95" customWidth="1"/>
    <col min="5644" max="5644" width="7.6640625" style="95" customWidth="1"/>
    <col min="5645" max="5645" width="2.6640625" style="95" customWidth="1"/>
    <col min="5646" max="5646" width="7.6640625" style="95" customWidth="1"/>
    <col min="5647" max="5647" width="8" style="95" customWidth="1"/>
    <col min="5648" max="5648" width="2.6640625" style="95" customWidth="1"/>
    <col min="5649" max="5649" width="7.6640625" style="95" customWidth="1"/>
    <col min="5650" max="5650" width="7.83203125" style="95" customWidth="1"/>
    <col min="5651" max="5651" width="2.6640625" style="95" customWidth="1"/>
    <col min="5652" max="5652" width="3.83203125" style="95" customWidth="1"/>
    <col min="5653" max="5888" width="9.1640625" style="95"/>
    <col min="5889" max="5889" width="35.33203125" style="95" customWidth="1"/>
    <col min="5890" max="5890" width="8.33203125" style="95" customWidth="1"/>
    <col min="5891" max="5891" width="8" style="95" customWidth="1"/>
    <col min="5892" max="5892" width="2.5" style="95" customWidth="1"/>
    <col min="5893" max="5894" width="8.33203125" style="95" customWidth="1"/>
    <col min="5895" max="5895" width="2.5" style="95" customWidth="1"/>
    <col min="5896" max="5897" width="8.33203125" style="95" customWidth="1"/>
    <col min="5898" max="5898" width="2.5" style="95" customWidth="1"/>
    <col min="5899" max="5899" width="7.5" style="95" customWidth="1"/>
    <col min="5900" max="5900" width="7.6640625" style="95" customWidth="1"/>
    <col min="5901" max="5901" width="2.6640625" style="95" customWidth="1"/>
    <col min="5902" max="5902" width="7.6640625" style="95" customWidth="1"/>
    <col min="5903" max="5903" width="8" style="95" customWidth="1"/>
    <col min="5904" max="5904" width="2.6640625" style="95" customWidth="1"/>
    <col min="5905" max="5905" width="7.6640625" style="95" customWidth="1"/>
    <col min="5906" max="5906" width="7.83203125" style="95" customWidth="1"/>
    <col min="5907" max="5907" width="2.6640625" style="95" customWidth="1"/>
    <col min="5908" max="5908" width="3.83203125" style="95" customWidth="1"/>
    <col min="5909" max="6144" width="9.1640625" style="95"/>
    <col min="6145" max="6145" width="35.33203125" style="95" customWidth="1"/>
    <col min="6146" max="6146" width="8.33203125" style="95" customWidth="1"/>
    <col min="6147" max="6147" width="8" style="95" customWidth="1"/>
    <col min="6148" max="6148" width="2.5" style="95" customWidth="1"/>
    <col min="6149" max="6150" width="8.33203125" style="95" customWidth="1"/>
    <col min="6151" max="6151" width="2.5" style="95" customWidth="1"/>
    <col min="6152" max="6153" width="8.33203125" style="95" customWidth="1"/>
    <col min="6154" max="6154" width="2.5" style="95" customWidth="1"/>
    <col min="6155" max="6155" width="7.5" style="95" customWidth="1"/>
    <col min="6156" max="6156" width="7.6640625" style="95" customWidth="1"/>
    <col min="6157" max="6157" width="2.6640625" style="95" customWidth="1"/>
    <col min="6158" max="6158" width="7.6640625" style="95" customWidth="1"/>
    <col min="6159" max="6159" width="8" style="95" customWidth="1"/>
    <col min="6160" max="6160" width="2.6640625" style="95" customWidth="1"/>
    <col min="6161" max="6161" width="7.6640625" style="95" customWidth="1"/>
    <col min="6162" max="6162" width="7.83203125" style="95" customWidth="1"/>
    <col min="6163" max="6163" width="2.6640625" style="95" customWidth="1"/>
    <col min="6164" max="6164" width="3.83203125" style="95" customWidth="1"/>
    <col min="6165" max="6400" width="9.1640625" style="95"/>
    <col min="6401" max="6401" width="35.33203125" style="95" customWidth="1"/>
    <col min="6402" max="6402" width="8.33203125" style="95" customWidth="1"/>
    <col min="6403" max="6403" width="8" style="95" customWidth="1"/>
    <col min="6404" max="6404" width="2.5" style="95" customWidth="1"/>
    <col min="6405" max="6406" width="8.33203125" style="95" customWidth="1"/>
    <col min="6407" max="6407" width="2.5" style="95" customWidth="1"/>
    <col min="6408" max="6409" width="8.33203125" style="95" customWidth="1"/>
    <col min="6410" max="6410" width="2.5" style="95" customWidth="1"/>
    <col min="6411" max="6411" width="7.5" style="95" customWidth="1"/>
    <col min="6412" max="6412" width="7.6640625" style="95" customWidth="1"/>
    <col min="6413" max="6413" width="2.6640625" style="95" customWidth="1"/>
    <col min="6414" max="6414" width="7.6640625" style="95" customWidth="1"/>
    <col min="6415" max="6415" width="8" style="95" customWidth="1"/>
    <col min="6416" max="6416" width="2.6640625" style="95" customWidth="1"/>
    <col min="6417" max="6417" width="7.6640625" style="95" customWidth="1"/>
    <col min="6418" max="6418" width="7.83203125" style="95" customWidth="1"/>
    <col min="6419" max="6419" width="2.6640625" style="95" customWidth="1"/>
    <col min="6420" max="6420" width="3.83203125" style="95" customWidth="1"/>
    <col min="6421" max="6656" width="9.1640625" style="95"/>
    <col min="6657" max="6657" width="35.33203125" style="95" customWidth="1"/>
    <col min="6658" max="6658" width="8.33203125" style="95" customWidth="1"/>
    <col min="6659" max="6659" width="8" style="95" customWidth="1"/>
    <col min="6660" max="6660" width="2.5" style="95" customWidth="1"/>
    <col min="6661" max="6662" width="8.33203125" style="95" customWidth="1"/>
    <col min="6663" max="6663" width="2.5" style="95" customWidth="1"/>
    <col min="6664" max="6665" width="8.33203125" style="95" customWidth="1"/>
    <col min="6666" max="6666" width="2.5" style="95" customWidth="1"/>
    <col min="6667" max="6667" width="7.5" style="95" customWidth="1"/>
    <col min="6668" max="6668" width="7.6640625" style="95" customWidth="1"/>
    <col min="6669" max="6669" width="2.6640625" style="95" customWidth="1"/>
    <col min="6670" max="6670" width="7.6640625" style="95" customWidth="1"/>
    <col min="6671" max="6671" width="8" style="95" customWidth="1"/>
    <col min="6672" max="6672" width="2.6640625" style="95" customWidth="1"/>
    <col min="6673" max="6673" width="7.6640625" style="95" customWidth="1"/>
    <col min="6674" max="6674" width="7.83203125" style="95" customWidth="1"/>
    <col min="6675" max="6675" width="2.6640625" style="95" customWidth="1"/>
    <col min="6676" max="6676" width="3.83203125" style="95" customWidth="1"/>
    <col min="6677" max="6912" width="9.1640625" style="95"/>
    <col min="6913" max="6913" width="35.33203125" style="95" customWidth="1"/>
    <col min="6914" max="6914" width="8.33203125" style="95" customWidth="1"/>
    <col min="6915" max="6915" width="8" style="95" customWidth="1"/>
    <col min="6916" max="6916" width="2.5" style="95" customWidth="1"/>
    <col min="6917" max="6918" width="8.33203125" style="95" customWidth="1"/>
    <col min="6919" max="6919" width="2.5" style="95" customWidth="1"/>
    <col min="6920" max="6921" width="8.33203125" style="95" customWidth="1"/>
    <col min="6922" max="6922" width="2.5" style="95" customWidth="1"/>
    <col min="6923" max="6923" width="7.5" style="95" customWidth="1"/>
    <col min="6924" max="6924" width="7.6640625" style="95" customWidth="1"/>
    <col min="6925" max="6925" width="2.6640625" style="95" customWidth="1"/>
    <col min="6926" max="6926" width="7.6640625" style="95" customWidth="1"/>
    <col min="6927" max="6927" width="8" style="95" customWidth="1"/>
    <col min="6928" max="6928" width="2.6640625" style="95" customWidth="1"/>
    <col min="6929" max="6929" width="7.6640625" style="95" customWidth="1"/>
    <col min="6930" max="6930" width="7.83203125" style="95" customWidth="1"/>
    <col min="6931" max="6931" width="2.6640625" style="95" customWidth="1"/>
    <col min="6932" max="6932" width="3.83203125" style="95" customWidth="1"/>
    <col min="6933" max="7168" width="9.1640625" style="95"/>
    <col min="7169" max="7169" width="35.33203125" style="95" customWidth="1"/>
    <col min="7170" max="7170" width="8.33203125" style="95" customWidth="1"/>
    <col min="7171" max="7171" width="8" style="95" customWidth="1"/>
    <col min="7172" max="7172" width="2.5" style="95" customWidth="1"/>
    <col min="7173" max="7174" width="8.33203125" style="95" customWidth="1"/>
    <col min="7175" max="7175" width="2.5" style="95" customWidth="1"/>
    <col min="7176" max="7177" width="8.33203125" style="95" customWidth="1"/>
    <col min="7178" max="7178" width="2.5" style="95" customWidth="1"/>
    <col min="7179" max="7179" width="7.5" style="95" customWidth="1"/>
    <col min="7180" max="7180" width="7.6640625" style="95" customWidth="1"/>
    <col min="7181" max="7181" width="2.6640625" style="95" customWidth="1"/>
    <col min="7182" max="7182" width="7.6640625" style="95" customWidth="1"/>
    <col min="7183" max="7183" width="8" style="95" customWidth="1"/>
    <col min="7184" max="7184" width="2.6640625" style="95" customWidth="1"/>
    <col min="7185" max="7185" width="7.6640625" style="95" customWidth="1"/>
    <col min="7186" max="7186" width="7.83203125" style="95" customWidth="1"/>
    <col min="7187" max="7187" width="2.6640625" style="95" customWidth="1"/>
    <col min="7188" max="7188" width="3.83203125" style="95" customWidth="1"/>
    <col min="7189" max="7424" width="9.1640625" style="95"/>
    <col min="7425" max="7425" width="35.33203125" style="95" customWidth="1"/>
    <col min="7426" max="7426" width="8.33203125" style="95" customWidth="1"/>
    <col min="7427" max="7427" width="8" style="95" customWidth="1"/>
    <col min="7428" max="7428" width="2.5" style="95" customWidth="1"/>
    <col min="7429" max="7430" width="8.33203125" style="95" customWidth="1"/>
    <col min="7431" max="7431" width="2.5" style="95" customWidth="1"/>
    <col min="7432" max="7433" width="8.33203125" style="95" customWidth="1"/>
    <col min="7434" max="7434" width="2.5" style="95" customWidth="1"/>
    <col min="7435" max="7435" width="7.5" style="95" customWidth="1"/>
    <col min="7436" max="7436" width="7.6640625" style="95" customWidth="1"/>
    <col min="7437" max="7437" width="2.6640625" style="95" customWidth="1"/>
    <col min="7438" max="7438" width="7.6640625" style="95" customWidth="1"/>
    <col min="7439" max="7439" width="8" style="95" customWidth="1"/>
    <col min="7440" max="7440" width="2.6640625" style="95" customWidth="1"/>
    <col min="7441" max="7441" width="7.6640625" style="95" customWidth="1"/>
    <col min="7442" max="7442" width="7.83203125" style="95" customWidth="1"/>
    <col min="7443" max="7443" width="2.6640625" style="95" customWidth="1"/>
    <col min="7444" max="7444" width="3.83203125" style="95" customWidth="1"/>
    <col min="7445" max="7680" width="9.1640625" style="95"/>
    <col min="7681" max="7681" width="35.33203125" style="95" customWidth="1"/>
    <col min="7682" max="7682" width="8.33203125" style="95" customWidth="1"/>
    <col min="7683" max="7683" width="8" style="95" customWidth="1"/>
    <col min="7684" max="7684" width="2.5" style="95" customWidth="1"/>
    <col min="7685" max="7686" width="8.33203125" style="95" customWidth="1"/>
    <col min="7687" max="7687" width="2.5" style="95" customWidth="1"/>
    <col min="7688" max="7689" width="8.33203125" style="95" customWidth="1"/>
    <col min="7690" max="7690" width="2.5" style="95" customWidth="1"/>
    <col min="7691" max="7691" width="7.5" style="95" customWidth="1"/>
    <col min="7692" max="7692" width="7.6640625" style="95" customWidth="1"/>
    <col min="7693" max="7693" width="2.6640625" style="95" customWidth="1"/>
    <col min="7694" max="7694" width="7.6640625" style="95" customWidth="1"/>
    <col min="7695" max="7695" width="8" style="95" customWidth="1"/>
    <col min="7696" max="7696" width="2.6640625" style="95" customWidth="1"/>
    <col min="7697" max="7697" width="7.6640625" style="95" customWidth="1"/>
    <col min="7698" max="7698" width="7.83203125" style="95" customWidth="1"/>
    <col min="7699" max="7699" width="2.6640625" style="95" customWidth="1"/>
    <col min="7700" max="7700" width="3.83203125" style="95" customWidth="1"/>
    <col min="7701" max="7936" width="9.1640625" style="95"/>
    <col min="7937" max="7937" width="35.33203125" style="95" customWidth="1"/>
    <col min="7938" max="7938" width="8.33203125" style="95" customWidth="1"/>
    <col min="7939" max="7939" width="8" style="95" customWidth="1"/>
    <col min="7940" max="7940" width="2.5" style="95" customWidth="1"/>
    <col min="7941" max="7942" width="8.33203125" style="95" customWidth="1"/>
    <col min="7943" max="7943" width="2.5" style="95" customWidth="1"/>
    <col min="7944" max="7945" width="8.33203125" style="95" customWidth="1"/>
    <col min="7946" max="7946" width="2.5" style="95" customWidth="1"/>
    <col min="7947" max="7947" width="7.5" style="95" customWidth="1"/>
    <col min="7948" max="7948" width="7.6640625" style="95" customWidth="1"/>
    <col min="7949" max="7949" width="2.6640625" style="95" customWidth="1"/>
    <col min="7950" max="7950" width="7.6640625" style="95" customWidth="1"/>
    <col min="7951" max="7951" width="8" style="95" customWidth="1"/>
    <col min="7952" max="7952" width="2.6640625" style="95" customWidth="1"/>
    <col min="7953" max="7953" width="7.6640625" style="95" customWidth="1"/>
    <col min="7954" max="7954" width="7.83203125" style="95" customWidth="1"/>
    <col min="7955" max="7955" width="2.6640625" style="95" customWidth="1"/>
    <col min="7956" max="7956" width="3.83203125" style="95" customWidth="1"/>
    <col min="7957" max="8192" width="9.1640625" style="95"/>
    <col min="8193" max="8193" width="35.33203125" style="95" customWidth="1"/>
    <col min="8194" max="8194" width="8.33203125" style="95" customWidth="1"/>
    <col min="8195" max="8195" width="8" style="95" customWidth="1"/>
    <col min="8196" max="8196" width="2.5" style="95" customWidth="1"/>
    <col min="8197" max="8198" width="8.33203125" style="95" customWidth="1"/>
    <col min="8199" max="8199" width="2.5" style="95" customWidth="1"/>
    <col min="8200" max="8201" width="8.33203125" style="95" customWidth="1"/>
    <col min="8202" max="8202" width="2.5" style="95" customWidth="1"/>
    <col min="8203" max="8203" width="7.5" style="95" customWidth="1"/>
    <col min="8204" max="8204" width="7.6640625" style="95" customWidth="1"/>
    <col min="8205" max="8205" width="2.6640625" style="95" customWidth="1"/>
    <col min="8206" max="8206" width="7.6640625" style="95" customWidth="1"/>
    <col min="8207" max="8207" width="8" style="95" customWidth="1"/>
    <col min="8208" max="8208" width="2.6640625" style="95" customWidth="1"/>
    <col min="8209" max="8209" width="7.6640625" style="95" customWidth="1"/>
    <col min="8210" max="8210" width="7.83203125" style="95" customWidth="1"/>
    <col min="8211" max="8211" width="2.6640625" style="95" customWidth="1"/>
    <col min="8212" max="8212" width="3.83203125" style="95" customWidth="1"/>
    <col min="8213" max="8448" width="9.1640625" style="95"/>
    <col min="8449" max="8449" width="35.33203125" style="95" customWidth="1"/>
    <col min="8450" max="8450" width="8.33203125" style="95" customWidth="1"/>
    <col min="8451" max="8451" width="8" style="95" customWidth="1"/>
    <col min="8452" max="8452" width="2.5" style="95" customWidth="1"/>
    <col min="8453" max="8454" width="8.33203125" style="95" customWidth="1"/>
    <col min="8455" max="8455" width="2.5" style="95" customWidth="1"/>
    <col min="8456" max="8457" width="8.33203125" style="95" customWidth="1"/>
    <col min="8458" max="8458" width="2.5" style="95" customWidth="1"/>
    <col min="8459" max="8459" width="7.5" style="95" customWidth="1"/>
    <col min="8460" max="8460" width="7.6640625" style="95" customWidth="1"/>
    <col min="8461" max="8461" width="2.6640625" style="95" customWidth="1"/>
    <col min="8462" max="8462" width="7.6640625" style="95" customWidth="1"/>
    <col min="8463" max="8463" width="8" style="95" customWidth="1"/>
    <col min="8464" max="8464" width="2.6640625" style="95" customWidth="1"/>
    <col min="8465" max="8465" width="7.6640625" style="95" customWidth="1"/>
    <col min="8466" max="8466" width="7.83203125" style="95" customWidth="1"/>
    <col min="8467" max="8467" width="2.6640625" style="95" customWidth="1"/>
    <col min="8468" max="8468" width="3.83203125" style="95" customWidth="1"/>
    <col min="8469" max="8704" width="9.1640625" style="95"/>
    <col min="8705" max="8705" width="35.33203125" style="95" customWidth="1"/>
    <col min="8706" max="8706" width="8.33203125" style="95" customWidth="1"/>
    <col min="8707" max="8707" width="8" style="95" customWidth="1"/>
    <col min="8708" max="8708" width="2.5" style="95" customWidth="1"/>
    <col min="8709" max="8710" width="8.33203125" style="95" customWidth="1"/>
    <col min="8711" max="8711" width="2.5" style="95" customWidth="1"/>
    <col min="8712" max="8713" width="8.33203125" style="95" customWidth="1"/>
    <col min="8714" max="8714" width="2.5" style="95" customWidth="1"/>
    <col min="8715" max="8715" width="7.5" style="95" customWidth="1"/>
    <col min="8716" max="8716" width="7.6640625" style="95" customWidth="1"/>
    <col min="8717" max="8717" width="2.6640625" style="95" customWidth="1"/>
    <col min="8718" max="8718" width="7.6640625" style="95" customWidth="1"/>
    <col min="8719" max="8719" width="8" style="95" customWidth="1"/>
    <col min="8720" max="8720" width="2.6640625" style="95" customWidth="1"/>
    <col min="8721" max="8721" width="7.6640625" style="95" customWidth="1"/>
    <col min="8722" max="8722" width="7.83203125" style="95" customWidth="1"/>
    <col min="8723" max="8723" width="2.6640625" style="95" customWidth="1"/>
    <col min="8724" max="8724" width="3.83203125" style="95" customWidth="1"/>
    <col min="8725" max="8960" width="9.1640625" style="95"/>
    <col min="8961" max="8961" width="35.33203125" style="95" customWidth="1"/>
    <col min="8962" max="8962" width="8.33203125" style="95" customWidth="1"/>
    <col min="8963" max="8963" width="8" style="95" customWidth="1"/>
    <col min="8964" max="8964" width="2.5" style="95" customWidth="1"/>
    <col min="8965" max="8966" width="8.33203125" style="95" customWidth="1"/>
    <col min="8967" max="8967" width="2.5" style="95" customWidth="1"/>
    <col min="8968" max="8969" width="8.33203125" style="95" customWidth="1"/>
    <col min="8970" max="8970" width="2.5" style="95" customWidth="1"/>
    <col min="8971" max="8971" width="7.5" style="95" customWidth="1"/>
    <col min="8972" max="8972" width="7.6640625" style="95" customWidth="1"/>
    <col min="8973" max="8973" width="2.6640625" style="95" customWidth="1"/>
    <col min="8974" max="8974" width="7.6640625" style="95" customWidth="1"/>
    <col min="8975" max="8975" width="8" style="95" customWidth="1"/>
    <col min="8976" max="8976" width="2.6640625" style="95" customWidth="1"/>
    <col min="8977" max="8977" width="7.6640625" style="95" customWidth="1"/>
    <col min="8978" max="8978" width="7.83203125" style="95" customWidth="1"/>
    <col min="8979" max="8979" width="2.6640625" style="95" customWidth="1"/>
    <col min="8980" max="8980" width="3.83203125" style="95" customWidth="1"/>
    <col min="8981" max="9216" width="9.1640625" style="95"/>
    <col min="9217" max="9217" width="35.33203125" style="95" customWidth="1"/>
    <col min="9218" max="9218" width="8.33203125" style="95" customWidth="1"/>
    <col min="9219" max="9219" width="8" style="95" customWidth="1"/>
    <col min="9220" max="9220" width="2.5" style="95" customWidth="1"/>
    <col min="9221" max="9222" width="8.33203125" style="95" customWidth="1"/>
    <col min="9223" max="9223" width="2.5" style="95" customWidth="1"/>
    <col min="9224" max="9225" width="8.33203125" style="95" customWidth="1"/>
    <col min="9226" max="9226" width="2.5" style="95" customWidth="1"/>
    <col min="9227" max="9227" width="7.5" style="95" customWidth="1"/>
    <col min="9228" max="9228" width="7.6640625" style="95" customWidth="1"/>
    <col min="9229" max="9229" width="2.6640625" style="95" customWidth="1"/>
    <col min="9230" max="9230" width="7.6640625" style="95" customWidth="1"/>
    <col min="9231" max="9231" width="8" style="95" customWidth="1"/>
    <col min="9232" max="9232" width="2.6640625" style="95" customWidth="1"/>
    <col min="9233" max="9233" width="7.6640625" style="95" customWidth="1"/>
    <col min="9234" max="9234" width="7.83203125" style="95" customWidth="1"/>
    <col min="9235" max="9235" width="2.6640625" style="95" customWidth="1"/>
    <col min="9236" max="9236" width="3.83203125" style="95" customWidth="1"/>
    <col min="9237" max="9472" width="9.1640625" style="95"/>
    <col min="9473" max="9473" width="35.33203125" style="95" customWidth="1"/>
    <col min="9474" max="9474" width="8.33203125" style="95" customWidth="1"/>
    <col min="9475" max="9475" width="8" style="95" customWidth="1"/>
    <col min="9476" max="9476" width="2.5" style="95" customWidth="1"/>
    <col min="9477" max="9478" width="8.33203125" style="95" customWidth="1"/>
    <col min="9479" max="9479" width="2.5" style="95" customWidth="1"/>
    <col min="9480" max="9481" width="8.33203125" style="95" customWidth="1"/>
    <col min="9482" max="9482" width="2.5" style="95" customWidth="1"/>
    <col min="9483" max="9483" width="7.5" style="95" customWidth="1"/>
    <col min="9484" max="9484" width="7.6640625" style="95" customWidth="1"/>
    <col min="9485" max="9485" width="2.6640625" style="95" customWidth="1"/>
    <col min="9486" max="9486" width="7.6640625" style="95" customWidth="1"/>
    <col min="9487" max="9487" width="8" style="95" customWidth="1"/>
    <col min="9488" max="9488" width="2.6640625" style="95" customWidth="1"/>
    <col min="9489" max="9489" width="7.6640625" style="95" customWidth="1"/>
    <col min="9490" max="9490" width="7.83203125" style="95" customWidth="1"/>
    <col min="9491" max="9491" width="2.6640625" style="95" customWidth="1"/>
    <col min="9492" max="9492" width="3.83203125" style="95" customWidth="1"/>
    <col min="9493" max="9728" width="9.1640625" style="95"/>
    <col min="9729" max="9729" width="35.33203125" style="95" customWidth="1"/>
    <col min="9730" max="9730" width="8.33203125" style="95" customWidth="1"/>
    <col min="9731" max="9731" width="8" style="95" customWidth="1"/>
    <col min="9732" max="9732" width="2.5" style="95" customWidth="1"/>
    <col min="9733" max="9734" width="8.33203125" style="95" customWidth="1"/>
    <col min="9735" max="9735" width="2.5" style="95" customWidth="1"/>
    <col min="9736" max="9737" width="8.33203125" style="95" customWidth="1"/>
    <col min="9738" max="9738" width="2.5" style="95" customWidth="1"/>
    <col min="9739" max="9739" width="7.5" style="95" customWidth="1"/>
    <col min="9740" max="9740" width="7.6640625" style="95" customWidth="1"/>
    <col min="9741" max="9741" width="2.6640625" style="95" customWidth="1"/>
    <col min="9742" max="9742" width="7.6640625" style="95" customWidth="1"/>
    <col min="9743" max="9743" width="8" style="95" customWidth="1"/>
    <col min="9744" max="9744" width="2.6640625" style="95" customWidth="1"/>
    <col min="9745" max="9745" width="7.6640625" style="95" customWidth="1"/>
    <col min="9746" max="9746" width="7.83203125" style="95" customWidth="1"/>
    <col min="9747" max="9747" width="2.6640625" style="95" customWidth="1"/>
    <col min="9748" max="9748" width="3.83203125" style="95" customWidth="1"/>
    <col min="9749" max="9984" width="9.1640625" style="95"/>
    <col min="9985" max="9985" width="35.33203125" style="95" customWidth="1"/>
    <col min="9986" max="9986" width="8.33203125" style="95" customWidth="1"/>
    <col min="9987" max="9987" width="8" style="95" customWidth="1"/>
    <col min="9988" max="9988" width="2.5" style="95" customWidth="1"/>
    <col min="9989" max="9990" width="8.33203125" style="95" customWidth="1"/>
    <col min="9991" max="9991" width="2.5" style="95" customWidth="1"/>
    <col min="9992" max="9993" width="8.33203125" style="95" customWidth="1"/>
    <col min="9994" max="9994" width="2.5" style="95" customWidth="1"/>
    <col min="9995" max="9995" width="7.5" style="95" customWidth="1"/>
    <col min="9996" max="9996" width="7.6640625" style="95" customWidth="1"/>
    <col min="9997" max="9997" width="2.6640625" style="95" customWidth="1"/>
    <col min="9998" max="9998" width="7.6640625" style="95" customWidth="1"/>
    <col min="9999" max="9999" width="8" style="95" customWidth="1"/>
    <col min="10000" max="10000" width="2.6640625" style="95" customWidth="1"/>
    <col min="10001" max="10001" width="7.6640625" style="95" customWidth="1"/>
    <col min="10002" max="10002" width="7.83203125" style="95" customWidth="1"/>
    <col min="10003" max="10003" width="2.6640625" style="95" customWidth="1"/>
    <col min="10004" max="10004" width="3.83203125" style="95" customWidth="1"/>
    <col min="10005" max="10240" width="9.1640625" style="95"/>
    <col min="10241" max="10241" width="35.33203125" style="95" customWidth="1"/>
    <col min="10242" max="10242" width="8.33203125" style="95" customWidth="1"/>
    <col min="10243" max="10243" width="8" style="95" customWidth="1"/>
    <col min="10244" max="10244" width="2.5" style="95" customWidth="1"/>
    <col min="10245" max="10246" width="8.33203125" style="95" customWidth="1"/>
    <col min="10247" max="10247" width="2.5" style="95" customWidth="1"/>
    <col min="10248" max="10249" width="8.33203125" style="95" customWidth="1"/>
    <col min="10250" max="10250" width="2.5" style="95" customWidth="1"/>
    <col min="10251" max="10251" width="7.5" style="95" customWidth="1"/>
    <col min="10252" max="10252" width="7.6640625" style="95" customWidth="1"/>
    <col min="10253" max="10253" width="2.6640625" style="95" customWidth="1"/>
    <col min="10254" max="10254" width="7.6640625" style="95" customWidth="1"/>
    <col min="10255" max="10255" width="8" style="95" customWidth="1"/>
    <col min="10256" max="10256" width="2.6640625" style="95" customWidth="1"/>
    <col min="10257" max="10257" width="7.6640625" style="95" customWidth="1"/>
    <col min="10258" max="10258" width="7.83203125" style="95" customWidth="1"/>
    <col min="10259" max="10259" width="2.6640625" style="95" customWidth="1"/>
    <col min="10260" max="10260" width="3.83203125" style="95" customWidth="1"/>
    <col min="10261" max="10496" width="9.1640625" style="95"/>
    <col min="10497" max="10497" width="35.33203125" style="95" customWidth="1"/>
    <col min="10498" max="10498" width="8.33203125" style="95" customWidth="1"/>
    <col min="10499" max="10499" width="8" style="95" customWidth="1"/>
    <col min="10500" max="10500" width="2.5" style="95" customWidth="1"/>
    <col min="10501" max="10502" width="8.33203125" style="95" customWidth="1"/>
    <col min="10503" max="10503" width="2.5" style="95" customWidth="1"/>
    <col min="10504" max="10505" width="8.33203125" style="95" customWidth="1"/>
    <col min="10506" max="10506" width="2.5" style="95" customWidth="1"/>
    <col min="10507" max="10507" width="7.5" style="95" customWidth="1"/>
    <col min="10508" max="10508" width="7.6640625" style="95" customWidth="1"/>
    <col min="10509" max="10509" width="2.6640625" style="95" customWidth="1"/>
    <col min="10510" max="10510" width="7.6640625" style="95" customWidth="1"/>
    <col min="10511" max="10511" width="8" style="95" customWidth="1"/>
    <col min="10512" max="10512" width="2.6640625" style="95" customWidth="1"/>
    <col min="10513" max="10513" width="7.6640625" style="95" customWidth="1"/>
    <col min="10514" max="10514" width="7.83203125" style="95" customWidth="1"/>
    <col min="10515" max="10515" width="2.6640625" style="95" customWidth="1"/>
    <col min="10516" max="10516" width="3.83203125" style="95" customWidth="1"/>
    <col min="10517" max="10752" width="9.1640625" style="95"/>
    <col min="10753" max="10753" width="35.33203125" style="95" customWidth="1"/>
    <col min="10754" max="10754" width="8.33203125" style="95" customWidth="1"/>
    <col min="10755" max="10755" width="8" style="95" customWidth="1"/>
    <col min="10756" max="10756" width="2.5" style="95" customWidth="1"/>
    <col min="10757" max="10758" width="8.33203125" style="95" customWidth="1"/>
    <col min="10759" max="10759" width="2.5" style="95" customWidth="1"/>
    <col min="10760" max="10761" width="8.33203125" style="95" customWidth="1"/>
    <col min="10762" max="10762" width="2.5" style="95" customWidth="1"/>
    <col min="10763" max="10763" width="7.5" style="95" customWidth="1"/>
    <col min="10764" max="10764" width="7.6640625" style="95" customWidth="1"/>
    <col min="10765" max="10765" width="2.6640625" style="95" customWidth="1"/>
    <col min="10766" max="10766" width="7.6640625" style="95" customWidth="1"/>
    <col min="10767" max="10767" width="8" style="95" customWidth="1"/>
    <col min="10768" max="10768" width="2.6640625" style="95" customWidth="1"/>
    <col min="10769" max="10769" width="7.6640625" style="95" customWidth="1"/>
    <col min="10770" max="10770" width="7.83203125" style="95" customWidth="1"/>
    <col min="10771" max="10771" width="2.6640625" style="95" customWidth="1"/>
    <col min="10772" max="10772" width="3.83203125" style="95" customWidth="1"/>
    <col min="10773" max="11008" width="9.1640625" style="95"/>
    <col min="11009" max="11009" width="35.33203125" style="95" customWidth="1"/>
    <col min="11010" max="11010" width="8.33203125" style="95" customWidth="1"/>
    <col min="11011" max="11011" width="8" style="95" customWidth="1"/>
    <col min="11012" max="11012" width="2.5" style="95" customWidth="1"/>
    <col min="11013" max="11014" width="8.33203125" style="95" customWidth="1"/>
    <col min="11015" max="11015" width="2.5" style="95" customWidth="1"/>
    <col min="11016" max="11017" width="8.33203125" style="95" customWidth="1"/>
    <col min="11018" max="11018" width="2.5" style="95" customWidth="1"/>
    <col min="11019" max="11019" width="7.5" style="95" customWidth="1"/>
    <col min="11020" max="11020" width="7.6640625" style="95" customWidth="1"/>
    <col min="11021" max="11021" width="2.6640625" style="95" customWidth="1"/>
    <col min="11022" max="11022" width="7.6640625" style="95" customWidth="1"/>
    <col min="11023" max="11023" width="8" style="95" customWidth="1"/>
    <col min="11024" max="11024" width="2.6640625" style="95" customWidth="1"/>
    <col min="11025" max="11025" width="7.6640625" style="95" customWidth="1"/>
    <col min="11026" max="11026" width="7.83203125" style="95" customWidth="1"/>
    <col min="11027" max="11027" width="2.6640625" style="95" customWidth="1"/>
    <col min="11028" max="11028" width="3.83203125" style="95" customWidth="1"/>
    <col min="11029" max="11264" width="9.1640625" style="95"/>
    <col min="11265" max="11265" width="35.33203125" style="95" customWidth="1"/>
    <col min="11266" max="11266" width="8.33203125" style="95" customWidth="1"/>
    <col min="11267" max="11267" width="8" style="95" customWidth="1"/>
    <col min="11268" max="11268" width="2.5" style="95" customWidth="1"/>
    <col min="11269" max="11270" width="8.33203125" style="95" customWidth="1"/>
    <col min="11271" max="11271" width="2.5" style="95" customWidth="1"/>
    <col min="11272" max="11273" width="8.33203125" style="95" customWidth="1"/>
    <col min="11274" max="11274" width="2.5" style="95" customWidth="1"/>
    <col min="11275" max="11275" width="7.5" style="95" customWidth="1"/>
    <col min="11276" max="11276" width="7.6640625" style="95" customWidth="1"/>
    <col min="11277" max="11277" width="2.6640625" style="95" customWidth="1"/>
    <col min="11278" max="11278" width="7.6640625" style="95" customWidth="1"/>
    <col min="11279" max="11279" width="8" style="95" customWidth="1"/>
    <col min="11280" max="11280" width="2.6640625" style="95" customWidth="1"/>
    <col min="11281" max="11281" width="7.6640625" style="95" customWidth="1"/>
    <col min="11282" max="11282" width="7.83203125" style="95" customWidth="1"/>
    <col min="11283" max="11283" width="2.6640625" style="95" customWidth="1"/>
    <col min="11284" max="11284" width="3.83203125" style="95" customWidth="1"/>
    <col min="11285" max="11520" width="9.1640625" style="95"/>
    <col min="11521" max="11521" width="35.33203125" style="95" customWidth="1"/>
    <col min="11522" max="11522" width="8.33203125" style="95" customWidth="1"/>
    <col min="11523" max="11523" width="8" style="95" customWidth="1"/>
    <col min="11524" max="11524" width="2.5" style="95" customWidth="1"/>
    <col min="11525" max="11526" width="8.33203125" style="95" customWidth="1"/>
    <col min="11527" max="11527" width="2.5" style="95" customWidth="1"/>
    <col min="11528" max="11529" width="8.33203125" style="95" customWidth="1"/>
    <col min="11530" max="11530" width="2.5" style="95" customWidth="1"/>
    <col min="11531" max="11531" width="7.5" style="95" customWidth="1"/>
    <col min="11532" max="11532" width="7.6640625" style="95" customWidth="1"/>
    <col min="11533" max="11533" width="2.6640625" style="95" customWidth="1"/>
    <col min="11534" max="11534" width="7.6640625" style="95" customWidth="1"/>
    <col min="11535" max="11535" width="8" style="95" customWidth="1"/>
    <col min="11536" max="11536" width="2.6640625" style="95" customWidth="1"/>
    <col min="11537" max="11537" width="7.6640625" style="95" customWidth="1"/>
    <col min="11538" max="11538" width="7.83203125" style="95" customWidth="1"/>
    <col min="11539" max="11539" width="2.6640625" style="95" customWidth="1"/>
    <col min="11540" max="11540" width="3.83203125" style="95" customWidth="1"/>
    <col min="11541" max="11776" width="9.1640625" style="95"/>
    <col min="11777" max="11777" width="35.33203125" style="95" customWidth="1"/>
    <col min="11778" max="11778" width="8.33203125" style="95" customWidth="1"/>
    <col min="11779" max="11779" width="8" style="95" customWidth="1"/>
    <col min="11780" max="11780" width="2.5" style="95" customWidth="1"/>
    <col min="11781" max="11782" width="8.33203125" style="95" customWidth="1"/>
    <col min="11783" max="11783" width="2.5" style="95" customWidth="1"/>
    <col min="11784" max="11785" width="8.33203125" style="95" customWidth="1"/>
    <col min="11786" max="11786" width="2.5" style="95" customWidth="1"/>
    <col min="11787" max="11787" width="7.5" style="95" customWidth="1"/>
    <col min="11788" max="11788" width="7.6640625" style="95" customWidth="1"/>
    <col min="11789" max="11789" width="2.6640625" style="95" customWidth="1"/>
    <col min="11790" max="11790" width="7.6640625" style="95" customWidth="1"/>
    <col min="11791" max="11791" width="8" style="95" customWidth="1"/>
    <col min="11792" max="11792" width="2.6640625" style="95" customWidth="1"/>
    <col min="11793" max="11793" width="7.6640625" style="95" customWidth="1"/>
    <col min="11794" max="11794" width="7.83203125" style="95" customWidth="1"/>
    <col min="11795" max="11795" width="2.6640625" style="95" customWidth="1"/>
    <col min="11796" max="11796" width="3.83203125" style="95" customWidth="1"/>
    <col min="11797" max="12032" width="9.1640625" style="95"/>
    <col min="12033" max="12033" width="35.33203125" style="95" customWidth="1"/>
    <col min="12034" max="12034" width="8.33203125" style="95" customWidth="1"/>
    <col min="12035" max="12035" width="8" style="95" customWidth="1"/>
    <col min="12036" max="12036" width="2.5" style="95" customWidth="1"/>
    <col min="12037" max="12038" width="8.33203125" style="95" customWidth="1"/>
    <col min="12039" max="12039" width="2.5" style="95" customWidth="1"/>
    <col min="12040" max="12041" width="8.33203125" style="95" customWidth="1"/>
    <col min="12042" max="12042" width="2.5" style="95" customWidth="1"/>
    <col min="12043" max="12043" width="7.5" style="95" customWidth="1"/>
    <col min="12044" max="12044" width="7.6640625" style="95" customWidth="1"/>
    <col min="12045" max="12045" width="2.6640625" style="95" customWidth="1"/>
    <col min="12046" max="12046" width="7.6640625" style="95" customWidth="1"/>
    <col min="12047" max="12047" width="8" style="95" customWidth="1"/>
    <col min="12048" max="12048" width="2.6640625" style="95" customWidth="1"/>
    <col min="12049" max="12049" width="7.6640625" style="95" customWidth="1"/>
    <col min="12050" max="12050" width="7.83203125" style="95" customWidth="1"/>
    <col min="12051" max="12051" width="2.6640625" style="95" customWidth="1"/>
    <col min="12052" max="12052" width="3.83203125" style="95" customWidth="1"/>
    <col min="12053" max="12288" width="9.1640625" style="95"/>
    <col min="12289" max="12289" width="35.33203125" style="95" customWidth="1"/>
    <col min="12290" max="12290" width="8.33203125" style="95" customWidth="1"/>
    <col min="12291" max="12291" width="8" style="95" customWidth="1"/>
    <col min="12292" max="12292" width="2.5" style="95" customWidth="1"/>
    <col min="12293" max="12294" width="8.33203125" style="95" customWidth="1"/>
    <col min="12295" max="12295" width="2.5" style="95" customWidth="1"/>
    <col min="12296" max="12297" width="8.33203125" style="95" customWidth="1"/>
    <col min="12298" max="12298" width="2.5" style="95" customWidth="1"/>
    <col min="12299" max="12299" width="7.5" style="95" customWidth="1"/>
    <col min="12300" max="12300" width="7.6640625" style="95" customWidth="1"/>
    <col min="12301" max="12301" width="2.6640625" style="95" customWidth="1"/>
    <col min="12302" max="12302" width="7.6640625" style="95" customWidth="1"/>
    <col min="12303" max="12303" width="8" style="95" customWidth="1"/>
    <col min="12304" max="12304" width="2.6640625" style="95" customWidth="1"/>
    <col min="12305" max="12305" width="7.6640625" style="95" customWidth="1"/>
    <col min="12306" max="12306" width="7.83203125" style="95" customWidth="1"/>
    <col min="12307" max="12307" width="2.6640625" style="95" customWidth="1"/>
    <col min="12308" max="12308" width="3.83203125" style="95" customWidth="1"/>
    <col min="12309" max="12544" width="9.1640625" style="95"/>
    <col min="12545" max="12545" width="35.33203125" style="95" customWidth="1"/>
    <col min="12546" max="12546" width="8.33203125" style="95" customWidth="1"/>
    <col min="12547" max="12547" width="8" style="95" customWidth="1"/>
    <col min="12548" max="12548" width="2.5" style="95" customWidth="1"/>
    <col min="12549" max="12550" width="8.33203125" style="95" customWidth="1"/>
    <col min="12551" max="12551" width="2.5" style="95" customWidth="1"/>
    <col min="12552" max="12553" width="8.33203125" style="95" customWidth="1"/>
    <col min="12554" max="12554" width="2.5" style="95" customWidth="1"/>
    <col min="12555" max="12555" width="7.5" style="95" customWidth="1"/>
    <col min="12556" max="12556" width="7.6640625" style="95" customWidth="1"/>
    <col min="12557" max="12557" width="2.6640625" style="95" customWidth="1"/>
    <col min="12558" max="12558" width="7.6640625" style="95" customWidth="1"/>
    <col min="12559" max="12559" width="8" style="95" customWidth="1"/>
    <col min="12560" max="12560" width="2.6640625" style="95" customWidth="1"/>
    <col min="12561" max="12561" width="7.6640625" style="95" customWidth="1"/>
    <col min="12562" max="12562" width="7.83203125" style="95" customWidth="1"/>
    <col min="12563" max="12563" width="2.6640625" style="95" customWidth="1"/>
    <col min="12564" max="12564" width="3.83203125" style="95" customWidth="1"/>
    <col min="12565" max="12800" width="9.1640625" style="95"/>
    <col min="12801" max="12801" width="35.33203125" style="95" customWidth="1"/>
    <col min="12802" max="12802" width="8.33203125" style="95" customWidth="1"/>
    <col min="12803" max="12803" width="8" style="95" customWidth="1"/>
    <col min="12804" max="12804" width="2.5" style="95" customWidth="1"/>
    <col min="12805" max="12806" width="8.33203125" style="95" customWidth="1"/>
    <col min="12807" max="12807" width="2.5" style="95" customWidth="1"/>
    <col min="12808" max="12809" width="8.33203125" style="95" customWidth="1"/>
    <col min="12810" max="12810" width="2.5" style="95" customWidth="1"/>
    <col min="12811" max="12811" width="7.5" style="95" customWidth="1"/>
    <col min="12812" max="12812" width="7.6640625" style="95" customWidth="1"/>
    <col min="12813" max="12813" width="2.6640625" style="95" customWidth="1"/>
    <col min="12814" max="12814" width="7.6640625" style="95" customWidth="1"/>
    <col min="12815" max="12815" width="8" style="95" customWidth="1"/>
    <col min="12816" max="12816" width="2.6640625" style="95" customWidth="1"/>
    <col min="12817" max="12817" width="7.6640625" style="95" customWidth="1"/>
    <col min="12818" max="12818" width="7.83203125" style="95" customWidth="1"/>
    <col min="12819" max="12819" width="2.6640625" style="95" customWidth="1"/>
    <col min="12820" max="12820" width="3.83203125" style="95" customWidth="1"/>
    <col min="12821" max="13056" width="9.1640625" style="95"/>
    <col min="13057" max="13057" width="35.33203125" style="95" customWidth="1"/>
    <col min="13058" max="13058" width="8.33203125" style="95" customWidth="1"/>
    <col min="13059" max="13059" width="8" style="95" customWidth="1"/>
    <col min="13060" max="13060" width="2.5" style="95" customWidth="1"/>
    <col min="13061" max="13062" width="8.33203125" style="95" customWidth="1"/>
    <col min="13063" max="13063" width="2.5" style="95" customWidth="1"/>
    <col min="13064" max="13065" width="8.33203125" style="95" customWidth="1"/>
    <col min="13066" max="13066" width="2.5" style="95" customWidth="1"/>
    <col min="13067" max="13067" width="7.5" style="95" customWidth="1"/>
    <col min="13068" max="13068" width="7.6640625" style="95" customWidth="1"/>
    <col min="13069" max="13069" width="2.6640625" style="95" customWidth="1"/>
    <col min="13070" max="13070" width="7.6640625" style="95" customWidth="1"/>
    <col min="13071" max="13071" width="8" style="95" customWidth="1"/>
    <col min="13072" max="13072" width="2.6640625" style="95" customWidth="1"/>
    <col min="13073" max="13073" width="7.6640625" style="95" customWidth="1"/>
    <col min="13074" max="13074" width="7.83203125" style="95" customWidth="1"/>
    <col min="13075" max="13075" width="2.6640625" style="95" customWidth="1"/>
    <col min="13076" max="13076" width="3.83203125" style="95" customWidth="1"/>
    <col min="13077" max="13312" width="9.1640625" style="95"/>
    <col min="13313" max="13313" width="35.33203125" style="95" customWidth="1"/>
    <col min="13314" max="13314" width="8.33203125" style="95" customWidth="1"/>
    <col min="13315" max="13315" width="8" style="95" customWidth="1"/>
    <col min="13316" max="13316" width="2.5" style="95" customWidth="1"/>
    <col min="13317" max="13318" width="8.33203125" style="95" customWidth="1"/>
    <col min="13319" max="13319" width="2.5" style="95" customWidth="1"/>
    <col min="13320" max="13321" width="8.33203125" style="95" customWidth="1"/>
    <col min="13322" max="13322" width="2.5" style="95" customWidth="1"/>
    <col min="13323" max="13323" width="7.5" style="95" customWidth="1"/>
    <col min="13324" max="13324" width="7.6640625" style="95" customWidth="1"/>
    <col min="13325" max="13325" width="2.6640625" style="95" customWidth="1"/>
    <col min="13326" max="13326" width="7.6640625" style="95" customWidth="1"/>
    <col min="13327" max="13327" width="8" style="95" customWidth="1"/>
    <col min="13328" max="13328" width="2.6640625" style="95" customWidth="1"/>
    <col min="13329" max="13329" width="7.6640625" style="95" customWidth="1"/>
    <col min="13330" max="13330" width="7.83203125" style="95" customWidth="1"/>
    <col min="13331" max="13331" width="2.6640625" style="95" customWidth="1"/>
    <col min="13332" max="13332" width="3.83203125" style="95" customWidth="1"/>
    <col min="13333" max="13568" width="9.1640625" style="95"/>
    <col min="13569" max="13569" width="35.33203125" style="95" customWidth="1"/>
    <col min="13570" max="13570" width="8.33203125" style="95" customWidth="1"/>
    <col min="13571" max="13571" width="8" style="95" customWidth="1"/>
    <col min="13572" max="13572" width="2.5" style="95" customWidth="1"/>
    <col min="13573" max="13574" width="8.33203125" style="95" customWidth="1"/>
    <col min="13575" max="13575" width="2.5" style="95" customWidth="1"/>
    <col min="13576" max="13577" width="8.33203125" style="95" customWidth="1"/>
    <col min="13578" max="13578" width="2.5" style="95" customWidth="1"/>
    <col min="13579" max="13579" width="7.5" style="95" customWidth="1"/>
    <col min="13580" max="13580" width="7.6640625" style="95" customWidth="1"/>
    <col min="13581" max="13581" width="2.6640625" style="95" customWidth="1"/>
    <col min="13582" max="13582" width="7.6640625" style="95" customWidth="1"/>
    <col min="13583" max="13583" width="8" style="95" customWidth="1"/>
    <col min="13584" max="13584" width="2.6640625" style="95" customWidth="1"/>
    <col min="13585" max="13585" width="7.6640625" style="95" customWidth="1"/>
    <col min="13586" max="13586" width="7.83203125" style="95" customWidth="1"/>
    <col min="13587" max="13587" width="2.6640625" style="95" customWidth="1"/>
    <col min="13588" max="13588" width="3.83203125" style="95" customWidth="1"/>
    <col min="13589" max="13824" width="9.1640625" style="95"/>
    <col min="13825" max="13825" width="35.33203125" style="95" customWidth="1"/>
    <col min="13826" max="13826" width="8.33203125" style="95" customWidth="1"/>
    <col min="13827" max="13827" width="8" style="95" customWidth="1"/>
    <col min="13828" max="13828" width="2.5" style="95" customWidth="1"/>
    <col min="13829" max="13830" width="8.33203125" style="95" customWidth="1"/>
    <col min="13831" max="13831" width="2.5" style="95" customWidth="1"/>
    <col min="13832" max="13833" width="8.33203125" style="95" customWidth="1"/>
    <col min="13834" max="13834" width="2.5" style="95" customWidth="1"/>
    <col min="13835" max="13835" width="7.5" style="95" customWidth="1"/>
    <col min="13836" max="13836" width="7.6640625" style="95" customWidth="1"/>
    <col min="13837" max="13837" width="2.6640625" style="95" customWidth="1"/>
    <col min="13838" max="13838" width="7.6640625" style="95" customWidth="1"/>
    <col min="13839" max="13839" width="8" style="95" customWidth="1"/>
    <col min="13840" max="13840" width="2.6640625" style="95" customWidth="1"/>
    <col min="13841" max="13841" width="7.6640625" style="95" customWidth="1"/>
    <col min="13842" max="13842" width="7.83203125" style="95" customWidth="1"/>
    <col min="13843" max="13843" width="2.6640625" style="95" customWidth="1"/>
    <col min="13844" max="13844" width="3.83203125" style="95" customWidth="1"/>
    <col min="13845" max="14080" width="9.1640625" style="95"/>
    <col min="14081" max="14081" width="35.33203125" style="95" customWidth="1"/>
    <col min="14082" max="14082" width="8.33203125" style="95" customWidth="1"/>
    <col min="14083" max="14083" width="8" style="95" customWidth="1"/>
    <col min="14084" max="14084" width="2.5" style="95" customWidth="1"/>
    <col min="14085" max="14086" width="8.33203125" style="95" customWidth="1"/>
    <col min="14087" max="14087" width="2.5" style="95" customWidth="1"/>
    <col min="14088" max="14089" width="8.33203125" style="95" customWidth="1"/>
    <col min="14090" max="14090" width="2.5" style="95" customWidth="1"/>
    <col min="14091" max="14091" width="7.5" style="95" customWidth="1"/>
    <col min="14092" max="14092" width="7.6640625" style="95" customWidth="1"/>
    <col min="14093" max="14093" width="2.6640625" style="95" customWidth="1"/>
    <col min="14094" max="14094" width="7.6640625" style="95" customWidth="1"/>
    <col min="14095" max="14095" width="8" style="95" customWidth="1"/>
    <col min="14096" max="14096" width="2.6640625" style="95" customWidth="1"/>
    <col min="14097" max="14097" width="7.6640625" style="95" customWidth="1"/>
    <col min="14098" max="14098" width="7.83203125" style="95" customWidth="1"/>
    <col min="14099" max="14099" width="2.6640625" style="95" customWidth="1"/>
    <col min="14100" max="14100" width="3.83203125" style="95" customWidth="1"/>
    <col min="14101" max="14336" width="9.1640625" style="95"/>
    <col min="14337" max="14337" width="35.33203125" style="95" customWidth="1"/>
    <col min="14338" max="14338" width="8.33203125" style="95" customWidth="1"/>
    <col min="14339" max="14339" width="8" style="95" customWidth="1"/>
    <col min="14340" max="14340" width="2.5" style="95" customWidth="1"/>
    <col min="14341" max="14342" width="8.33203125" style="95" customWidth="1"/>
    <col min="14343" max="14343" width="2.5" style="95" customWidth="1"/>
    <col min="14344" max="14345" width="8.33203125" style="95" customWidth="1"/>
    <col min="14346" max="14346" width="2.5" style="95" customWidth="1"/>
    <col min="14347" max="14347" width="7.5" style="95" customWidth="1"/>
    <col min="14348" max="14348" width="7.6640625" style="95" customWidth="1"/>
    <col min="14349" max="14349" width="2.6640625" style="95" customWidth="1"/>
    <col min="14350" max="14350" width="7.6640625" style="95" customWidth="1"/>
    <col min="14351" max="14351" width="8" style="95" customWidth="1"/>
    <col min="14352" max="14352" width="2.6640625" style="95" customWidth="1"/>
    <col min="14353" max="14353" width="7.6640625" style="95" customWidth="1"/>
    <col min="14354" max="14354" width="7.83203125" style="95" customWidth="1"/>
    <col min="14355" max="14355" width="2.6640625" style="95" customWidth="1"/>
    <col min="14356" max="14356" width="3.83203125" style="95" customWidth="1"/>
    <col min="14357" max="14592" width="9.1640625" style="95"/>
    <col min="14593" max="14593" width="35.33203125" style="95" customWidth="1"/>
    <col min="14594" max="14594" width="8.33203125" style="95" customWidth="1"/>
    <col min="14595" max="14595" width="8" style="95" customWidth="1"/>
    <col min="14596" max="14596" width="2.5" style="95" customWidth="1"/>
    <col min="14597" max="14598" width="8.33203125" style="95" customWidth="1"/>
    <col min="14599" max="14599" width="2.5" style="95" customWidth="1"/>
    <col min="14600" max="14601" width="8.33203125" style="95" customWidth="1"/>
    <col min="14602" max="14602" width="2.5" style="95" customWidth="1"/>
    <col min="14603" max="14603" width="7.5" style="95" customWidth="1"/>
    <col min="14604" max="14604" width="7.6640625" style="95" customWidth="1"/>
    <col min="14605" max="14605" width="2.6640625" style="95" customWidth="1"/>
    <col min="14606" max="14606" width="7.6640625" style="95" customWidth="1"/>
    <col min="14607" max="14607" width="8" style="95" customWidth="1"/>
    <col min="14608" max="14608" width="2.6640625" style="95" customWidth="1"/>
    <col min="14609" max="14609" width="7.6640625" style="95" customWidth="1"/>
    <col min="14610" max="14610" width="7.83203125" style="95" customWidth="1"/>
    <col min="14611" max="14611" width="2.6640625" style="95" customWidth="1"/>
    <col min="14612" max="14612" width="3.83203125" style="95" customWidth="1"/>
    <col min="14613" max="14848" width="9.1640625" style="95"/>
    <col min="14849" max="14849" width="35.33203125" style="95" customWidth="1"/>
    <col min="14850" max="14850" width="8.33203125" style="95" customWidth="1"/>
    <col min="14851" max="14851" width="8" style="95" customWidth="1"/>
    <col min="14852" max="14852" width="2.5" style="95" customWidth="1"/>
    <col min="14853" max="14854" width="8.33203125" style="95" customWidth="1"/>
    <col min="14855" max="14855" width="2.5" style="95" customWidth="1"/>
    <col min="14856" max="14857" width="8.33203125" style="95" customWidth="1"/>
    <col min="14858" max="14858" width="2.5" style="95" customWidth="1"/>
    <col min="14859" max="14859" width="7.5" style="95" customWidth="1"/>
    <col min="14860" max="14860" width="7.6640625" style="95" customWidth="1"/>
    <col min="14861" max="14861" width="2.6640625" style="95" customWidth="1"/>
    <col min="14862" max="14862" width="7.6640625" style="95" customWidth="1"/>
    <col min="14863" max="14863" width="8" style="95" customWidth="1"/>
    <col min="14864" max="14864" width="2.6640625" style="95" customWidth="1"/>
    <col min="14865" max="14865" width="7.6640625" style="95" customWidth="1"/>
    <col min="14866" max="14866" width="7.83203125" style="95" customWidth="1"/>
    <col min="14867" max="14867" width="2.6640625" style="95" customWidth="1"/>
    <col min="14868" max="14868" width="3.83203125" style="95" customWidth="1"/>
    <col min="14869" max="15104" width="9.1640625" style="95"/>
    <col min="15105" max="15105" width="35.33203125" style="95" customWidth="1"/>
    <col min="15106" max="15106" width="8.33203125" style="95" customWidth="1"/>
    <col min="15107" max="15107" width="8" style="95" customWidth="1"/>
    <col min="15108" max="15108" width="2.5" style="95" customWidth="1"/>
    <col min="15109" max="15110" width="8.33203125" style="95" customWidth="1"/>
    <col min="15111" max="15111" width="2.5" style="95" customWidth="1"/>
    <col min="15112" max="15113" width="8.33203125" style="95" customWidth="1"/>
    <col min="15114" max="15114" width="2.5" style="95" customWidth="1"/>
    <col min="15115" max="15115" width="7.5" style="95" customWidth="1"/>
    <col min="15116" max="15116" width="7.6640625" style="95" customWidth="1"/>
    <col min="15117" max="15117" width="2.6640625" style="95" customWidth="1"/>
    <col min="15118" max="15118" width="7.6640625" style="95" customWidth="1"/>
    <col min="15119" max="15119" width="8" style="95" customWidth="1"/>
    <col min="15120" max="15120" width="2.6640625" style="95" customWidth="1"/>
    <col min="15121" max="15121" width="7.6640625" style="95" customWidth="1"/>
    <col min="15122" max="15122" width="7.83203125" style="95" customWidth="1"/>
    <col min="15123" max="15123" width="2.6640625" style="95" customWidth="1"/>
    <col min="15124" max="15124" width="3.83203125" style="95" customWidth="1"/>
    <col min="15125" max="15360" width="9.1640625" style="95"/>
    <col min="15361" max="15361" width="35.33203125" style="95" customWidth="1"/>
    <col min="15362" max="15362" width="8.33203125" style="95" customWidth="1"/>
    <col min="15363" max="15363" width="8" style="95" customWidth="1"/>
    <col min="15364" max="15364" width="2.5" style="95" customWidth="1"/>
    <col min="15365" max="15366" width="8.33203125" style="95" customWidth="1"/>
    <col min="15367" max="15367" width="2.5" style="95" customWidth="1"/>
    <col min="15368" max="15369" width="8.33203125" style="95" customWidth="1"/>
    <col min="15370" max="15370" width="2.5" style="95" customWidth="1"/>
    <col min="15371" max="15371" width="7.5" style="95" customWidth="1"/>
    <col min="15372" max="15372" width="7.6640625" style="95" customWidth="1"/>
    <col min="15373" max="15373" width="2.6640625" style="95" customWidth="1"/>
    <col min="15374" max="15374" width="7.6640625" style="95" customWidth="1"/>
    <col min="15375" max="15375" width="8" style="95" customWidth="1"/>
    <col min="15376" max="15376" width="2.6640625" style="95" customWidth="1"/>
    <col min="15377" max="15377" width="7.6640625" style="95" customWidth="1"/>
    <col min="15378" max="15378" width="7.83203125" style="95" customWidth="1"/>
    <col min="15379" max="15379" width="2.6640625" style="95" customWidth="1"/>
    <col min="15380" max="15380" width="3.83203125" style="95" customWidth="1"/>
    <col min="15381" max="15616" width="9.1640625" style="95"/>
    <col min="15617" max="15617" width="35.33203125" style="95" customWidth="1"/>
    <col min="15618" max="15618" width="8.33203125" style="95" customWidth="1"/>
    <col min="15619" max="15619" width="8" style="95" customWidth="1"/>
    <col min="15620" max="15620" width="2.5" style="95" customWidth="1"/>
    <col min="15621" max="15622" width="8.33203125" style="95" customWidth="1"/>
    <col min="15623" max="15623" width="2.5" style="95" customWidth="1"/>
    <col min="15624" max="15625" width="8.33203125" style="95" customWidth="1"/>
    <col min="15626" max="15626" width="2.5" style="95" customWidth="1"/>
    <col min="15627" max="15627" width="7.5" style="95" customWidth="1"/>
    <col min="15628" max="15628" width="7.6640625" style="95" customWidth="1"/>
    <col min="15629" max="15629" width="2.6640625" style="95" customWidth="1"/>
    <col min="15630" max="15630" width="7.6640625" style="95" customWidth="1"/>
    <col min="15631" max="15631" width="8" style="95" customWidth="1"/>
    <col min="15632" max="15632" width="2.6640625" style="95" customWidth="1"/>
    <col min="15633" max="15633" width="7.6640625" style="95" customWidth="1"/>
    <col min="15634" max="15634" width="7.83203125" style="95" customWidth="1"/>
    <col min="15635" max="15635" width="2.6640625" style="95" customWidth="1"/>
    <col min="15636" max="15636" width="3.83203125" style="95" customWidth="1"/>
    <col min="15637" max="15872" width="9.1640625" style="95"/>
    <col min="15873" max="15873" width="35.33203125" style="95" customWidth="1"/>
    <col min="15874" max="15874" width="8.33203125" style="95" customWidth="1"/>
    <col min="15875" max="15875" width="8" style="95" customWidth="1"/>
    <col min="15876" max="15876" width="2.5" style="95" customWidth="1"/>
    <col min="15877" max="15878" width="8.33203125" style="95" customWidth="1"/>
    <col min="15879" max="15879" width="2.5" style="95" customWidth="1"/>
    <col min="15880" max="15881" width="8.33203125" style="95" customWidth="1"/>
    <col min="15882" max="15882" width="2.5" style="95" customWidth="1"/>
    <col min="15883" max="15883" width="7.5" style="95" customWidth="1"/>
    <col min="15884" max="15884" width="7.6640625" style="95" customWidth="1"/>
    <col min="15885" max="15885" width="2.6640625" style="95" customWidth="1"/>
    <col min="15886" max="15886" width="7.6640625" style="95" customWidth="1"/>
    <col min="15887" max="15887" width="8" style="95" customWidth="1"/>
    <col min="15888" max="15888" width="2.6640625" style="95" customWidth="1"/>
    <col min="15889" max="15889" width="7.6640625" style="95" customWidth="1"/>
    <col min="15890" max="15890" width="7.83203125" style="95" customWidth="1"/>
    <col min="15891" max="15891" width="2.6640625" style="95" customWidth="1"/>
    <col min="15892" max="15892" width="3.83203125" style="95" customWidth="1"/>
    <col min="15893" max="16128" width="9.1640625" style="95"/>
    <col min="16129" max="16129" width="35.33203125" style="95" customWidth="1"/>
    <col min="16130" max="16130" width="8.33203125" style="95" customWidth="1"/>
    <col min="16131" max="16131" width="8" style="95" customWidth="1"/>
    <col min="16132" max="16132" width="2.5" style="95" customWidth="1"/>
    <col min="16133" max="16134" width="8.33203125" style="95" customWidth="1"/>
    <col min="16135" max="16135" width="2.5" style="95" customWidth="1"/>
    <col min="16136" max="16137" width="8.33203125" style="95" customWidth="1"/>
    <col min="16138" max="16138" width="2.5" style="95" customWidth="1"/>
    <col min="16139" max="16139" width="7.5" style="95" customWidth="1"/>
    <col min="16140" max="16140" width="7.6640625" style="95" customWidth="1"/>
    <col min="16141" max="16141" width="2.6640625" style="95" customWidth="1"/>
    <col min="16142" max="16142" width="7.6640625" style="95" customWidth="1"/>
    <col min="16143" max="16143" width="8" style="95" customWidth="1"/>
    <col min="16144" max="16144" width="2.6640625" style="95" customWidth="1"/>
    <col min="16145" max="16145" width="7.6640625" style="95" customWidth="1"/>
    <col min="16146" max="16146" width="7.83203125" style="95" customWidth="1"/>
    <col min="16147" max="16147" width="2.6640625" style="95" customWidth="1"/>
    <col min="16148" max="16148" width="3.83203125" style="95" customWidth="1"/>
    <col min="16149" max="16384" width="9.1640625" style="95"/>
  </cols>
  <sheetData>
    <row r="1" spans="1:20">
      <c r="A1" s="95" t="s">
        <v>453</v>
      </c>
    </row>
    <row r="2" spans="1:20">
      <c r="A2" s="95" t="s">
        <v>454</v>
      </c>
    </row>
    <row r="3" spans="1:20" ht="10" customHeight="1"/>
    <row r="4" spans="1:20">
      <c r="A4" s="14" t="s">
        <v>1856</v>
      </c>
      <c r="L4" s="141"/>
      <c r="O4" s="141"/>
    </row>
    <row r="5" spans="1:20" ht="10" customHeight="1" thickBot="1">
      <c r="O5" s="105"/>
      <c r="R5" s="105"/>
    </row>
    <row r="6" spans="1:20" ht="15" customHeight="1">
      <c r="A6" s="97" t="s">
        <v>472</v>
      </c>
      <c r="B6" s="142"/>
      <c r="C6" s="99"/>
      <c r="D6" s="97"/>
      <c r="E6" s="144"/>
      <c r="F6" s="99"/>
      <c r="G6" s="97"/>
      <c r="H6" s="144"/>
      <c r="I6" s="99"/>
      <c r="J6" s="99"/>
      <c r="K6" s="144"/>
      <c r="L6" s="99"/>
      <c r="M6" s="97"/>
      <c r="N6" s="144"/>
      <c r="O6" s="99"/>
      <c r="P6" s="99"/>
      <c r="Q6" s="144"/>
      <c r="R6" s="99"/>
      <c r="S6" s="99"/>
    </row>
    <row r="7" spans="1:20" ht="15" customHeight="1">
      <c r="A7" s="116" t="s">
        <v>473</v>
      </c>
      <c r="B7" s="1023" t="s">
        <v>497</v>
      </c>
      <c r="C7" s="1023"/>
      <c r="D7" s="116"/>
      <c r="E7" s="1019" t="s">
        <v>498</v>
      </c>
      <c r="F7" s="1019"/>
      <c r="G7" s="116"/>
      <c r="H7" s="1019" t="s">
        <v>499</v>
      </c>
      <c r="I7" s="1019"/>
      <c r="J7" s="135"/>
      <c r="K7" s="1019" t="s">
        <v>500</v>
      </c>
      <c r="L7" s="1019"/>
      <c r="M7" s="116"/>
      <c r="N7" s="1019" t="s">
        <v>501</v>
      </c>
      <c r="O7" s="1019"/>
      <c r="Q7" s="1021" t="s">
        <v>507</v>
      </c>
      <c r="R7" s="1019"/>
    </row>
    <row r="8" spans="1:20" ht="15" customHeight="1">
      <c r="A8" s="95" t="s">
        <v>479</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20" ht="15" customHeight="1" thickBot="1">
      <c r="A9" s="102" t="s">
        <v>480</v>
      </c>
      <c r="B9" s="151"/>
      <c r="C9" s="96"/>
      <c r="D9" s="102"/>
      <c r="E9" s="153"/>
      <c r="F9" s="96"/>
      <c r="G9" s="102"/>
      <c r="H9" s="153"/>
      <c r="I9" s="96"/>
      <c r="J9" s="96"/>
      <c r="K9" s="153"/>
      <c r="L9" s="96"/>
      <c r="M9" s="102"/>
      <c r="N9" s="153"/>
      <c r="O9" s="96"/>
      <c r="P9" s="96"/>
      <c r="Q9" s="153"/>
      <c r="R9" s="96"/>
      <c r="S9" s="96"/>
    </row>
    <row r="10" spans="1:20" ht="12.75" customHeight="1"/>
    <row r="11" spans="1:20" ht="16.5" customHeight="1">
      <c r="A11" s="68" t="s">
        <v>1855</v>
      </c>
      <c r="B11" s="138">
        <f>IF($A11&lt;&gt;"",E11+H11+K11+N11+Q11,"")</f>
        <v>4384</v>
      </c>
      <c r="C11" s="139">
        <f>SUM(C13+C108)</f>
        <v>100</v>
      </c>
      <c r="D11" s="111"/>
      <c r="E11" s="155">
        <f>E13+E108</f>
        <v>279</v>
      </c>
      <c r="F11" s="139">
        <f t="shared" ref="F11:F74" si="0">IF($A11&lt;&gt;0,E11/$B11*100,"")</f>
        <v>6.3640510948905105</v>
      </c>
      <c r="G11" s="111"/>
      <c r="H11" s="155">
        <f>H13+H108</f>
        <v>1548</v>
      </c>
      <c r="I11" s="139">
        <f t="shared" ref="I11:I74" si="1">IF($A11&lt;&gt;0,H11/$B11*100,"")</f>
        <v>35.310218978102192</v>
      </c>
      <c r="J11" s="139"/>
      <c r="K11" s="155">
        <f>K13+K108</f>
        <v>1144</v>
      </c>
      <c r="L11" s="139">
        <f t="shared" ref="L11:L74" si="2">IF($A11&lt;&gt;0,K11/$B11*100,"")</f>
        <v>26.094890510948904</v>
      </c>
      <c r="M11" s="121"/>
      <c r="N11" s="155">
        <f>N13+N108</f>
        <v>87</v>
      </c>
      <c r="O11" s="139">
        <f t="shared" ref="O11:O74" si="3">IF($A11&lt;&gt;0,N11/$B11*100,"")</f>
        <v>1.9844890510948905</v>
      </c>
      <c r="P11" s="146"/>
      <c r="Q11" s="155">
        <f>Q13+Q108</f>
        <v>1326</v>
      </c>
      <c r="R11" s="105">
        <f t="shared" ref="R11:R19" si="4">IF($A11&lt;&gt;"",Q11/$B11*100,"")</f>
        <v>30.246350364963504</v>
      </c>
      <c r="S11" s="135"/>
    </row>
    <row r="12" spans="1:20" ht="10" customHeight="1">
      <c r="B12" s="138" t="str">
        <f t="shared" ref="B12:B75" si="5">IF($A12&lt;&gt;"",E12+H12+K12+N12+Q12,"")</f>
        <v/>
      </c>
      <c r="C12" s="105" t="str">
        <f>IF(A12&lt;&gt;0,B12/$B$10*100,"")</f>
        <v/>
      </c>
      <c r="F12" s="105" t="str">
        <f t="shared" si="0"/>
        <v/>
      </c>
      <c r="I12" s="105" t="str">
        <f t="shared" si="1"/>
        <v/>
      </c>
      <c r="L12" s="105" t="str">
        <f t="shared" si="2"/>
        <v/>
      </c>
      <c r="M12" s="116"/>
      <c r="O12" s="105" t="str">
        <f t="shared" si="3"/>
        <v/>
      </c>
      <c r="P12" s="135"/>
      <c r="R12" s="105" t="str">
        <f t="shared" si="4"/>
        <v/>
      </c>
      <c r="S12" s="135"/>
    </row>
    <row r="13" spans="1:20" ht="14" customHeight="1">
      <c r="A13" s="55" t="s">
        <v>403</v>
      </c>
      <c r="B13" s="138">
        <f t="shared" si="5"/>
        <v>3402</v>
      </c>
      <c r="C13" s="105">
        <f>IF(A13&lt;&gt;0,B13/$B$11*100,"")</f>
        <v>77.600364963503651</v>
      </c>
      <c r="E13" s="140">
        <f>E15+E100</f>
        <v>254</v>
      </c>
      <c r="F13" s="105">
        <f t="shared" si="0"/>
        <v>7.4661963550852448</v>
      </c>
      <c r="H13" s="140">
        <f>H15+H100</f>
        <v>1188</v>
      </c>
      <c r="I13" s="105">
        <f t="shared" si="1"/>
        <v>34.920634920634917</v>
      </c>
      <c r="K13" s="140">
        <f>K15+K100</f>
        <v>812</v>
      </c>
      <c r="L13" s="105">
        <f t="shared" si="2"/>
        <v>23.868312757201647</v>
      </c>
      <c r="M13" s="116"/>
      <c r="N13" s="140">
        <f>N15+N100</f>
        <v>71</v>
      </c>
      <c r="O13" s="105">
        <f t="shared" si="3"/>
        <v>2.087007642563198</v>
      </c>
      <c r="P13" s="135"/>
      <c r="Q13" s="140">
        <f>Q15+Q100</f>
        <v>1077</v>
      </c>
      <c r="R13" s="105">
        <f t="shared" si="4"/>
        <v>31.657848324514994</v>
      </c>
      <c r="S13" s="135"/>
      <c r="T13" s="140"/>
    </row>
    <row r="14" spans="1:20" ht="7.5" customHeight="1">
      <c r="B14" s="138" t="str">
        <f t="shared" si="5"/>
        <v/>
      </c>
      <c r="C14" s="105" t="str">
        <f>IF(A14&lt;&gt;0,B14/$B$11*100,"")</f>
        <v/>
      </c>
      <c r="F14" s="105" t="str">
        <f t="shared" si="0"/>
        <v/>
      </c>
      <c r="I14" s="105" t="str">
        <f t="shared" si="1"/>
        <v/>
      </c>
      <c r="L14" s="105" t="str">
        <f t="shared" si="2"/>
        <v/>
      </c>
      <c r="M14" s="116"/>
      <c r="O14" s="105" t="str">
        <f t="shared" si="3"/>
        <v/>
      </c>
      <c r="P14" s="135"/>
      <c r="R14" s="105" t="str">
        <f t="shared" si="4"/>
        <v/>
      </c>
      <c r="S14" s="135"/>
    </row>
    <row r="15" spans="1:20" ht="12" customHeight="1">
      <c r="A15" s="55" t="s">
        <v>80</v>
      </c>
      <c r="B15" s="138">
        <f t="shared" si="5"/>
        <v>2844</v>
      </c>
      <c r="C15" s="105">
        <f>IF(A15&lt;&gt;0,B15/$B$11*100,"")</f>
        <v>64.872262773722639</v>
      </c>
      <c r="E15" s="140">
        <f>SUM(E17+E28+E36+E62+E76+E83+E95+E96+E98)</f>
        <v>176</v>
      </c>
      <c r="F15" s="105">
        <f t="shared" si="0"/>
        <v>6.1884669479606194</v>
      </c>
      <c r="G15" s="140">
        <f>SUM(G17+G28+G36+G62+G76+G98)</f>
        <v>0</v>
      </c>
      <c r="H15" s="140">
        <f>SUM(H17+H28+H36+H62+H76+H83+H95+H96+H98)</f>
        <v>999</v>
      </c>
      <c r="I15" s="105">
        <f t="shared" si="1"/>
        <v>35.12658227848101</v>
      </c>
      <c r="J15" s="140">
        <f>SUM(J17+J28+J36+J62+J76+J98)</f>
        <v>0</v>
      </c>
      <c r="K15" s="140">
        <f>SUM(K17+K28+K36+K62+K76+K83+K95+K96+K98)</f>
        <v>717</v>
      </c>
      <c r="L15" s="105">
        <f t="shared" si="2"/>
        <v>25.21097046413502</v>
      </c>
      <c r="M15" s="140">
        <f>SUM(M17+M28+M36+M62+M76+M98)</f>
        <v>0</v>
      </c>
      <c r="N15" s="140">
        <f>SUM(N17+N28+N36+N62+N76+N83+N95+N96+N98)</f>
        <v>63</v>
      </c>
      <c r="O15" s="105">
        <f t="shared" si="3"/>
        <v>2.2151898734177213</v>
      </c>
      <c r="P15" s="140">
        <f>SUM(P17+P28+P36+P62+P76+P98)</f>
        <v>0</v>
      </c>
      <c r="Q15" s="140">
        <f>SUM(Q17+Q28+Q36+Q62+Q76+Q83+Q95+Q96+Q98)</f>
        <v>889</v>
      </c>
      <c r="R15" s="105">
        <f t="shared" si="4"/>
        <v>31.258790436005622</v>
      </c>
      <c r="S15" s="135"/>
    </row>
    <row r="16" spans="1:20" ht="7.5" customHeight="1">
      <c r="B16" s="138" t="str">
        <f t="shared" si="5"/>
        <v/>
      </c>
      <c r="M16" s="116"/>
      <c r="O16" s="105"/>
      <c r="P16" s="135"/>
      <c r="R16" s="105"/>
      <c r="S16" s="135"/>
    </row>
    <row r="17" spans="1:19" ht="13.25" customHeight="1">
      <c r="A17" s="55" t="s">
        <v>404</v>
      </c>
      <c r="B17" s="138">
        <f t="shared" si="5"/>
        <v>206</v>
      </c>
      <c r="C17" s="105">
        <f t="shared" ref="C17:C80" si="6">IF(A17&lt;&gt;0,B17/$B$11*100,"")</f>
        <v>4.6989051094890506</v>
      </c>
      <c r="E17" s="140">
        <f>E18+E23</f>
        <v>18</v>
      </c>
      <c r="F17" s="105">
        <f t="shared" si="0"/>
        <v>8.7378640776699026</v>
      </c>
      <c r="H17" s="140">
        <f>H18+H23</f>
        <v>87</v>
      </c>
      <c r="I17" s="105">
        <f t="shared" si="1"/>
        <v>42.23300970873786</v>
      </c>
      <c r="K17" s="140">
        <f>K18+K23</f>
        <v>63</v>
      </c>
      <c r="L17" s="105">
        <f t="shared" si="2"/>
        <v>30.582524271844658</v>
      </c>
      <c r="M17" s="116"/>
      <c r="N17" s="140">
        <f>N18+N23</f>
        <v>6</v>
      </c>
      <c r="O17" s="105">
        <f t="shared" si="3"/>
        <v>2.912621359223301</v>
      </c>
      <c r="P17" s="135"/>
      <c r="Q17" s="140">
        <f>Q18+Q23</f>
        <v>32</v>
      </c>
      <c r="R17" s="105">
        <f t="shared" si="4"/>
        <v>15.53398058252427</v>
      </c>
      <c r="S17" s="135"/>
    </row>
    <row r="18" spans="1:19" ht="13.25" customHeight="1">
      <c r="A18" s="95" t="s">
        <v>162</v>
      </c>
      <c r="B18" s="138">
        <f t="shared" si="5"/>
        <v>109</v>
      </c>
      <c r="C18" s="105">
        <f t="shared" si="6"/>
        <v>2.4863138686131387</v>
      </c>
      <c r="E18" s="140">
        <f>SUM(E19:E21)</f>
        <v>7</v>
      </c>
      <c r="F18" s="105">
        <f t="shared" si="0"/>
        <v>6.4220183486238538</v>
      </c>
      <c r="H18" s="140">
        <f>SUM(H19:H21)</f>
        <v>41</v>
      </c>
      <c r="I18" s="105">
        <f t="shared" si="1"/>
        <v>37.61467889908257</v>
      </c>
      <c r="K18" s="140">
        <f>SUM(K19:K21)</f>
        <v>38</v>
      </c>
      <c r="L18" s="105">
        <f t="shared" si="2"/>
        <v>34.862385321100916</v>
      </c>
      <c r="M18" s="116"/>
      <c r="N18" s="140">
        <f>SUM(N19:N21)</f>
        <v>3</v>
      </c>
      <c r="O18" s="105">
        <f t="shared" si="3"/>
        <v>2.7522935779816518</v>
      </c>
      <c r="P18" s="135"/>
      <c r="Q18" s="140">
        <f>SUM(Q19:Q21)</f>
        <v>20</v>
      </c>
      <c r="R18" s="105">
        <f t="shared" si="4"/>
        <v>18.348623853211009</v>
      </c>
      <c r="S18" s="135"/>
    </row>
    <row r="19" spans="1:19" ht="13.25" customHeight="1">
      <c r="A19" s="95" t="s">
        <v>163</v>
      </c>
      <c r="B19" s="138">
        <f t="shared" si="5"/>
        <v>22</v>
      </c>
      <c r="C19" s="105">
        <f t="shared" si="6"/>
        <v>0.50182481751824815</v>
      </c>
      <c r="E19" s="769">
        <v>1</v>
      </c>
      <c r="F19" s="105">
        <f t="shared" si="0"/>
        <v>4.5454545454545459</v>
      </c>
      <c r="G19" s="769"/>
      <c r="H19" s="769">
        <v>8</v>
      </c>
      <c r="I19" s="105">
        <f t="shared" si="1"/>
        <v>36.363636363636367</v>
      </c>
      <c r="J19" s="769"/>
      <c r="K19" s="769">
        <v>13</v>
      </c>
      <c r="L19" s="105">
        <f t="shared" si="2"/>
        <v>59.090909090909093</v>
      </c>
      <c r="M19" s="769"/>
      <c r="N19" s="769">
        <v>0</v>
      </c>
      <c r="O19" s="105">
        <f t="shared" si="3"/>
        <v>0</v>
      </c>
      <c r="P19" s="769"/>
      <c r="Q19" s="769">
        <v>0</v>
      </c>
      <c r="R19" s="105">
        <f t="shared" si="4"/>
        <v>0</v>
      </c>
      <c r="S19" s="135"/>
    </row>
    <row r="20" spans="1:19" ht="13.25" customHeight="1">
      <c r="A20" s="95" t="s">
        <v>164</v>
      </c>
      <c r="B20" s="138">
        <f t="shared" si="5"/>
        <v>48</v>
      </c>
      <c r="C20" s="105">
        <f t="shared" si="6"/>
        <v>1.0948905109489051</v>
      </c>
      <c r="E20" s="769">
        <v>3</v>
      </c>
      <c r="F20" s="105">
        <f t="shared" si="0"/>
        <v>6.25</v>
      </c>
      <c r="G20" s="769"/>
      <c r="H20" s="769">
        <v>16</v>
      </c>
      <c r="I20" s="105">
        <f t="shared" si="1"/>
        <v>33.333333333333329</v>
      </c>
      <c r="J20" s="769"/>
      <c r="K20" s="769">
        <v>14</v>
      </c>
      <c r="L20" s="105">
        <f t="shared" si="2"/>
        <v>29.166666666666668</v>
      </c>
      <c r="M20" s="769"/>
      <c r="N20" s="769">
        <v>0</v>
      </c>
      <c r="O20" s="105">
        <f t="shared" si="3"/>
        <v>0</v>
      </c>
      <c r="P20" s="769"/>
      <c r="Q20" s="769">
        <v>15</v>
      </c>
      <c r="R20" s="105">
        <f>IF($A20&lt;&gt;"",Q20/$B20*100,"")</f>
        <v>31.25</v>
      </c>
      <c r="S20" s="135"/>
    </row>
    <row r="21" spans="1:19" ht="13.25" customHeight="1">
      <c r="A21" s="95" t="s">
        <v>165</v>
      </c>
      <c r="B21" s="138">
        <f t="shared" si="5"/>
        <v>39</v>
      </c>
      <c r="C21" s="105">
        <f t="shared" si="6"/>
        <v>0.88959854014598538</v>
      </c>
      <c r="E21" s="769">
        <v>3</v>
      </c>
      <c r="F21" s="105">
        <f t="shared" si="0"/>
        <v>7.6923076923076925</v>
      </c>
      <c r="G21" s="769"/>
      <c r="H21" s="769">
        <v>17</v>
      </c>
      <c r="I21" s="105">
        <f t="shared" si="1"/>
        <v>43.589743589743591</v>
      </c>
      <c r="J21" s="769"/>
      <c r="K21" s="769">
        <v>11</v>
      </c>
      <c r="L21" s="105">
        <f t="shared" si="2"/>
        <v>28.205128205128204</v>
      </c>
      <c r="M21" s="769"/>
      <c r="N21" s="769">
        <v>3</v>
      </c>
      <c r="O21" s="105">
        <f t="shared" si="3"/>
        <v>7.6923076923076925</v>
      </c>
      <c r="P21" s="769"/>
      <c r="Q21" s="769">
        <v>5</v>
      </c>
      <c r="R21" s="105">
        <f>IF($A21&lt;&gt;"",Q21/$B21*100,"")</f>
        <v>12.820512820512819</v>
      </c>
      <c r="S21" s="135"/>
    </row>
    <row r="22" spans="1:19" ht="10" customHeight="1">
      <c r="B22" s="138" t="str">
        <f t="shared" si="5"/>
        <v/>
      </c>
      <c r="C22" s="105" t="str">
        <f t="shared" si="6"/>
        <v/>
      </c>
      <c r="E22" s="154"/>
      <c r="F22" s="105" t="str">
        <f t="shared" si="0"/>
        <v/>
      </c>
      <c r="G22" s="116"/>
      <c r="H22" s="154"/>
      <c r="I22" s="105" t="str">
        <f t="shared" si="1"/>
        <v/>
      </c>
      <c r="J22" s="135"/>
      <c r="K22" s="154"/>
      <c r="L22" s="105" t="str">
        <f t="shared" si="2"/>
        <v/>
      </c>
      <c r="M22" s="116"/>
      <c r="N22" s="154"/>
      <c r="O22" s="105" t="str">
        <f t="shared" si="3"/>
        <v/>
      </c>
      <c r="P22" s="135"/>
      <c r="R22" s="105"/>
      <c r="S22" s="135"/>
    </row>
    <row r="23" spans="1:19" ht="13.25" customHeight="1">
      <c r="A23" s="95" t="s">
        <v>166</v>
      </c>
      <c r="B23" s="138">
        <f t="shared" si="5"/>
        <v>97</v>
      </c>
      <c r="C23" s="105">
        <f t="shared" si="6"/>
        <v>2.2125912408759123</v>
      </c>
      <c r="E23" s="154">
        <f>SUM(E24:E26)</f>
        <v>11</v>
      </c>
      <c r="F23" s="105">
        <f t="shared" si="0"/>
        <v>11.340206185567011</v>
      </c>
      <c r="G23" s="116"/>
      <c r="H23" s="154">
        <f>SUM(H24:H26)</f>
        <v>46</v>
      </c>
      <c r="I23" s="105">
        <f t="shared" si="1"/>
        <v>47.422680412371129</v>
      </c>
      <c r="J23" s="135"/>
      <c r="K23" s="154">
        <f>SUM(K24:K26)</f>
        <v>25</v>
      </c>
      <c r="L23" s="105">
        <f t="shared" si="2"/>
        <v>25.773195876288657</v>
      </c>
      <c r="M23" s="116"/>
      <c r="N23" s="154">
        <f>SUM(N24:N26)</f>
        <v>3</v>
      </c>
      <c r="O23" s="105">
        <f t="shared" si="3"/>
        <v>3.0927835051546393</v>
      </c>
      <c r="P23" s="135"/>
      <c r="Q23" s="140">
        <f>SUM(Q24:Q26)</f>
        <v>12</v>
      </c>
      <c r="R23" s="105">
        <f>IF($A23&lt;&gt;"",Q23/$B23*100,"")</f>
        <v>12.371134020618557</v>
      </c>
      <c r="S23" s="135"/>
    </row>
    <row r="24" spans="1:19" ht="13.25" customHeight="1">
      <c r="A24" s="95" t="s">
        <v>167</v>
      </c>
      <c r="B24" s="138">
        <f t="shared" si="5"/>
        <v>16</v>
      </c>
      <c r="C24" s="105">
        <f t="shared" si="6"/>
        <v>0.36496350364963503</v>
      </c>
      <c r="E24" s="769">
        <v>7</v>
      </c>
      <c r="F24" s="105">
        <f t="shared" si="0"/>
        <v>43.75</v>
      </c>
      <c r="G24" s="769"/>
      <c r="H24" s="769">
        <v>4</v>
      </c>
      <c r="I24" s="105">
        <f t="shared" si="1"/>
        <v>25</v>
      </c>
      <c r="J24" s="769"/>
      <c r="K24" s="769">
        <v>4</v>
      </c>
      <c r="L24" s="105">
        <f t="shared" si="2"/>
        <v>25</v>
      </c>
      <c r="M24" s="769"/>
      <c r="N24" s="769">
        <v>1</v>
      </c>
      <c r="O24" s="105">
        <f t="shared" si="3"/>
        <v>6.25</v>
      </c>
      <c r="P24" s="769"/>
      <c r="Q24" s="769">
        <v>0</v>
      </c>
      <c r="R24" s="105">
        <f>IF($A24&lt;&gt;"",Q24/$B24*100,"")</f>
        <v>0</v>
      </c>
      <c r="S24" s="135"/>
    </row>
    <row r="25" spans="1:19" ht="13.25" customHeight="1">
      <c r="A25" s="95" t="s">
        <v>168</v>
      </c>
      <c r="B25" s="138">
        <f t="shared" si="5"/>
        <v>19</v>
      </c>
      <c r="C25" s="105">
        <f t="shared" si="6"/>
        <v>0.43339416058394159</v>
      </c>
      <c r="E25" s="769">
        <v>3</v>
      </c>
      <c r="F25" s="105">
        <f t="shared" si="0"/>
        <v>15.789473684210526</v>
      </c>
      <c r="G25" s="769"/>
      <c r="H25" s="769">
        <v>4</v>
      </c>
      <c r="I25" s="105">
        <f t="shared" si="1"/>
        <v>21.052631578947366</v>
      </c>
      <c r="J25" s="769"/>
      <c r="K25" s="769">
        <v>9</v>
      </c>
      <c r="L25" s="105">
        <f t="shared" si="2"/>
        <v>47.368421052631575</v>
      </c>
      <c r="M25" s="769"/>
      <c r="N25" s="769">
        <v>0</v>
      </c>
      <c r="O25" s="105">
        <f t="shared" si="3"/>
        <v>0</v>
      </c>
      <c r="P25" s="769"/>
      <c r="Q25" s="769">
        <v>3</v>
      </c>
      <c r="R25" s="105">
        <f>IF($A25&lt;&gt;"",Q25/$B25*100,"")</f>
        <v>15.789473684210526</v>
      </c>
      <c r="S25" s="135"/>
    </row>
    <row r="26" spans="1:19" ht="13.25" customHeight="1">
      <c r="A26" s="95" t="s">
        <v>169</v>
      </c>
      <c r="B26" s="138">
        <f t="shared" si="5"/>
        <v>62</v>
      </c>
      <c r="C26" s="105">
        <f t="shared" si="6"/>
        <v>1.4142335766423357</v>
      </c>
      <c r="E26" s="769">
        <v>1</v>
      </c>
      <c r="F26" s="105">
        <f t="shared" si="0"/>
        <v>1.6129032258064515</v>
      </c>
      <c r="G26" s="769"/>
      <c r="H26" s="769">
        <v>38</v>
      </c>
      <c r="I26" s="105">
        <f t="shared" si="1"/>
        <v>61.29032258064516</v>
      </c>
      <c r="J26" s="769"/>
      <c r="K26" s="769">
        <v>12</v>
      </c>
      <c r="L26" s="105">
        <f t="shared" si="2"/>
        <v>19.35483870967742</v>
      </c>
      <c r="M26" s="769"/>
      <c r="N26" s="769">
        <v>2</v>
      </c>
      <c r="O26" s="105">
        <f t="shared" si="3"/>
        <v>3.225806451612903</v>
      </c>
      <c r="P26" s="769"/>
      <c r="Q26" s="769">
        <v>9</v>
      </c>
      <c r="R26" s="105">
        <f>IF($A26&lt;&gt;"",Q26/$B26*100,"")</f>
        <v>14.516129032258066</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R27" s="105" t="str">
        <f t="shared" ref="R27:R90" si="7">IF($A27&lt;&gt;"",Q27/$B27*100,"")</f>
        <v/>
      </c>
      <c r="S27" s="135"/>
    </row>
    <row r="28" spans="1:19" ht="13.25" customHeight="1">
      <c r="A28" s="55" t="s">
        <v>464</v>
      </c>
      <c r="B28" s="138">
        <f t="shared" si="5"/>
        <v>225</v>
      </c>
      <c r="C28" s="105">
        <f t="shared" si="6"/>
        <v>5.132299270072993</v>
      </c>
      <c r="E28" s="140">
        <f>SUM(E29)</f>
        <v>31</v>
      </c>
      <c r="F28" s="105">
        <f t="shared" si="0"/>
        <v>13.777777777777779</v>
      </c>
      <c r="H28" s="140">
        <f>SUM(H29)</f>
        <v>57</v>
      </c>
      <c r="I28" s="105">
        <f t="shared" si="1"/>
        <v>25.333333333333336</v>
      </c>
      <c r="K28" s="140">
        <f>SUM(K29)</f>
        <v>59</v>
      </c>
      <c r="L28" s="105">
        <f t="shared" si="2"/>
        <v>26.222222222222225</v>
      </c>
      <c r="M28" s="116"/>
      <c r="N28" s="140">
        <f>SUM(N29)</f>
        <v>29</v>
      </c>
      <c r="O28" s="105">
        <f t="shared" si="3"/>
        <v>12.888888888888889</v>
      </c>
      <c r="P28" s="135"/>
      <c r="Q28" s="140">
        <f>SUM(Q29)</f>
        <v>49</v>
      </c>
      <c r="R28" s="105">
        <f t="shared" si="7"/>
        <v>21.777777777777775</v>
      </c>
      <c r="S28" s="135"/>
    </row>
    <row r="29" spans="1:19" ht="13.25" customHeight="1">
      <c r="A29" s="95" t="s">
        <v>171</v>
      </c>
      <c r="B29" s="138">
        <f t="shared" si="5"/>
        <v>225</v>
      </c>
      <c r="C29" s="105">
        <f t="shared" si="6"/>
        <v>5.132299270072993</v>
      </c>
      <c r="E29" s="140">
        <f>SUM(E30:E34)</f>
        <v>31</v>
      </c>
      <c r="F29" s="105">
        <f t="shared" si="0"/>
        <v>13.777777777777779</v>
      </c>
      <c r="H29" s="140">
        <f>SUM(H30:H34)</f>
        <v>57</v>
      </c>
      <c r="I29" s="105">
        <f t="shared" si="1"/>
        <v>25.333333333333336</v>
      </c>
      <c r="K29" s="140">
        <f>SUM(K30:K34)</f>
        <v>59</v>
      </c>
      <c r="L29" s="105">
        <f t="shared" si="2"/>
        <v>26.222222222222225</v>
      </c>
      <c r="M29" s="116"/>
      <c r="N29" s="140">
        <f>SUM(N30:N34)</f>
        <v>29</v>
      </c>
      <c r="O29" s="105">
        <f t="shared" si="3"/>
        <v>12.888888888888889</v>
      </c>
      <c r="P29" s="135"/>
      <c r="Q29" s="140">
        <f>SUM(Q30:Q34)</f>
        <v>49</v>
      </c>
      <c r="R29" s="105">
        <f t="shared" si="7"/>
        <v>21.777777777777775</v>
      </c>
      <c r="S29" s="135"/>
    </row>
    <row r="30" spans="1:19" ht="13.25" customHeight="1">
      <c r="A30" s="95" t="s">
        <v>172</v>
      </c>
      <c r="B30" s="138">
        <f t="shared" si="5"/>
        <v>17</v>
      </c>
      <c r="C30" s="105">
        <f t="shared" si="6"/>
        <v>0.38777372262773724</v>
      </c>
      <c r="E30" s="769">
        <v>6</v>
      </c>
      <c r="F30" s="105">
        <f t="shared" si="0"/>
        <v>35.294117647058826</v>
      </c>
      <c r="G30" s="769"/>
      <c r="H30" s="769">
        <v>4</v>
      </c>
      <c r="I30" s="105">
        <f t="shared" si="1"/>
        <v>23.52941176470588</v>
      </c>
      <c r="J30" s="769"/>
      <c r="K30" s="769">
        <v>1</v>
      </c>
      <c r="L30" s="105">
        <f t="shared" si="2"/>
        <v>5.8823529411764701</v>
      </c>
      <c r="M30" s="769"/>
      <c r="N30" s="769">
        <v>0</v>
      </c>
      <c r="O30" s="105">
        <f t="shared" si="3"/>
        <v>0</v>
      </c>
      <c r="P30" s="769"/>
      <c r="Q30" s="769">
        <v>6</v>
      </c>
      <c r="R30" s="105">
        <f t="shared" si="7"/>
        <v>35.294117647058826</v>
      </c>
      <c r="S30" s="135"/>
    </row>
    <row r="31" spans="1:19" ht="13.25" customHeight="1">
      <c r="A31" s="95" t="s">
        <v>173</v>
      </c>
      <c r="B31" s="138">
        <f t="shared" si="5"/>
        <v>55</v>
      </c>
      <c r="C31" s="105">
        <f t="shared" si="6"/>
        <v>1.2545620437956204</v>
      </c>
      <c r="E31" s="769">
        <v>7</v>
      </c>
      <c r="F31" s="105">
        <f t="shared" si="0"/>
        <v>12.727272727272727</v>
      </c>
      <c r="G31" s="769"/>
      <c r="H31" s="769">
        <v>14</v>
      </c>
      <c r="I31" s="105">
        <f t="shared" si="1"/>
        <v>25.454545454545453</v>
      </c>
      <c r="J31" s="769"/>
      <c r="K31" s="769">
        <v>6</v>
      </c>
      <c r="L31" s="105">
        <f t="shared" si="2"/>
        <v>10.909090909090908</v>
      </c>
      <c r="M31" s="769"/>
      <c r="N31" s="769">
        <v>13</v>
      </c>
      <c r="O31" s="105">
        <f t="shared" si="3"/>
        <v>23.636363636363637</v>
      </c>
      <c r="P31" s="769"/>
      <c r="Q31" s="769">
        <v>15</v>
      </c>
      <c r="R31" s="105">
        <f t="shared" si="7"/>
        <v>27.27272727272727</v>
      </c>
      <c r="S31" s="135"/>
    </row>
    <row r="32" spans="1:19" ht="13.25" customHeight="1">
      <c r="A32" s="95" t="s">
        <v>174</v>
      </c>
      <c r="B32" s="138">
        <f t="shared" si="5"/>
        <v>16</v>
      </c>
      <c r="C32" s="105">
        <f t="shared" si="6"/>
        <v>0.36496350364963503</v>
      </c>
      <c r="E32" s="769">
        <v>3</v>
      </c>
      <c r="F32" s="105">
        <f t="shared" si="0"/>
        <v>18.75</v>
      </c>
      <c r="G32" s="769"/>
      <c r="H32" s="769">
        <v>4</v>
      </c>
      <c r="I32" s="105">
        <f t="shared" si="1"/>
        <v>25</v>
      </c>
      <c r="J32" s="769"/>
      <c r="K32" s="769">
        <v>2</v>
      </c>
      <c r="L32" s="105">
        <f t="shared" si="2"/>
        <v>12.5</v>
      </c>
      <c r="M32" s="769"/>
      <c r="N32" s="769">
        <v>0</v>
      </c>
      <c r="O32" s="105">
        <f t="shared" si="3"/>
        <v>0</v>
      </c>
      <c r="P32" s="769"/>
      <c r="Q32" s="769">
        <v>7</v>
      </c>
      <c r="R32" s="105">
        <f t="shared" si="7"/>
        <v>43.75</v>
      </c>
      <c r="S32" s="135"/>
    </row>
    <row r="33" spans="1:19" ht="13.25" customHeight="1">
      <c r="A33" s="95" t="s">
        <v>175</v>
      </c>
      <c r="B33" s="138">
        <f t="shared" si="5"/>
        <v>94</v>
      </c>
      <c r="C33" s="105">
        <f t="shared" si="6"/>
        <v>2.144160583941606</v>
      </c>
      <c r="E33" s="769">
        <v>10</v>
      </c>
      <c r="F33" s="105">
        <f t="shared" si="0"/>
        <v>10.638297872340425</v>
      </c>
      <c r="G33" s="769"/>
      <c r="H33" s="769">
        <v>16</v>
      </c>
      <c r="I33" s="105">
        <f t="shared" si="1"/>
        <v>17.021276595744681</v>
      </c>
      <c r="J33" s="769"/>
      <c r="K33" s="769">
        <v>42</v>
      </c>
      <c r="L33" s="105">
        <f t="shared" si="2"/>
        <v>44.680851063829785</v>
      </c>
      <c r="M33" s="769"/>
      <c r="N33" s="769">
        <v>14</v>
      </c>
      <c r="O33" s="105">
        <f t="shared" si="3"/>
        <v>14.893617021276595</v>
      </c>
      <c r="P33" s="769"/>
      <c r="Q33" s="769">
        <v>12</v>
      </c>
      <c r="R33" s="105">
        <f t="shared" si="7"/>
        <v>12.76595744680851</v>
      </c>
      <c r="S33" s="135"/>
    </row>
    <row r="34" spans="1:19" ht="13.25" customHeight="1">
      <c r="A34" s="95" t="s">
        <v>176</v>
      </c>
      <c r="B34" s="138">
        <f t="shared" si="5"/>
        <v>43</v>
      </c>
      <c r="C34" s="105">
        <f t="shared" si="6"/>
        <v>0.9808394160583942</v>
      </c>
      <c r="E34" s="769">
        <v>5</v>
      </c>
      <c r="F34" s="105">
        <f t="shared" si="0"/>
        <v>11.627906976744185</v>
      </c>
      <c r="G34" s="769"/>
      <c r="H34" s="769">
        <v>19</v>
      </c>
      <c r="I34" s="105">
        <f t="shared" si="1"/>
        <v>44.186046511627907</v>
      </c>
      <c r="J34" s="769"/>
      <c r="K34" s="769">
        <v>8</v>
      </c>
      <c r="L34" s="105">
        <f t="shared" si="2"/>
        <v>18.604651162790699</v>
      </c>
      <c r="M34" s="769"/>
      <c r="N34" s="769">
        <v>2</v>
      </c>
      <c r="O34" s="105">
        <f t="shared" si="3"/>
        <v>4.6511627906976747</v>
      </c>
      <c r="P34" s="769"/>
      <c r="Q34" s="769">
        <v>9</v>
      </c>
      <c r="R34" s="105">
        <f t="shared" si="7"/>
        <v>20.930232558139537</v>
      </c>
      <c r="S34" s="135"/>
    </row>
    <row r="35" spans="1:19" ht="11.25" customHeight="1">
      <c r="B35" s="138" t="str">
        <f t="shared" si="5"/>
        <v/>
      </c>
      <c r="C35" s="105" t="str">
        <f t="shared" si="6"/>
        <v/>
      </c>
      <c r="F35" s="105" t="str">
        <f t="shared" si="0"/>
        <v/>
      </c>
      <c r="I35" s="105" t="str">
        <f t="shared" si="1"/>
        <v/>
      </c>
      <c r="L35" s="105" t="str">
        <f t="shared" si="2"/>
        <v/>
      </c>
      <c r="M35" s="116"/>
      <c r="O35" s="105" t="str">
        <f t="shared" si="3"/>
        <v/>
      </c>
      <c r="P35" s="135"/>
      <c r="R35" s="105"/>
      <c r="S35" s="135"/>
    </row>
    <row r="36" spans="1:19" ht="13.25" customHeight="1">
      <c r="A36" s="55" t="s">
        <v>406</v>
      </c>
      <c r="B36" s="138">
        <f t="shared" si="5"/>
        <v>904</v>
      </c>
      <c r="C36" s="105">
        <f t="shared" si="6"/>
        <v>20.62043795620438</v>
      </c>
      <c r="E36" s="140">
        <f>E37+E43+E53+E55</f>
        <v>72</v>
      </c>
      <c r="F36" s="105">
        <f t="shared" si="0"/>
        <v>7.9646017699115044</v>
      </c>
      <c r="H36" s="140">
        <f>H37+H43+H53+H55</f>
        <v>313</v>
      </c>
      <c r="I36" s="105">
        <f t="shared" si="1"/>
        <v>34.623893805309734</v>
      </c>
      <c r="K36" s="140">
        <f>K37+K43+K53+K55</f>
        <v>236</v>
      </c>
      <c r="L36" s="105">
        <f t="shared" si="2"/>
        <v>26.10619469026549</v>
      </c>
      <c r="M36" s="116"/>
      <c r="N36" s="140">
        <f>N37+N43+N53+N55</f>
        <v>9</v>
      </c>
      <c r="O36" s="105">
        <f t="shared" si="3"/>
        <v>0.99557522123893805</v>
      </c>
      <c r="P36" s="135"/>
      <c r="Q36" s="140">
        <f>Q37+Q43+Q53+Q55</f>
        <v>274</v>
      </c>
      <c r="R36" s="105">
        <f t="shared" si="7"/>
        <v>30.309734513274339</v>
      </c>
      <c r="S36" s="135"/>
    </row>
    <row r="37" spans="1:19" ht="13.25" customHeight="1">
      <c r="A37" s="95" t="s">
        <v>178</v>
      </c>
      <c r="B37" s="138">
        <f t="shared" si="5"/>
        <v>226</v>
      </c>
      <c r="C37" s="105">
        <f t="shared" si="6"/>
        <v>5.1551094890510951</v>
      </c>
      <c r="E37" s="140">
        <f>SUM(E38:E41)</f>
        <v>9</v>
      </c>
      <c r="F37" s="105">
        <f t="shared" si="0"/>
        <v>3.9823008849557522</v>
      </c>
      <c r="H37" s="140">
        <f>SUM(H38:H41)</f>
        <v>100</v>
      </c>
      <c r="I37" s="105">
        <f t="shared" si="1"/>
        <v>44.247787610619469</v>
      </c>
      <c r="K37" s="140">
        <f>SUM(K38:K41)</f>
        <v>72</v>
      </c>
      <c r="L37" s="105">
        <f t="shared" si="2"/>
        <v>31.858407079646017</v>
      </c>
      <c r="M37" s="116"/>
      <c r="N37" s="140">
        <f>SUM(N38:N41)</f>
        <v>5</v>
      </c>
      <c r="O37" s="105">
        <f t="shared" si="3"/>
        <v>2.2123893805309733</v>
      </c>
      <c r="P37" s="135"/>
      <c r="Q37" s="140">
        <f>SUM(Q38:Q41)</f>
        <v>40</v>
      </c>
      <c r="R37" s="105">
        <f t="shared" si="7"/>
        <v>17.699115044247787</v>
      </c>
      <c r="S37" s="135"/>
    </row>
    <row r="38" spans="1:19" ht="13.25" customHeight="1">
      <c r="A38" s="95" t="s">
        <v>179</v>
      </c>
      <c r="B38" s="138">
        <f t="shared" si="5"/>
        <v>103</v>
      </c>
      <c r="C38" s="105">
        <f t="shared" si="6"/>
        <v>2.3494525547445253</v>
      </c>
      <c r="E38" s="769">
        <v>2</v>
      </c>
      <c r="F38" s="105">
        <f t="shared" si="0"/>
        <v>1.9417475728155338</v>
      </c>
      <c r="G38" s="769"/>
      <c r="H38" s="769">
        <v>54</v>
      </c>
      <c r="I38" s="105">
        <f t="shared" si="1"/>
        <v>52.427184466019419</v>
      </c>
      <c r="J38" s="769"/>
      <c r="K38" s="769">
        <v>35</v>
      </c>
      <c r="L38" s="105">
        <f t="shared" si="2"/>
        <v>33.980582524271846</v>
      </c>
      <c r="M38" s="769"/>
      <c r="N38" s="769">
        <v>1</v>
      </c>
      <c r="O38" s="105">
        <f t="shared" si="3"/>
        <v>0.97087378640776689</v>
      </c>
      <c r="P38" s="769"/>
      <c r="Q38" s="769">
        <v>11</v>
      </c>
      <c r="R38" s="105">
        <f t="shared" si="7"/>
        <v>10.679611650485436</v>
      </c>
      <c r="S38" s="135"/>
    </row>
    <row r="39" spans="1:19" ht="13.25" customHeight="1">
      <c r="A39" s="95" t="s">
        <v>180</v>
      </c>
      <c r="B39" s="138">
        <f t="shared" si="5"/>
        <v>71</v>
      </c>
      <c r="C39" s="105">
        <f t="shared" si="6"/>
        <v>1.6195255474452557</v>
      </c>
      <c r="E39" s="769">
        <v>2</v>
      </c>
      <c r="F39" s="105">
        <f t="shared" si="0"/>
        <v>2.8169014084507045</v>
      </c>
      <c r="G39" s="769"/>
      <c r="H39" s="769">
        <v>32</v>
      </c>
      <c r="I39" s="105">
        <f t="shared" si="1"/>
        <v>45.070422535211272</v>
      </c>
      <c r="J39" s="769"/>
      <c r="K39" s="769">
        <v>24</v>
      </c>
      <c r="L39" s="105">
        <f t="shared" si="2"/>
        <v>33.802816901408448</v>
      </c>
      <c r="M39" s="769"/>
      <c r="N39" s="769">
        <v>0</v>
      </c>
      <c r="O39" s="105">
        <f t="shared" si="3"/>
        <v>0</v>
      </c>
      <c r="P39" s="769"/>
      <c r="Q39" s="769">
        <v>13</v>
      </c>
      <c r="R39" s="105">
        <f t="shared" si="7"/>
        <v>18.30985915492958</v>
      </c>
      <c r="S39" s="135"/>
    </row>
    <row r="40" spans="1:19" ht="13.25" customHeight="1">
      <c r="A40" s="95" t="s">
        <v>181</v>
      </c>
      <c r="B40" s="138">
        <f t="shared" si="5"/>
        <v>28</v>
      </c>
      <c r="C40" s="105">
        <f t="shared" si="6"/>
        <v>0.63868613138686137</v>
      </c>
      <c r="E40" s="769">
        <v>4</v>
      </c>
      <c r="F40" s="105">
        <f t="shared" si="0"/>
        <v>14.285714285714285</v>
      </c>
      <c r="G40" s="769"/>
      <c r="H40" s="769">
        <v>5</v>
      </c>
      <c r="I40" s="105">
        <f t="shared" si="1"/>
        <v>17.857142857142858</v>
      </c>
      <c r="J40" s="769"/>
      <c r="K40" s="769">
        <v>5</v>
      </c>
      <c r="L40" s="105">
        <f t="shared" si="2"/>
        <v>17.857142857142858</v>
      </c>
      <c r="M40" s="769"/>
      <c r="N40" s="769">
        <v>3</v>
      </c>
      <c r="O40" s="105">
        <f t="shared" si="3"/>
        <v>10.714285714285714</v>
      </c>
      <c r="P40" s="769"/>
      <c r="Q40" s="769">
        <v>11</v>
      </c>
      <c r="R40" s="105">
        <f t="shared" si="7"/>
        <v>39.285714285714285</v>
      </c>
      <c r="S40" s="135"/>
    </row>
    <row r="41" spans="1:19" ht="13.25" customHeight="1">
      <c r="A41" s="95" t="s">
        <v>182</v>
      </c>
      <c r="B41" s="138">
        <f t="shared" si="5"/>
        <v>24</v>
      </c>
      <c r="C41" s="105">
        <f t="shared" si="6"/>
        <v>0.54744525547445255</v>
      </c>
      <c r="E41" s="769">
        <v>1</v>
      </c>
      <c r="F41" s="105">
        <f t="shared" si="0"/>
        <v>4.1666666666666661</v>
      </c>
      <c r="G41" s="769"/>
      <c r="H41" s="769">
        <v>9</v>
      </c>
      <c r="I41" s="105">
        <f t="shared" si="1"/>
        <v>37.5</v>
      </c>
      <c r="J41" s="769"/>
      <c r="K41" s="769">
        <v>8</v>
      </c>
      <c r="L41" s="105">
        <f t="shared" si="2"/>
        <v>33.333333333333329</v>
      </c>
      <c r="M41" s="769"/>
      <c r="N41" s="769">
        <v>1</v>
      </c>
      <c r="O41" s="105">
        <f t="shared" si="3"/>
        <v>4.1666666666666661</v>
      </c>
      <c r="P41" s="769"/>
      <c r="Q41" s="769">
        <v>5</v>
      </c>
      <c r="R41" s="105">
        <f t="shared" si="7"/>
        <v>20.833333333333336</v>
      </c>
      <c r="S41" s="135"/>
    </row>
    <row r="42" spans="1:19" ht="10" customHeight="1">
      <c r="B42" s="138" t="str">
        <f t="shared" si="5"/>
        <v/>
      </c>
      <c r="C42" s="105" t="str">
        <f t="shared" si="6"/>
        <v/>
      </c>
      <c r="E42" s="95"/>
      <c r="F42" s="105" t="str">
        <f t="shared" si="0"/>
        <v/>
      </c>
      <c r="H42" s="95"/>
      <c r="I42" s="105" t="str">
        <f t="shared" si="1"/>
        <v/>
      </c>
      <c r="J42" s="95"/>
      <c r="K42" s="95"/>
      <c r="L42" s="105" t="str">
        <f t="shared" si="2"/>
        <v/>
      </c>
      <c r="N42" s="95"/>
      <c r="O42" s="105" t="str">
        <f t="shared" si="3"/>
        <v/>
      </c>
      <c r="Q42" s="95"/>
      <c r="R42" s="105" t="str">
        <f t="shared" si="7"/>
        <v/>
      </c>
      <c r="S42" s="135"/>
    </row>
    <row r="43" spans="1:19" ht="13.25" customHeight="1">
      <c r="A43" s="95" t="s">
        <v>183</v>
      </c>
      <c r="B43" s="138">
        <f t="shared" si="5"/>
        <v>303</v>
      </c>
      <c r="C43" s="105">
        <f t="shared" si="6"/>
        <v>6.9114963503649633</v>
      </c>
      <c r="E43" s="140">
        <f>SUM(E44:E51)</f>
        <v>24</v>
      </c>
      <c r="F43" s="105">
        <f t="shared" si="0"/>
        <v>7.9207920792079207</v>
      </c>
      <c r="H43" s="140">
        <f>SUM(H44:H51)</f>
        <v>112</v>
      </c>
      <c r="I43" s="105">
        <f t="shared" si="1"/>
        <v>36.963696369636963</v>
      </c>
      <c r="K43" s="140">
        <f>SUM(K44:K51)</f>
        <v>90</v>
      </c>
      <c r="L43" s="105">
        <f t="shared" si="2"/>
        <v>29.702970297029701</v>
      </c>
      <c r="M43" s="116"/>
      <c r="N43" s="140">
        <f>SUM(N44:N51)</f>
        <v>2</v>
      </c>
      <c r="O43" s="105">
        <f t="shared" si="3"/>
        <v>0.66006600660066006</v>
      </c>
      <c r="P43" s="135"/>
      <c r="Q43" s="140">
        <f>SUM(Q44:Q51)</f>
        <v>75</v>
      </c>
      <c r="R43" s="105">
        <f t="shared" si="7"/>
        <v>24.752475247524753</v>
      </c>
      <c r="S43" s="135"/>
    </row>
    <row r="44" spans="1:19" ht="13.25" customHeight="1">
      <c r="A44" s="95" t="s">
        <v>191</v>
      </c>
      <c r="B44" s="138">
        <f t="shared" si="5"/>
        <v>14</v>
      </c>
      <c r="C44" s="105">
        <f t="shared" si="6"/>
        <v>0.31934306569343068</v>
      </c>
      <c r="E44" s="769">
        <v>4</v>
      </c>
      <c r="F44" s="105">
        <f t="shared" si="0"/>
        <v>28.571428571428569</v>
      </c>
      <c r="G44" s="769"/>
      <c r="H44" s="769">
        <v>5</v>
      </c>
      <c r="I44" s="105">
        <f t="shared" si="1"/>
        <v>35.714285714285715</v>
      </c>
      <c r="J44" s="769"/>
      <c r="K44" s="769">
        <v>2</v>
      </c>
      <c r="L44" s="105">
        <f t="shared" si="2"/>
        <v>14.285714285714285</v>
      </c>
      <c r="M44" s="769"/>
      <c r="N44" s="769">
        <v>0</v>
      </c>
      <c r="O44" s="105">
        <f t="shared" si="3"/>
        <v>0</v>
      </c>
      <c r="P44" s="769"/>
      <c r="Q44" s="769">
        <v>3</v>
      </c>
      <c r="R44" s="105">
        <f t="shared" si="7"/>
        <v>21.428571428571427</v>
      </c>
      <c r="S44" s="135"/>
    </row>
    <row r="45" spans="1:19" ht="13.25" customHeight="1">
      <c r="A45" s="95" t="s">
        <v>184</v>
      </c>
      <c r="B45" s="138">
        <f t="shared" si="5"/>
        <v>31</v>
      </c>
      <c r="C45" s="105">
        <f t="shared" si="6"/>
        <v>0.70711678832116787</v>
      </c>
      <c r="E45" s="769">
        <v>2</v>
      </c>
      <c r="F45" s="105">
        <f t="shared" si="0"/>
        <v>6.4516129032258061</v>
      </c>
      <c r="G45" s="769"/>
      <c r="H45" s="769">
        <v>17</v>
      </c>
      <c r="I45" s="105">
        <f t="shared" si="1"/>
        <v>54.838709677419352</v>
      </c>
      <c r="J45" s="769"/>
      <c r="K45" s="769">
        <v>5</v>
      </c>
      <c r="L45" s="105">
        <f t="shared" si="2"/>
        <v>16.129032258064516</v>
      </c>
      <c r="M45" s="769"/>
      <c r="N45" s="769">
        <v>1</v>
      </c>
      <c r="O45" s="105">
        <f t="shared" si="3"/>
        <v>3.225806451612903</v>
      </c>
      <c r="P45" s="769"/>
      <c r="Q45" s="769">
        <v>6</v>
      </c>
      <c r="R45" s="105"/>
      <c r="S45" s="135"/>
    </row>
    <row r="46" spans="1:19" ht="13.25" customHeight="1">
      <c r="A46" s="95" t="s">
        <v>185</v>
      </c>
      <c r="B46" s="138">
        <f t="shared" si="5"/>
        <v>49</v>
      </c>
      <c r="C46" s="105">
        <f t="shared" si="6"/>
        <v>1.1177007299270074</v>
      </c>
      <c r="E46" s="769">
        <v>5</v>
      </c>
      <c r="F46" s="105">
        <f t="shared" si="0"/>
        <v>10.204081632653061</v>
      </c>
      <c r="G46" s="769"/>
      <c r="H46" s="769">
        <v>15</v>
      </c>
      <c r="I46" s="105">
        <f t="shared" si="1"/>
        <v>30.612244897959183</v>
      </c>
      <c r="J46" s="769"/>
      <c r="K46" s="769">
        <v>12</v>
      </c>
      <c r="L46" s="105">
        <f t="shared" si="2"/>
        <v>24.489795918367346</v>
      </c>
      <c r="M46" s="769"/>
      <c r="N46" s="769">
        <v>0</v>
      </c>
      <c r="O46" s="105">
        <f t="shared" si="3"/>
        <v>0</v>
      </c>
      <c r="P46" s="769"/>
      <c r="Q46" s="769">
        <v>17</v>
      </c>
      <c r="R46" s="105">
        <f t="shared" si="7"/>
        <v>34.693877551020407</v>
      </c>
      <c r="S46" s="135"/>
    </row>
    <row r="47" spans="1:19" ht="13.25" customHeight="1">
      <c r="A47" s="95" t="s">
        <v>186</v>
      </c>
      <c r="B47" s="138">
        <f t="shared" si="5"/>
        <v>36</v>
      </c>
      <c r="C47" s="105">
        <f t="shared" si="6"/>
        <v>0.82116788321167888</v>
      </c>
      <c r="E47" s="769">
        <v>5</v>
      </c>
      <c r="F47" s="105">
        <f t="shared" si="0"/>
        <v>13.888888888888889</v>
      </c>
      <c r="G47" s="769"/>
      <c r="H47" s="769">
        <v>13</v>
      </c>
      <c r="I47" s="105">
        <f t="shared" si="1"/>
        <v>36.111111111111107</v>
      </c>
      <c r="J47" s="769"/>
      <c r="K47" s="769">
        <v>10</v>
      </c>
      <c r="L47" s="105">
        <f t="shared" si="2"/>
        <v>27.777777777777779</v>
      </c>
      <c r="M47" s="769"/>
      <c r="N47" s="769">
        <v>1</v>
      </c>
      <c r="O47" s="105">
        <f t="shared" si="3"/>
        <v>2.7777777777777777</v>
      </c>
      <c r="P47" s="769"/>
      <c r="Q47" s="769">
        <v>7</v>
      </c>
      <c r="R47" s="105">
        <f t="shared" si="7"/>
        <v>19.444444444444446</v>
      </c>
      <c r="S47" s="135"/>
    </row>
    <row r="48" spans="1:19" ht="13.25" customHeight="1">
      <c r="A48" s="95" t="s">
        <v>408</v>
      </c>
      <c r="B48" s="138">
        <f t="shared" si="5"/>
        <v>34</v>
      </c>
      <c r="C48" s="105">
        <f t="shared" si="6"/>
        <v>0.77554744525547448</v>
      </c>
      <c r="E48" s="769">
        <v>3</v>
      </c>
      <c r="F48" s="105">
        <f t="shared" si="0"/>
        <v>8.8235294117647065</v>
      </c>
      <c r="G48" s="769"/>
      <c r="H48" s="769">
        <v>10</v>
      </c>
      <c r="I48" s="105">
        <f t="shared" si="1"/>
        <v>29.411764705882355</v>
      </c>
      <c r="J48" s="769"/>
      <c r="K48" s="769">
        <v>8</v>
      </c>
      <c r="L48" s="105">
        <f t="shared" si="2"/>
        <v>23.52941176470588</v>
      </c>
      <c r="M48" s="769"/>
      <c r="N48" s="769">
        <v>0</v>
      </c>
      <c r="O48" s="105">
        <f t="shared" si="3"/>
        <v>0</v>
      </c>
      <c r="P48" s="769"/>
      <c r="Q48" s="769">
        <v>13</v>
      </c>
      <c r="R48" s="105">
        <f t="shared" si="7"/>
        <v>38.235294117647058</v>
      </c>
      <c r="S48" s="135"/>
    </row>
    <row r="49" spans="1:19" ht="13.25" customHeight="1">
      <c r="A49" s="95" t="s">
        <v>190</v>
      </c>
      <c r="B49" s="138">
        <f t="shared" si="5"/>
        <v>24</v>
      </c>
      <c r="C49" s="105">
        <f t="shared" si="6"/>
        <v>0.54744525547445255</v>
      </c>
      <c r="E49" s="769">
        <v>0</v>
      </c>
      <c r="F49" s="105">
        <f t="shared" si="0"/>
        <v>0</v>
      </c>
      <c r="G49" s="769"/>
      <c r="H49" s="769">
        <v>8</v>
      </c>
      <c r="I49" s="105">
        <f t="shared" si="1"/>
        <v>33.333333333333329</v>
      </c>
      <c r="J49" s="769"/>
      <c r="K49" s="769">
        <v>9</v>
      </c>
      <c r="L49" s="105">
        <f t="shared" si="2"/>
        <v>37.5</v>
      </c>
      <c r="M49" s="769"/>
      <c r="N49" s="769">
        <v>0</v>
      </c>
      <c r="O49" s="105">
        <f t="shared" si="3"/>
        <v>0</v>
      </c>
      <c r="P49" s="769"/>
      <c r="Q49" s="769">
        <v>7</v>
      </c>
      <c r="R49" s="105">
        <f t="shared" si="7"/>
        <v>29.166666666666668</v>
      </c>
      <c r="S49" s="135"/>
    </row>
    <row r="50" spans="1:19" ht="13.25" customHeight="1">
      <c r="A50" s="95" t="s">
        <v>189</v>
      </c>
      <c r="B50" s="138">
        <f t="shared" si="5"/>
        <v>81</v>
      </c>
      <c r="C50" s="105">
        <f t="shared" si="6"/>
        <v>1.8476277372262775</v>
      </c>
      <c r="E50" s="769">
        <v>5</v>
      </c>
      <c r="F50" s="105">
        <f t="shared" si="0"/>
        <v>6.1728395061728394</v>
      </c>
      <c r="G50" s="769"/>
      <c r="H50" s="769">
        <v>30</v>
      </c>
      <c r="I50" s="105">
        <f t="shared" si="1"/>
        <v>37.037037037037038</v>
      </c>
      <c r="J50" s="769"/>
      <c r="K50" s="769">
        <v>39</v>
      </c>
      <c r="L50" s="105">
        <f t="shared" si="2"/>
        <v>48.148148148148145</v>
      </c>
      <c r="M50" s="769"/>
      <c r="N50" s="769">
        <v>0</v>
      </c>
      <c r="O50" s="105">
        <f t="shared" si="3"/>
        <v>0</v>
      </c>
      <c r="P50" s="769"/>
      <c r="Q50" s="769">
        <v>7</v>
      </c>
      <c r="R50" s="105">
        <f t="shared" si="7"/>
        <v>8.6419753086419746</v>
      </c>
      <c r="S50" s="135"/>
    </row>
    <row r="51" spans="1:19" ht="13.25" customHeight="1">
      <c r="A51" s="95" t="s">
        <v>188</v>
      </c>
      <c r="B51" s="138">
        <f t="shared" si="5"/>
        <v>34</v>
      </c>
      <c r="C51" s="105">
        <f t="shared" si="6"/>
        <v>0.77554744525547448</v>
      </c>
      <c r="E51" s="769">
        <v>0</v>
      </c>
      <c r="F51" s="105">
        <f t="shared" si="0"/>
        <v>0</v>
      </c>
      <c r="G51" s="769"/>
      <c r="H51" s="769">
        <v>14</v>
      </c>
      <c r="I51" s="105">
        <f t="shared" si="1"/>
        <v>41.17647058823529</v>
      </c>
      <c r="J51" s="769"/>
      <c r="K51" s="769">
        <v>5</v>
      </c>
      <c r="L51" s="105">
        <f t="shared" si="2"/>
        <v>14.705882352941178</v>
      </c>
      <c r="M51" s="769"/>
      <c r="N51" s="769">
        <v>0</v>
      </c>
      <c r="O51" s="105">
        <f t="shared" si="3"/>
        <v>0</v>
      </c>
      <c r="P51" s="769"/>
      <c r="Q51" s="769">
        <v>15</v>
      </c>
      <c r="R51" s="105">
        <f t="shared" si="7"/>
        <v>44.117647058823529</v>
      </c>
      <c r="S51" s="135"/>
    </row>
    <row r="52" spans="1:19" ht="10" customHeight="1">
      <c r="B52" s="138" t="str">
        <f t="shared" si="5"/>
        <v/>
      </c>
      <c r="C52" s="105" t="str">
        <f t="shared" si="6"/>
        <v/>
      </c>
      <c r="E52" s="769"/>
      <c r="F52" s="105" t="str">
        <f t="shared" si="0"/>
        <v/>
      </c>
      <c r="G52" s="769"/>
      <c r="H52" s="769"/>
      <c r="I52" s="105" t="str">
        <f t="shared" si="1"/>
        <v/>
      </c>
      <c r="J52" s="769"/>
      <c r="K52" s="769"/>
      <c r="L52" s="105" t="str">
        <f t="shared" si="2"/>
        <v/>
      </c>
      <c r="M52" s="769"/>
      <c r="N52" s="769"/>
      <c r="O52" s="105" t="str">
        <f t="shared" si="3"/>
        <v/>
      </c>
      <c r="P52" s="769"/>
      <c r="Q52" s="769"/>
      <c r="R52" s="105" t="str">
        <f t="shared" si="7"/>
        <v/>
      </c>
      <c r="S52" s="135"/>
    </row>
    <row r="53" spans="1:19" ht="13.25" customHeight="1">
      <c r="A53" s="95" t="s">
        <v>192</v>
      </c>
      <c r="B53" s="138">
        <f t="shared" si="5"/>
        <v>115</v>
      </c>
      <c r="C53" s="105">
        <f t="shared" si="6"/>
        <v>2.6231751824817517</v>
      </c>
      <c r="E53" s="769">
        <v>23</v>
      </c>
      <c r="F53" s="105">
        <f t="shared" si="0"/>
        <v>20</v>
      </c>
      <c r="G53" s="769"/>
      <c r="H53" s="769">
        <v>37</v>
      </c>
      <c r="I53" s="105">
        <f t="shared" si="1"/>
        <v>32.173913043478258</v>
      </c>
      <c r="J53" s="769"/>
      <c r="K53" s="769">
        <v>30</v>
      </c>
      <c r="L53" s="105">
        <f t="shared" si="2"/>
        <v>26.086956521739129</v>
      </c>
      <c r="M53" s="769"/>
      <c r="N53" s="769">
        <v>0</v>
      </c>
      <c r="O53" s="105">
        <f t="shared" si="3"/>
        <v>0</v>
      </c>
      <c r="P53" s="769"/>
      <c r="Q53" s="769">
        <v>25</v>
      </c>
      <c r="R53" s="105">
        <f t="shared" si="7"/>
        <v>21.739130434782609</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R54" s="105" t="str">
        <f t="shared" si="7"/>
        <v/>
      </c>
      <c r="S54" s="135"/>
    </row>
    <row r="55" spans="1:19" ht="13.25" customHeight="1">
      <c r="A55" s="95" t="s">
        <v>193</v>
      </c>
      <c r="B55" s="138">
        <f t="shared" si="5"/>
        <v>260</v>
      </c>
      <c r="C55" s="105">
        <f t="shared" si="6"/>
        <v>5.9306569343065689</v>
      </c>
      <c r="E55" s="140">
        <f>SUM(E56:E60)</f>
        <v>16</v>
      </c>
      <c r="F55" s="105">
        <f t="shared" si="0"/>
        <v>6.1538461538461542</v>
      </c>
      <c r="H55" s="140">
        <f>SUM(H56:H60)</f>
        <v>64</v>
      </c>
      <c r="I55" s="105">
        <f t="shared" si="1"/>
        <v>24.615384615384617</v>
      </c>
      <c r="K55" s="140">
        <f>SUM(K56:K60)</f>
        <v>44</v>
      </c>
      <c r="L55" s="105">
        <f t="shared" si="2"/>
        <v>16.923076923076923</v>
      </c>
      <c r="M55" s="116"/>
      <c r="N55" s="140">
        <f>SUM(N56:N60)</f>
        <v>2</v>
      </c>
      <c r="O55" s="105">
        <f t="shared" si="3"/>
        <v>0.76923076923076927</v>
      </c>
      <c r="P55" s="135"/>
      <c r="Q55" s="140">
        <f>SUM(Q56:Q60)</f>
        <v>134</v>
      </c>
      <c r="R55" s="105">
        <f t="shared" si="7"/>
        <v>51.538461538461533</v>
      </c>
      <c r="S55" s="135"/>
    </row>
    <row r="56" spans="1:19" ht="13.25" customHeight="1">
      <c r="A56" s="95" t="s">
        <v>194</v>
      </c>
      <c r="B56" s="138">
        <f t="shared" si="5"/>
        <v>24</v>
      </c>
      <c r="C56" s="105">
        <f t="shared" si="6"/>
        <v>0.54744525547445255</v>
      </c>
      <c r="E56" s="769">
        <v>3</v>
      </c>
      <c r="F56" s="105">
        <f t="shared" si="0"/>
        <v>12.5</v>
      </c>
      <c r="G56" s="769"/>
      <c r="H56" s="769">
        <v>6</v>
      </c>
      <c r="I56" s="105">
        <f t="shared" si="1"/>
        <v>25</v>
      </c>
      <c r="J56" s="769"/>
      <c r="K56" s="769">
        <v>4</v>
      </c>
      <c r="L56" s="105">
        <f t="shared" si="2"/>
        <v>16.666666666666664</v>
      </c>
      <c r="M56" s="769"/>
      <c r="N56" s="769">
        <v>0</v>
      </c>
      <c r="O56" s="105">
        <f t="shared" si="3"/>
        <v>0</v>
      </c>
      <c r="P56" s="769"/>
      <c r="Q56" s="769">
        <v>11</v>
      </c>
      <c r="R56" s="105">
        <f t="shared" si="7"/>
        <v>45.833333333333329</v>
      </c>
      <c r="S56" s="135"/>
    </row>
    <row r="57" spans="1:19" ht="13.25" customHeight="1">
      <c r="A57" s="95" t="s">
        <v>195</v>
      </c>
      <c r="B57" s="138">
        <f t="shared" si="5"/>
        <v>122</v>
      </c>
      <c r="C57" s="105">
        <f t="shared" si="6"/>
        <v>2.7828467153284673</v>
      </c>
      <c r="E57" s="769">
        <v>7</v>
      </c>
      <c r="F57" s="105">
        <f t="shared" si="0"/>
        <v>5.7377049180327866</v>
      </c>
      <c r="G57" s="769"/>
      <c r="H57" s="769">
        <v>29</v>
      </c>
      <c r="I57" s="105">
        <f t="shared" si="1"/>
        <v>23.770491803278688</v>
      </c>
      <c r="J57" s="769"/>
      <c r="K57" s="769">
        <v>19</v>
      </c>
      <c r="L57" s="105">
        <f t="shared" si="2"/>
        <v>15.573770491803279</v>
      </c>
      <c r="M57" s="769"/>
      <c r="N57" s="769">
        <v>1</v>
      </c>
      <c r="O57" s="105">
        <f t="shared" si="3"/>
        <v>0.81967213114754101</v>
      </c>
      <c r="P57" s="769"/>
      <c r="Q57" s="769">
        <v>66</v>
      </c>
      <c r="R57" s="105">
        <f t="shared" si="7"/>
        <v>54.098360655737707</v>
      </c>
      <c r="S57" s="135"/>
    </row>
    <row r="58" spans="1:19" ht="13.25" customHeight="1">
      <c r="A58" s="95" t="s">
        <v>196</v>
      </c>
      <c r="B58" s="138">
        <f t="shared" si="5"/>
        <v>63</v>
      </c>
      <c r="C58" s="105">
        <f t="shared" si="6"/>
        <v>1.437043795620438</v>
      </c>
      <c r="E58" s="769">
        <v>3</v>
      </c>
      <c r="F58" s="105">
        <f t="shared" si="0"/>
        <v>4.7619047619047619</v>
      </c>
      <c r="G58" s="769"/>
      <c r="H58" s="769">
        <v>13</v>
      </c>
      <c r="I58" s="105">
        <f t="shared" si="1"/>
        <v>20.634920634920633</v>
      </c>
      <c r="J58" s="769"/>
      <c r="K58" s="769">
        <v>6</v>
      </c>
      <c r="L58" s="105">
        <f t="shared" si="2"/>
        <v>9.5238095238095237</v>
      </c>
      <c r="M58" s="769"/>
      <c r="N58" s="769">
        <v>0</v>
      </c>
      <c r="O58" s="105">
        <f t="shared" si="3"/>
        <v>0</v>
      </c>
      <c r="P58" s="769"/>
      <c r="Q58" s="769">
        <v>41</v>
      </c>
      <c r="R58" s="105">
        <f t="shared" si="7"/>
        <v>65.079365079365076</v>
      </c>
      <c r="S58" s="135"/>
    </row>
    <row r="59" spans="1:19" ht="13.25" customHeight="1">
      <c r="A59" s="95" t="s">
        <v>409</v>
      </c>
      <c r="B59" s="138">
        <f t="shared" si="5"/>
        <v>18</v>
      </c>
      <c r="C59" s="105">
        <f t="shared" si="6"/>
        <v>0.41058394160583944</v>
      </c>
      <c r="E59" s="769">
        <v>0</v>
      </c>
      <c r="F59" s="105">
        <f t="shared" si="0"/>
        <v>0</v>
      </c>
      <c r="G59" s="769"/>
      <c r="H59" s="769">
        <v>4</v>
      </c>
      <c r="I59" s="105">
        <f t="shared" si="1"/>
        <v>22.222222222222221</v>
      </c>
      <c r="J59" s="769"/>
      <c r="K59" s="769">
        <v>10</v>
      </c>
      <c r="L59" s="105">
        <f t="shared" si="2"/>
        <v>55.555555555555557</v>
      </c>
      <c r="M59" s="769"/>
      <c r="N59" s="769">
        <v>1</v>
      </c>
      <c r="O59" s="105">
        <f t="shared" si="3"/>
        <v>5.5555555555555554</v>
      </c>
      <c r="P59" s="769"/>
      <c r="Q59" s="769">
        <v>3</v>
      </c>
      <c r="R59" s="105">
        <f t="shared" si="7"/>
        <v>16.666666666666664</v>
      </c>
      <c r="S59" s="135"/>
    </row>
    <row r="60" spans="1:19" ht="13.25" customHeight="1">
      <c r="A60" s="95" t="s">
        <v>198</v>
      </c>
      <c r="B60" s="138">
        <f t="shared" si="5"/>
        <v>33</v>
      </c>
      <c r="C60" s="105">
        <f t="shared" si="6"/>
        <v>0.75273722627737227</v>
      </c>
      <c r="E60" s="769">
        <v>3</v>
      </c>
      <c r="F60" s="105">
        <f t="shared" si="0"/>
        <v>9.0909090909090917</v>
      </c>
      <c r="G60" s="769"/>
      <c r="H60" s="769">
        <v>12</v>
      </c>
      <c r="I60" s="105">
        <f t="shared" si="1"/>
        <v>36.363636363636367</v>
      </c>
      <c r="J60" s="769"/>
      <c r="K60" s="769">
        <v>5</v>
      </c>
      <c r="L60" s="105">
        <f t="shared" si="2"/>
        <v>15.151515151515152</v>
      </c>
      <c r="M60" s="769"/>
      <c r="N60" s="769">
        <v>0</v>
      </c>
      <c r="O60" s="105">
        <f t="shared" si="3"/>
        <v>0</v>
      </c>
      <c r="P60" s="769"/>
      <c r="Q60" s="769">
        <v>13</v>
      </c>
      <c r="R60" s="105">
        <f t="shared" si="7"/>
        <v>39.393939393939391</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R61" s="105" t="str">
        <f t="shared" si="7"/>
        <v/>
      </c>
      <c r="S61" s="135"/>
    </row>
    <row r="62" spans="1:19" ht="13.25" customHeight="1">
      <c r="A62" s="55" t="s">
        <v>410</v>
      </c>
      <c r="B62" s="138">
        <f t="shared" si="5"/>
        <v>909</v>
      </c>
      <c r="C62" s="105">
        <f t="shared" si="6"/>
        <v>20.73448905109489</v>
      </c>
      <c r="E62" s="140">
        <f>E63+E65+E72+E74</f>
        <v>18</v>
      </c>
      <c r="F62" s="105">
        <f t="shared" si="0"/>
        <v>1.9801980198019802</v>
      </c>
      <c r="H62" s="140">
        <f>H63+H65+H72+H74</f>
        <v>341</v>
      </c>
      <c r="I62" s="105">
        <f t="shared" si="1"/>
        <v>37.513751375137517</v>
      </c>
      <c r="K62" s="140">
        <f>K63+K65+K72+K74</f>
        <v>151</v>
      </c>
      <c r="L62" s="105">
        <f t="shared" si="2"/>
        <v>16.611661166116612</v>
      </c>
      <c r="M62" s="116"/>
      <c r="N62" s="140">
        <f>SUM(N63+N65+N72+N74)</f>
        <v>14</v>
      </c>
      <c r="O62" s="105">
        <f t="shared" si="3"/>
        <v>1.5401540154015401</v>
      </c>
      <c r="P62" s="135"/>
      <c r="Q62" s="140">
        <f>SUM(Q63+Q65+Q72+Q74)</f>
        <v>385</v>
      </c>
      <c r="R62" s="105">
        <f t="shared" si="7"/>
        <v>42.354235423542349</v>
      </c>
      <c r="S62" s="135"/>
    </row>
    <row r="63" spans="1:19" ht="13.25" customHeight="1">
      <c r="A63" s="95" t="s">
        <v>411</v>
      </c>
      <c r="B63" s="138">
        <f t="shared" si="5"/>
        <v>75</v>
      </c>
      <c r="C63" s="105">
        <f t="shared" si="6"/>
        <v>1.7107664233576643</v>
      </c>
      <c r="E63" s="769">
        <v>1</v>
      </c>
      <c r="F63" s="105">
        <f t="shared" si="0"/>
        <v>1.3333333333333335</v>
      </c>
      <c r="G63" s="769"/>
      <c r="H63" s="769">
        <v>9</v>
      </c>
      <c r="I63" s="105">
        <f t="shared" si="1"/>
        <v>12</v>
      </c>
      <c r="J63" s="769"/>
      <c r="K63" s="769">
        <v>23</v>
      </c>
      <c r="L63" s="105">
        <f t="shared" si="2"/>
        <v>30.666666666666664</v>
      </c>
      <c r="M63" s="769"/>
      <c r="N63" s="769">
        <v>0</v>
      </c>
      <c r="O63" s="105">
        <f t="shared" si="3"/>
        <v>0</v>
      </c>
      <c r="P63" s="769"/>
      <c r="Q63" s="769">
        <v>42</v>
      </c>
      <c r="R63" s="105">
        <f t="shared" si="7"/>
        <v>56.000000000000007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R64" s="105" t="str">
        <f t="shared" si="7"/>
        <v/>
      </c>
      <c r="S64" s="135"/>
    </row>
    <row r="65" spans="1:19" ht="13.25" customHeight="1">
      <c r="A65" s="95" t="s">
        <v>202</v>
      </c>
      <c r="B65" s="138">
        <f t="shared" si="5"/>
        <v>673</v>
      </c>
      <c r="C65" s="105">
        <f t="shared" si="6"/>
        <v>15.351277372262773</v>
      </c>
      <c r="E65" s="140">
        <f>SUM(E66:E70)</f>
        <v>15</v>
      </c>
      <c r="F65" s="105">
        <f t="shared" si="0"/>
        <v>2.2288261515601784</v>
      </c>
      <c r="H65" s="140">
        <f>SUM(H66:H70)</f>
        <v>255</v>
      </c>
      <c r="I65" s="105">
        <f t="shared" si="1"/>
        <v>37.890044576523032</v>
      </c>
      <c r="K65" s="140">
        <f>SUM(K66:K70)</f>
        <v>98</v>
      </c>
      <c r="L65" s="105">
        <f t="shared" si="2"/>
        <v>14.561664190193166</v>
      </c>
      <c r="M65" s="116"/>
      <c r="N65" s="140">
        <f>SUM(N66:N70)</f>
        <v>13</v>
      </c>
      <c r="O65" s="105">
        <f t="shared" si="3"/>
        <v>1.9316493313521546</v>
      </c>
      <c r="P65" s="135"/>
      <c r="Q65" s="140">
        <f>SUM(Q66:Q70)</f>
        <v>292</v>
      </c>
      <c r="R65" s="105">
        <f t="shared" si="7"/>
        <v>43.387815750371473</v>
      </c>
      <c r="S65" s="135"/>
    </row>
    <row r="66" spans="1:19" ht="13.25" customHeight="1">
      <c r="A66" s="95" t="s">
        <v>482</v>
      </c>
      <c r="B66" s="138">
        <f t="shared" si="5"/>
        <v>417</v>
      </c>
      <c r="C66" s="105">
        <f t="shared" si="6"/>
        <v>9.5118613138686143</v>
      </c>
      <c r="E66" s="769">
        <v>4</v>
      </c>
      <c r="F66" s="105">
        <f t="shared" si="0"/>
        <v>0.95923261390887282</v>
      </c>
      <c r="G66" s="769"/>
      <c r="H66" s="769">
        <v>190</v>
      </c>
      <c r="I66" s="105">
        <f t="shared" si="1"/>
        <v>45.563549160671464</v>
      </c>
      <c r="J66" s="769"/>
      <c r="K66" s="769">
        <v>36</v>
      </c>
      <c r="L66" s="105">
        <f t="shared" si="2"/>
        <v>8.6330935251798557</v>
      </c>
      <c r="M66" s="769"/>
      <c r="N66" s="769">
        <v>1</v>
      </c>
      <c r="O66" s="105">
        <f t="shared" si="3"/>
        <v>0.23980815347721821</v>
      </c>
      <c r="P66" s="769"/>
      <c r="Q66" s="769">
        <v>186</v>
      </c>
      <c r="R66" s="105">
        <f t="shared" si="7"/>
        <v>44.60431654676259</v>
      </c>
      <c r="S66" s="135"/>
    </row>
    <row r="67" spans="1:19" ht="13.25" customHeight="1">
      <c r="A67" s="95" t="s">
        <v>204</v>
      </c>
      <c r="B67" s="138">
        <f t="shared" si="5"/>
        <v>42</v>
      </c>
      <c r="C67" s="105">
        <f t="shared" si="6"/>
        <v>0.95802919708029199</v>
      </c>
      <c r="E67" s="769">
        <v>3</v>
      </c>
      <c r="F67" s="105">
        <f t="shared" si="0"/>
        <v>7.1428571428571423</v>
      </c>
      <c r="G67" s="769"/>
      <c r="H67" s="769">
        <v>10</v>
      </c>
      <c r="I67" s="105">
        <f t="shared" si="1"/>
        <v>23.809523809523807</v>
      </c>
      <c r="J67" s="769"/>
      <c r="K67" s="769">
        <v>10</v>
      </c>
      <c r="L67" s="105">
        <f t="shared" si="2"/>
        <v>23.809523809523807</v>
      </c>
      <c r="M67" s="769"/>
      <c r="N67" s="769">
        <v>0</v>
      </c>
      <c r="O67" s="105">
        <f t="shared" si="3"/>
        <v>0</v>
      </c>
      <c r="P67" s="769"/>
      <c r="Q67" s="769">
        <v>19</v>
      </c>
      <c r="R67" s="105">
        <f t="shared" si="7"/>
        <v>45.238095238095241</v>
      </c>
      <c r="S67" s="135"/>
    </row>
    <row r="68" spans="1:19" ht="13.25" customHeight="1">
      <c r="A68" s="95" t="s">
        <v>206</v>
      </c>
      <c r="B68" s="138">
        <f t="shared" si="5"/>
        <v>36</v>
      </c>
      <c r="C68" s="105">
        <f t="shared" si="6"/>
        <v>0.82116788321167888</v>
      </c>
      <c r="E68" s="769">
        <v>1</v>
      </c>
      <c r="F68" s="105">
        <f t="shared" si="0"/>
        <v>2.7777777777777777</v>
      </c>
      <c r="G68" s="769"/>
      <c r="H68" s="769">
        <v>9</v>
      </c>
      <c r="I68" s="105">
        <f t="shared" si="1"/>
        <v>25</v>
      </c>
      <c r="J68" s="769"/>
      <c r="K68" s="769">
        <v>12</v>
      </c>
      <c r="L68" s="105">
        <f t="shared" si="2"/>
        <v>33.333333333333329</v>
      </c>
      <c r="M68" s="769"/>
      <c r="N68" s="769">
        <v>0</v>
      </c>
      <c r="O68" s="105">
        <f t="shared" si="3"/>
        <v>0</v>
      </c>
      <c r="P68" s="769"/>
      <c r="Q68" s="769">
        <v>14</v>
      </c>
      <c r="R68" s="105">
        <f t="shared" si="7"/>
        <v>38.888888888888893</v>
      </c>
      <c r="S68" s="135"/>
    </row>
    <row r="69" spans="1:19" ht="13.25" customHeight="1">
      <c r="A69" s="95" t="s">
        <v>205</v>
      </c>
      <c r="B69" s="138">
        <f t="shared" si="5"/>
        <v>30</v>
      </c>
      <c r="C69" s="105">
        <f t="shared" si="6"/>
        <v>0.68430656934306577</v>
      </c>
      <c r="E69" s="769">
        <v>4</v>
      </c>
      <c r="F69" s="105">
        <f t="shared" si="0"/>
        <v>13.333333333333334</v>
      </c>
      <c r="G69" s="769"/>
      <c r="H69" s="769">
        <v>14</v>
      </c>
      <c r="I69" s="105">
        <f t="shared" si="1"/>
        <v>46.666666666666664</v>
      </c>
      <c r="J69" s="769"/>
      <c r="K69" s="769">
        <v>7</v>
      </c>
      <c r="L69" s="105">
        <f t="shared" si="2"/>
        <v>23.333333333333332</v>
      </c>
      <c r="M69" s="769"/>
      <c r="N69" s="769">
        <v>0</v>
      </c>
      <c r="O69" s="105">
        <f t="shared" si="3"/>
        <v>0</v>
      </c>
      <c r="P69" s="769"/>
      <c r="Q69" s="769">
        <v>5</v>
      </c>
      <c r="R69" s="105">
        <f t="shared" si="7"/>
        <v>16.666666666666664</v>
      </c>
      <c r="S69" s="135"/>
    </row>
    <row r="70" spans="1:19" ht="13.25" customHeight="1">
      <c r="A70" s="95" t="s">
        <v>508</v>
      </c>
      <c r="B70" s="138">
        <f t="shared" si="5"/>
        <v>148</v>
      </c>
      <c r="C70" s="105">
        <f t="shared" si="6"/>
        <v>3.3759124087591239</v>
      </c>
      <c r="E70" s="769">
        <v>3</v>
      </c>
      <c r="F70" s="105">
        <f t="shared" si="0"/>
        <v>2.0270270270270272</v>
      </c>
      <c r="G70" s="769"/>
      <c r="H70" s="769">
        <v>32</v>
      </c>
      <c r="I70" s="105">
        <f t="shared" si="1"/>
        <v>21.621621621621621</v>
      </c>
      <c r="J70" s="769"/>
      <c r="K70" s="769">
        <v>33</v>
      </c>
      <c r="L70" s="105">
        <f t="shared" si="2"/>
        <v>22.297297297297298</v>
      </c>
      <c r="M70" s="769"/>
      <c r="N70" s="769">
        <v>12</v>
      </c>
      <c r="O70" s="105">
        <f t="shared" si="3"/>
        <v>8.1081081081081088</v>
      </c>
      <c r="P70" s="769"/>
      <c r="Q70" s="769">
        <v>68</v>
      </c>
      <c r="R70" s="105">
        <f t="shared" si="7"/>
        <v>45.945945945945951</v>
      </c>
      <c r="S70" s="135"/>
    </row>
    <row r="71" spans="1:19" ht="6.75" customHeight="1">
      <c r="B71" s="138" t="str">
        <f t="shared" si="5"/>
        <v/>
      </c>
      <c r="C71" s="105" t="str">
        <f t="shared" si="6"/>
        <v/>
      </c>
      <c r="E71" s="769"/>
      <c r="F71" s="105" t="str">
        <f t="shared" si="0"/>
        <v/>
      </c>
      <c r="G71" s="769"/>
      <c r="H71" s="769"/>
      <c r="I71" s="105" t="str">
        <f t="shared" si="1"/>
        <v/>
      </c>
      <c r="J71" s="769"/>
      <c r="K71" s="769"/>
      <c r="L71" s="105" t="str">
        <f t="shared" si="2"/>
        <v/>
      </c>
      <c r="M71" s="769"/>
      <c r="N71" s="769"/>
      <c r="O71" s="105" t="str">
        <f t="shared" si="3"/>
        <v/>
      </c>
      <c r="P71" s="769"/>
      <c r="Q71" s="769"/>
      <c r="R71" s="105" t="str">
        <f t="shared" si="7"/>
        <v/>
      </c>
      <c r="S71" s="135"/>
    </row>
    <row r="72" spans="1:19" ht="13.25" customHeight="1">
      <c r="A72" s="95" t="s">
        <v>208</v>
      </c>
      <c r="B72" s="138">
        <f t="shared" si="5"/>
        <v>54</v>
      </c>
      <c r="C72" s="105">
        <f t="shared" si="6"/>
        <v>1.2317518248175183</v>
      </c>
      <c r="E72" s="769">
        <v>1</v>
      </c>
      <c r="F72" s="105">
        <f t="shared" si="0"/>
        <v>1.8518518518518516</v>
      </c>
      <c r="G72" s="769"/>
      <c r="H72" s="769">
        <v>9</v>
      </c>
      <c r="I72" s="105">
        <f t="shared" si="1"/>
        <v>16.666666666666664</v>
      </c>
      <c r="J72" s="769"/>
      <c r="K72" s="769">
        <v>8</v>
      </c>
      <c r="L72" s="105">
        <f t="shared" si="2"/>
        <v>14.814814814814813</v>
      </c>
      <c r="M72" s="769"/>
      <c r="N72" s="769">
        <v>1</v>
      </c>
      <c r="O72" s="105">
        <f t="shared" si="3"/>
        <v>1.8518518518518516</v>
      </c>
      <c r="P72" s="769"/>
      <c r="Q72" s="769">
        <v>35</v>
      </c>
      <c r="R72" s="105">
        <f t="shared" si="7"/>
        <v>64.81481481481481</v>
      </c>
      <c r="S72" s="135"/>
    </row>
    <row r="73" spans="1:19" ht="5.25" customHeight="1">
      <c r="B73" s="138" t="str">
        <f t="shared" si="5"/>
        <v/>
      </c>
      <c r="C73" s="105" t="str">
        <f t="shared" si="6"/>
        <v/>
      </c>
      <c r="E73" s="769"/>
      <c r="F73" s="105" t="str">
        <f t="shared" si="0"/>
        <v/>
      </c>
      <c r="G73" s="769"/>
      <c r="H73" s="769"/>
      <c r="I73" s="105" t="str">
        <f t="shared" si="1"/>
        <v/>
      </c>
      <c r="J73" s="769"/>
      <c r="K73" s="769"/>
      <c r="L73" s="105" t="str">
        <f t="shared" si="2"/>
        <v/>
      </c>
      <c r="M73" s="769"/>
      <c r="N73" s="769"/>
      <c r="O73" s="105" t="str">
        <f t="shared" si="3"/>
        <v/>
      </c>
      <c r="P73" s="769"/>
      <c r="Q73" s="769"/>
      <c r="R73" s="105" t="str">
        <f t="shared" si="7"/>
        <v/>
      </c>
      <c r="S73" s="135"/>
    </row>
    <row r="74" spans="1:19" ht="13.25" customHeight="1">
      <c r="A74" s="95" t="s">
        <v>209</v>
      </c>
      <c r="B74" s="138">
        <f t="shared" si="5"/>
        <v>107</v>
      </c>
      <c r="C74" s="105">
        <f t="shared" si="6"/>
        <v>2.4406934306569346</v>
      </c>
      <c r="E74" s="769">
        <v>1</v>
      </c>
      <c r="F74" s="105">
        <f t="shared" si="0"/>
        <v>0.93457943925233633</v>
      </c>
      <c r="G74" s="769"/>
      <c r="H74" s="769">
        <v>68</v>
      </c>
      <c r="I74" s="105">
        <f t="shared" si="1"/>
        <v>63.551401869158873</v>
      </c>
      <c r="J74" s="769"/>
      <c r="K74" s="769">
        <v>22</v>
      </c>
      <c r="L74" s="105">
        <f t="shared" si="2"/>
        <v>20.5607476635514</v>
      </c>
      <c r="M74" s="769"/>
      <c r="N74" s="769">
        <v>0</v>
      </c>
      <c r="O74" s="105">
        <f t="shared" si="3"/>
        <v>0</v>
      </c>
      <c r="P74" s="769"/>
      <c r="Q74" s="769">
        <v>16</v>
      </c>
      <c r="R74" s="105">
        <f t="shared" si="7"/>
        <v>14.953271028037381</v>
      </c>
      <c r="S74" s="135"/>
    </row>
    <row r="75" spans="1:19" ht="6" customHeight="1">
      <c r="B75" s="138" t="str">
        <f t="shared" si="5"/>
        <v/>
      </c>
      <c r="C75" s="105" t="str">
        <f t="shared" si="6"/>
        <v/>
      </c>
      <c r="F75" s="105" t="str">
        <f t="shared" ref="F75:F113" si="8">IF($A75&lt;&gt;0,E75/$B75*100,"")</f>
        <v/>
      </c>
      <c r="I75" s="105" t="str">
        <f t="shared" ref="I75:I113" si="9">IF($A75&lt;&gt;0,H75/$B75*100,"")</f>
        <v/>
      </c>
      <c r="L75" s="105" t="str">
        <f t="shared" ref="L75:L113" si="10">IF($A75&lt;&gt;0,K75/$B75*100,"")</f>
        <v/>
      </c>
      <c r="M75" s="116"/>
      <c r="O75" s="105" t="str">
        <f t="shared" ref="O75:O113" si="11">IF($A75&lt;&gt;0,N75/$B75*100,"")</f>
        <v/>
      </c>
      <c r="P75" s="135"/>
      <c r="R75" s="105" t="str">
        <f t="shared" si="7"/>
        <v/>
      </c>
      <c r="S75" s="135"/>
    </row>
    <row r="76" spans="1:19" ht="13.25" customHeight="1">
      <c r="A76" s="55" t="s">
        <v>413</v>
      </c>
      <c r="B76" s="138">
        <f t="shared" ref="B76:B110" si="12">IF($A76&lt;&gt;"",E76+H76+K76+N76+Q76,"")</f>
        <v>59</v>
      </c>
      <c r="C76" s="105">
        <f t="shared" si="6"/>
        <v>1.345802919708029</v>
      </c>
      <c r="E76" s="140">
        <f>E77</f>
        <v>3</v>
      </c>
      <c r="F76" s="105">
        <f t="shared" si="8"/>
        <v>5.0847457627118651</v>
      </c>
      <c r="H76" s="140">
        <f>H77</f>
        <v>20</v>
      </c>
      <c r="I76" s="105">
        <f t="shared" si="9"/>
        <v>33.898305084745758</v>
      </c>
      <c r="K76" s="140">
        <f>K77</f>
        <v>14</v>
      </c>
      <c r="L76" s="105">
        <f t="shared" si="10"/>
        <v>23.728813559322035</v>
      </c>
      <c r="M76" s="116"/>
      <c r="N76" s="140">
        <f>N77</f>
        <v>3</v>
      </c>
      <c r="O76" s="105">
        <f t="shared" si="11"/>
        <v>5.0847457627118651</v>
      </c>
      <c r="P76" s="135"/>
      <c r="Q76" s="140">
        <f>SUM(Q77)</f>
        <v>19</v>
      </c>
      <c r="R76" s="105">
        <f t="shared" si="7"/>
        <v>32.20338983050847</v>
      </c>
      <c r="S76" s="135"/>
    </row>
    <row r="77" spans="1:19" ht="13.25" customHeight="1">
      <c r="A77" s="95" t="s">
        <v>414</v>
      </c>
      <c r="B77" s="138">
        <f t="shared" si="12"/>
        <v>59</v>
      </c>
      <c r="C77" s="105">
        <f t="shared" si="6"/>
        <v>1.345802919708029</v>
      </c>
      <c r="E77" s="140">
        <f>SUM(E78:E81)</f>
        <v>3</v>
      </c>
      <c r="F77" s="105">
        <f t="shared" si="8"/>
        <v>5.0847457627118651</v>
      </c>
      <c r="H77" s="140">
        <f>SUM(H78:H81)</f>
        <v>20</v>
      </c>
      <c r="I77" s="105">
        <f t="shared" si="9"/>
        <v>33.898305084745758</v>
      </c>
      <c r="K77" s="140">
        <f>SUM(K78:K81)</f>
        <v>14</v>
      </c>
      <c r="L77" s="105">
        <f t="shared" si="10"/>
        <v>23.728813559322035</v>
      </c>
      <c r="M77" s="116"/>
      <c r="N77" s="140">
        <f>SUM(N78:N81)</f>
        <v>3</v>
      </c>
      <c r="O77" s="105">
        <f t="shared" si="11"/>
        <v>5.0847457627118651</v>
      </c>
      <c r="P77" s="135"/>
      <c r="Q77" s="140">
        <f>SUM(Q78:Q81)</f>
        <v>19</v>
      </c>
      <c r="R77" s="105">
        <f t="shared" si="7"/>
        <v>32.20338983050847</v>
      </c>
      <c r="S77" s="135"/>
    </row>
    <row r="78" spans="1:19" ht="13.25" customHeight="1">
      <c r="A78" s="95" t="s">
        <v>212</v>
      </c>
      <c r="B78" s="138">
        <f t="shared" si="12"/>
        <v>20</v>
      </c>
      <c r="C78" s="105">
        <f t="shared" si="6"/>
        <v>0.45620437956204374</v>
      </c>
      <c r="E78" s="769">
        <v>1</v>
      </c>
      <c r="F78" s="105">
        <f t="shared" si="8"/>
        <v>5</v>
      </c>
      <c r="G78" s="769"/>
      <c r="H78" s="769">
        <v>6</v>
      </c>
      <c r="I78" s="105">
        <f t="shared" si="9"/>
        <v>30</v>
      </c>
      <c r="J78" s="769"/>
      <c r="K78" s="769">
        <v>5</v>
      </c>
      <c r="L78" s="105">
        <f t="shared" si="10"/>
        <v>25</v>
      </c>
      <c r="M78" s="769"/>
      <c r="N78" s="769">
        <v>3</v>
      </c>
      <c r="O78" s="105">
        <f t="shared" si="11"/>
        <v>15</v>
      </c>
      <c r="P78" s="769"/>
      <c r="Q78" s="769">
        <v>5</v>
      </c>
      <c r="R78" s="105">
        <f t="shared" si="7"/>
        <v>25</v>
      </c>
      <c r="S78" s="135"/>
    </row>
    <row r="79" spans="1:19" ht="13.25" customHeight="1">
      <c r="A79" s="95" t="s">
        <v>213</v>
      </c>
      <c r="B79" s="138">
        <f t="shared" si="12"/>
        <v>19</v>
      </c>
      <c r="C79" s="105">
        <f t="shared" si="6"/>
        <v>0.43339416058394159</v>
      </c>
      <c r="E79" s="769">
        <v>0</v>
      </c>
      <c r="F79" s="105">
        <f t="shared" si="8"/>
        <v>0</v>
      </c>
      <c r="G79" s="769"/>
      <c r="H79" s="769">
        <v>6</v>
      </c>
      <c r="I79" s="105">
        <f t="shared" si="9"/>
        <v>31.578947368421051</v>
      </c>
      <c r="J79" s="769"/>
      <c r="K79" s="769">
        <v>2</v>
      </c>
      <c r="L79" s="105">
        <f t="shared" si="10"/>
        <v>10.526315789473683</v>
      </c>
      <c r="M79" s="769"/>
      <c r="N79" s="769">
        <v>0</v>
      </c>
      <c r="O79" s="105">
        <f t="shared" si="11"/>
        <v>0</v>
      </c>
      <c r="P79" s="769"/>
      <c r="Q79" s="769">
        <v>11</v>
      </c>
      <c r="R79" s="105">
        <f t="shared" si="7"/>
        <v>57.894736842105267</v>
      </c>
      <c r="S79" s="135"/>
    </row>
    <row r="80" spans="1:19" ht="13.25" customHeight="1">
      <c r="A80" s="95" t="s">
        <v>214</v>
      </c>
      <c r="B80" s="138">
        <f t="shared" si="12"/>
        <v>9</v>
      </c>
      <c r="C80" s="105">
        <f t="shared" si="6"/>
        <v>0.20529197080291972</v>
      </c>
      <c r="E80" s="769">
        <v>1</v>
      </c>
      <c r="F80" s="105">
        <f t="shared" si="8"/>
        <v>11.111111111111111</v>
      </c>
      <c r="G80" s="769"/>
      <c r="H80" s="769">
        <v>5</v>
      </c>
      <c r="I80" s="105">
        <f t="shared" si="9"/>
        <v>55.555555555555557</v>
      </c>
      <c r="J80" s="769"/>
      <c r="K80" s="769">
        <v>2</v>
      </c>
      <c r="L80" s="105">
        <f t="shared" si="10"/>
        <v>22.222222222222221</v>
      </c>
      <c r="M80" s="769"/>
      <c r="N80" s="769">
        <v>0</v>
      </c>
      <c r="O80" s="105">
        <f t="shared" si="11"/>
        <v>0</v>
      </c>
      <c r="P80" s="769"/>
      <c r="Q80" s="769">
        <v>1</v>
      </c>
      <c r="R80" s="105">
        <f t="shared" si="7"/>
        <v>11.111111111111111</v>
      </c>
      <c r="S80" s="135"/>
    </row>
    <row r="81" spans="1:19" ht="13.25" customHeight="1">
      <c r="A81" s="95" t="s">
        <v>215</v>
      </c>
      <c r="B81" s="138">
        <f t="shared" si="12"/>
        <v>11</v>
      </c>
      <c r="C81" s="105">
        <f t="shared" ref="C81:C113" si="13">IF(A81&lt;&gt;0,B81/$B$11*100,"")</f>
        <v>0.25091240875912407</v>
      </c>
      <c r="E81" s="769">
        <v>1</v>
      </c>
      <c r="F81" s="105">
        <f t="shared" si="8"/>
        <v>9.0909090909090917</v>
      </c>
      <c r="G81" s="769"/>
      <c r="H81" s="769">
        <v>3</v>
      </c>
      <c r="I81" s="105">
        <f t="shared" si="9"/>
        <v>27.27272727272727</v>
      </c>
      <c r="J81" s="769"/>
      <c r="K81" s="769">
        <v>5</v>
      </c>
      <c r="L81" s="105">
        <f t="shared" si="10"/>
        <v>45.454545454545453</v>
      </c>
      <c r="M81" s="769"/>
      <c r="N81" s="769">
        <v>0</v>
      </c>
      <c r="O81" s="105">
        <f t="shared" si="11"/>
        <v>0</v>
      </c>
      <c r="P81" s="769"/>
      <c r="Q81" s="769">
        <v>2</v>
      </c>
      <c r="R81" s="105">
        <f t="shared" si="7"/>
        <v>18.181818181818183</v>
      </c>
      <c r="S81" s="135"/>
    </row>
    <row r="82" spans="1:19" ht="6.75" customHeight="1">
      <c r="B82" s="138" t="str">
        <f t="shared" si="12"/>
        <v/>
      </c>
      <c r="C82" s="105" t="str">
        <f t="shared" si="13"/>
        <v/>
      </c>
      <c r="F82" s="105" t="str">
        <f t="shared" si="8"/>
        <v/>
      </c>
      <c r="I82" s="105" t="str">
        <f t="shared" si="9"/>
        <v/>
      </c>
      <c r="L82" s="105" t="str">
        <f t="shared" si="10"/>
        <v/>
      </c>
      <c r="M82" s="116"/>
      <c r="O82" s="105" t="str">
        <f t="shared" si="11"/>
        <v/>
      </c>
      <c r="P82" s="135"/>
      <c r="R82" s="105" t="str">
        <f t="shared" si="7"/>
        <v/>
      </c>
      <c r="S82" s="135"/>
    </row>
    <row r="83" spans="1:19" ht="12" customHeight="1">
      <c r="A83" s="55" t="s">
        <v>216</v>
      </c>
      <c r="B83" s="138">
        <f t="shared" si="12"/>
        <v>284</v>
      </c>
      <c r="C83" s="105">
        <f t="shared" si="13"/>
        <v>6.4781021897810227</v>
      </c>
      <c r="E83" s="140">
        <f>SUM(E84)</f>
        <v>23</v>
      </c>
      <c r="F83" s="105">
        <f t="shared" si="8"/>
        <v>8.0985915492957758</v>
      </c>
      <c r="H83" s="140">
        <f>SUM(H84)</f>
        <v>83</v>
      </c>
      <c r="I83" s="105">
        <f t="shared" si="9"/>
        <v>29.225352112676056</v>
      </c>
      <c r="K83" s="140">
        <f>SUM(K84)</f>
        <v>111</v>
      </c>
      <c r="L83" s="105">
        <f t="shared" si="10"/>
        <v>39.08450704225352</v>
      </c>
      <c r="M83" s="116"/>
      <c r="N83" s="140">
        <f>SUM(N84)</f>
        <v>2</v>
      </c>
      <c r="O83" s="105">
        <f t="shared" si="11"/>
        <v>0.70422535211267612</v>
      </c>
      <c r="P83" s="135"/>
      <c r="Q83" s="140">
        <f>SUM(Q84)</f>
        <v>65</v>
      </c>
      <c r="R83" s="105">
        <f t="shared" si="7"/>
        <v>22.887323943661972</v>
      </c>
      <c r="S83" s="135"/>
    </row>
    <row r="84" spans="1:19" ht="13.25" customHeight="1">
      <c r="A84" s="95" t="s">
        <v>217</v>
      </c>
      <c r="B84" s="138">
        <f t="shared" si="12"/>
        <v>284</v>
      </c>
      <c r="C84" s="105">
        <f t="shared" si="13"/>
        <v>6.4781021897810227</v>
      </c>
      <c r="E84" s="140">
        <f>SUM(E85:E93)</f>
        <v>23</v>
      </c>
      <c r="F84" s="105">
        <f t="shared" si="8"/>
        <v>8.0985915492957758</v>
      </c>
      <c r="H84" s="140">
        <f>SUM(H85:H93)</f>
        <v>83</v>
      </c>
      <c r="I84" s="105">
        <f t="shared" si="9"/>
        <v>29.225352112676056</v>
      </c>
      <c r="K84" s="140">
        <f>SUM(K85:K93)</f>
        <v>111</v>
      </c>
      <c r="L84" s="105">
        <f t="shared" si="10"/>
        <v>39.08450704225352</v>
      </c>
      <c r="M84" s="116"/>
      <c r="N84" s="140">
        <f>SUM(N85:N93)</f>
        <v>2</v>
      </c>
      <c r="O84" s="105">
        <f t="shared" si="11"/>
        <v>0.70422535211267612</v>
      </c>
      <c r="P84" s="135"/>
      <c r="Q84" s="140">
        <f>SUM(Q85:Q93)</f>
        <v>65</v>
      </c>
      <c r="R84" s="105">
        <f t="shared" si="7"/>
        <v>22.887323943661972</v>
      </c>
      <c r="S84" s="135"/>
    </row>
    <row r="85" spans="1:19" ht="13.25" customHeight="1">
      <c r="A85" s="95" t="s">
        <v>415</v>
      </c>
      <c r="B85" s="138">
        <f t="shared" si="12"/>
        <v>17</v>
      </c>
      <c r="C85" s="105">
        <f t="shared" si="13"/>
        <v>0.38777372262773724</v>
      </c>
      <c r="E85" s="769">
        <v>2</v>
      </c>
      <c r="F85" s="105">
        <f t="shared" si="8"/>
        <v>11.76470588235294</v>
      </c>
      <c r="G85" s="769"/>
      <c r="H85" s="769">
        <v>2</v>
      </c>
      <c r="I85" s="105">
        <f t="shared" si="9"/>
        <v>11.76470588235294</v>
      </c>
      <c r="J85" s="769"/>
      <c r="K85" s="769">
        <v>8</v>
      </c>
      <c r="L85" s="105">
        <f t="shared" si="10"/>
        <v>47.058823529411761</v>
      </c>
      <c r="M85" s="769"/>
      <c r="N85" s="769">
        <v>0</v>
      </c>
      <c r="O85" s="105">
        <f t="shared" si="11"/>
        <v>0</v>
      </c>
      <c r="P85" s="769"/>
      <c r="Q85" s="769">
        <v>5</v>
      </c>
      <c r="R85" s="105">
        <f t="shared" si="7"/>
        <v>29.411764705882355</v>
      </c>
      <c r="S85" s="135"/>
    </row>
    <row r="86" spans="1:19" ht="13.25" customHeight="1">
      <c r="A86" s="95" t="s">
        <v>218</v>
      </c>
      <c r="B86" s="138">
        <f t="shared" si="12"/>
        <v>42</v>
      </c>
      <c r="C86" s="105">
        <f t="shared" si="13"/>
        <v>0.95802919708029199</v>
      </c>
      <c r="E86" s="769">
        <v>1</v>
      </c>
      <c r="F86" s="105">
        <f t="shared" si="8"/>
        <v>2.3809523809523809</v>
      </c>
      <c r="G86" s="769"/>
      <c r="H86" s="769">
        <v>14</v>
      </c>
      <c r="I86" s="105">
        <f t="shared" si="9"/>
        <v>33.333333333333329</v>
      </c>
      <c r="J86" s="769"/>
      <c r="K86" s="769">
        <v>14</v>
      </c>
      <c r="L86" s="105">
        <f t="shared" si="10"/>
        <v>33.333333333333329</v>
      </c>
      <c r="M86" s="769"/>
      <c r="N86" s="769">
        <v>0</v>
      </c>
      <c r="O86" s="105">
        <f t="shared" si="11"/>
        <v>0</v>
      </c>
      <c r="P86" s="769"/>
      <c r="Q86" s="769">
        <v>13</v>
      </c>
      <c r="R86" s="105">
        <f t="shared" si="7"/>
        <v>30.952380952380953</v>
      </c>
      <c r="S86" s="135"/>
    </row>
    <row r="87" spans="1:19" ht="13.25" customHeight="1">
      <c r="A87" s="95" t="s">
        <v>220</v>
      </c>
      <c r="B87" s="138">
        <f t="shared" si="12"/>
        <v>40</v>
      </c>
      <c r="C87" s="105">
        <f t="shared" si="13"/>
        <v>0.91240875912408748</v>
      </c>
      <c r="E87" s="769">
        <v>7</v>
      </c>
      <c r="F87" s="105">
        <f t="shared" si="8"/>
        <v>17.5</v>
      </c>
      <c r="G87" s="769"/>
      <c r="H87" s="769">
        <v>4</v>
      </c>
      <c r="I87" s="105">
        <f t="shared" si="9"/>
        <v>10</v>
      </c>
      <c r="J87" s="769"/>
      <c r="K87" s="769">
        <v>12</v>
      </c>
      <c r="L87" s="105">
        <f t="shared" si="10"/>
        <v>30</v>
      </c>
      <c r="M87" s="769"/>
      <c r="N87" s="769">
        <v>0</v>
      </c>
      <c r="O87" s="105">
        <f t="shared" si="11"/>
        <v>0</v>
      </c>
      <c r="P87" s="769"/>
      <c r="Q87" s="769">
        <v>17</v>
      </c>
      <c r="R87" s="105">
        <f t="shared" si="7"/>
        <v>42.5</v>
      </c>
      <c r="S87" s="135"/>
    </row>
    <row r="88" spans="1:19" ht="13.25" customHeight="1">
      <c r="A88" s="95" t="s">
        <v>222</v>
      </c>
      <c r="B88" s="138">
        <f t="shared" si="12"/>
        <v>36</v>
      </c>
      <c r="C88" s="105">
        <f t="shared" si="13"/>
        <v>0.82116788321167888</v>
      </c>
      <c r="E88" s="769">
        <v>2</v>
      </c>
      <c r="F88" s="105">
        <f t="shared" si="8"/>
        <v>5.5555555555555554</v>
      </c>
      <c r="G88" s="769"/>
      <c r="H88" s="769">
        <v>13</v>
      </c>
      <c r="I88" s="105">
        <f t="shared" si="9"/>
        <v>36.111111111111107</v>
      </c>
      <c r="J88" s="769"/>
      <c r="K88" s="769">
        <v>11</v>
      </c>
      <c r="L88" s="105">
        <f t="shared" si="10"/>
        <v>30.555555555555557</v>
      </c>
      <c r="M88" s="769"/>
      <c r="N88" s="769">
        <v>0</v>
      </c>
      <c r="O88" s="105">
        <f t="shared" si="11"/>
        <v>0</v>
      </c>
      <c r="P88" s="769"/>
      <c r="Q88" s="769">
        <v>10</v>
      </c>
      <c r="R88" s="105">
        <f t="shared" si="7"/>
        <v>27.777777777777779</v>
      </c>
      <c r="S88" s="135"/>
    </row>
    <row r="89" spans="1:19" ht="13.25" customHeight="1">
      <c r="A89" s="95" t="s">
        <v>221</v>
      </c>
      <c r="B89" s="138">
        <f t="shared" si="12"/>
        <v>25</v>
      </c>
      <c r="C89" s="105">
        <f t="shared" si="13"/>
        <v>0.57025547445255476</v>
      </c>
      <c r="E89" s="769">
        <v>0</v>
      </c>
      <c r="F89" s="105">
        <f t="shared" si="8"/>
        <v>0</v>
      </c>
      <c r="G89" s="769"/>
      <c r="H89" s="769">
        <v>10</v>
      </c>
      <c r="I89" s="105">
        <f t="shared" si="9"/>
        <v>40</v>
      </c>
      <c r="J89" s="769"/>
      <c r="K89" s="769">
        <v>14</v>
      </c>
      <c r="L89" s="105">
        <f t="shared" si="10"/>
        <v>56.000000000000007</v>
      </c>
      <c r="M89" s="769"/>
      <c r="N89" s="769">
        <v>0</v>
      </c>
      <c r="O89" s="105">
        <f t="shared" si="11"/>
        <v>0</v>
      </c>
      <c r="P89" s="769"/>
      <c r="Q89" s="769">
        <v>1</v>
      </c>
      <c r="R89" s="105">
        <f t="shared" si="7"/>
        <v>4</v>
      </c>
      <c r="S89" s="135"/>
    </row>
    <row r="90" spans="1:19" ht="13.25" customHeight="1">
      <c r="A90" s="95" t="s">
        <v>219</v>
      </c>
      <c r="B90" s="138">
        <f t="shared" si="12"/>
        <v>30</v>
      </c>
      <c r="C90" s="105">
        <f t="shared" si="13"/>
        <v>0.68430656934306577</v>
      </c>
      <c r="E90" s="769">
        <v>2</v>
      </c>
      <c r="F90" s="105">
        <f t="shared" si="8"/>
        <v>6.666666666666667</v>
      </c>
      <c r="G90" s="769"/>
      <c r="H90" s="769">
        <v>11</v>
      </c>
      <c r="I90" s="105">
        <f t="shared" si="9"/>
        <v>36.666666666666664</v>
      </c>
      <c r="J90" s="769"/>
      <c r="K90" s="769">
        <v>12</v>
      </c>
      <c r="L90" s="105">
        <f t="shared" si="10"/>
        <v>40</v>
      </c>
      <c r="M90" s="769"/>
      <c r="N90" s="769">
        <v>0</v>
      </c>
      <c r="O90" s="105">
        <f t="shared" si="11"/>
        <v>0</v>
      </c>
      <c r="P90" s="769"/>
      <c r="Q90" s="769">
        <v>5</v>
      </c>
      <c r="R90" s="105">
        <f t="shared" si="7"/>
        <v>16.666666666666664</v>
      </c>
      <c r="S90" s="135"/>
    </row>
    <row r="91" spans="1:19" ht="13.25" customHeight="1">
      <c r="A91" s="95" t="s">
        <v>223</v>
      </c>
      <c r="B91" s="138">
        <f t="shared" si="12"/>
        <v>46</v>
      </c>
      <c r="C91" s="105">
        <f t="shared" si="13"/>
        <v>1.0492700729927007</v>
      </c>
      <c r="E91" s="769">
        <v>6</v>
      </c>
      <c r="F91" s="105">
        <f t="shared" si="8"/>
        <v>13.043478260869565</v>
      </c>
      <c r="G91" s="769"/>
      <c r="H91" s="769">
        <v>13</v>
      </c>
      <c r="I91" s="105">
        <f t="shared" si="9"/>
        <v>28.260869565217391</v>
      </c>
      <c r="J91" s="769"/>
      <c r="K91" s="769">
        <v>26</v>
      </c>
      <c r="L91" s="105">
        <f t="shared" si="10"/>
        <v>56.521739130434781</v>
      </c>
      <c r="M91" s="769"/>
      <c r="N91" s="769">
        <v>0</v>
      </c>
      <c r="O91" s="105">
        <f t="shared" si="11"/>
        <v>0</v>
      </c>
      <c r="P91" s="769"/>
      <c r="Q91" s="769">
        <v>1</v>
      </c>
      <c r="R91" s="105">
        <f t="shared" ref="R91:R113" si="14">IF($A91&lt;&gt;"",Q91/$B91*100,"")</f>
        <v>2.1739130434782608</v>
      </c>
      <c r="S91" s="135"/>
    </row>
    <row r="92" spans="1:19" ht="13.25" customHeight="1">
      <c r="A92" s="95" t="s">
        <v>509</v>
      </c>
      <c r="B92" s="138">
        <f t="shared" si="12"/>
        <v>28</v>
      </c>
      <c r="C92" s="105">
        <f t="shared" si="13"/>
        <v>0.63868613138686137</v>
      </c>
      <c r="E92" s="769">
        <v>1</v>
      </c>
      <c r="F92" s="105">
        <f t="shared" si="8"/>
        <v>3.5714285714285712</v>
      </c>
      <c r="G92" s="769"/>
      <c r="H92" s="769">
        <v>5</v>
      </c>
      <c r="I92" s="105">
        <f t="shared" si="9"/>
        <v>17.857142857142858</v>
      </c>
      <c r="J92" s="769"/>
      <c r="K92" s="769">
        <v>12</v>
      </c>
      <c r="L92" s="105">
        <f t="shared" si="10"/>
        <v>42.857142857142854</v>
      </c>
      <c r="M92" s="769"/>
      <c r="N92" s="769">
        <v>1</v>
      </c>
      <c r="O92" s="105">
        <f t="shared" si="11"/>
        <v>3.5714285714285712</v>
      </c>
      <c r="P92" s="769"/>
      <c r="Q92" s="769">
        <v>9</v>
      </c>
      <c r="R92" s="105">
        <f t="shared" si="14"/>
        <v>32.142857142857146</v>
      </c>
      <c r="S92" s="135"/>
    </row>
    <row r="93" spans="1:19" ht="13.25" customHeight="1">
      <c r="A93" s="95" t="s">
        <v>416</v>
      </c>
      <c r="B93" s="138">
        <f t="shared" si="12"/>
        <v>20</v>
      </c>
      <c r="C93" s="105">
        <f t="shared" si="13"/>
        <v>0.45620437956204374</v>
      </c>
      <c r="E93" s="769">
        <v>2</v>
      </c>
      <c r="F93" s="105">
        <f t="shared" si="8"/>
        <v>10</v>
      </c>
      <c r="G93" s="769"/>
      <c r="H93" s="769">
        <v>11</v>
      </c>
      <c r="I93" s="105">
        <f t="shared" si="9"/>
        <v>55.000000000000007</v>
      </c>
      <c r="J93" s="769"/>
      <c r="K93" s="769">
        <v>2</v>
      </c>
      <c r="L93" s="105">
        <f t="shared" si="10"/>
        <v>10</v>
      </c>
      <c r="M93" s="769"/>
      <c r="N93" s="769">
        <v>1</v>
      </c>
      <c r="O93" s="105">
        <f t="shared" si="11"/>
        <v>5</v>
      </c>
      <c r="P93" s="769"/>
      <c r="Q93" s="769">
        <v>4</v>
      </c>
      <c r="R93" s="105">
        <f t="shared" si="14"/>
        <v>20</v>
      </c>
      <c r="S93" s="135"/>
    </row>
    <row r="94" spans="1:19" ht="6" customHeight="1">
      <c r="B94" s="138" t="str">
        <f>IF($A94&lt;&gt;"",E94+H94+K94+N94+Q94,"")</f>
        <v/>
      </c>
      <c r="C94" s="105" t="str">
        <f>IF(A94&lt;&gt;0,B94/$B$11*100,"")</f>
        <v/>
      </c>
      <c r="E94" s="769"/>
      <c r="F94" s="105" t="str">
        <f t="shared" si="8"/>
        <v/>
      </c>
      <c r="G94" s="769"/>
      <c r="H94" s="769"/>
      <c r="I94" s="105" t="str">
        <f t="shared" si="9"/>
        <v/>
      </c>
      <c r="J94" s="769"/>
      <c r="K94" s="769"/>
      <c r="L94" s="105" t="str">
        <f t="shared" si="10"/>
        <v/>
      </c>
      <c r="M94" s="769"/>
      <c r="N94" s="769"/>
      <c r="O94" s="105" t="str">
        <f t="shared" si="11"/>
        <v/>
      </c>
      <c r="P94" s="769"/>
      <c r="Q94" s="769"/>
      <c r="R94" s="105" t="str">
        <f t="shared" si="14"/>
        <v/>
      </c>
      <c r="S94" s="135"/>
    </row>
    <row r="95" spans="1:19" ht="13.25" customHeight="1">
      <c r="A95" s="95" t="s">
        <v>510</v>
      </c>
      <c r="B95" s="138">
        <f t="shared" si="12"/>
        <v>59</v>
      </c>
      <c r="C95" s="105">
        <f t="shared" si="13"/>
        <v>1.345802919708029</v>
      </c>
      <c r="E95" s="769">
        <v>2</v>
      </c>
      <c r="F95" s="105">
        <f t="shared" si="8"/>
        <v>3.3898305084745761</v>
      </c>
      <c r="G95" s="769"/>
      <c r="H95" s="769">
        <v>22</v>
      </c>
      <c r="I95" s="105">
        <f t="shared" si="9"/>
        <v>37.288135593220339</v>
      </c>
      <c r="J95" s="769"/>
      <c r="K95" s="769">
        <v>19</v>
      </c>
      <c r="L95" s="105">
        <f t="shared" si="10"/>
        <v>32.20338983050847</v>
      </c>
      <c r="M95" s="769"/>
      <c r="N95" s="769">
        <v>0</v>
      </c>
      <c r="O95" s="105">
        <f t="shared" si="11"/>
        <v>0</v>
      </c>
      <c r="P95" s="769"/>
      <c r="Q95" s="769">
        <v>16</v>
      </c>
      <c r="R95" s="105">
        <f t="shared" si="14"/>
        <v>27.118644067796609</v>
      </c>
      <c r="S95" s="135"/>
    </row>
    <row r="96" spans="1:19" ht="13.25" customHeight="1">
      <c r="A96" s="95" t="s">
        <v>418</v>
      </c>
      <c r="B96" s="138">
        <f t="shared" si="12"/>
        <v>111</v>
      </c>
      <c r="C96" s="105">
        <f t="shared" si="13"/>
        <v>2.5319343065693429</v>
      </c>
      <c r="E96" s="769">
        <v>1</v>
      </c>
      <c r="F96" s="105">
        <f t="shared" si="8"/>
        <v>0.90090090090090091</v>
      </c>
      <c r="G96" s="769"/>
      <c r="H96" s="769">
        <v>26</v>
      </c>
      <c r="I96" s="105">
        <f t="shared" si="9"/>
        <v>23.423423423423422</v>
      </c>
      <c r="J96" s="769"/>
      <c r="K96" s="769">
        <v>40</v>
      </c>
      <c r="L96" s="105">
        <f t="shared" si="10"/>
        <v>36.036036036036037</v>
      </c>
      <c r="M96" s="769"/>
      <c r="N96" s="769">
        <v>0</v>
      </c>
      <c r="O96" s="105">
        <f t="shared" si="11"/>
        <v>0</v>
      </c>
      <c r="P96" s="769"/>
      <c r="Q96" s="769">
        <v>44</v>
      </c>
      <c r="R96" s="105">
        <f t="shared" si="14"/>
        <v>39.63963963963964</v>
      </c>
      <c r="S96" s="135"/>
    </row>
    <row r="97" spans="1:19" ht="10" customHeight="1">
      <c r="B97" s="138" t="str">
        <f t="shared" si="12"/>
        <v/>
      </c>
      <c r="C97" s="105" t="str">
        <f t="shared" si="13"/>
        <v/>
      </c>
      <c r="E97" s="769"/>
      <c r="F97" s="105" t="str">
        <f t="shared" si="8"/>
        <v/>
      </c>
      <c r="G97" s="769"/>
      <c r="H97" s="769"/>
      <c r="I97" s="105" t="str">
        <f t="shared" si="9"/>
        <v/>
      </c>
      <c r="J97" s="769"/>
      <c r="K97" s="769"/>
      <c r="L97" s="105" t="str">
        <f t="shared" si="10"/>
        <v/>
      </c>
      <c r="M97" s="769"/>
      <c r="N97" s="769"/>
      <c r="O97" s="105" t="str">
        <f t="shared" si="11"/>
        <v/>
      </c>
      <c r="P97" s="769"/>
      <c r="Q97" s="769"/>
      <c r="R97" s="105" t="str">
        <f t="shared" si="14"/>
        <v/>
      </c>
      <c r="S97" s="135"/>
    </row>
    <row r="98" spans="1:19" ht="13.25" customHeight="1">
      <c r="A98" s="95" t="s">
        <v>227</v>
      </c>
      <c r="B98" s="138">
        <f t="shared" si="12"/>
        <v>87</v>
      </c>
      <c r="C98" s="105">
        <f t="shared" si="13"/>
        <v>1.9844890510948905</v>
      </c>
      <c r="E98" s="769">
        <v>8</v>
      </c>
      <c r="F98" s="105">
        <f t="shared" si="8"/>
        <v>9.1954022988505741</v>
      </c>
      <c r="G98" s="769"/>
      <c r="H98" s="769">
        <v>50</v>
      </c>
      <c r="I98" s="105">
        <f t="shared" si="9"/>
        <v>57.47126436781609</v>
      </c>
      <c r="J98" s="769"/>
      <c r="K98" s="769">
        <v>24</v>
      </c>
      <c r="L98" s="105">
        <f t="shared" si="10"/>
        <v>27.586206896551722</v>
      </c>
      <c r="M98" s="769"/>
      <c r="N98" s="769">
        <v>0</v>
      </c>
      <c r="O98" s="105">
        <f t="shared" si="11"/>
        <v>0</v>
      </c>
      <c r="P98" s="769"/>
      <c r="Q98" s="769">
        <v>5</v>
      </c>
      <c r="R98" s="105">
        <f t="shared" si="14"/>
        <v>5.7471264367816088</v>
      </c>
      <c r="S98" s="135"/>
    </row>
    <row r="99" spans="1:19" ht="10" customHeight="1">
      <c r="B99" s="138" t="str">
        <f t="shared" si="12"/>
        <v/>
      </c>
      <c r="C99" s="105" t="str">
        <f t="shared" si="13"/>
        <v/>
      </c>
      <c r="F99" s="105" t="str">
        <f t="shared" si="8"/>
        <v/>
      </c>
      <c r="I99" s="105" t="str">
        <f t="shared" si="9"/>
        <v/>
      </c>
      <c r="L99" s="105" t="str">
        <f t="shared" si="10"/>
        <v/>
      </c>
      <c r="M99" s="116"/>
      <c r="O99" s="105" t="str">
        <f t="shared" si="11"/>
        <v/>
      </c>
      <c r="P99" s="135"/>
      <c r="R99" s="105" t="str">
        <f t="shared" si="14"/>
        <v/>
      </c>
      <c r="S99" s="135"/>
    </row>
    <row r="100" spans="1:19" ht="12" customHeight="1">
      <c r="A100" s="55" t="s">
        <v>84</v>
      </c>
      <c r="B100" s="138">
        <f t="shared" si="12"/>
        <v>558</v>
      </c>
      <c r="C100" s="139">
        <f t="shared" si="13"/>
        <v>12.728102189781021</v>
      </c>
      <c r="D100" s="111"/>
      <c r="E100" s="155">
        <f>SUM(E102+E103+E104+E106)</f>
        <v>78</v>
      </c>
      <c r="F100" s="105">
        <f t="shared" si="8"/>
        <v>13.978494623655912</v>
      </c>
      <c r="G100" s="111"/>
      <c r="H100" s="155">
        <f>SUM(H102+H103+H104+H106)</f>
        <v>189</v>
      </c>
      <c r="I100" s="105">
        <f t="shared" si="9"/>
        <v>33.87096774193548</v>
      </c>
      <c r="J100" s="139"/>
      <c r="K100" s="155">
        <f>SUM(K102+K103+K104+K106)</f>
        <v>95</v>
      </c>
      <c r="L100" s="105">
        <f t="shared" si="10"/>
        <v>17.025089605734767</v>
      </c>
      <c r="M100" s="121"/>
      <c r="N100" s="155">
        <f>SUM(N102+N103+N104+N106)</f>
        <v>8</v>
      </c>
      <c r="O100" s="105">
        <f t="shared" si="11"/>
        <v>1.4336917562724014</v>
      </c>
      <c r="P100" s="146"/>
      <c r="Q100" s="155">
        <f>SUM(Q102+Q103+Q104+Q106)</f>
        <v>188</v>
      </c>
      <c r="R100" s="105">
        <f t="shared" si="14"/>
        <v>33.691756272401435</v>
      </c>
      <c r="S100" s="135"/>
    </row>
    <row r="101" spans="1:19" ht="9" customHeight="1">
      <c r="B101" s="138" t="str">
        <f t="shared" si="12"/>
        <v/>
      </c>
      <c r="C101" s="139" t="str">
        <f t="shared" si="13"/>
        <v/>
      </c>
      <c r="D101" s="111"/>
      <c r="E101" s="155"/>
      <c r="F101" s="105" t="str">
        <f t="shared" si="8"/>
        <v/>
      </c>
      <c r="G101" s="111"/>
      <c r="H101" s="155"/>
      <c r="I101" s="105" t="str">
        <f t="shared" si="9"/>
        <v/>
      </c>
      <c r="J101" s="139"/>
      <c r="K101" s="155"/>
      <c r="L101" s="105" t="str">
        <f t="shared" si="10"/>
        <v/>
      </c>
      <c r="M101" s="121"/>
      <c r="N101" s="155"/>
      <c r="O101" s="105" t="str">
        <f t="shared" si="11"/>
        <v/>
      </c>
      <c r="P101" s="146"/>
      <c r="Q101" s="155"/>
      <c r="R101" s="105" t="str">
        <f t="shared" si="14"/>
        <v/>
      </c>
      <c r="S101" s="135"/>
    </row>
    <row r="102" spans="1:19" s="111" customFormat="1" ht="12" customHeight="1">
      <c r="A102" s="111" t="s">
        <v>485</v>
      </c>
      <c r="B102" s="138">
        <f t="shared" si="12"/>
        <v>132</v>
      </c>
      <c r="C102" s="139">
        <f t="shared" si="13"/>
        <v>3.0109489051094891</v>
      </c>
      <c r="E102" s="769">
        <v>19</v>
      </c>
      <c r="F102" s="105">
        <f t="shared" si="8"/>
        <v>14.393939393939394</v>
      </c>
      <c r="G102" s="769"/>
      <c r="H102" s="769">
        <v>49</v>
      </c>
      <c r="I102" s="105">
        <f t="shared" si="9"/>
        <v>37.121212121212125</v>
      </c>
      <c r="J102" s="769"/>
      <c r="K102" s="769">
        <v>27</v>
      </c>
      <c r="L102" s="105">
        <f t="shared" si="10"/>
        <v>20.454545454545457</v>
      </c>
      <c r="M102" s="769"/>
      <c r="N102" s="769">
        <v>3</v>
      </c>
      <c r="O102" s="105">
        <f t="shared" si="11"/>
        <v>2.2727272727272729</v>
      </c>
      <c r="P102" s="769"/>
      <c r="Q102" s="769">
        <v>34</v>
      </c>
      <c r="R102" s="139">
        <f t="shared" si="14"/>
        <v>25.757575757575758</v>
      </c>
      <c r="S102" s="146"/>
    </row>
    <row r="103" spans="1:19" s="111" customFormat="1" ht="12" customHeight="1">
      <c r="A103" s="111" t="s">
        <v>486</v>
      </c>
      <c r="B103" s="138">
        <f t="shared" si="12"/>
        <v>185</v>
      </c>
      <c r="C103" s="139">
        <f t="shared" si="13"/>
        <v>4.2198905109489049</v>
      </c>
      <c r="E103" s="769">
        <v>30</v>
      </c>
      <c r="F103" s="105">
        <f t="shared" si="8"/>
        <v>16.216216216216218</v>
      </c>
      <c r="G103" s="769"/>
      <c r="H103" s="769">
        <v>58</v>
      </c>
      <c r="I103" s="105">
        <f t="shared" si="9"/>
        <v>31.351351351351354</v>
      </c>
      <c r="J103" s="769"/>
      <c r="K103" s="769">
        <v>42</v>
      </c>
      <c r="L103" s="105">
        <f t="shared" si="10"/>
        <v>22.702702702702705</v>
      </c>
      <c r="M103" s="769"/>
      <c r="N103" s="769">
        <v>5</v>
      </c>
      <c r="O103" s="105">
        <f t="shared" si="11"/>
        <v>2.7027027027027026</v>
      </c>
      <c r="P103" s="769"/>
      <c r="Q103" s="769">
        <v>50</v>
      </c>
      <c r="R103" s="139">
        <f t="shared" si="14"/>
        <v>27.027027027027028</v>
      </c>
      <c r="S103" s="146"/>
    </row>
    <row r="104" spans="1:19" s="111" customFormat="1" ht="12" customHeight="1">
      <c r="A104" s="111" t="s">
        <v>487</v>
      </c>
      <c r="B104" s="138">
        <f t="shared" si="12"/>
        <v>15</v>
      </c>
      <c r="C104" s="139">
        <f t="shared" si="13"/>
        <v>0.34215328467153289</v>
      </c>
      <c r="E104" s="769">
        <v>2</v>
      </c>
      <c r="F104" s="105">
        <f t="shared" si="8"/>
        <v>13.333333333333334</v>
      </c>
      <c r="G104" s="769"/>
      <c r="H104" s="769">
        <v>6</v>
      </c>
      <c r="I104" s="105">
        <f t="shared" si="9"/>
        <v>40</v>
      </c>
      <c r="J104" s="769"/>
      <c r="K104" s="769">
        <v>6</v>
      </c>
      <c r="L104" s="105">
        <f t="shared" si="10"/>
        <v>40</v>
      </c>
      <c r="M104" s="769"/>
      <c r="N104" s="769">
        <v>0</v>
      </c>
      <c r="O104" s="105">
        <f t="shared" si="11"/>
        <v>0</v>
      </c>
      <c r="P104" s="769"/>
      <c r="Q104" s="769">
        <v>1</v>
      </c>
      <c r="R104" s="139">
        <f t="shared" si="14"/>
        <v>6.666666666666667</v>
      </c>
      <c r="S104" s="146"/>
    </row>
    <row r="105" spans="1:19" s="111" customFormat="1" ht="12" customHeight="1">
      <c r="B105" s="138" t="str">
        <f t="shared" si="12"/>
        <v/>
      </c>
      <c r="C105" s="139" t="str">
        <f t="shared" si="13"/>
        <v/>
      </c>
      <c r="E105" s="769"/>
      <c r="F105" s="105" t="str">
        <f t="shared" si="8"/>
        <v/>
      </c>
      <c r="G105" s="769"/>
      <c r="H105" s="769"/>
      <c r="I105" s="105" t="str">
        <f t="shared" si="9"/>
        <v/>
      </c>
      <c r="J105" s="769"/>
      <c r="K105" s="769"/>
      <c r="L105" s="105" t="str">
        <f t="shared" si="10"/>
        <v/>
      </c>
      <c r="M105" s="769"/>
      <c r="N105" s="769"/>
      <c r="O105" s="105" t="str">
        <f t="shared" si="11"/>
        <v/>
      </c>
      <c r="P105" s="769"/>
      <c r="Q105" s="769"/>
      <c r="R105" s="139" t="str">
        <f t="shared" si="14"/>
        <v/>
      </c>
      <c r="S105" s="146"/>
    </row>
    <row r="106" spans="1:19" s="111" customFormat="1" ht="12" customHeight="1">
      <c r="A106" s="111" t="s">
        <v>422</v>
      </c>
      <c r="B106" s="138">
        <f t="shared" si="12"/>
        <v>226</v>
      </c>
      <c r="C106" s="139">
        <f t="shared" si="13"/>
        <v>5.1551094890510951</v>
      </c>
      <c r="E106" s="769">
        <v>27</v>
      </c>
      <c r="F106" s="105">
        <f t="shared" si="8"/>
        <v>11.946902654867257</v>
      </c>
      <c r="G106" s="769"/>
      <c r="H106" s="769">
        <v>76</v>
      </c>
      <c r="I106" s="105">
        <f t="shared" si="9"/>
        <v>33.628318584070797</v>
      </c>
      <c r="J106" s="769"/>
      <c r="K106" s="769">
        <v>20</v>
      </c>
      <c r="L106" s="105">
        <f t="shared" si="10"/>
        <v>8.8495575221238933</v>
      </c>
      <c r="M106" s="769"/>
      <c r="N106" s="769">
        <v>0</v>
      </c>
      <c r="O106" s="105">
        <f t="shared" si="11"/>
        <v>0</v>
      </c>
      <c r="P106" s="769"/>
      <c r="Q106" s="769">
        <v>103</v>
      </c>
      <c r="R106" s="139">
        <f t="shared" si="14"/>
        <v>45.575221238938049</v>
      </c>
      <c r="S106" s="146"/>
    </row>
    <row r="107" spans="1:19" s="111" customFormat="1" ht="7.5" customHeight="1">
      <c r="B107" s="138" t="str">
        <f t="shared" si="12"/>
        <v/>
      </c>
      <c r="C107" s="139"/>
      <c r="E107" s="155"/>
      <c r="F107" s="105" t="str">
        <f t="shared" si="8"/>
        <v/>
      </c>
      <c r="H107" s="155"/>
      <c r="I107" s="105" t="str">
        <f t="shared" si="9"/>
        <v/>
      </c>
      <c r="J107" s="139"/>
      <c r="K107" s="155"/>
      <c r="L107" s="105" t="str">
        <f t="shared" si="10"/>
        <v/>
      </c>
      <c r="M107" s="121"/>
      <c r="N107" s="155"/>
      <c r="O107" s="105" t="str">
        <f t="shared" si="11"/>
        <v/>
      </c>
      <c r="P107" s="146"/>
      <c r="Q107" s="155"/>
      <c r="R107" s="139"/>
      <c r="S107" s="146"/>
    </row>
    <row r="108" spans="1:19" s="111" customFormat="1" ht="12" customHeight="1">
      <c r="A108" s="17" t="s">
        <v>423</v>
      </c>
      <c r="B108" s="138">
        <f t="shared" si="12"/>
        <v>982</v>
      </c>
      <c r="C108" s="139">
        <f t="shared" si="13"/>
        <v>22.399635036496353</v>
      </c>
      <c r="E108" s="155">
        <f>SUM(E109:E113)</f>
        <v>25</v>
      </c>
      <c r="F108" s="105">
        <f t="shared" si="8"/>
        <v>2.5458248472505094</v>
      </c>
      <c r="H108" s="155">
        <f>SUM(H109:H113)</f>
        <v>360</v>
      </c>
      <c r="I108" s="105">
        <f t="shared" si="9"/>
        <v>36.65987780040733</v>
      </c>
      <c r="J108" s="139"/>
      <c r="K108" s="155">
        <f>SUM(K109:K113)</f>
        <v>332</v>
      </c>
      <c r="L108" s="105">
        <f t="shared" si="10"/>
        <v>33.808553971486759</v>
      </c>
      <c r="M108" s="121"/>
      <c r="N108" s="155">
        <f>SUM(N109:N113)</f>
        <v>16</v>
      </c>
      <c r="O108" s="105">
        <f t="shared" si="11"/>
        <v>1.6293279022403258</v>
      </c>
      <c r="P108" s="146"/>
      <c r="Q108" s="155">
        <f>SUM(Q109:Q113)</f>
        <v>249</v>
      </c>
      <c r="R108" s="139">
        <f t="shared" si="14"/>
        <v>25.35641547861507</v>
      </c>
      <c r="S108" s="146"/>
    </row>
    <row r="109" spans="1:19" s="111" customFormat="1" ht="12" customHeight="1">
      <c r="A109" s="111" t="s">
        <v>424</v>
      </c>
      <c r="B109" s="138">
        <f t="shared" si="12"/>
        <v>282</v>
      </c>
      <c r="C109" s="139">
        <f t="shared" si="13"/>
        <v>6.4324817518248176</v>
      </c>
      <c r="E109" s="769">
        <v>9</v>
      </c>
      <c r="F109" s="105">
        <f t="shared" si="8"/>
        <v>3.1914893617021276</v>
      </c>
      <c r="G109" s="769"/>
      <c r="H109" s="769">
        <v>100</v>
      </c>
      <c r="I109" s="105">
        <f t="shared" si="9"/>
        <v>35.460992907801419</v>
      </c>
      <c r="J109" s="769"/>
      <c r="K109" s="769">
        <v>71</v>
      </c>
      <c r="L109" s="105">
        <f t="shared" si="10"/>
        <v>25.177304964539005</v>
      </c>
      <c r="M109" s="769"/>
      <c r="N109" s="769">
        <v>2</v>
      </c>
      <c r="O109" s="105">
        <f t="shared" si="11"/>
        <v>0.70921985815602839</v>
      </c>
      <c r="P109" s="769"/>
      <c r="Q109" s="769">
        <v>100</v>
      </c>
      <c r="R109" s="139">
        <f t="shared" si="14"/>
        <v>35.460992907801419</v>
      </c>
      <c r="S109" s="146"/>
    </row>
    <row r="110" spans="1:19" s="111" customFormat="1" ht="12" customHeight="1">
      <c r="A110" s="111" t="s">
        <v>425</v>
      </c>
      <c r="B110" s="138">
        <f t="shared" si="12"/>
        <v>252</v>
      </c>
      <c r="C110" s="139">
        <f t="shared" si="13"/>
        <v>5.7481751824817522</v>
      </c>
      <c r="E110" s="769">
        <v>6</v>
      </c>
      <c r="F110" s="105">
        <f t="shared" si="8"/>
        <v>2.3809523809523809</v>
      </c>
      <c r="G110" s="769"/>
      <c r="H110" s="769">
        <v>104</v>
      </c>
      <c r="I110" s="105">
        <f t="shared" si="9"/>
        <v>41.269841269841265</v>
      </c>
      <c r="J110" s="769"/>
      <c r="K110" s="769">
        <v>106</v>
      </c>
      <c r="L110" s="105">
        <f t="shared" si="10"/>
        <v>42.063492063492063</v>
      </c>
      <c r="M110" s="769"/>
      <c r="N110" s="769">
        <v>5</v>
      </c>
      <c r="O110" s="105">
        <f t="shared" si="11"/>
        <v>1.984126984126984</v>
      </c>
      <c r="P110" s="769"/>
      <c r="Q110" s="769">
        <v>31</v>
      </c>
      <c r="R110" s="139">
        <f t="shared" si="14"/>
        <v>12.301587301587301</v>
      </c>
      <c r="S110" s="146"/>
    </row>
    <row r="111" spans="1:19" s="111" customFormat="1" ht="12" customHeight="1">
      <c r="A111" s="111" t="s">
        <v>426</v>
      </c>
      <c r="B111" s="138">
        <f>IF($A111&lt;&gt;"",E111+H111+K111+N111+Q111,"")</f>
        <v>215</v>
      </c>
      <c r="C111" s="139">
        <f t="shared" si="13"/>
        <v>4.9041970802919703</v>
      </c>
      <c r="E111" s="769">
        <v>2</v>
      </c>
      <c r="F111" s="105">
        <f t="shared" si="8"/>
        <v>0.93023255813953487</v>
      </c>
      <c r="G111" s="769"/>
      <c r="H111" s="769">
        <v>65</v>
      </c>
      <c r="I111" s="105">
        <f t="shared" si="9"/>
        <v>30.232558139534881</v>
      </c>
      <c r="J111" s="769"/>
      <c r="K111" s="769">
        <v>58</v>
      </c>
      <c r="L111" s="105">
        <f t="shared" si="10"/>
        <v>26.976744186046513</v>
      </c>
      <c r="M111" s="769"/>
      <c r="N111" s="769">
        <v>3</v>
      </c>
      <c r="O111" s="105">
        <f t="shared" si="11"/>
        <v>1.3953488372093024</v>
      </c>
      <c r="P111" s="769"/>
      <c r="Q111" s="769">
        <v>87</v>
      </c>
      <c r="R111" s="139">
        <f t="shared" si="14"/>
        <v>40.465116279069768</v>
      </c>
      <c r="S111" s="146"/>
    </row>
    <row r="112" spans="1:19" s="111" customFormat="1" ht="12.75" customHeight="1">
      <c r="A112" s="14" t="s">
        <v>427</v>
      </c>
      <c r="B112" s="138">
        <f>IF($A112&lt;&gt;"",E112+H112+K112+N112+Q112,"")</f>
        <v>134</v>
      </c>
      <c r="C112" s="139">
        <f t="shared" si="13"/>
        <v>3.0565693430656937</v>
      </c>
      <c r="E112" s="769">
        <v>3</v>
      </c>
      <c r="F112" s="105">
        <f t="shared" si="8"/>
        <v>2.2388059701492535</v>
      </c>
      <c r="G112" s="769"/>
      <c r="H112" s="769">
        <v>55</v>
      </c>
      <c r="I112" s="105">
        <f t="shared" si="9"/>
        <v>41.044776119402989</v>
      </c>
      <c r="J112" s="769"/>
      <c r="K112" s="769">
        <v>55</v>
      </c>
      <c r="L112" s="105">
        <f t="shared" si="10"/>
        <v>41.044776119402989</v>
      </c>
      <c r="M112" s="769"/>
      <c r="N112" s="769">
        <v>5</v>
      </c>
      <c r="O112" s="105">
        <f t="shared" si="11"/>
        <v>3.7313432835820892</v>
      </c>
      <c r="P112" s="769"/>
      <c r="Q112" s="769">
        <v>16</v>
      </c>
      <c r="R112" s="139">
        <f t="shared" si="14"/>
        <v>11.940298507462686</v>
      </c>
    </row>
    <row r="113" spans="1:19" s="111" customFormat="1" ht="12" customHeight="1">
      <c r="A113" s="111" t="s">
        <v>428</v>
      </c>
      <c r="B113" s="138">
        <f>IF($A113&lt;&gt;"",E113+H113+K113+N113+Q113,"")</f>
        <v>99</v>
      </c>
      <c r="C113" s="139">
        <f t="shared" si="13"/>
        <v>2.2582116788321169</v>
      </c>
      <c r="E113" s="769">
        <v>5</v>
      </c>
      <c r="F113" s="105">
        <f t="shared" si="8"/>
        <v>5.0505050505050502</v>
      </c>
      <c r="G113" s="769"/>
      <c r="H113" s="769">
        <v>36</v>
      </c>
      <c r="I113" s="105">
        <f t="shared" si="9"/>
        <v>36.363636363636367</v>
      </c>
      <c r="J113" s="769"/>
      <c r="K113" s="769">
        <v>42</v>
      </c>
      <c r="L113" s="105">
        <f t="shared" si="10"/>
        <v>42.424242424242422</v>
      </c>
      <c r="M113" s="769"/>
      <c r="N113" s="769">
        <v>1</v>
      </c>
      <c r="O113" s="105">
        <f t="shared" si="11"/>
        <v>1.0101010101010102</v>
      </c>
      <c r="P113" s="769"/>
      <c r="Q113" s="769">
        <v>15</v>
      </c>
      <c r="R113" s="139">
        <f t="shared" si="14"/>
        <v>15.151515151515152</v>
      </c>
    </row>
    <row r="114" spans="1:19" s="111" customFormat="1" ht="8.25" customHeight="1" thickBot="1">
      <c r="B114" s="138"/>
      <c r="C114" s="139"/>
      <c r="E114" s="155"/>
      <c r="F114" s="139"/>
      <c r="H114" s="155"/>
      <c r="I114" s="139"/>
      <c r="J114" s="139"/>
      <c r="K114" s="155"/>
      <c r="L114" s="139"/>
      <c r="N114" s="155"/>
      <c r="O114" s="139"/>
      <c r="P114" s="139"/>
      <c r="Q114" s="155"/>
      <c r="R114" s="139"/>
      <c r="S114" s="139"/>
    </row>
    <row r="115" spans="1:19" s="111" customFormat="1" ht="7.5" customHeight="1">
      <c r="A115" s="114"/>
      <c r="B115" s="142"/>
      <c r="C115" s="143"/>
      <c r="D115" s="114"/>
      <c r="E115" s="115"/>
      <c r="F115" s="143"/>
      <c r="G115" s="114"/>
      <c r="H115" s="115"/>
      <c r="I115" s="143"/>
      <c r="J115" s="143"/>
      <c r="K115" s="115"/>
      <c r="L115" s="143"/>
      <c r="M115" s="114"/>
      <c r="N115" s="115"/>
      <c r="O115" s="143"/>
      <c r="P115" s="143"/>
      <c r="Q115" s="115"/>
      <c r="R115" s="143"/>
      <c r="S115" s="143"/>
    </row>
    <row r="116" spans="1:19" s="111" customFormat="1" ht="15" customHeight="1">
      <c r="A116" s="121" t="s">
        <v>488</v>
      </c>
      <c r="B116" s="145"/>
      <c r="C116" s="146"/>
      <c r="D116" s="121"/>
      <c r="E116" s="119"/>
      <c r="F116" s="146"/>
      <c r="G116" s="121"/>
      <c r="H116" s="119"/>
      <c r="I116" s="146"/>
      <c r="J116" s="146"/>
      <c r="K116" s="119"/>
      <c r="L116" s="146"/>
      <c r="M116" s="121"/>
      <c r="N116" s="119"/>
      <c r="O116" s="146"/>
      <c r="P116" s="146"/>
      <c r="Q116" s="119"/>
      <c r="R116" s="146"/>
      <c r="S116" s="146"/>
    </row>
    <row r="117" spans="1:19" s="111" customFormat="1" ht="15" customHeight="1">
      <c r="A117" s="121" t="s">
        <v>496</v>
      </c>
      <c r="B117" s="145"/>
      <c r="C117" s="146"/>
      <c r="D117" s="121"/>
      <c r="E117" s="119"/>
      <c r="F117" s="146"/>
      <c r="G117" s="121"/>
      <c r="H117" s="119"/>
      <c r="I117" s="146"/>
      <c r="J117" s="146"/>
      <c r="K117" s="119"/>
      <c r="L117" s="146"/>
      <c r="M117" s="121"/>
      <c r="N117" s="119"/>
      <c r="O117" s="146"/>
      <c r="P117" s="146"/>
      <c r="Q117" s="119"/>
      <c r="R117" s="146"/>
      <c r="S117" s="146"/>
    </row>
    <row r="118" spans="1:19" s="111" customFormat="1" ht="15" customHeight="1">
      <c r="A118" s="57" t="s">
        <v>490</v>
      </c>
      <c r="B118" s="145"/>
      <c r="C118" s="146"/>
      <c r="D118" s="121"/>
      <c r="E118" s="119"/>
      <c r="F118" s="146"/>
      <c r="G118" s="121"/>
      <c r="H118" s="119"/>
      <c r="I118" s="146"/>
      <c r="J118" s="146"/>
      <c r="K118" s="119"/>
      <c r="L118" s="146"/>
      <c r="M118" s="121"/>
      <c r="N118" s="119"/>
      <c r="O118" s="146"/>
      <c r="P118" s="146"/>
      <c r="Q118" s="119"/>
      <c r="R118" s="146"/>
      <c r="S118" s="146"/>
    </row>
    <row r="119" spans="1:19" s="111" customFormat="1" ht="15" customHeight="1">
      <c r="A119" s="57" t="s">
        <v>506</v>
      </c>
      <c r="B119" s="145"/>
      <c r="C119" s="146"/>
      <c r="D119" s="121"/>
      <c r="E119" s="119"/>
      <c r="F119" s="146"/>
      <c r="G119" s="121"/>
      <c r="H119" s="119"/>
      <c r="I119" s="146"/>
      <c r="J119" s="146"/>
      <c r="K119" s="119"/>
      <c r="L119" s="146"/>
      <c r="M119" s="121"/>
      <c r="N119" s="119"/>
      <c r="O119" s="146"/>
      <c r="P119" s="146"/>
      <c r="Q119" s="119"/>
      <c r="R119" s="146"/>
      <c r="S119" s="146"/>
    </row>
    <row r="120" spans="1:19" s="111" customFormat="1" ht="9" customHeight="1">
      <c r="A120" s="95"/>
      <c r="B120" s="145"/>
      <c r="C120" s="146"/>
      <c r="D120" s="121"/>
      <c r="E120" s="119"/>
      <c r="F120" s="146"/>
      <c r="G120" s="121"/>
      <c r="H120" s="119"/>
      <c r="I120" s="146"/>
      <c r="J120" s="146"/>
      <c r="K120" s="119"/>
      <c r="L120" s="146"/>
      <c r="M120" s="121"/>
      <c r="N120" s="119"/>
      <c r="O120" s="146"/>
      <c r="P120" s="146"/>
      <c r="Q120" s="119"/>
      <c r="R120" s="146"/>
      <c r="S120" s="146"/>
    </row>
    <row r="121" spans="1:19" s="111" customFormat="1" ht="15" customHeight="1">
      <c r="A121" s="95" t="s">
        <v>491</v>
      </c>
      <c r="B121" s="145"/>
      <c r="C121" s="146"/>
      <c r="D121" s="121"/>
      <c r="E121" s="119"/>
      <c r="F121" s="146"/>
      <c r="G121" s="121"/>
      <c r="H121" s="119"/>
      <c r="I121" s="146"/>
      <c r="J121" s="146"/>
      <c r="K121" s="119"/>
      <c r="L121" s="146"/>
      <c r="M121" s="121"/>
      <c r="N121" s="119"/>
      <c r="O121" s="146"/>
      <c r="P121" s="146"/>
      <c r="Q121" s="119"/>
      <c r="R121" s="146"/>
    </row>
    <row r="122" spans="1:19" s="111" customFormat="1" ht="15" customHeight="1">
      <c r="A122" s="95" t="s">
        <v>471</v>
      </c>
      <c r="B122" s="138"/>
      <c r="C122" s="139"/>
      <c r="E122" s="155"/>
      <c r="F122" s="139"/>
      <c r="H122" s="155"/>
      <c r="I122" s="139"/>
      <c r="J122" s="139"/>
      <c r="K122" s="155"/>
      <c r="L122" s="139"/>
      <c r="N122" s="155"/>
      <c r="Q122" s="155"/>
    </row>
    <row r="123" spans="1:19" s="111" customFormat="1">
      <c r="B123" s="138"/>
      <c r="C123" s="139"/>
      <c r="E123" s="155"/>
      <c r="F123" s="139"/>
      <c r="H123" s="155"/>
      <c r="I123" s="139"/>
      <c r="J123" s="139"/>
      <c r="K123" s="155"/>
      <c r="L123" s="139"/>
      <c r="N123" s="155"/>
      <c r="Q123" s="155"/>
    </row>
    <row r="124" spans="1:19" s="111" customFormat="1">
      <c r="B124" s="138"/>
      <c r="C124" s="139"/>
      <c r="E124" s="155"/>
      <c r="F124" s="139"/>
      <c r="H124" s="155"/>
      <c r="I124" s="139"/>
      <c r="J124" s="139"/>
      <c r="K124" s="155"/>
      <c r="L124" s="139"/>
      <c r="N124" s="155"/>
      <c r="Q124" s="155"/>
    </row>
    <row r="125" spans="1:19" s="111" customFormat="1">
      <c r="B125" s="138"/>
      <c r="C125" s="139"/>
      <c r="E125" s="155"/>
      <c r="F125" s="139"/>
      <c r="H125" s="155"/>
      <c r="I125" s="139"/>
      <c r="J125" s="139"/>
      <c r="K125" s="155"/>
      <c r="L125" s="139"/>
      <c r="N125" s="155"/>
      <c r="Q125" s="155"/>
    </row>
    <row r="126" spans="1:19" s="111" customFormat="1">
      <c r="B126" s="138"/>
      <c r="C126" s="139"/>
      <c r="E126" s="155"/>
      <c r="F126" s="139"/>
      <c r="H126" s="155"/>
      <c r="I126" s="139"/>
      <c r="J126" s="139"/>
      <c r="K126" s="155"/>
      <c r="L126" s="139"/>
      <c r="N126" s="155"/>
      <c r="Q126" s="155"/>
    </row>
    <row r="127" spans="1:19" s="111" customFormat="1">
      <c r="B127" s="138"/>
      <c r="C127" s="139"/>
      <c r="E127" s="155"/>
      <c r="F127" s="139"/>
      <c r="H127" s="155"/>
      <c r="I127" s="139"/>
      <c r="J127" s="139"/>
      <c r="K127" s="155"/>
      <c r="L127" s="139"/>
      <c r="N127" s="155"/>
      <c r="Q127" s="155"/>
    </row>
    <row r="128" spans="1:19" s="111" customFormat="1">
      <c r="B128" s="138"/>
      <c r="C128" s="139"/>
      <c r="E128" s="155"/>
      <c r="F128" s="139"/>
      <c r="H128" s="155"/>
      <c r="I128" s="139"/>
      <c r="J128" s="139"/>
      <c r="K128" s="155"/>
      <c r="L128" s="139"/>
      <c r="N128" s="155"/>
      <c r="Q128" s="155"/>
    </row>
    <row r="129" spans="2:17" s="111" customFormat="1">
      <c r="B129" s="138"/>
      <c r="C129" s="139"/>
      <c r="E129" s="155"/>
      <c r="F129" s="139"/>
      <c r="H129" s="155"/>
      <c r="I129" s="139"/>
      <c r="J129" s="139"/>
      <c r="K129" s="155"/>
      <c r="L129" s="139"/>
      <c r="N129" s="155"/>
      <c r="Q129" s="155"/>
    </row>
    <row r="130" spans="2:17" s="111" customFormat="1">
      <c r="B130" s="138"/>
      <c r="C130" s="139"/>
      <c r="E130" s="155"/>
      <c r="F130" s="139"/>
      <c r="H130" s="155"/>
      <c r="I130" s="139"/>
      <c r="J130" s="139"/>
      <c r="K130" s="155"/>
      <c r="L130" s="139"/>
      <c r="N130" s="155"/>
      <c r="Q130" s="155"/>
    </row>
    <row r="131" spans="2:17" s="111" customFormat="1">
      <c r="B131" s="138"/>
      <c r="C131" s="139"/>
      <c r="E131" s="155"/>
      <c r="F131" s="139"/>
      <c r="H131" s="155"/>
      <c r="I131" s="139"/>
      <c r="J131" s="139"/>
      <c r="K131" s="155"/>
      <c r="L131" s="139"/>
      <c r="N131" s="155"/>
      <c r="Q131" s="155"/>
    </row>
    <row r="132" spans="2:17" s="111" customFormat="1">
      <c r="B132" s="138"/>
      <c r="C132" s="139"/>
      <c r="E132" s="155"/>
      <c r="F132" s="139"/>
      <c r="H132" s="155"/>
      <c r="I132" s="139"/>
      <c r="J132" s="139"/>
      <c r="K132" s="155"/>
      <c r="L132" s="139"/>
      <c r="N132" s="155"/>
      <c r="Q132" s="155"/>
    </row>
    <row r="133" spans="2:17" s="111" customFormat="1">
      <c r="B133" s="138"/>
      <c r="C133" s="139"/>
      <c r="E133" s="155"/>
      <c r="F133" s="139"/>
      <c r="H133" s="155"/>
      <c r="I133" s="139"/>
      <c r="J133" s="139"/>
      <c r="K133" s="155"/>
      <c r="L133" s="139"/>
      <c r="N133" s="155"/>
      <c r="Q133" s="155"/>
    </row>
    <row r="134" spans="2:17" s="111" customFormat="1">
      <c r="B134" s="138"/>
      <c r="C134" s="139"/>
      <c r="E134" s="155"/>
      <c r="F134" s="139"/>
      <c r="H134" s="155"/>
      <c r="I134" s="139"/>
      <c r="J134" s="139"/>
      <c r="K134" s="155"/>
      <c r="L134" s="139"/>
      <c r="N134" s="155"/>
      <c r="Q134" s="155"/>
    </row>
    <row r="135" spans="2:17" s="111" customFormat="1">
      <c r="B135" s="138"/>
      <c r="C135" s="139"/>
      <c r="E135" s="155"/>
      <c r="F135" s="139"/>
      <c r="H135" s="155"/>
      <c r="I135" s="139"/>
      <c r="J135" s="139"/>
      <c r="K135" s="155"/>
      <c r="L135" s="139"/>
      <c r="N135" s="155"/>
      <c r="Q135" s="155"/>
    </row>
    <row r="136" spans="2:17" s="111" customFormat="1">
      <c r="B136" s="138"/>
      <c r="C136" s="139"/>
      <c r="E136" s="155"/>
      <c r="F136" s="139"/>
      <c r="H136" s="155"/>
      <c r="I136" s="139"/>
      <c r="J136" s="139"/>
      <c r="K136" s="155"/>
      <c r="L136" s="139"/>
      <c r="N136" s="155"/>
      <c r="Q136" s="155"/>
    </row>
    <row r="137" spans="2:17" s="111" customFormat="1">
      <c r="B137" s="138"/>
      <c r="C137" s="139"/>
      <c r="E137" s="155"/>
      <c r="F137" s="139"/>
      <c r="H137" s="155"/>
      <c r="I137" s="139"/>
      <c r="J137" s="139"/>
      <c r="K137" s="155"/>
      <c r="L137" s="139"/>
      <c r="N137" s="155"/>
      <c r="Q137" s="155"/>
    </row>
    <row r="138" spans="2:17" s="111" customFormat="1">
      <c r="B138" s="138"/>
      <c r="C138" s="139"/>
      <c r="E138" s="155"/>
      <c r="F138" s="139"/>
      <c r="H138" s="155"/>
      <c r="I138" s="139"/>
      <c r="J138" s="139"/>
      <c r="K138" s="155"/>
      <c r="L138" s="139"/>
      <c r="N138" s="155"/>
      <c r="Q138" s="155"/>
    </row>
    <row r="139" spans="2:17" s="111" customFormat="1">
      <c r="B139" s="138"/>
      <c r="C139" s="139"/>
      <c r="E139" s="155"/>
      <c r="F139" s="139"/>
      <c r="H139" s="155"/>
      <c r="I139" s="139"/>
      <c r="J139" s="139"/>
      <c r="K139" s="155"/>
      <c r="L139" s="139"/>
      <c r="N139" s="155"/>
      <c r="Q139" s="155"/>
    </row>
    <row r="140" spans="2:17" s="111" customFormat="1">
      <c r="B140" s="138"/>
      <c r="C140" s="139"/>
      <c r="E140" s="155"/>
      <c r="F140" s="139"/>
      <c r="H140" s="155"/>
      <c r="I140" s="139"/>
      <c r="J140" s="139"/>
      <c r="K140" s="155"/>
      <c r="L140" s="139"/>
      <c r="N140" s="155"/>
      <c r="Q140" s="155"/>
    </row>
    <row r="141" spans="2:17" s="111" customFormat="1">
      <c r="B141" s="138"/>
      <c r="C141" s="139"/>
      <c r="E141" s="155"/>
      <c r="F141" s="139"/>
      <c r="H141" s="155"/>
      <c r="I141" s="139"/>
      <c r="J141" s="139"/>
      <c r="K141" s="155"/>
      <c r="L141" s="139"/>
      <c r="N141" s="155"/>
      <c r="Q141" s="155"/>
    </row>
    <row r="142" spans="2:17" s="111" customFormat="1">
      <c r="B142" s="138"/>
      <c r="C142" s="139"/>
      <c r="E142" s="155"/>
      <c r="F142" s="139"/>
      <c r="H142" s="155"/>
      <c r="I142" s="139"/>
      <c r="J142" s="139"/>
      <c r="K142" s="155"/>
      <c r="L142" s="139"/>
      <c r="N142" s="155"/>
      <c r="Q142" s="155"/>
    </row>
    <row r="143" spans="2:17" s="111" customFormat="1">
      <c r="B143" s="138"/>
      <c r="C143" s="139"/>
      <c r="E143" s="155"/>
      <c r="F143" s="139"/>
      <c r="H143" s="155"/>
      <c r="I143" s="139"/>
      <c r="J143" s="139"/>
      <c r="K143" s="155"/>
      <c r="L143" s="139"/>
      <c r="N143" s="155"/>
      <c r="Q143" s="155"/>
    </row>
    <row r="144" spans="2:17" s="111" customFormat="1">
      <c r="B144" s="138"/>
      <c r="C144" s="139"/>
      <c r="E144" s="155"/>
      <c r="F144" s="139"/>
      <c r="H144" s="155"/>
      <c r="I144" s="139"/>
      <c r="J144" s="139"/>
      <c r="K144" s="155"/>
      <c r="L144" s="139"/>
      <c r="N144" s="155"/>
      <c r="Q144" s="155"/>
    </row>
    <row r="145" spans="2:17" s="111" customFormat="1">
      <c r="B145" s="138"/>
      <c r="C145" s="139"/>
      <c r="E145" s="155"/>
      <c r="F145" s="139"/>
      <c r="H145" s="155"/>
      <c r="I145" s="139"/>
      <c r="J145" s="139"/>
      <c r="K145" s="155"/>
      <c r="L145" s="139"/>
      <c r="N145" s="155"/>
      <c r="Q145" s="155"/>
    </row>
    <row r="146" spans="2:17" s="111" customFormat="1">
      <c r="B146" s="138"/>
      <c r="C146" s="139"/>
      <c r="E146" s="155"/>
      <c r="F146" s="139"/>
      <c r="H146" s="155"/>
      <c r="I146" s="139"/>
      <c r="J146" s="139"/>
      <c r="K146" s="155"/>
      <c r="L146" s="139"/>
      <c r="N146" s="155"/>
      <c r="Q146" s="155"/>
    </row>
    <row r="147" spans="2:17" s="111" customFormat="1">
      <c r="B147" s="138"/>
      <c r="C147" s="139"/>
      <c r="E147" s="155"/>
      <c r="F147" s="139"/>
      <c r="H147" s="155"/>
      <c r="I147" s="139"/>
      <c r="J147" s="139"/>
      <c r="K147" s="155"/>
      <c r="L147" s="139"/>
      <c r="N147" s="155"/>
      <c r="Q147" s="155"/>
    </row>
    <row r="148" spans="2:17" s="111" customFormat="1">
      <c r="B148" s="138"/>
      <c r="C148" s="139"/>
      <c r="E148" s="155"/>
      <c r="F148" s="139"/>
      <c r="H148" s="155"/>
      <c r="I148" s="139"/>
      <c r="J148" s="139"/>
      <c r="K148" s="155"/>
      <c r="L148" s="139"/>
      <c r="N148" s="155"/>
      <c r="Q148" s="155"/>
    </row>
    <row r="149" spans="2:17" s="111" customFormat="1">
      <c r="B149" s="138"/>
      <c r="C149" s="139"/>
      <c r="E149" s="155"/>
      <c r="F149" s="139"/>
      <c r="H149" s="155"/>
      <c r="I149" s="139"/>
      <c r="J149" s="139"/>
      <c r="K149" s="155"/>
      <c r="L149" s="139"/>
      <c r="N149" s="155"/>
      <c r="Q149" s="155"/>
    </row>
    <row r="150" spans="2:17" s="111" customFormat="1">
      <c r="B150" s="138"/>
      <c r="C150" s="139"/>
      <c r="E150" s="155"/>
      <c r="F150" s="139"/>
      <c r="H150" s="155"/>
      <c r="I150" s="139"/>
      <c r="J150" s="139"/>
      <c r="K150" s="155"/>
      <c r="L150" s="139"/>
      <c r="N150" s="155"/>
      <c r="Q150" s="155"/>
    </row>
    <row r="151" spans="2:17" s="111" customFormat="1">
      <c r="B151" s="138"/>
      <c r="C151" s="139"/>
      <c r="E151" s="155"/>
      <c r="F151" s="139"/>
      <c r="H151" s="155"/>
      <c r="I151" s="139"/>
      <c r="J151" s="139"/>
      <c r="K151" s="155"/>
      <c r="L151" s="139"/>
      <c r="N151" s="155"/>
      <c r="Q151" s="155"/>
    </row>
    <row r="152" spans="2:17" s="111" customFormat="1">
      <c r="B152" s="138"/>
      <c r="C152" s="139"/>
      <c r="E152" s="155"/>
      <c r="F152" s="139"/>
      <c r="H152" s="155"/>
      <c r="I152" s="139"/>
      <c r="J152" s="139"/>
      <c r="K152" s="155"/>
      <c r="L152" s="139"/>
      <c r="N152" s="155"/>
      <c r="Q152" s="155"/>
    </row>
    <row r="153" spans="2:17" s="111" customFormat="1">
      <c r="B153" s="138"/>
      <c r="C153" s="139"/>
      <c r="E153" s="155"/>
      <c r="F153" s="139"/>
      <c r="H153" s="155"/>
      <c r="I153" s="139"/>
      <c r="J153" s="139"/>
      <c r="K153" s="155"/>
      <c r="L153" s="139"/>
      <c r="N153" s="155"/>
      <c r="Q153" s="155"/>
    </row>
    <row r="154" spans="2:17" s="111" customFormat="1">
      <c r="B154" s="138"/>
      <c r="C154" s="139"/>
      <c r="E154" s="155"/>
      <c r="F154" s="139"/>
      <c r="H154" s="155"/>
      <c r="I154" s="139"/>
      <c r="J154" s="139"/>
      <c r="K154" s="155"/>
      <c r="L154" s="139"/>
      <c r="N154" s="155"/>
      <c r="Q154" s="155"/>
    </row>
    <row r="155" spans="2:17" s="111" customFormat="1">
      <c r="B155" s="138"/>
      <c r="C155" s="139"/>
      <c r="E155" s="155"/>
      <c r="F155" s="139"/>
      <c r="H155" s="155"/>
      <c r="I155" s="139"/>
      <c r="J155" s="139"/>
      <c r="K155" s="155"/>
      <c r="L155" s="139"/>
      <c r="N155" s="155"/>
      <c r="Q155" s="155"/>
    </row>
    <row r="156" spans="2:17" s="111" customFormat="1">
      <c r="B156" s="138"/>
      <c r="C156" s="139"/>
      <c r="E156" s="155"/>
      <c r="F156" s="139"/>
      <c r="H156" s="155"/>
      <c r="I156" s="139"/>
      <c r="J156" s="139"/>
      <c r="K156" s="155"/>
      <c r="L156" s="139"/>
      <c r="N156" s="155"/>
      <c r="Q156" s="155"/>
    </row>
    <row r="157" spans="2:17" s="111" customFormat="1">
      <c r="B157" s="138"/>
      <c r="C157" s="139"/>
      <c r="E157" s="155"/>
      <c r="F157" s="139"/>
      <c r="H157" s="155"/>
      <c r="I157" s="139"/>
      <c r="J157" s="139"/>
      <c r="K157" s="155"/>
      <c r="L157" s="139"/>
      <c r="N157" s="155"/>
      <c r="Q157" s="155"/>
    </row>
    <row r="158" spans="2:17" s="111" customFormat="1">
      <c r="B158" s="138"/>
      <c r="C158" s="139"/>
      <c r="E158" s="155"/>
      <c r="F158" s="139"/>
      <c r="H158" s="155"/>
      <c r="I158" s="139"/>
      <c r="J158" s="139"/>
      <c r="K158" s="155"/>
      <c r="L158" s="139"/>
      <c r="N158" s="155"/>
      <c r="Q158" s="155"/>
    </row>
    <row r="159" spans="2:17" s="111" customFormat="1">
      <c r="B159" s="138"/>
      <c r="C159" s="139"/>
      <c r="E159" s="155"/>
      <c r="F159" s="139"/>
      <c r="H159" s="155"/>
      <c r="I159" s="139"/>
      <c r="J159" s="139"/>
      <c r="K159" s="155"/>
      <c r="L159" s="139"/>
      <c r="N159" s="155"/>
      <c r="Q159" s="155"/>
    </row>
    <row r="160" spans="2:17" s="111" customFormat="1">
      <c r="B160" s="138"/>
      <c r="C160" s="139"/>
      <c r="E160" s="155"/>
      <c r="F160" s="139"/>
      <c r="H160" s="155"/>
      <c r="I160" s="139"/>
      <c r="J160" s="139"/>
      <c r="K160" s="155"/>
      <c r="L160" s="139"/>
      <c r="N160" s="155"/>
      <c r="Q160" s="155"/>
    </row>
    <row r="161" spans="2:17" s="111" customFormat="1">
      <c r="B161" s="138"/>
      <c r="C161" s="139"/>
      <c r="E161" s="155"/>
      <c r="F161" s="139"/>
      <c r="H161" s="155"/>
      <c r="I161" s="139"/>
      <c r="J161" s="139"/>
      <c r="K161" s="155"/>
      <c r="L161" s="139"/>
      <c r="N161" s="155"/>
      <c r="Q161" s="155"/>
    </row>
    <row r="162" spans="2:17" s="111" customFormat="1">
      <c r="B162" s="138"/>
      <c r="C162" s="139"/>
      <c r="E162" s="155"/>
      <c r="F162" s="139"/>
      <c r="H162" s="155"/>
      <c r="I162" s="139"/>
      <c r="J162" s="139"/>
      <c r="K162" s="155"/>
      <c r="L162" s="139"/>
      <c r="N162" s="155"/>
      <c r="Q162" s="155"/>
    </row>
    <row r="163" spans="2:17" s="111" customFormat="1">
      <c r="B163" s="138"/>
      <c r="C163" s="139"/>
      <c r="E163" s="155"/>
      <c r="F163" s="139"/>
      <c r="H163" s="155"/>
      <c r="I163" s="139"/>
      <c r="J163" s="139"/>
      <c r="K163" s="155"/>
      <c r="L163" s="139"/>
      <c r="N163" s="155"/>
      <c r="Q163" s="155"/>
    </row>
    <row r="164" spans="2:17" s="111" customFormat="1">
      <c r="B164" s="138"/>
      <c r="C164" s="139"/>
      <c r="E164" s="155"/>
      <c r="F164" s="139"/>
      <c r="H164" s="155"/>
      <c r="I164" s="139"/>
      <c r="J164" s="139"/>
      <c r="K164" s="155"/>
      <c r="L164" s="139"/>
      <c r="N164" s="155"/>
      <c r="Q164" s="155"/>
    </row>
    <row r="165" spans="2:17" s="111" customFormat="1">
      <c r="B165" s="138"/>
      <c r="C165" s="139"/>
      <c r="E165" s="155"/>
      <c r="F165" s="139"/>
      <c r="H165" s="155"/>
      <c r="I165" s="139"/>
      <c r="J165" s="139"/>
      <c r="K165" s="155"/>
      <c r="L165" s="139"/>
      <c r="N165" s="155"/>
      <c r="Q165" s="155"/>
    </row>
    <row r="166" spans="2:17" s="111" customFormat="1">
      <c r="B166" s="138"/>
      <c r="C166" s="139"/>
      <c r="E166" s="155"/>
      <c r="F166" s="139"/>
      <c r="H166" s="155"/>
      <c r="I166" s="139"/>
      <c r="J166" s="139"/>
      <c r="K166" s="155"/>
      <c r="L166" s="139"/>
      <c r="N166" s="155"/>
      <c r="Q166" s="155"/>
    </row>
    <row r="167" spans="2:17" s="111" customFormat="1">
      <c r="B167" s="138"/>
      <c r="C167" s="139"/>
      <c r="E167" s="155"/>
      <c r="F167" s="139"/>
      <c r="H167" s="155"/>
      <c r="I167" s="139"/>
      <c r="J167" s="139"/>
      <c r="K167" s="155"/>
      <c r="L167" s="139"/>
      <c r="N167" s="155"/>
      <c r="Q167" s="155"/>
    </row>
    <row r="168" spans="2:17" s="111" customFormat="1">
      <c r="B168" s="138"/>
      <c r="C168" s="139"/>
      <c r="E168" s="155"/>
      <c r="F168" s="139"/>
      <c r="H168" s="155"/>
      <c r="I168" s="139"/>
      <c r="J168" s="139"/>
      <c r="K168" s="155"/>
      <c r="L168" s="139"/>
      <c r="N168" s="155"/>
      <c r="Q168" s="155"/>
    </row>
    <row r="169" spans="2:17" s="111" customFormat="1">
      <c r="B169" s="138"/>
      <c r="C169" s="139"/>
      <c r="E169" s="155"/>
      <c r="F169" s="139"/>
      <c r="H169" s="155"/>
      <c r="I169" s="139"/>
      <c r="J169" s="139"/>
      <c r="K169" s="155"/>
      <c r="L169" s="139"/>
      <c r="N169" s="155"/>
      <c r="Q169" s="155"/>
    </row>
    <row r="170" spans="2:17" s="111" customFormat="1">
      <c r="B170" s="138"/>
      <c r="C170" s="139"/>
      <c r="E170" s="155"/>
      <c r="F170" s="139"/>
      <c r="H170" s="155"/>
      <c r="I170" s="139"/>
      <c r="J170" s="139"/>
      <c r="K170" s="155"/>
      <c r="L170" s="139"/>
      <c r="N170" s="155"/>
      <c r="Q170" s="155"/>
    </row>
    <row r="171" spans="2:17" s="111" customFormat="1">
      <c r="B171" s="138"/>
      <c r="C171" s="139"/>
      <c r="E171" s="155"/>
      <c r="F171" s="139"/>
      <c r="H171" s="155"/>
      <c r="I171" s="139"/>
      <c r="J171" s="139"/>
      <c r="K171" s="155"/>
      <c r="L171" s="139"/>
      <c r="N171" s="155"/>
      <c r="Q171" s="155"/>
    </row>
    <row r="172" spans="2:17" s="111" customFormat="1">
      <c r="B172" s="138"/>
      <c r="C172" s="139"/>
      <c r="E172" s="155"/>
      <c r="F172" s="139"/>
      <c r="H172" s="155"/>
      <c r="I172" s="139"/>
      <c r="J172" s="139"/>
      <c r="K172" s="155"/>
      <c r="L172" s="139"/>
      <c r="N172" s="155"/>
      <c r="Q172" s="155"/>
    </row>
    <row r="173" spans="2:17" s="111" customFormat="1">
      <c r="B173" s="138"/>
      <c r="C173" s="139"/>
      <c r="E173" s="155"/>
      <c r="F173" s="139"/>
      <c r="H173" s="155"/>
      <c r="I173" s="139"/>
      <c r="J173" s="139"/>
      <c r="K173" s="155"/>
      <c r="L173" s="139"/>
      <c r="N173" s="155"/>
      <c r="Q173" s="155"/>
    </row>
    <row r="174" spans="2:17" s="111" customFormat="1">
      <c r="B174" s="138"/>
      <c r="C174" s="139"/>
      <c r="E174" s="155"/>
      <c r="F174" s="139"/>
      <c r="H174" s="155"/>
      <c r="I174" s="139"/>
      <c r="J174" s="139"/>
      <c r="K174" s="155"/>
      <c r="L174" s="139"/>
      <c r="N174" s="155"/>
      <c r="Q174" s="155"/>
    </row>
    <row r="175" spans="2:17" s="111" customFormat="1">
      <c r="B175" s="138"/>
      <c r="C175" s="139"/>
      <c r="E175" s="155"/>
      <c r="F175" s="139"/>
      <c r="H175" s="155"/>
      <c r="I175" s="139"/>
      <c r="J175" s="139"/>
      <c r="K175" s="155"/>
      <c r="L175" s="139"/>
      <c r="N175" s="155"/>
      <c r="Q175" s="155"/>
    </row>
    <row r="176" spans="2:17" s="111" customFormat="1">
      <c r="B176" s="138"/>
      <c r="C176" s="139"/>
      <c r="E176" s="155"/>
      <c r="F176" s="139"/>
      <c r="H176" s="155"/>
      <c r="I176" s="139"/>
      <c r="J176" s="139"/>
      <c r="K176" s="155"/>
      <c r="L176" s="139"/>
      <c r="N176" s="155"/>
      <c r="Q176" s="155"/>
    </row>
    <row r="177" spans="2:17" s="111" customFormat="1">
      <c r="B177" s="138"/>
      <c r="C177" s="139"/>
      <c r="E177" s="155"/>
      <c r="F177" s="139"/>
      <c r="H177" s="155"/>
      <c r="I177" s="139"/>
      <c r="J177" s="139"/>
      <c r="K177" s="155"/>
      <c r="L177" s="139"/>
      <c r="N177" s="155"/>
      <c r="Q177" s="155"/>
    </row>
    <row r="178" spans="2:17" s="111" customFormat="1">
      <c r="B178" s="138"/>
      <c r="C178" s="139"/>
      <c r="E178" s="155"/>
      <c r="F178" s="139"/>
      <c r="H178" s="155"/>
      <c r="I178" s="139"/>
      <c r="J178" s="139"/>
      <c r="K178" s="155"/>
      <c r="L178" s="139"/>
      <c r="N178" s="155"/>
      <c r="Q178" s="155"/>
    </row>
    <row r="179" spans="2:17" s="111" customFormat="1">
      <c r="B179" s="138"/>
      <c r="C179" s="139"/>
      <c r="E179" s="155"/>
      <c r="F179" s="139"/>
      <c r="H179" s="155"/>
      <c r="I179" s="139"/>
      <c r="J179" s="139"/>
      <c r="K179" s="155"/>
      <c r="L179" s="139"/>
      <c r="N179" s="155"/>
      <c r="Q179" s="155"/>
    </row>
    <row r="180" spans="2:17" s="111" customFormat="1">
      <c r="B180" s="138"/>
      <c r="C180" s="139"/>
      <c r="E180" s="155"/>
      <c r="F180" s="139"/>
      <c r="H180" s="155"/>
      <c r="I180" s="139"/>
      <c r="J180" s="139"/>
      <c r="K180" s="155"/>
      <c r="L180" s="139"/>
      <c r="N180" s="155"/>
      <c r="Q180" s="155"/>
    </row>
    <row r="181" spans="2:17" s="111" customFormat="1">
      <c r="B181" s="138"/>
      <c r="C181" s="139"/>
      <c r="E181" s="155"/>
      <c r="F181" s="139"/>
      <c r="H181" s="155"/>
      <c r="I181" s="139"/>
      <c r="J181" s="139"/>
      <c r="K181" s="155"/>
      <c r="L181" s="139"/>
      <c r="N181" s="155"/>
      <c r="Q181" s="155"/>
    </row>
    <row r="182" spans="2:17" s="111" customFormat="1">
      <c r="B182" s="138"/>
      <c r="C182" s="139"/>
      <c r="E182" s="155"/>
      <c r="F182" s="139"/>
      <c r="H182" s="155"/>
      <c r="I182" s="139"/>
      <c r="J182" s="139"/>
      <c r="K182" s="155"/>
      <c r="L182" s="139"/>
      <c r="N182" s="155"/>
      <c r="Q182" s="155"/>
    </row>
    <row r="183" spans="2:17" s="111" customFormat="1">
      <c r="B183" s="138"/>
      <c r="C183" s="139"/>
      <c r="E183" s="155"/>
      <c r="F183" s="139"/>
      <c r="H183" s="155"/>
      <c r="I183" s="139"/>
      <c r="J183" s="139"/>
      <c r="K183" s="155"/>
      <c r="L183" s="139"/>
      <c r="N183" s="155"/>
      <c r="Q183" s="155"/>
    </row>
    <row r="184" spans="2:17" s="111" customFormat="1">
      <c r="B184" s="138"/>
      <c r="C184" s="139"/>
      <c r="E184" s="155"/>
      <c r="F184" s="139"/>
      <c r="H184" s="155"/>
      <c r="I184" s="139"/>
      <c r="J184" s="139"/>
      <c r="K184" s="155"/>
      <c r="L184" s="139"/>
      <c r="N184" s="155"/>
      <c r="Q184" s="155"/>
    </row>
    <row r="185" spans="2:17" s="111" customFormat="1">
      <c r="B185" s="138"/>
      <c r="C185" s="139"/>
      <c r="E185" s="155"/>
      <c r="F185" s="139"/>
      <c r="H185" s="155"/>
      <c r="I185" s="139"/>
      <c r="J185" s="139"/>
      <c r="K185" s="155"/>
      <c r="L185" s="139"/>
      <c r="N185" s="155"/>
      <c r="Q185" s="155"/>
    </row>
    <row r="186" spans="2:17" s="111" customFormat="1">
      <c r="B186" s="138"/>
      <c r="C186" s="139"/>
      <c r="E186" s="155"/>
      <c r="F186" s="139"/>
      <c r="H186" s="155"/>
      <c r="I186" s="139"/>
      <c r="J186" s="139"/>
      <c r="K186" s="155"/>
      <c r="L186" s="139"/>
      <c r="N186" s="155"/>
      <c r="Q186" s="155"/>
    </row>
    <row r="187" spans="2:17" s="111" customFormat="1">
      <c r="B187" s="138"/>
      <c r="C187" s="139"/>
      <c r="E187" s="155"/>
      <c r="F187" s="139"/>
      <c r="H187" s="155"/>
      <c r="I187" s="139"/>
      <c r="J187" s="139"/>
      <c r="K187" s="155"/>
      <c r="L187" s="139"/>
      <c r="N187" s="155"/>
      <c r="Q187" s="155"/>
    </row>
    <row r="188" spans="2:17" s="111" customFormat="1">
      <c r="B188" s="138"/>
      <c r="C188" s="139"/>
      <c r="E188" s="155"/>
      <c r="F188" s="139"/>
      <c r="H188" s="155"/>
      <c r="I188" s="139"/>
      <c r="J188" s="139"/>
      <c r="K188" s="155"/>
      <c r="L188" s="139"/>
      <c r="N188" s="155"/>
      <c r="Q188" s="155"/>
    </row>
    <row r="189" spans="2:17" s="111" customFormat="1">
      <c r="B189" s="138"/>
      <c r="C189" s="139"/>
      <c r="E189" s="155"/>
      <c r="F189" s="139"/>
      <c r="H189" s="155"/>
      <c r="I189" s="139"/>
      <c r="J189" s="139"/>
      <c r="K189" s="155"/>
      <c r="L189" s="139"/>
      <c r="N189" s="155"/>
      <c r="Q189" s="155"/>
    </row>
    <row r="190" spans="2:17" s="111" customFormat="1">
      <c r="B190" s="138"/>
      <c r="C190" s="139"/>
      <c r="E190" s="155"/>
      <c r="F190" s="139"/>
      <c r="H190" s="155"/>
      <c r="I190" s="139"/>
      <c r="J190" s="139"/>
      <c r="K190" s="155"/>
      <c r="L190" s="139"/>
      <c r="N190" s="155"/>
      <c r="Q190" s="155"/>
    </row>
    <row r="191" spans="2:17" s="111" customFormat="1">
      <c r="B191" s="138"/>
      <c r="C191" s="139"/>
      <c r="E191" s="155"/>
      <c r="F191" s="139"/>
      <c r="H191" s="155"/>
      <c r="I191" s="139"/>
      <c r="J191" s="139"/>
      <c r="K191" s="155"/>
      <c r="L191" s="139"/>
      <c r="N191" s="155"/>
      <c r="Q191" s="155"/>
    </row>
    <row r="192" spans="2:17" s="111" customFormat="1">
      <c r="B192" s="138"/>
      <c r="C192" s="139"/>
      <c r="E192" s="155"/>
      <c r="F192" s="139"/>
      <c r="H192" s="155"/>
      <c r="I192" s="139"/>
      <c r="J192" s="139"/>
      <c r="K192" s="155"/>
      <c r="L192" s="139"/>
      <c r="N192" s="155"/>
      <c r="Q192" s="155"/>
    </row>
    <row r="193" spans="2:17" s="111" customFormat="1">
      <c r="B193" s="138"/>
      <c r="C193" s="139"/>
      <c r="E193" s="155"/>
      <c r="F193" s="139"/>
      <c r="H193" s="155"/>
      <c r="I193" s="139"/>
      <c r="J193" s="139"/>
      <c r="K193" s="155"/>
      <c r="L193" s="139"/>
      <c r="N193" s="155"/>
      <c r="Q193" s="155"/>
    </row>
    <row r="194" spans="2:17" s="111" customFormat="1">
      <c r="B194" s="138"/>
      <c r="C194" s="139"/>
      <c r="E194" s="155"/>
      <c r="F194" s="139"/>
      <c r="H194" s="155"/>
      <c r="I194" s="139"/>
      <c r="J194" s="139"/>
      <c r="K194" s="155"/>
      <c r="L194" s="139"/>
      <c r="N194" s="155"/>
      <c r="Q194" s="155"/>
    </row>
    <row r="195" spans="2:17" s="111" customFormat="1">
      <c r="B195" s="138"/>
      <c r="C195" s="139"/>
      <c r="E195" s="155"/>
      <c r="F195" s="139"/>
      <c r="H195" s="155"/>
      <c r="I195" s="139"/>
      <c r="J195" s="139"/>
      <c r="K195" s="155"/>
      <c r="L195" s="139"/>
      <c r="N195" s="155"/>
      <c r="Q195" s="155"/>
    </row>
    <row r="196" spans="2:17" s="111" customFormat="1">
      <c r="B196" s="138"/>
      <c r="C196" s="139"/>
      <c r="E196" s="155"/>
      <c r="F196" s="139"/>
      <c r="H196" s="155"/>
      <c r="I196" s="139"/>
      <c r="J196" s="139"/>
      <c r="K196" s="155"/>
      <c r="L196" s="139"/>
      <c r="N196" s="155"/>
      <c r="Q196" s="155"/>
    </row>
    <row r="197" spans="2:17" s="111" customFormat="1">
      <c r="B197" s="138"/>
      <c r="C197" s="139"/>
      <c r="E197" s="155"/>
      <c r="F197" s="139"/>
      <c r="H197" s="155"/>
      <c r="I197" s="139"/>
      <c r="J197" s="139"/>
      <c r="K197" s="155"/>
      <c r="L197" s="139"/>
      <c r="N197" s="155"/>
      <c r="Q197" s="155"/>
    </row>
    <row r="198" spans="2:17" s="111" customFormat="1">
      <c r="B198" s="138"/>
      <c r="C198" s="139"/>
      <c r="E198" s="155"/>
      <c r="F198" s="139"/>
      <c r="H198" s="155"/>
      <c r="I198" s="139"/>
      <c r="J198" s="139"/>
      <c r="K198" s="155"/>
      <c r="L198" s="139"/>
      <c r="N198" s="155"/>
      <c r="Q198" s="155"/>
    </row>
    <row r="199" spans="2:17" s="111" customFormat="1">
      <c r="B199" s="138"/>
      <c r="C199" s="139"/>
      <c r="E199" s="155"/>
      <c r="F199" s="139"/>
      <c r="H199" s="155"/>
      <c r="I199" s="139"/>
      <c r="J199" s="139"/>
      <c r="K199" s="155"/>
      <c r="L199" s="139"/>
      <c r="N199" s="155"/>
      <c r="Q199" s="155"/>
    </row>
    <row r="200" spans="2:17" s="111" customFormat="1">
      <c r="B200" s="138"/>
      <c r="C200" s="139"/>
      <c r="E200" s="155"/>
      <c r="F200" s="139"/>
      <c r="H200" s="155"/>
      <c r="I200" s="139"/>
      <c r="J200" s="139"/>
      <c r="K200" s="155"/>
      <c r="L200" s="139"/>
      <c r="N200" s="155"/>
      <c r="Q200" s="155"/>
    </row>
    <row r="201" spans="2:17" s="111" customFormat="1">
      <c r="B201" s="138"/>
      <c r="C201" s="139"/>
      <c r="E201" s="155"/>
      <c r="F201" s="139"/>
      <c r="H201" s="155"/>
      <c r="I201" s="139"/>
      <c r="J201" s="139"/>
      <c r="K201" s="155"/>
      <c r="L201" s="139"/>
      <c r="N201" s="155"/>
      <c r="Q201" s="155"/>
    </row>
  </sheetData>
  <mergeCells count="6">
    <mergeCell ref="Q7:R7"/>
    <mergeCell ref="B7:C7"/>
    <mergeCell ref="E7:F7"/>
    <mergeCell ref="H7:I7"/>
    <mergeCell ref="K7:L7"/>
    <mergeCell ref="N7:O7"/>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J37"/>
  <sheetViews>
    <sheetView workbookViewId="0">
      <selection activeCell="K4" sqref="K4"/>
    </sheetView>
  </sheetViews>
  <sheetFormatPr baseColWidth="10" defaultRowHeight="15"/>
  <cols>
    <col min="1" max="1" width="8.5" customWidth="1"/>
    <col min="257" max="257" width="8.5" customWidth="1"/>
    <col min="513" max="513" width="8.5" customWidth="1"/>
    <col min="769" max="769" width="8.5" customWidth="1"/>
    <col min="1025" max="1025" width="8.5" customWidth="1"/>
    <col min="1281" max="1281" width="8.5" customWidth="1"/>
    <col min="1537" max="1537" width="8.5" customWidth="1"/>
    <col min="1793" max="1793" width="8.5" customWidth="1"/>
    <col min="2049" max="2049" width="8.5" customWidth="1"/>
    <col min="2305" max="2305" width="8.5" customWidth="1"/>
    <col min="2561" max="2561" width="8.5" customWidth="1"/>
    <col min="2817" max="2817" width="8.5" customWidth="1"/>
    <col min="3073" max="3073" width="8.5" customWidth="1"/>
    <col min="3329" max="3329" width="8.5" customWidth="1"/>
    <col min="3585" max="3585" width="8.5" customWidth="1"/>
    <col min="3841" max="3841" width="8.5" customWidth="1"/>
    <col min="4097" max="4097" width="8.5" customWidth="1"/>
    <col min="4353" max="4353" width="8.5" customWidth="1"/>
    <col min="4609" max="4609" width="8.5" customWidth="1"/>
    <col min="4865" max="4865" width="8.5" customWidth="1"/>
    <col min="5121" max="5121" width="8.5" customWidth="1"/>
    <col min="5377" max="5377" width="8.5" customWidth="1"/>
    <col min="5633" max="5633" width="8.5" customWidth="1"/>
    <col min="5889" max="5889" width="8.5" customWidth="1"/>
    <col min="6145" max="6145" width="8.5" customWidth="1"/>
    <col min="6401" max="6401" width="8.5" customWidth="1"/>
    <col min="6657" max="6657" width="8.5" customWidth="1"/>
    <col min="6913" max="6913" width="8.5" customWidth="1"/>
    <col min="7169" max="7169" width="8.5" customWidth="1"/>
    <col min="7425" max="7425" width="8.5" customWidth="1"/>
    <col min="7681" max="7681" width="8.5" customWidth="1"/>
    <col min="7937" max="7937" width="8.5" customWidth="1"/>
    <col min="8193" max="8193" width="8.5" customWidth="1"/>
    <col min="8449" max="8449" width="8.5" customWidth="1"/>
    <col min="8705" max="8705" width="8.5" customWidth="1"/>
    <col min="8961" max="8961" width="8.5" customWidth="1"/>
    <col min="9217" max="9217" width="8.5" customWidth="1"/>
    <col min="9473" max="9473" width="8.5" customWidth="1"/>
    <col min="9729" max="9729" width="8.5" customWidth="1"/>
    <col min="9985" max="9985" width="8.5" customWidth="1"/>
    <col min="10241" max="10241" width="8.5" customWidth="1"/>
    <col min="10497" max="10497" width="8.5" customWidth="1"/>
    <col min="10753" max="10753" width="8.5" customWidth="1"/>
    <col min="11009" max="11009" width="8.5" customWidth="1"/>
    <col min="11265" max="11265" width="8.5" customWidth="1"/>
    <col min="11521" max="11521" width="8.5" customWidth="1"/>
    <col min="11777" max="11777" width="8.5" customWidth="1"/>
    <col min="12033" max="12033" width="8.5" customWidth="1"/>
    <col min="12289" max="12289" width="8.5" customWidth="1"/>
    <col min="12545" max="12545" width="8.5" customWidth="1"/>
    <col min="12801" max="12801" width="8.5" customWidth="1"/>
    <col min="13057" max="13057" width="8.5" customWidth="1"/>
    <col min="13313" max="13313" width="8.5" customWidth="1"/>
    <col min="13569" max="13569" width="8.5" customWidth="1"/>
    <col min="13825" max="13825" width="8.5" customWidth="1"/>
    <col min="14081" max="14081" width="8.5" customWidth="1"/>
    <col min="14337" max="14337" width="8.5" customWidth="1"/>
    <col min="14593" max="14593" width="8.5" customWidth="1"/>
    <col min="14849" max="14849" width="8.5" customWidth="1"/>
    <col min="15105" max="15105" width="8.5" customWidth="1"/>
    <col min="15361" max="15361" width="8.5" customWidth="1"/>
    <col min="15617" max="15617" width="8.5" customWidth="1"/>
    <col min="15873" max="15873" width="8.5" customWidth="1"/>
    <col min="16129" max="16129" width="8.5" customWidth="1"/>
  </cols>
  <sheetData>
    <row r="1" spans="2:10">
      <c r="C1" t="s">
        <v>607</v>
      </c>
      <c r="D1" t="s">
        <v>608</v>
      </c>
    </row>
    <row r="2" spans="2:10">
      <c r="B2" t="s">
        <v>499</v>
      </c>
      <c r="C2" s="35">
        <v>1470</v>
      </c>
      <c r="D2" s="34">
        <v>1548</v>
      </c>
    </row>
    <row r="3" spans="2:10">
      <c r="B3" t="s">
        <v>478</v>
      </c>
      <c r="C3" s="35">
        <v>1322</v>
      </c>
      <c r="D3" s="34">
        <v>1326</v>
      </c>
    </row>
    <row r="4" spans="2:10">
      <c r="B4" t="s">
        <v>500</v>
      </c>
      <c r="C4" s="35">
        <v>1121</v>
      </c>
      <c r="D4" s="34">
        <v>1144</v>
      </c>
    </row>
    <row r="5" spans="2:10">
      <c r="B5" t="s">
        <v>498</v>
      </c>
      <c r="C5" s="35">
        <v>266</v>
      </c>
      <c r="D5" s="34">
        <v>279</v>
      </c>
    </row>
    <row r="6" spans="2:10">
      <c r="B6" t="s">
        <v>501</v>
      </c>
      <c r="C6" s="35">
        <v>104</v>
      </c>
      <c r="D6" s="34">
        <v>87</v>
      </c>
      <c r="E6" s="78"/>
      <c r="F6" s="70"/>
      <c r="G6" s="70"/>
      <c r="H6" s="70"/>
      <c r="I6" s="70"/>
      <c r="J6" s="70"/>
    </row>
    <row r="7" spans="2:10">
      <c r="E7" s="78"/>
      <c r="F7" s="69"/>
      <c r="G7" s="69"/>
      <c r="H7" s="69"/>
      <c r="I7" s="69"/>
      <c r="J7" s="69"/>
    </row>
    <row r="8" spans="2:10">
      <c r="F8" s="70"/>
      <c r="G8" s="70"/>
      <c r="H8" s="70"/>
      <c r="I8" s="70"/>
      <c r="J8" s="70"/>
    </row>
    <row r="25" spans="2:3">
      <c r="B25" s="35"/>
      <c r="C25" s="34"/>
    </row>
    <row r="26" spans="2:3">
      <c r="B26" s="35"/>
      <c r="C26" s="34"/>
    </row>
    <row r="27" spans="2:3">
      <c r="B27" s="35"/>
      <c r="C27" s="34"/>
    </row>
    <row r="28" spans="2:3">
      <c r="B28" s="35"/>
      <c r="C28" s="34"/>
    </row>
    <row r="29" spans="2:3">
      <c r="B29" s="35"/>
      <c r="C29" s="34"/>
    </row>
    <row r="36" spans="1:5">
      <c r="A36" s="35"/>
      <c r="B36" s="35"/>
      <c r="C36" s="35"/>
      <c r="D36" s="35"/>
      <c r="E36" s="35"/>
    </row>
    <row r="37" spans="1:5">
      <c r="A37" s="34"/>
      <c r="B37" s="34"/>
      <c r="C37" s="34"/>
      <c r="D37" s="34"/>
      <c r="E37" s="34"/>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134"/>
  <sheetViews>
    <sheetView topLeftCell="A76" workbookViewId="0">
      <selection activeCell="K4" sqref="K4"/>
    </sheetView>
  </sheetViews>
  <sheetFormatPr baseColWidth="10" defaultColWidth="9.1640625" defaultRowHeight="13"/>
  <cols>
    <col min="1" max="1" width="36" style="95" customWidth="1"/>
    <col min="2" max="2" width="8.5" style="138" customWidth="1"/>
    <col min="3" max="3" width="8.16406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8.1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16406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8.1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16406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8.1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16406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8.1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16406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8.1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16406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8.1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16406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8.1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16406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8.1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16406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8.1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16406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8.1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16406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8.1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16406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8.1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16406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8.1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16406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8.1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16406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8.1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16406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8.1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16406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8.1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16406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8.1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16406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8.1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16406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8.1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16406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8.1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16406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8.1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16406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8.1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16406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8.1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16406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8.1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16406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8.1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16406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8.1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16406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8.1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16406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8.1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16406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8.1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16406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8.1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16406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8.1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16406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8.1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16406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8.1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16406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8.1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16406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8.1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16406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8.1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16406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8.1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16406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8.1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16406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8.1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16406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8.1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16406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8.1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16406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8.1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16406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8.1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16406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8.1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16406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8.1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16406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8.1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16406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8.1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16406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8.1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16406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8.1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16406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8.1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16406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8.1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16406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8.1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16406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8.1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16406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8.1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16406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8.1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16406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8.1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16406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8.1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16406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8.1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16406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8.1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16406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8.1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16406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8.1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16406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8.1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16406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8.1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row>
    <row r="2" spans="1:19">
      <c r="A2" s="95" t="s">
        <v>454</v>
      </c>
      <c r="Q2" s="140"/>
    </row>
    <row r="3" spans="1:19" ht="10" customHeight="1">
      <c r="Q3" s="140"/>
    </row>
    <row r="4" spans="1:19">
      <c r="A4" s="14" t="s">
        <v>1857</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3.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1879</v>
      </c>
      <c r="C11" s="139">
        <f>SUM(C13+C107)</f>
        <v>100.00000000000001</v>
      </c>
      <c r="E11" s="140">
        <f>E13+E107</f>
        <v>841</v>
      </c>
      <c r="F11" s="105">
        <f t="shared" ref="F11:F75" si="0">IF($A11&lt;&gt;0,E11/$B11*100,"")</f>
        <v>44.757849920170301</v>
      </c>
      <c r="H11" s="140">
        <f>H13+H107</f>
        <v>63</v>
      </c>
      <c r="I11" s="105">
        <f t="shared" ref="I11:I75" si="1">IF($A11&lt;&gt;0,H11/$B11*100,"")</f>
        <v>3.352847259180415</v>
      </c>
      <c r="K11" s="140">
        <f>K13+K107</f>
        <v>385</v>
      </c>
      <c r="L11" s="105">
        <f t="shared" ref="L11:L75" si="2">IF($A11&lt;&gt;0,K11/$B11*100,"")</f>
        <v>20.48962213943587</v>
      </c>
      <c r="M11" s="116"/>
      <c r="N11" s="140">
        <f>N13+N107</f>
        <v>373</v>
      </c>
      <c r="O11" s="105">
        <f t="shared" ref="O11:O75" si="3">IF($A11&lt;&gt;0,N11/$B11*100,"")</f>
        <v>19.850984566258649</v>
      </c>
      <c r="P11" s="135"/>
      <c r="Q11" s="176">
        <f>Q13+Q107</f>
        <v>217</v>
      </c>
      <c r="R11" s="105">
        <f t="shared" ref="R11:R75" si="4">IF($A11&lt;&gt;0,Q11/$B11*100,"")</f>
        <v>11.548696114954764</v>
      </c>
      <c r="S11" s="135"/>
    </row>
    <row r="12" spans="1:19" ht="10" customHeight="1">
      <c r="B12" s="169"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1681</v>
      </c>
      <c r="C13" s="139">
        <f>IF(A13&lt;&gt;0,B13/$B$11*100,"")</f>
        <v>89.462480042575848</v>
      </c>
      <c r="E13" s="140">
        <f>E15+E99</f>
        <v>722</v>
      </c>
      <c r="F13" s="105">
        <f t="shared" si="0"/>
        <v>42.950624628197502</v>
      </c>
      <c r="H13" s="140">
        <f>H15+H99</f>
        <v>59</v>
      </c>
      <c r="I13" s="105">
        <f t="shared" si="1"/>
        <v>3.5098155859607378</v>
      </c>
      <c r="K13" s="140">
        <f>K15+K99</f>
        <v>332</v>
      </c>
      <c r="L13" s="105">
        <f t="shared" si="2"/>
        <v>19.750148720999405</v>
      </c>
      <c r="M13" s="116"/>
      <c r="N13" s="140">
        <f>N15+N99</f>
        <v>356</v>
      </c>
      <c r="O13" s="105">
        <f t="shared" si="3"/>
        <v>21.177870315288519</v>
      </c>
      <c r="P13" s="135"/>
      <c r="Q13" s="140">
        <f>Q15+Q99</f>
        <v>212</v>
      </c>
      <c r="R13" s="105">
        <f t="shared" si="4"/>
        <v>12.611540749553837</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1545</v>
      </c>
      <c r="C15" s="139">
        <f>IF(A15&lt;&gt;0,B15/$B$11*100,"")</f>
        <v>82.224587546567321</v>
      </c>
      <c r="E15" s="140">
        <f>E17+E28+E36+E62+E76+E83+E95+E96+E97</f>
        <v>654</v>
      </c>
      <c r="F15" s="105">
        <f t="shared" si="0"/>
        <v>42.33009708737864</v>
      </c>
      <c r="H15" s="140">
        <f>H17+H28+H36+H62+H76+H83+H95+H96+H97</f>
        <v>53</v>
      </c>
      <c r="I15" s="105">
        <f t="shared" si="1"/>
        <v>3.4304207119741101</v>
      </c>
      <c r="K15" s="140">
        <f>K17+K28+K36+K62+K76+K83+K95+K96+K97</f>
        <v>289</v>
      </c>
      <c r="L15" s="105">
        <f t="shared" si="2"/>
        <v>18.705501618122977</v>
      </c>
      <c r="M15" s="116"/>
      <c r="N15" s="140">
        <f>N17+N28+N36+N62+N76+N83+N95+N96+N97</f>
        <v>339</v>
      </c>
      <c r="O15" s="105">
        <f t="shared" si="3"/>
        <v>21.941747572815533</v>
      </c>
      <c r="P15" s="135"/>
      <c r="Q15" s="140">
        <f>Q17+Q28+Q36+Q62+Q76+Q83+Q95+Q96+Q97</f>
        <v>210</v>
      </c>
      <c r="R15" s="105">
        <f t="shared" si="4"/>
        <v>13.592233009708737</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151</v>
      </c>
      <c r="C17" s="139">
        <f>IF(A17&lt;&gt;0,B17/$B$11*100,"")</f>
        <v>8.0361894624800421</v>
      </c>
      <c r="E17" s="140">
        <f>E18+E23</f>
        <v>91</v>
      </c>
      <c r="F17" s="105">
        <f t="shared" si="0"/>
        <v>60.264900662251655</v>
      </c>
      <c r="H17" s="140">
        <f>H18+H23</f>
        <v>9</v>
      </c>
      <c r="I17" s="105">
        <f t="shared" si="1"/>
        <v>5.9602649006622519</v>
      </c>
      <c r="K17" s="140">
        <f>K18+K23</f>
        <v>28</v>
      </c>
      <c r="L17" s="105">
        <f t="shared" si="2"/>
        <v>18.543046357615893</v>
      </c>
      <c r="M17" s="116"/>
      <c r="N17" s="140">
        <f>N18+N23</f>
        <v>20</v>
      </c>
      <c r="O17" s="105">
        <f t="shared" si="3"/>
        <v>13.245033112582782</v>
      </c>
      <c r="P17" s="135"/>
      <c r="Q17" s="140">
        <f>Q18+Q23</f>
        <v>3</v>
      </c>
      <c r="R17" s="105">
        <f t="shared" si="4"/>
        <v>1.9867549668874174</v>
      </c>
      <c r="S17" s="135"/>
    </row>
    <row r="18" spans="1:19" ht="13.25" customHeight="1">
      <c r="A18" s="95" t="s">
        <v>162</v>
      </c>
      <c r="B18" s="138">
        <f t="shared" si="5"/>
        <v>58</v>
      </c>
      <c r="C18" s="139">
        <f t="shared" ref="C18:C82" si="6">IF(A18&lt;&gt;0,B18/$B$11*100,"")</f>
        <v>3.0867482703565727</v>
      </c>
      <c r="E18" s="140">
        <f>SUM(E19:E21)</f>
        <v>33</v>
      </c>
      <c r="F18" s="105">
        <f t="shared" si="0"/>
        <v>56.896551724137936</v>
      </c>
      <c r="H18" s="140">
        <f>SUM(H19:H21)</f>
        <v>2</v>
      </c>
      <c r="I18" s="105">
        <f t="shared" si="1"/>
        <v>3.4482758620689653</v>
      </c>
      <c r="K18" s="140">
        <f>SUM(K19:K21)</f>
        <v>12</v>
      </c>
      <c r="L18" s="105">
        <f t="shared" si="2"/>
        <v>20.689655172413794</v>
      </c>
      <c r="M18" s="116"/>
      <c r="N18" s="140">
        <f>SUM(N19:N21)</f>
        <v>11</v>
      </c>
      <c r="O18" s="105">
        <f t="shared" si="3"/>
        <v>18.96551724137931</v>
      </c>
      <c r="P18" s="135"/>
      <c r="Q18" s="140">
        <f>SUM(Q19:Q21)</f>
        <v>0</v>
      </c>
      <c r="R18" s="105">
        <f t="shared" si="4"/>
        <v>0</v>
      </c>
      <c r="S18" s="135"/>
    </row>
    <row r="19" spans="1:19" ht="13.25" customHeight="1">
      <c r="A19" s="95" t="s">
        <v>163</v>
      </c>
      <c r="B19" s="138">
        <f t="shared" si="5"/>
        <v>6</v>
      </c>
      <c r="C19" s="139">
        <f t="shared" si="6"/>
        <v>0.31931878658861096</v>
      </c>
      <c r="E19" s="770">
        <v>5</v>
      </c>
      <c r="F19" s="105">
        <f t="shared" si="0"/>
        <v>83.333333333333343</v>
      </c>
      <c r="G19" s="770"/>
      <c r="H19" s="770">
        <v>0</v>
      </c>
      <c r="I19" s="105">
        <f t="shared" si="1"/>
        <v>0</v>
      </c>
      <c r="J19" s="770"/>
      <c r="K19" s="770">
        <v>1</v>
      </c>
      <c r="L19" s="105">
        <f t="shared" si="2"/>
        <v>16.666666666666664</v>
      </c>
      <c r="M19" s="770"/>
      <c r="N19" s="770">
        <v>0</v>
      </c>
      <c r="O19" s="105">
        <f t="shared" si="3"/>
        <v>0</v>
      </c>
      <c r="P19" s="770"/>
      <c r="Q19" s="770">
        <v>0</v>
      </c>
      <c r="R19" s="105">
        <f t="shared" si="4"/>
        <v>0</v>
      </c>
      <c r="S19" s="135"/>
    </row>
    <row r="20" spans="1:19" ht="13.25" customHeight="1">
      <c r="A20" s="95" t="s">
        <v>164</v>
      </c>
      <c r="B20" s="138">
        <f t="shared" si="5"/>
        <v>35</v>
      </c>
      <c r="C20" s="139">
        <f t="shared" si="6"/>
        <v>1.8626929217668973</v>
      </c>
      <c r="E20" s="770">
        <v>15</v>
      </c>
      <c r="F20" s="105">
        <f t="shared" si="0"/>
        <v>42.857142857142854</v>
      </c>
      <c r="G20" s="770"/>
      <c r="H20" s="770">
        <v>2</v>
      </c>
      <c r="I20" s="105">
        <f t="shared" si="1"/>
        <v>5.7142857142857144</v>
      </c>
      <c r="J20" s="770"/>
      <c r="K20" s="770">
        <v>7</v>
      </c>
      <c r="L20" s="105">
        <f t="shared" si="2"/>
        <v>20</v>
      </c>
      <c r="M20" s="770"/>
      <c r="N20" s="770">
        <v>11</v>
      </c>
      <c r="O20" s="105">
        <f t="shared" si="3"/>
        <v>31.428571428571427</v>
      </c>
      <c r="P20" s="770"/>
      <c r="Q20" s="770">
        <v>0</v>
      </c>
      <c r="R20" s="105">
        <f t="shared" si="4"/>
        <v>0</v>
      </c>
      <c r="S20" s="135"/>
    </row>
    <row r="21" spans="1:19" ht="12" customHeight="1">
      <c r="A21" s="95" t="s">
        <v>165</v>
      </c>
      <c r="B21" s="138">
        <f t="shared" si="5"/>
        <v>17</v>
      </c>
      <c r="C21" s="139">
        <f t="shared" si="6"/>
        <v>0.90473656200106434</v>
      </c>
      <c r="E21" s="770">
        <v>13</v>
      </c>
      <c r="F21" s="105">
        <f t="shared" si="0"/>
        <v>76.470588235294116</v>
      </c>
      <c r="G21" s="770"/>
      <c r="H21" s="770">
        <v>0</v>
      </c>
      <c r="I21" s="105">
        <f t="shared" si="1"/>
        <v>0</v>
      </c>
      <c r="J21" s="770"/>
      <c r="K21" s="770">
        <v>4</v>
      </c>
      <c r="L21" s="105">
        <f t="shared" si="2"/>
        <v>23.52941176470588</v>
      </c>
      <c r="M21" s="770"/>
      <c r="N21" s="770">
        <v>0</v>
      </c>
      <c r="O21" s="105">
        <f t="shared" si="3"/>
        <v>0</v>
      </c>
      <c r="P21" s="770"/>
      <c r="Q21" s="770">
        <v>0</v>
      </c>
      <c r="R21" s="105">
        <f t="shared" si="4"/>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93</v>
      </c>
      <c r="C23" s="139">
        <f t="shared" si="6"/>
        <v>4.9494411921234702</v>
      </c>
      <c r="E23" s="140">
        <f>SUM(E24:E26)</f>
        <v>58</v>
      </c>
      <c r="F23" s="105">
        <f t="shared" si="0"/>
        <v>62.365591397849464</v>
      </c>
      <c r="H23" s="140">
        <f>SUM(H24:H26)</f>
        <v>7</v>
      </c>
      <c r="I23" s="105">
        <f t="shared" si="1"/>
        <v>7.5268817204301079</v>
      </c>
      <c r="K23" s="140">
        <f>SUM(K24:K26)</f>
        <v>16</v>
      </c>
      <c r="L23" s="105">
        <f t="shared" si="2"/>
        <v>17.20430107526882</v>
      </c>
      <c r="M23" s="116"/>
      <c r="N23" s="140">
        <f>SUM(N24:N26)</f>
        <v>9</v>
      </c>
      <c r="O23" s="105">
        <f t="shared" si="3"/>
        <v>9.67741935483871</v>
      </c>
      <c r="P23" s="135"/>
      <c r="Q23" s="140">
        <f>SUM(Q24:Q26)</f>
        <v>3</v>
      </c>
      <c r="R23" s="105">
        <f t="shared" si="4"/>
        <v>3.225806451612903</v>
      </c>
      <c r="S23" s="135"/>
    </row>
    <row r="24" spans="1:19" ht="13.25" customHeight="1">
      <c r="A24" s="95" t="s">
        <v>167</v>
      </c>
      <c r="B24" s="138">
        <f t="shared" si="5"/>
        <v>24</v>
      </c>
      <c r="C24" s="139">
        <f t="shared" si="6"/>
        <v>1.2772751463544438</v>
      </c>
      <c r="E24" s="770">
        <v>17</v>
      </c>
      <c r="F24" s="105">
        <f t="shared" si="0"/>
        <v>70.833333333333343</v>
      </c>
      <c r="G24" s="770"/>
      <c r="H24" s="770">
        <v>1</v>
      </c>
      <c r="I24" s="105">
        <f t="shared" si="1"/>
        <v>4.1666666666666661</v>
      </c>
      <c r="J24" s="770"/>
      <c r="K24" s="770">
        <v>1</v>
      </c>
      <c r="L24" s="105">
        <f t="shared" si="2"/>
        <v>4.1666666666666661</v>
      </c>
      <c r="M24" s="770"/>
      <c r="N24" s="770">
        <v>4</v>
      </c>
      <c r="O24" s="105">
        <f t="shared" si="3"/>
        <v>16.666666666666664</v>
      </c>
      <c r="P24" s="770"/>
      <c r="Q24" s="770">
        <v>1</v>
      </c>
      <c r="R24" s="105">
        <f t="shared" si="4"/>
        <v>4.1666666666666661</v>
      </c>
      <c r="S24" s="135"/>
    </row>
    <row r="25" spans="1:19" ht="13.25" customHeight="1">
      <c r="A25" s="95" t="s">
        <v>168</v>
      </c>
      <c r="B25" s="138">
        <f t="shared" si="5"/>
        <v>22</v>
      </c>
      <c r="C25" s="139">
        <f t="shared" si="6"/>
        <v>1.1708355508249069</v>
      </c>
      <c r="E25" s="770">
        <v>8</v>
      </c>
      <c r="F25" s="105">
        <f t="shared" si="0"/>
        <v>36.363636363636367</v>
      </c>
      <c r="G25" s="770"/>
      <c r="H25" s="770">
        <v>4</v>
      </c>
      <c r="I25" s="105">
        <f t="shared" si="1"/>
        <v>18.181818181818183</v>
      </c>
      <c r="J25" s="770"/>
      <c r="K25" s="770">
        <v>8</v>
      </c>
      <c r="L25" s="105">
        <f t="shared" si="2"/>
        <v>36.363636363636367</v>
      </c>
      <c r="M25" s="770"/>
      <c r="N25" s="770">
        <v>2</v>
      </c>
      <c r="O25" s="105">
        <f t="shared" si="3"/>
        <v>9.0909090909090917</v>
      </c>
      <c r="P25" s="770"/>
      <c r="Q25" s="770">
        <v>0</v>
      </c>
      <c r="R25" s="105">
        <f t="shared" si="4"/>
        <v>0</v>
      </c>
      <c r="S25" s="135"/>
    </row>
    <row r="26" spans="1:19" ht="12" customHeight="1">
      <c r="A26" s="95" t="s">
        <v>169</v>
      </c>
      <c r="B26" s="138">
        <f t="shared" si="5"/>
        <v>47</v>
      </c>
      <c r="C26" s="139">
        <f t="shared" si="6"/>
        <v>2.5013304949441193</v>
      </c>
      <c r="E26" s="770">
        <v>33</v>
      </c>
      <c r="F26" s="105">
        <f t="shared" si="0"/>
        <v>70.212765957446805</v>
      </c>
      <c r="G26" s="770"/>
      <c r="H26" s="770">
        <v>2</v>
      </c>
      <c r="I26" s="105">
        <f t="shared" si="1"/>
        <v>4.2553191489361701</v>
      </c>
      <c r="J26" s="770"/>
      <c r="K26" s="770">
        <v>7</v>
      </c>
      <c r="L26" s="105">
        <f t="shared" si="2"/>
        <v>14.893617021276595</v>
      </c>
      <c r="M26" s="770"/>
      <c r="N26" s="770">
        <v>3</v>
      </c>
      <c r="O26" s="105">
        <f t="shared" si="3"/>
        <v>6.3829787234042552</v>
      </c>
      <c r="P26" s="770"/>
      <c r="Q26" s="770">
        <v>2</v>
      </c>
      <c r="R26" s="105">
        <f t="shared" si="4"/>
        <v>4.2553191489361701</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135</v>
      </c>
      <c r="C28" s="139">
        <f t="shared" si="6"/>
        <v>7.1846726982437463</v>
      </c>
      <c r="E28" s="140">
        <f>SUM(E30:E34)</f>
        <v>110</v>
      </c>
      <c r="F28" s="105">
        <f t="shared" si="0"/>
        <v>81.481481481481481</v>
      </c>
      <c r="H28" s="140">
        <f>SUM(H30:H34)</f>
        <v>2</v>
      </c>
      <c r="I28" s="105">
        <f t="shared" si="1"/>
        <v>1.4814814814814816</v>
      </c>
      <c r="K28" s="140">
        <f>SUM(K30:K34)</f>
        <v>18</v>
      </c>
      <c r="L28" s="105">
        <f t="shared" si="2"/>
        <v>13.333333333333334</v>
      </c>
      <c r="M28" s="116"/>
      <c r="N28" s="140">
        <f>SUM(N30:N34)</f>
        <v>3</v>
      </c>
      <c r="O28" s="105">
        <f t="shared" si="3"/>
        <v>2.2222222222222223</v>
      </c>
      <c r="P28" s="135"/>
      <c r="Q28" s="140">
        <f>SUM(Q29)</f>
        <v>2</v>
      </c>
      <c r="R28" s="105">
        <f t="shared" si="4"/>
        <v>1.4814814814814816</v>
      </c>
      <c r="S28" s="135"/>
    </row>
    <row r="29" spans="1:19" ht="13.25" customHeight="1">
      <c r="A29" s="95" t="s">
        <v>171</v>
      </c>
      <c r="B29" s="138">
        <f t="shared" si="5"/>
        <v>135</v>
      </c>
      <c r="C29" s="139">
        <f t="shared" si="6"/>
        <v>7.1846726982437463</v>
      </c>
      <c r="E29" s="140">
        <f>SUM(E30:E34)</f>
        <v>110</v>
      </c>
      <c r="F29" s="105">
        <f t="shared" si="0"/>
        <v>81.481481481481481</v>
      </c>
      <c r="H29" s="140">
        <f>SUM(H30:H34)</f>
        <v>2</v>
      </c>
      <c r="I29" s="105">
        <f t="shared" si="1"/>
        <v>1.4814814814814816</v>
      </c>
      <c r="K29" s="140">
        <f>SUM(K30:K34)</f>
        <v>18</v>
      </c>
      <c r="L29" s="105">
        <f t="shared" si="2"/>
        <v>13.333333333333334</v>
      </c>
      <c r="M29" s="116"/>
      <c r="N29" s="140">
        <f>SUM(N30:N34)</f>
        <v>3</v>
      </c>
      <c r="O29" s="105">
        <f t="shared" si="3"/>
        <v>2.2222222222222223</v>
      </c>
      <c r="P29" s="135"/>
      <c r="Q29" s="140">
        <f>SUM(Q30:Q34)</f>
        <v>2</v>
      </c>
      <c r="R29" s="105">
        <f t="shared" si="4"/>
        <v>1.4814814814814816</v>
      </c>
      <c r="S29" s="135"/>
    </row>
    <row r="30" spans="1:19" ht="13.25" customHeight="1">
      <c r="A30" s="95" t="s">
        <v>172</v>
      </c>
      <c r="B30" s="138">
        <f t="shared" si="5"/>
        <v>39</v>
      </c>
      <c r="C30" s="139">
        <f t="shared" si="6"/>
        <v>2.0755721128259714</v>
      </c>
      <c r="E30" s="770">
        <v>29</v>
      </c>
      <c r="F30" s="105">
        <f t="shared" si="0"/>
        <v>74.358974358974365</v>
      </c>
      <c r="G30" s="770"/>
      <c r="H30" s="770">
        <v>1</v>
      </c>
      <c r="I30" s="105">
        <f t="shared" si="1"/>
        <v>2.5641025641025639</v>
      </c>
      <c r="J30" s="770"/>
      <c r="K30" s="770">
        <v>8</v>
      </c>
      <c r="L30" s="105">
        <f t="shared" si="2"/>
        <v>20.512820512820511</v>
      </c>
      <c r="M30" s="770"/>
      <c r="N30" s="770">
        <v>1</v>
      </c>
      <c r="O30" s="105">
        <f t="shared" si="3"/>
        <v>2.5641025641025639</v>
      </c>
      <c r="P30" s="770"/>
      <c r="Q30" s="770">
        <v>0</v>
      </c>
      <c r="R30" s="105">
        <f t="shared" si="4"/>
        <v>0</v>
      </c>
      <c r="S30" s="135"/>
    </row>
    <row r="31" spans="1:19" ht="13.25" customHeight="1">
      <c r="A31" s="95" t="s">
        <v>173</v>
      </c>
      <c r="B31" s="138">
        <f t="shared" si="5"/>
        <v>25</v>
      </c>
      <c r="C31" s="139">
        <f t="shared" si="6"/>
        <v>1.3304949441192122</v>
      </c>
      <c r="E31" s="770">
        <v>21</v>
      </c>
      <c r="F31" s="105">
        <f t="shared" si="0"/>
        <v>84</v>
      </c>
      <c r="G31" s="770"/>
      <c r="H31" s="770">
        <v>0</v>
      </c>
      <c r="I31" s="105">
        <f t="shared" si="1"/>
        <v>0</v>
      </c>
      <c r="J31" s="770"/>
      <c r="K31" s="770">
        <v>4</v>
      </c>
      <c r="L31" s="105">
        <f t="shared" si="2"/>
        <v>16</v>
      </c>
      <c r="M31" s="770"/>
      <c r="N31" s="770">
        <v>0</v>
      </c>
      <c r="O31" s="105">
        <f t="shared" si="3"/>
        <v>0</v>
      </c>
      <c r="P31" s="770"/>
      <c r="Q31" s="770">
        <v>0</v>
      </c>
      <c r="R31" s="105">
        <f t="shared" si="4"/>
        <v>0</v>
      </c>
      <c r="S31" s="135"/>
    </row>
    <row r="32" spans="1:19" ht="13.25" customHeight="1">
      <c r="A32" s="95" t="s">
        <v>174</v>
      </c>
      <c r="B32" s="138">
        <f t="shared" si="5"/>
        <v>17</v>
      </c>
      <c r="C32" s="139">
        <f t="shared" si="6"/>
        <v>0.90473656200106434</v>
      </c>
      <c r="E32" s="770">
        <v>13</v>
      </c>
      <c r="F32" s="105">
        <f t="shared" si="0"/>
        <v>76.470588235294116</v>
      </c>
      <c r="G32" s="770"/>
      <c r="H32" s="770">
        <v>0</v>
      </c>
      <c r="I32" s="105">
        <f t="shared" si="1"/>
        <v>0</v>
      </c>
      <c r="J32" s="770"/>
      <c r="K32" s="770">
        <v>3</v>
      </c>
      <c r="L32" s="105">
        <f t="shared" si="2"/>
        <v>17.647058823529413</v>
      </c>
      <c r="M32" s="770"/>
      <c r="N32" s="770">
        <v>0</v>
      </c>
      <c r="O32" s="105">
        <f t="shared" si="3"/>
        <v>0</v>
      </c>
      <c r="P32" s="770"/>
      <c r="Q32" s="770">
        <v>1</v>
      </c>
      <c r="R32" s="105">
        <f t="shared" si="4"/>
        <v>5.8823529411764701</v>
      </c>
      <c r="S32" s="135"/>
    </row>
    <row r="33" spans="1:19" ht="13.25" customHeight="1">
      <c r="A33" s="95" t="s">
        <v>175</v>
      </c>
      <c r="B33" s="138">
        <f t="shared" si="5"/>
        <v>22</v>
      </c>
      <c r="C33" s="139">
        <f t="shared" si="6"/>
        <v>1.1708355508249069</v>
      </c>
      <c r="E33" s="770">
        <v>19</v>
      </c>
      <c r="F33" s="105">
        <f t="shared" si="0"/>
        <v>86.36363636363636</v>
      </c>
      <c r="G33" s="770"/>
      <c r="H33" s="770">
        <v>1</v>
      </c>
      <c r="I33" s="105">
        <f t="shared" si="1"/>
        <v>4.5454545454545459</v>
      </c>
      <c r="J33" s="770"/>
      <c r="K33" s="770">
        <v>1</v>
      </c>
      <c r="L33" s="105">
        <f t="shared" si="2"/>
        <v>4.5454545454545459</v>
      </c>
      <c r="M33" s="770"/>
      <c r="N33" s="770">
        <v>0</v>
      </c>
      <c r="O33" s="105">
        <f t="shared" si="3"/>
        <v>0</v>
      </c>
      <c r="P33" s="770"/>
      <c r="Q33" s="770">
        <v>1</v>
      </c>
      <c r="R33" s="105">
        <f t="shared" si="4"/>
        <v>4.5454545454545459</v>
      </c>
      <c r="S33" s="135"/>
    </row>
    <row r="34" spans="1:19" ht="12" customHeight="1">
      <c r="A34" s="95" t="s">
        <v>176</v>
      </c>
      <c r="B34" s="138">
        <f t="shared" si="5"/>
        <v>32</v>
      </c>
      <c r="C34" s="139">
        <f t="shared" si="6"/>
        <v>1.7030335284725917</v>
      </c>
      <c r="E34" s="770">
        <v>28</v>
      </c>
      <c r="F34" s="105">
        <f t="shared" si="0"/>
        <v>87.5</v>
      </c>
      <c r="G34" s="770"/>
      <c r="H34" s="770">
        <v>0</v>
      </c>
      <c r="I34" s="105">
        <f t="shared" si="1"/>
        <v>0</v>
      </c>
      <c r="J34" s="770"/>
      <c r="K34" s="770">
        <v>2</v>
      </c>
      <c r="L34" s="105">
        <f t="shared" si="2"/>
        <v>6.25</v>
      </c>
      <c r="M34" s="770"/>
      <c r="N34" s="770">
        <v>2</v>
      </c>
      <c r="O34" s="105">
        <f t="shared" si="3"/>
        <v>6.25</v>
      </c>
      <c r="P34" s="770"/>
      <c r="Q34" s="770">
        <v>0</v>
      </c>
      <c r="R34" s="105">
        <f t="shared" si="4"/>
        <v>0</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5" customHeight="1">
      <c r="A36" s="55" t="s">
        <v>406</v>
      </c>
      <c r="B36" s="138">
        <f t="shared" si="5"/>
        <v>432</v>
      </c>
      <c r="C36" s="139">
        <f t="shared" si="6"/>
        <v>22.990952634379987</v>
      </c>
      <c r="E36" s="140">
        <f>E37+E43+E53+E55</f>
        <v>154</v>
      </c>
      <c r="F36" s="105">
        <f t="shared" si="0"/>
        <v>35.648148148148145</v>
      </c>
      <c r="H36" s="140">
        <f>H37+H43+H53+H55</f>
        <v>25</v>
      </c>
      <c r="I36" s="105">
        <f t="shared" si="1"/>
        <v>5.7870370370370372</v>
      </c>
      <c r="K36" s="140">
        <f>K37+K43+K53+K55</f>
        <v>131</v>
      </c>
      <c r="L36" s="105">
        <f t="shared" si="2"/>
        <v>30.324074074074076</v>
      </c>
      <c r="M36" s="116"/>
      <c r="N36" s="140">
        <f>N37+N43+N53+N55</f>
        <v>105</v>
      </c>
      <c r="O36" s="105">
        <f t="shared" si="3"/>
        <v>24.305555555555554</v>
      </c>
      <c r="P36" s="135"/>
      <c r="Q36" s="140">
        <f>Q37+Q43+Q53+Q55</f>
        <v>17</v>
      </c>
      <c r="R36" s="105">
        <f t="shared" si="4"/>
        <v>3.9351851851851851</v>
      </c>
      <c r="S36" s="135"/>
    </row>
    <row r="37" spans="1:19" ht="13.25" customHeight="1">
      <c r="A37" s="95" t="s">
        <v>178</v>
      </c>
      <c r="B37" s="138">
        <f t="shared" si="5"/>
        <v>104</v>
      </c>
      <c r="C37" s="139">
        <f t="shared" si="6"/>
        <v>5.5348589675359232</v>
      </c>
      <c r="E37" s="140">
        <f>SUM(E38:E41)</f>
        <v>31</v>
      </c>
      <c r="F37" s="105">
        <f t="shared" si="0"/>
        <v>29.807692307692307</v>
      </c>
      <c r="H37" s="140">
        <f>SUM(H38:H41)</f>
        <v>8</v>
      </c>
      <c r="I37" s="105">
        <f t="shared" si="1"/>
        <v>7.6923076923076925</v>
      </c>
      <c r="K37" s="140">
        <f>SUM(K38:K41)</f>
        <v>19</v>
      </c>
      <c r="L37" s="105">
        <f t="shared" si="2"/>
        <v>18.269230769230766</v>
      </c>
      <c r="M37" s="116"/>
      <c r="N37" s="140">
        <f>SUM(N38:N41)</f>
        <v>42</v>
      </c>
      <c r="O37" s="105">
        <f t="shared" si="3"/>
        <v>40.384615384615387</v>
      </c>
      <c r="P37" s="135"/>
      <c r="Q37" s="140">
        <f>SUM(Q38:Q41)</f>
        <v>4</v>
      </c>
      <c r="R37" s="105">
        <f t="shared" si="4"/>
        <v>3.8461538461538463</v>
      </c>
      <c r="S37" s="135"/>
    </row>
    <row r="38" spans="1:19" ht="13.25" customHeight="1">
      <c r="A38" s="95" t="s">
        <v>179</v>
      </c>
      <c r="B38" s="138">
        <f t="shared" si="5"/>
        <v>45</v>
      </c>
      <c r="C38" s="139">
        <f t="shared" si="6"/>
        <v>2.3948908994145821</v>
      </c>
      <c r="E38" s="770">
        <v>6</v>
      </c>
      <c r="F38" s="105">
        <f t="shared" si="0"/>
        <v>13.333333333333334</v>
      </c>
      <c r="G38" s="770"/>
      <c r="H38" s="770">
        <v>3</v>
      </c>
      <c r="I38" s="105">
        <f t="shared" si="1"/>
        <v>6.666666666666667</v>
      </c>
      <c r="J38" s="770"/>
      <c r="K38" s="770">
        <v>11</v>
      </c>
      <c r="L38" s="105">
        <f t="shared" si="2"/>
        <v>24.444444444444443</v>
      </c>
      <c r="M38" s="770"/>
      <c r="N38" s="770">
        <v>21</v>
      </c>
      <c r="O38" s="105">
        <f t="shared" si="3"/>
        <v>46.666666666666664</v>
      </c>
      <c r="P38" s="770"/>
      <c r="Q38" s="770">
        <v>4</v>
      </c>
      <c r="R38" s="105">
        <f t="shared" si="4"/>
        <v>8.8888888888888893</v>
      </c>
      <c r="S38" s="135"/>
    </row>
    <row r="39" spans="1:19" ht="13.25" customHeight="1">
      <c r="A39" s="95" t="s">
        <v>180</v>
      </c>
      <c r="B39" s="138">
        <f t="shared" si="5"/>
        <v>28</v>
      </c>
      <c r="C39" s="139">
        <f t="shared" si="6"/>
        <v>1.4901543374135178</v>
      </c>
      <c r="E39" s="770">
        <v>10</v>
      </c>
      <c r="F39" s="105">
        <f t="shared" si="0"/>
        <v>35.714285714285715</v>
      </c>
      <c r="G39" s="770"/>
      <c r="H39" s="770">
        <v>1</v>
      </c>
      <c r="I39" s="105">
        <f t="shared" si="1"/>
        <v>3.5714285714285712</v>
      </c>
      <c r="J39" s="770"/>
      <c r="K39" s="770">
        <v>4</v>
      </c>
      <c r="L39" s="105">
        <f t="shared" si="2"/>
        <v>14.285714285714285</v>
      </c>
      <c r="M39" s="770"/>
      <c r="N39" s="770">
        <v>13</v>
      </c>
      <c r="O39" s="105">
        <f t="shared" si="3"/>
        <v>46.428571428571431</v>
      </c>
      <c r="P39" s="770"/>
      <c r="Q39" s="770">
        <v>0</v>
      </c>
      <c r="R39" s="105">
        <f t="shared" si="4"/>
        <v>0</v>
      </c>
      <c r="S39" s="135"/>
    </row>
    <row r="40" spans="1:19" ht="13.25" customHeight="1">
      <c r="A40" s="95" t="s">
        <v>181</v>
      </c>
      <c r="B40" s="138">
        <f t="shared" si="5"/>
        <v>18</v>
      </c>
      <c r="C40" s="139">
        <f t="shared" si="6"/>
        <v>0.95795635976583282</v>
      </c>
      <c r="E40" s="770">
        <v>8</v>
      </c>
      <c r="F40" s="105">
        <f t="shared" si="0"/>
        <v>44.444444444444443</v>
      </c>
      <c r="G40" s="770"/>
      <c r="H40" s="770">
        <v>4</v>
      </c>
      <c r="I40" s="105">
        <f t="shared" si="1"/>
        <v>22.222222222222221</v>
      </c>
      <c r="J40" s="770"/>
      <c r="K40" s="770">
        <v>1</v>
      </c>
      <c r="L40" s="105">
        <f t="shared" si="2"/>
        <v>5.5555555555555554</v>
      </c>
      <c r="M40" s="770"/>
      <c r="N40" s="770">
        <v>5</v>
      </c>
      <c r="O40" s="105">
        <f t="shared" si="3"/>
        <v>27.777777777777779</v>
      </c>
      <c r="P40" s="770"/>
      <c r="Q40" s="770">
        <v>0</v>
      </c>
      <c r="R40" s="105">
        <f t="shared" si="4"/>
        <v>0</v>
      </c>
      <c r="S40" s="135"/>
    </row>
    <row r="41" spans="1:19" ht="12" customHeight="1">
      <c r="A41" s="95" t="s">
        <v>182</v>
      </c>
      <c r="B41" s="138">
        <f t="shared" si="5"/>
        <v>13</v>
      </c>
      <c r="C41" s="139">
        <f t="shared" si="6"/>
        <v>0.6918573709419904</v>
      </c>
      <c r="E41" s="770">
        <v>7</v>
      </c>
      <c r="F41" s="105">
        <f t="shared" si="0"/>
        <v>53.846153846153847</v>
      </c>
      <c r="G41" s="770"/>
      <c r="H41" s="770">
        <v>0</v>
      </c>
      <c r="I41" s="105">
        <f t="shared" si="1"/>
        <v>0</v>
      </c>
      <c r="J41" s="770"/>
      <c r="K41" s="770">
        <v>3</v>
      </c>
      <c r="L41" s="105">
        <f t="shared" si="2"/>
        <v>23.076923076923077</v>
      </c>
      <c r="M41" s="770"/>
      <c r="N41" s="770">
        <v>3</v>
      </c>
      <c r="O41" s="105">
        <f t="shared" si="3"/>
        <v>23.076923076923077</v>
      </c>
      <c r="P41" s="770"/>
      <c r="Q41" s="770">
        <v>0</v>
      </c>
      <c r="R41" s="105">
        <f t="shared" si="4"/>
        <v>0</v>
      </c>
      <c r="S41" s="135"/>
    </row>
    <row r="42" spans="1:19" ht="11.25"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193</v>
      </c>
      <c r="C43" s="139">
        <f t="shared" si="6"/>
        <v>10.271420968600321</v>
      </c>
      <c r="E43" s="140">
        <f>SUM(E44:E51)</f>
        <v>71</v>
      </c>
      <c r="F43" s="105">
        <f t="shared" si="0"/>
        <v>36.787564766839374</v>
      </c>
      <c r="H43" s="140">
        <f>SUM(H44:H51)</f>
        <v>9</v>
      </c>
      <c r="I43" s="105">
        <f t="shared" si="1"/>
        <v>4.6632124352331603</v>
      </c>
      <c r="K43" s="140">
        <f>SUM(K44:K51)</f>
        <v>75</v>
      </c>
      <c r="L43" s="105">
        <f t="shared" si="2"/>
        <v>38.860103626943001</v>
      </c>
      <c r="M43" s="116"/>
      <c r="N43" s="140">
        <f>SUM(N44:N51)</f>
        <v>34</v>
      </c>
      <c r="O43" s="105">
        <f t="shared" si="3"/>
        <v>17.616580310880828</v>
      </c>
      <c r="P43" s="135"/>
      <c r="Q43" s="140">
        <f>SUM(Q44:Q51)</f>
        <v>4</v>
      </c>
      <c r="R43" s="105">
        <f t="shared" si="4"/>
        <v>2.0725388601036272</v>
      </c>
      <c r="S43" s="135"/>
    </row>
    <row r="44" spans="1:19" ht="13.25" customHeight="1">
      <c r="A44" s="95" t="s">
        <v>185</v>
      </c>
      <c r="B44" s="138">
        <f t="shared" si="5"/>
        <v>33</v>
      </c>
      <c r="C44" s="139">
        <f t="shared" si="6"/>
        <v>1.7562533262373603</v>
      </c>
      <c r="E44" s="770">
        <v>5</v>
      </c>
      <c r="F44" s="105">
        <f t="shared" si="0"/>
        <v>15.151515151515152</v>
      </c>
      <c r="G44" s="770"/>
      <c r="H44" s="770">
        <v>3</v>
      </c>
      <c r="I44" s="105">
        <f t="shared" si="1"/>
        <v>9.0909090909090917</v>
      </c>
      <c r="J44" s="770"/>
      <c r="K44" s="770">
        <v>14</v>
      </c>
      <c r="L44" s="105">
        <f t="shared" si="2"/>
        <v>42.424242424242422</v>
      </c>
      <c r="M44" s="770"/>
      <c r="N44" s="770">
        <v>11</v>
      </c>
      <c r="O44" s="105">
        <f t="shared" si="3"/>
        <v>33.333333333333329</v>
      </c>
      <c r="P44" s="770"/>
      <c r="Q44" s="770">
        <v>0</v>
      </c>
      <c r="R44" s="105">
        <f t="shared" si="4"/>
        <v>0</v>
      </c>
      <c r="S44" s="135"/>
    </row>
    <row r="45" spans="1:19" ht="13.25" customHeight="1">
      <c r="A45" s="95" t="s">
        <v>407</v>
      </c>
      <c r="B45" s="138">
        <f>IF($A45&lt;&gt;"",E45+H45+K45+N45+Q45,"")</f>
        <v>20</v>
      </c>
      <c r="C45" s="139">
        <f>IF(A45&lt;&gt;0,B45/$B$11*100,"")</f>
        <v>1.0643959552953699</v>
      </c>
      <c r="E45" s="770">
        <v>12</v>
      </c>
      <c r="F45" s="105">
        <f t="shared" si="0"/>
        <v>60</v>
      </c>
      <c r="G45" s="770"/>
      <c r="H45" s="770">
        <v>0</v>
      </c>
      <c r="I45" s="105">
        <f t="shared" si="1"/>
        <v>0</v>
      </c>
      <c r="J45" s="770"/>
      <c r="K45" s="770">
        <v>7</v>
      </c>
      <c r="L45" s="105">
        <f t="shared" si="2"/>
        <v>35</v>
      </c>
      <c r="M45" s="770"/>
      <c r="N45" s="770">
        <v>1</v>
      </c>
      <c r="O45" s="105">
        <f t="shared" si="3"/>
        <v>5</v>
      </c>
      <c r="P45" s="770"/>
      <c r="Q45" s="770">
        <v>0</v>
      </c>
      <c r="R45" s="105">
        <f t="shared" si="4"/>
        <v>0</v>
      </c>
      <c r="S45" s="135"/>
    </row>
    <row r="46" spans="1:19" ht="13.25" customHeight="1">
      <c r="A46" s="95" t="s">
        <v>184</v>
      </c>
      <c r="B46" s="138">
        <f>IF($A46&lt;&gt;"",E46+H46+K46+N46+Q46,"")</f>
        <v>22</v>
      </c>
      <c r="C46" s="139">
        <f>IF(A46&lt;&gt;0,B46/$B$11*100,"")</f>
        <v>1.1708355508249069</v>
      </c>
      <c r="E46" s="770">
        <v>10</v>
      </c>
      <c r="F46" s="105">
        <f t="shared" si="0"/>
        <v>45.454545454545453</v>
      </c>
      <c r="G46" s="770"/>
      <c r="H46" s="770">
        <v>1</v>
      </c>
      <c r="I46" s="105">
        <f t="shared" si="1"/>
        <v>4.5454545454545459</v>
      </c>
      <c r="J46" s="770"/>
      <c r="K46" s="770">
        <v>10</v>
      </c>
      <c r="L46" s="105">
        <f t="shared" si="2"/>
        <v>45.454545454545453</v>
      </c>
      <c r="M46" s="770"/>
      <c r="N46" s="770">
        <v>0</v>
      </c>
      <c r="O46" s="105">
        <f t="shared" si="3"/>
        <v>0</v>
      </c>
      <c r="P46" s="770"/>
      <c r="Q46" s="770">
        <v>1</v>
      </c>
      <c r="R46" s="105">
        <f t="shared" si="4"/>
        <v>4.5454545454545459</v>
      </c>
      <c r="S46" s="135"/>
    </row>
    <row r="47" spans="1:19" ht="13.25" customHeight="1">
      <c r="A47" s="95" t="s">
        <v>186</v>
      </c>
      <c r="B47" s="138">
        <f t="shared" si="5"/>
        <v>20</v>
      </c>
      <c r="C47" s="139">
        <f t="shared" si="6"/>
        <v>1.0643959552953699</v>
      </c>
      <c r="E47" s="770">
        <v>9</v>
      </c>
      <c r="F47" s="105">
        <f t="shared" si="0"/>
        <v>45</v>
      </c>
      <c r="G47" s="770"/>
      <c r="H47" s="770">
        <v>1</v>
      </c>
      <c r="I47" s="105">
        <f t="shared" si="1"/>
        <v>5</v>
      </c>
      <c r="J47" s="770"/>
      <c r="K47" s="770">
        <v>8</v>
      </c>
      <c r="L47" s="105">
        <f t="shared" si="2"/>
        <v>40</v>
      </c>
      <c r="M47" s="770"/>
      <c r="N47" s="770">
        <v>2</v>
      </c>
      <c r="O47" s="105">
        <f t="shared" si="3"/>
        <v>10</v>
      </c>
      <c r="P47" s="770"/>
      <c r="Q47" s="770">
        <v>0</v>
      </c>
      <c r="R47" s="105">
        <f t="shared" si="4"/>
        <v>0</v>
      </c>
      <c r="S47" s="135"/>
    </row>
    <row r="48" spans="1:19" ht="13.25" customHeight="1">
      <c r="A48" s="95" t="s">
        <v>408</v>
      </c>
      <c r="B48" s="138">
        <f t="shared" si="5"/>
        <v>24</v>
      </c>
      <c r="C48" s="139">
        <f t="shared" si="6"/>
        <v>1.2772751463544438</v>
      </c>
      <c r="E48" s="770">
        <v>10</v>
      </c>
      <c r="F48" s="105">
        <f t="shared" si="0"/>
        <v>41.666666666666671</v>
      </c>
      <c r="G48" s="770"/>
      <c r="H48" s="770">
        <v>2</v>
      </c>
      <c r="I48" s="105">
        <f t="shared" si="1"/>
        <v>8.3333333333333321</v>
      </c>
      <c r="J48" s="770"/>
      <c r="K48" s="770">
        <v>7</v>
      </c>
      <c r="L48" s="105">
        <f t="shared" si="2"/>
        <v>29.166666666666668</v>
      </c>
      <c r="M48" s="770"/>
      <c r="N48" s="770">
        <v>5</v>
      </c>
      <c r="O48" s="105">
        <f t="shared" si="3"/>
        <v>20.833333333333336</v>
      </c>
      <c r="P48" s="770"/>
      <c r="Q48" s="770">
        <v>0</v>
      </c>
      <c r="R48" s="105">
        <f t="shared" si="4"/>
        <v>0</v>
      </c>
      <c r="S48" s="135"/>
    </row>
    <row r="49" spans="1:19" ht="13.25" customHeight="1">
      <c r="A49" s="95" t="s">
        <v>190</v>
      </c>
      <c r="B49" s="138">
        <f t="shared" si="5"/>
        <v>15</v>
      </c>
      <c r="C49" s="139">
        <f t="shared" si="6"/>
        <v>0.79829696647152737</v>
      </c>
      <c r="E49" s="770">
        <v>5</v>
      </c>
      <c r="F49" s="105">
        <f t="shared" si="0"/>
        <v>33.333333333333329</v>
      </c>
      <c r="G49" s="770"/>
      <c r="H49" s="770">
        <v>1</v>
      </c>
      <c r="I49" s="105">
        <f t="shared" si="1"/>
        <v>6.666666666666667</v>
      </c>
      <c r="J49" s="770"/>
      <c r="K49" s="770">
        <v>7</v>
      </c>
      <c r="L49" s="105">
        <f t="shared" si="2"/>
        <v>46.666666666666664</v>
      </c>
      <c r="M49" s="770"/>
      <c r="N49" s="770">
        <v>2</v>
      </c>
      <c r="O49" s="105">
        <f t="shared" si="3"/>
        <v>13.333333333333334</v>
      </c>
      <c r="P49" s="770"/>
      <c r="Q49" s="770">
        <v>0</v>
      </c>
      <c r="R49" s="105">
        <f t="shared" si="4"/>
        <v>0</v>
      </c>
      <c r="S49" s="135"/>
    </row>
    <row r="50" spans="1:19" ht="13.25" customHeight="1">
      <c r="A50" s="95" t="s">
        <v>189</v>
      </c>
      <c r="B50" s="138">
        <f t="shared" si="5"/>
        <v>41</v>
      </c>
      <c r="C50" s="139">
        <f t="shared" si="6"/>
        <v>2.1820117083555082</v>
      </c>
      <c r="E50" s="770">
        <v>12</v>
      </c>
      <c r="F50" s="105">
        <f t="shared" si="0"/>
        <v>29.268292682926827</v>
      </c>
      <c r="G50" s="770"/>
      <c r="H50" s="770">
        <v>1</v>
      </c>
      <c r="I50" s="105">
        <f t="shared" si="1"/>
        <v>2.4390243902439024</v>
      </c>
      <c r="J50" s="770"/>
      <c r="K50" s="770">
        <v>16</v>
      </c>
      <c r="L50" s="105">
        <f t="shared" si="2"/>
        <v>39.024390243902438</v>
      </c>
      <c r="M50" s="770"/>
      <c r="N50" s="770">
        <v>9</v>
      </c>
      <c r="O50" s="105">
        <f t="shared" si="3"/>
        <v>21.951219512195124</v>
      </c>
      <c r="P50" s="770"/>
      <c r="Q50" s="770">
        <v>3</v>
      </c>
      <c r="R50" s="105">
        <f t="shared" si="4"/>
        <v>7.3170731707317067</v>
      </c>
      <c r="S50" s="135"/>
    </row>
    <row r="51" spans="1:19" ht="12" customHeight="1">
      <c r="A51" s="95" t="s">
        <v>188</v>
      </c>
      <c r="B51" s="138">
        <f t="shared" si="5"/>
        <v>18</v>
      </c>
      <c r="C51" s="139">
        <f t="shared" si="6"/>
        <v>0.95795635976583282</v>
      </c>
      <c r="E51" s="770">
        <v>8</v>
      </c>
      <c r="F51" s="105">
        <f t="shared" si="0"/>
        <v>44.444444444444443</v>
      </c>
      <c r="G51" s="770"/>
      <c r="H51" s="770">
        <v>0</v>
      </c>
      <c r="I51" s="105">
        <f t="shared" si="1"/>
        <v>0</v>
      </c>
      <c r="J51" s="770"/>
      <c r="K51" s="770">
        <v>6</v>
      </c>
      <c r="L51" s="105">
        <f t="shared" si="2"/>
        <v>33.333333333333329</v>
      </c>
      <c r="M51" s="770"/>
      <c r="N51" s="770">
        <v>4</v>
      </c>
      <c r="O51" s="105">
        <f t="shared" si="3"/>
        <v>22.222222222222221</v>
      </c>
      <c r="P51" s="770"/>
      <c r="Q51" s="770">
        <v>0</v>
      </c>
      <c r="R51" s="105">
        <f t="shared" si="4"/>
        <v>0</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53</v>
      </c>
      <c r="C53" s="139">
        <f t="shared" si="6"/>
        <v>2.82064928153273</v>
      </c>
      <c r="E53" s="770">
        <v>6</v>
      </c>
      <c r="F53" s="105">
        <f t="shared" si="0"/>
        <v>11.320754716981133</v>
      </c>
      <c r="G53" s="770"/>
      <c r="H53" s="770">
        <v>2</v>
      </c>
      <c r="I53" s="105">
        <f t="shared" si="1"/>
        <v>3.7735849056603774</v>
      </c>
      <c r="J53" s="770"/>
      <c r="K53" s="770">
        <v>17</v>
      </c>
      <c r="L53" s="105">
        <f t="shared" si="2"/>
        <v>32.075471698113205</v>
      </c>
      <c r="M53" s="770"/>
      <c r="N53" s="770">
        <v>20</v>
      </c>
      <c r="O53" s="105">
        <f t="shared" si="3"/>
        <v>37.735849056603776</v>
      </c>
      <c r="P53" s="770"/>
      <c r="Q53" s="770">
        <v>8</v>
      </c>
      <c r="R53" s="105">
        <f t="shared" si="4"/>
        <v>15.09433962264151</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82</v>
      </c>
      <c r="C55" s="139">
        <f t="shared" si="6"/>
        <v>4.3640234167110163</v>
      </c>
      <c r="E55" s="140">
        <f>SUM(E56:E60)</f>
        <v>46</v>
      </c>
      <c r="F55" s="105">
        <f t="shared" si="0"/>
        <v>56.09756097560976</v>
      </c>
      <c r="H55" s="140">
        <f>SUM(H56:H60)</f>
        <v>6</v>
      </c>
      <c r="I55" s="105">
        <f t="shared" si="1"/>
        <v>7.3170731707317067</v>
      </c>
      <c r="K55" s="140">
        <f>SUM(K56:K60)</f>
        <v>20</v>
      </c>
      <c r="L55" s="105">
        <f t="shared" si="2"/>
        <v>24.390243902439025</v>
      </c>
      <c r="M55" s="116"/>
      <c r="N55" s="140">
        <f>SUM(N56:N60)</f>
        <v>9</v>
      </c>
      <c r="O55" s="105">
        <f t="shared" si="3"/>
        <v>10.975609756097562</v>
      </c>
      <c r="P55" s="135"/>
      <c r="Q55" s="140">
        <f>SUM(Q56:Q60)</f>
        <v>1</v>
      </c>
      <c r="R55" s="105">
        <f t="shared" si="4"/>
        <v>1.2195121951219512</v>
      </c>
      <c r="S55" s="135"/>
    </row>
    <row r="56" spans="1:19" ht="13.25" customHeight="1">
      <c r="A56" s="95" t="s">
        <v>194</v>
      </c>
      <c r="B56" s="138">
        <f t="shared" si="5"/>
        <v>12</v>
      </c>
      <c r="C56" s="139">
        <f t="shared" si="6"/>
        <v>0.63863757317722192</v>
      </c>
      <c r="E56" s="770">
        <v>3</v>
      </c>
      <c r="F56" s="105">
        <f t="shared" si="0"/>
        <v>25</v>
      </c>
      <c r="G56" s="770"/>
      <c r="H56" s="770">
        <v>2</v>
      </c>
      <c r="I56" s="105">
        <f t="shared" si="1"/>
        <v>16.666666666666664</v>
      </c>
      <c r="J56" s="770"/>
      <c r="K56" s="770">
        <v>4</v>
      </c>
      <c r="L56" s="105">
        <f t="shared" si="2"/>
        <v>33.333333333333329</v>
      </c>
      <c r="M56" s="770"/>
      <c r="N56" s="770">
        <v>3</v>
      </c>
      <c r="O56" s="105">
        <f t="shared" si="3"/>
        <v>25</v>
      </c>
      <c r="P56" s="770"/>
      <c r="Q56" s="770">
        <v>0</v>
      </c>
      <c r="R56" s="105">
        <f t="shared" si="4"/>
        <v>0</v>
      </c>
      <c r="S56" s="135"/>
    </row>
    <row r="57" spans="1:19" ht="13.25" customHeight="1">
      <c r="A57" s="95" t="s">
        <v>195</v>
      </c>
      <c r="B57" s="138">
        <f t="shared" si="5"/>
        <v>23</v>
      </c>
      <c r="C57" s="139">
        <f t="shared" si="6"/>
        <v>1.2240553485896752</v>
      </c>
      <c r="E57" s="770">
        <v>12</v>
      </c>
      <c r="F57" s="105">
        <f t="shared" si="0"/>
        <v>52.173913043478258</v>
      </c>
      <c r="G57" s="770"/>
      <c r="H57" s="770">
        <v>1</v>
      </c>
      <c r="I57" s="105">
        <f t="shared" si="1"/>
        <v>4.3478260869565215</v>
      </c>
      <c r="J57" s="770"/>
      <c r="K57" s="770">
        <v>7</v>
      </c>
      <c r="L57" s="105">
        <f t="shared" si="2"/>
        <v>30.434782608695656</v>
      </c>
      <c r="M57" s="770"/>
      <c r="N57" s="770">
        <v>3</v>
      </c>
      <c r="O57" s="105">
        <f t="shared" si="3"/>
        <v>13.043478260869565</v>
      </c>
      <c r="P57" s="770"/>
      <c r="Q57" s="770">
        <v>0</v>
      </c>
      <c r="R57" s="105">
        <f t="shared" si="4"/>
        <v>0</v>
      </c>
      <c r="S57" s="135"/>
    </row>
    <row r="58" spans="1:19" ht="13.25" customHeight="1">
      <c r="A58" s="95" t="s">
        <v>196</v>
      </c>
      <c r="B58" s="138">
        <f t="shared" si="5"/>
        <v>19</v>
      </c>
      <c r="C58" s="139">
        <f t="shared" si="6"/>
        <v>1.0111761575306013</v>
      </c>
      <c r="E58" s="770">
        <v>10</v>
      </c>
      <c r="F58" s="105">
        <f t="shared" si="0"/>
        <v>52.631578947368418</v>
      </c>
      <c r="G58" s="770"/>
      <c r="H58" s="770">
        <v>3</v>
      </c>
      <c r="I58" s="105">
        <f t="shared" si="1"/>
        <v>15.789473684210526</v>
      </c>
      <c r="J58" s="770"/>
      <c r="K58" s="770">
        <v>4</v>
      </c>
      <c r="L58" s="105">
        <f t="shared" si="2"/>
        <v>21.052631578947366</v>
      </c>
      <c r="M58" s="770"/>
      <c r="N58" s="770">
        <v>2</v>
      </c>
      <c r="O58" s="105">
        <f t="shared" si="3"/>
        <v>10.526315789473683</v>
      </c>
      <c r="P58" s="770"/>
      <c r="Q58" s="770">
        <v>0</v>
      </c>
      <c r="R58" s="105">
        <f t="shared" si="4"/>
        <v>0</v>
      </c>
      <c r="S58" s="135"/>
    </row>
    <row r="59" spans="1:19" ht="13.25" customHeight="1">
      <c r="A59" s="95" t="s">
        <v>409</v>
      </c>
      <c r="B59" s="138">
        <f t="shared" si="5"/>
        <v>12</v>
      </c>
      <c r="C59" s="139">
        <f t="shared" si="6"/>
        <v>0.63863757317722192</v>
      </c>
      <c r="E59" s="770">
        <v>10</v>
      </c>
      <c r="F59" s="105">
        <f t="shared" si="0"/>
        <v>83.333333333333343</v>
      </c>
      <c r="G59" s="770"/>
      <c r="H59" s="770">
        <v>0</v>
      </c>
      <c r="I59" s="105">
        <f t="shared" si="1"/>
        <v>0</v>
      </c>
      <c r="J59" s="770"/>
      <c r="K59" s="770">
        <v>2</v>
      </c>
      <c r="L59" s="105">
        <f t="shared" si="2"/>
        <v>16.666666666666664</v>
      </c>
      <c r="M59" s="770"/>
      <c r="N59" s="770">
        <v>0</v>
      </c>
      <c r="O59" s="105">
        <f t="shared" si="3"/>
        <v>0</v>
      </c>
      <c r="P59" s="770"/>
      <c r="Q59" s="770">
        <v>0</v>
      </c>
      <c r="R59" s="105">
        <f t="shared" si="4"/>
        <v>0</v>
      </c>
      <c r="S59" s="135"/>
    </row>
    <row r="60" spans="1:19" ht="12" customHeight="1">
      <c r="A60" s="95" t="s">
        <v>198</v>
      </c>
      <c r="B60" s="138">
        <f t="shared" si="5"/>
        <v>16</v>
      </c>
      <c r="C60" s="139">
        <f t="shared" si="6"/>
        <v>0.85151676423629585</v>
      </c>
      <c r="E60" s="770">
        <v>11</v>
      </c>
      <c r="F60" s="105">
        <f t="shared" si="0"/>
        <v>68.75</v>
      </c>
      <c r="G60" s="770"/>
      <c r="H60" s="770">
        <v>0</v>
      </c>
      <c r="I60" s="105">
        <f t="shared" si="1"/>
        <v>0</v>
      </c>
      <c r="J60" s="770"/>
      <c r="K60" s="770">
        <v>3</v>
      </c>
      <c r="L60" s="105">
        <f t="shared" si="2"/>
        <v>18.75</v>
      </c>
      <c r="M60" s="770"/>
      <c r="N60" s="770">
        <v>1</v>
      </c>
      <c r="O60" s="105">
        <f t="shared" si="3"/>
        <v>6.25</v>
      </c>
      <c r="P60" s="770"/>
      <c r="Q60" s="770">
        <v>1</v>
      </c>
      <c r="R60" s="105">
        <f t="shared" si="4"/>
        <v>6.25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513</v>
      </c>
      <c r="C62" s="139">
        <f t="shared" si="6"/>
        <v>27.301756253326236</v>
      </c>
      <c r="E62" s="140">
        <f>E63+E65+E72+E74</f>
        <v>125</v>
      </c>
      <c r="F62" s="105">
        <f t="shared" si="0"/>
        <v>24.366471734892787</v>
      </c>
      <c r="H62" s="140">
        <f>H63+H65+H72+H74</f>
        <v>5</v>
      </c>
      <c r="I62" s="105">
        <f t="shared" si="1"/>
        <v>0.97465886939571145</v>
      </c>
      <c r="K62" s="140">
        <f>K63+K65+K72+K74</f>
        <v>50</v>
      </c>
      <c r="L62" s="105">
        <f t="shared" si="2"/>
        <v>9.7465886939571149</v>
      </c>
      <c r="M62" s="116"/>
      <c r="N62" s="140">
        <f>N63+N65+N72+N74</f>
        <v>148</v>
      </c>
      <c r="O62" s="105">
        <f t="shared" si="3"/>
        <v>28.84990253411306</v>
      </c>
      <c r="P62" s="135"/>
      <c r="Q62" s="140">
        <f>Q63+Q65+Q72+Q74</f>
        <v>185</v>
      </c>
      <c r="R62" s="105">
        <f t="shared" si="4"/>
        <v>36.06237816764132</v>
      </c>
      <c r="S62" s="135"/>
    </row>
    <row r="63" spans="1:19" ht="12" customHeight="1">
      <c r="A63" s="95" t="s">
        <v>411</v>
      </c>
      <c r="B63" s="138">
        <f t="shared" si="5"/>
        <v>25</v>
      </c>
      <c r="C63" s="139">
        <f t="shared" si="6"/>
        <v>1.3304949441192122</v>
      </c>
      <c r="E63" s="770">
        <v>21</v>
      </c>
      <c r="F63" s="105">
        <f t="shared" si="0"/>
        <v>84</v>
      </c>
      <c r="G63" s="770"/>
      <c r="H63" s="770">
        <v>1</v>
      </c>
      <c r="I63" s="105">
        <f t="shared" si="1"/>
        <v>4</v>
      </c>
      <c r="J63" s="770"/>
      <c r="K63" s="770">
        <v>1</v>
      </c>
      <c r="L63" s="105">
        <f t="shared" si="2"/>
        <v>4</v>
      </c>
      <c r="M63" s="770"/>
      <c r="N63" s="770">
        <v>0</v>
      </c>
      <c r="O63" s="105">
        <f t="shared" si="3"/>
        <v>0</v>
      </c>
      <c r="P63" s="770"/>
      <c r="Q63" s="770">
        <v>2</v>
      </c>
      <c r="R63" s="105">
        <f t="shared" si="4"/>
        <v>8</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384</v>
      </c>
      <c r="C65" s="139">
        <f t="shared" si="6"/>
        <v>20.436402341671101</v>
      </c>
      <c r="E65" s="140">
        <f>SUM(E66:E70)</f>
        <v>64</v>
      </c>
      <c r="F65" s="105">
        <f t="shared" si="0"/>
        <v>16.666666666666664</v>
      </c>
      <c r="H65" s="140">
        <f>SUM(H66:H70)</f>
        <v>2</v>
      </c>
      <c r="I65" s="105">
        <f t="shared" si="1"/>
        <v>0.52083333333333326</v>
      </c>
      <c r="K65" s="140">
        <f>SUM(K66:K70)</f>
        <v>24</v>
      </c>
      <c r="L65" s="105">
        <f t="shared" si="2"/>
        <v>6.25</v>
      </c>
      <c r="M65" s="116"/>
      <c r="N65" s="140">
        <f>SUM(N66:N70)</f>
        <v>121</v>
      </c>
      <c r="O65" s="105">
        <f t="shared" si="3"/>
        <v>31.510416666666668</v>
      </c>
      <c r="P65" s="135"/>
      <c r="Q65" s="140">
        <f>SUM(Q66:Q70)</f>
        <v>173</v>
      </c>
      <c r="R65" s="105">
        <f t="shared" si="4"/>
        <v>45.052083333333329</v>
      </c>
      <c r="S65" s="135"/>
    </row>
    <row r="66" spans="1:19" ht="13.25" customHeight="1">
      <c r="A66" s="95" t="s">
        <v>482</v>
      </c>
      <c r="B66" s="138">
        <f t="shared" si="5"/>
        <v>304</v>
      </c>
      <c r="C66" s="139">
        <f t="shared" si="6"/>
        <v>16.178818520489621</v>
      </c>
      <c r="E66" s="770">
        <v>10</v>
      </c>
      <c r="F66" s="105">
        <f t="shared" si="0"/>
        <v>3.2894736842105261</v>
      </c>
      <c r="G66" s="770"/>
      <c r="H66" s="770">
        <v>0</v>
      </c>
      <c r="I66" s="105">
        <f t="shared" si="1"/>
        <v>0</v>
      </c>
      <c r="J66" s="770"/>
      <c r="K66" s="770">
        <v>15</v>
      </c>
      <c r="L66" s="105">
        <f t="shared" si="2"/>
        <v>4.9342105263157894</v>
      </c>
      <c r="M66" s="770"/>
      <c r="N66" s="770">
        <v>112</v>
      </c>
      <c r="O66" s="105">
        <f t="shared" si="3"/>
        <v>36.84210526315789</v>
      </c>
      <c r="P66" s="770"/>
      <c r="Q66" s="770">
        <v>167</v>
      </c>
      <c r="R66" s="105">
        <f t="shared" si="4"/>
        <v>54.934210526315788</v>
      </c>
      <c r="S66" s="135"/>
    </row>
    <row r="67" spans="1:19" ht="13.25" customHeight="1">
      <c r="A67" s="95" t="s">
        <v>204</v>
      </c>
      <c r="B67" s="138">
        <f t="shared" si="5"/>
        <v>38</v>
      </c>
      <c r="C67" s="139">
        <f t="shared" si="6"/>
        <v>2.0223523150612026</v>
      </c>
      <c r="E67" s="770">
        <v>35</v>
      </c>
      <c r="F67" s="105">
        <f t="shared" si="0"/>
        <v>92.10526315789474</v>
      </c>
      <c r="G67" s="770"/>
      <c r="H67" s="770">
        <v>1</v>
      </c>
      <c r="I67" s="105">
        <f t="shared" si="1"/>
        <v>2.6315789473684208</v>
      </c>
      <c r="J67" s="770"/>
      <c r="K67" s="770">
        <v>0</v>
      </c>
      <c r="L67" s="105">
        <f t="shared" si="2"/>
        <v>0</v>
      </c>
      <c r="M67" s="770"/>
      <c r="N67" s="770">
        <v>0</v>
      </c>
      <c r="O67" s="105">
        <f t="shared" si="3"/>
        <v>0</v>
      </c>
      <c r="P67" s="770"/>
      <c r="Q67" s="770">
        <v>2</v>
      </c>
      <c r="R67" s="105">
        <f t="shared" si="4"/>
        <v>5.2631578947368416</v>
      </c>
      <c r="S67" s="135"/>
    </row>
    <row r="68" spans="1:19" ht="13.25" customHeight="1">
      <c r="A68" s="95" t="s">
        <v>206</v>
      </c>
      <c r="B68" s="138">
        <f t="shared" si="5"/>
        <v>19</v>
      </c>
      <c r="C68" s="139">
        <f t="shared" si="6"/>
        <v>1.0111761575306013</v>
      </c>
      <c r="E68" s="770">
        <v>13</v>
      </c>
      <c r="F68" s="105">
        <f t="shared" si="0"/>
        <v>68.421052631578945</v>
      </c>
      <c r="G68" s="770"/>
      <c r="H68" s="770">
        <v>0</v>
      </c>
      <c r="I68" s="105">
        <f t="shared" si="1"/>
        <v>0</v>
      </c>
      <c r="J68" s="770"/>
      <c r="K68" s="770">
        <v>2</v>
      </c>
      <c r="L68" s="105">
        <f t="shared" si="2"/>
        <v>10.526315789473683</v>
      </c>
      <c r="M68" s="770"/>
      <c r="N68" s="770">
        <v>1</v>
      </c>
      <c r="O68" s="105">
        <f t="shared" si="3"/>
        <v>5.2631578947368416</v>
      </c>
      <c r="P68" s="770"/>
      <c r="Q68" s="770">
        <v>3</v>
      </c>
      <c r="R68" s="105">
        <f t="shared" si="4"/>
        <v>15.789473684210526</v>
      </c>
      <c r="S68" s="135"/>
    </row>
    <row r="69" spans="1:19" ht="12" customHeight="1">
      <c r="A69" s="95" t="s">
        <v>205</v>
      </c>
      <c r="B69" s="138">
        <f t="shared" si="5"/>
        <v>11</v>
      </c>
      <c r="C69" s="139">
        <f t="shared" si="6"/>
        <v>0.58541777541245343</v>
      </c>
      <c r="E69" s="770">
        <v>5</v>
      </c>
      <c r="F69" s="105">
        <f t="shared" si="0"/>
        <v>45.454545454545453</v>
      </c>
      <c r="G69" s="770"/>
      <c r="H69" s="770">
        <v>0</v>
      </c>
      <c r="I69" s="105">
        <f t="shared" si="1"/>
        <v>0</v>
      </c>
      <c r="J69" s="770"/>
      <c r="K69" s="770">
        <v>4</v>
      </c>
      <c r="L69" s="105">
        <f t="shared" si="2"/>
        <v>36.363636363636367</v>
      </c>
      <c r="M69" s="770"/>
      <c r="N69" s="770">
        <v>2</v>
      </c>
      <c r="O69" s="105">
        <f t="shared" si="3"/>
        <v>18.181818181818183</v>
      </c>
      <c r="P69" s="770"/>
      <c r="Q69" s="770">
        <v>0</v>
      </c>
      <c r="R69" s="105">
        <f t="shared" si="4"/>
        <v>0</v>
      </c>
      <c r="S69" s="135"/>
    </row>
    <row r="70" spans="1:19" ht="13.25" customHeight="1">
      <c r="A70" s="95" t="s">
        <v>207</v>
      </c>
      <c r="B70" s="138">
        <f t="shared" si="5"/>
        <v>12</v>
      </c>
      <c r="C70" s="139">
        <f t="shared" si="6"/>
        <v>0.63863757317722192</v>
      </c>
      <c r="E70" s="770">
        <v>1</v>
      </c>
      <c r="F70" s="105">
        <f t="shared" si="0"/>
        <v>8.3333333333333321</v>
      </c>
      <c r="G70" s="770"/>
      <c r="H70" s="770">
        <v>1</v>
      </c>
      <c r="I70" s="105">
        <f t="shared" si="1"/>
        <v>8.3333333333333321</v>
      </c>
      <c r="J70" s="770"/>
      <c r="K70" s="770">
        <v>3</v>
      </c>
      <c r="L70" s="105">
        <f t="shared" si="2"/>
        <v>25</v>
      </c>
      <c r="M70" s="770"/>
      <c r="N70" s="770">
        <v>6</v>
      </c>
      <c r="O70" s="105">
        <f t="shared" si="3"/>
        <v>50</v>
      </c>
      <c r="P70" s="770"/>
      <c r="Q70" s="770">
        <v>1</v>
      </c>
      <c r="R70" s="105">
        <f t="shared" si="4"/>
        <v>8.3333333333333321</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25</v>
      </c>
      <c r="C72" s="139">
        <f t="shared" si="6"/>
        <v>1.3304949441192122</v>
      </c>
      <c r="E72" s="770">
        <v>21</v>
      </c>
      <c r="F72" s="105">
        <f t="shared" si="0"/>
        <v>84</v>
      </c>
      <c r="G72" s="770"/>
      <c r="H72" s="770">
        <v>0</v>
      </c>
      <c r="I72" s="105">
        <f t="shared" si="1"/>
        <v>0</v>
      </c>
      <c r="J72" s="770"/>
      <c r="K72" s="770">
        <v>3</v>
      </c>
      <c r="L72" s="105">
        <f t="shared" si="2"/>
        <v>12</v>
      </c>
      <c r="M72" s="770"/>
      <c r="N72" s="770">
        <v>0</v>
      </c>
      <c r="O72" s="105">
        <f t="shared" si="3"/>
        <v>0</v>
      </c>
      <c r="P72" s="770"/>
      <c r="Q72" s="770">
        <v>1</v>
      </c>
      <c r="R72" s="105">
        <f t="shared" si="4"/>
        <v>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79</v>
      </c>
      <c r="C74" s="139">
        <f t="shared" si="6"/>
        <v>4.2043640234167112</v>
      </c>
      <c r="E74" s="770">
        <v>19</v>
      </c>
      <c r="F74" s="105">
        <f t="shared" si="0"/>
        <v>24.050632911392405</v>
      </c>
      <c r="G74" s="770"/>
      <c r="H74" s="770">
        <v>2</v>
      </c>
      <c r="I74" s="105">
        <f t="shared" si="1"/>
        <v>2.5316455696202533</v>
      </c>
      <c r="J74" s="770"/>
      <c r="K74" s="770">
        <v>22</v>
      </c>
      <c r="L74" s="105">
        <f t="shared" si="2"/>
        <v>27.848101265822784</v>
      </c>
      <c r="M74" s="770"/>
      <c r="N74" s="770">
        <v>27</v>
      </c>
      <c r="O74" s="105">
        <f t="shared" si="3"/>
        <v>34.177215189873415</v>
      </c>
      <c r="P74" s="770"/>
      <c r="Q74" s="770">
        <v>9</v>
      </c>
      <c r="R74" s="105">
        <f t="shared" si="4"/>
        <v>11.39240506329114</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59</v>
      </c>
      <c r="C76" s="139">
        <f t="shared" si="6"/>
        <v>3.1399680681213411</v>
      </c>
      <c r="E76" s="140">
        <f>E77</f>
        <v>47</v>
      </c>
      <c r="F76" s="105">
        <f t="shared" ref="F76:F112" si="7">IF($A76&lt;&gt;0,E76/$B76*100,"")</f>
        <v>79.66101694915254</v>
      </c>
      <c r="H76" s="140">
        <f>H77</f>
        <v>1</v>
      </c>
      <c r="I76" s="105">
        <f t="shared" ref="I76:I112" si="8">IF($A76&lt;&gt;0,H76/$B76*100,"")</f>
        <v>1.6949152542372881</v>
      </c>
      <c r="K76" s="140">
        <f>K77</f>
        <v>7</v>
      </c>
      <c r="L76" s="105">
        <f t="shared" ref="L76:L112" si="9">IF($A76&lt;&gt;0,K76/$B76*100,"")</f>
        <v>11.864406779661017</v>
      </c>
      <c r="M76" s="116"/>
      <c r="N76" s="140">
        <f>N77</f>
        <v>4</v>
      </c>
      <c r="O76" s="105">
        <f t="shared" ref="O76:O113" si="10">IF($A76&lt;&gt;0,N76/$B76*100,"")</f>
        <v>6.7796610169491522</v>
      </c>
      <c r="P76" s="135"/>
      <c r="Q76" s="140">
        <f>Q77</f>
        <v>0</v>
      </c>
      <c r="R76" s="105">
        <f t="shared" ref="R76:R112" si="11">IF($A76&lt;&gt;0,Q76/$B76*100,"")</f>
        <v>0</v>
      </c>
      <c r="S76" s="135"/>
    </row>
    <row r="77" spans="1:19" ht="13.25" customHeight="1">
      <c r="A77" s="95" t="s">
        <v>414</v>
      </c>
      <c r="B77" s="138">
        <f t="shared" si="5"/>
        <v>59</v>
      </c>
      <c r="C77" s="139">
        <f t="shared" si="6"/>
        <v>3.1399680681213411</v>
      </c>
      <c r="E77" s="140">
        <f>SUM(E78:E81)</f>
        <v>47</v>
      </c>
      <c r="F77" s="105">
        <f t="shared" si="7"/>
        <v>79.66101694915254</v>
      </c>
      <c r="H77" s="140">
        <f>SUM(H78:H81)</f>
        <v>1</v>
      </c>
      <c r="I77" s="105">
        <f t="shared" si="8"/>
        <v>1.6949152542372881</v>
      </c>
      <c r="K77" s="140">
        <f>SUM(K78:K81)</f>
        <v>7</v>
      </c>
      <c r="L77" s="105">
        <f t="shared" si="9"/>
        <v>11.864406779661017</v>
      </c>
      <c r="M77" s="116"/>
      <c r="N77" s="140">
        <f>SUM(N78:N81)</f>
        <v>4</v>
      </c>
      <c r="O77" s="105">
        <f t="shared" si="10"/>
        <v>6.7796610169491522</v>
      </c>
      <c r="P77" s="135"/>
      <c r="Q77" s="140">
        <f>SUM(Q78:Q81)</f>
        <v>0</v>
      </c>
      <c r="R77" s="105">
        <f t="shared" si="11"/>
        <v>0</v>
      </c>
      <c r="S77" s="135"/>
    </row>
    <row r="78" spans="1:19" ht="13.25" customHeight="1">
      <c r="A78" s="95" t="s">
        <v>212</v>
      </c>
      <c r="B78" s="138">
        <f t="shared" si="5"/>
        <v>13</v>
      </c>
      <c r="C78" s="139">
        <f t="shared" si="6"/>
        <v>0.6918573709419904</v>
      </c>
      <c r="E78" s="770">
        <v>10</v>
      </c>
      <c r="F78" s="105">
        <f t="shared" si="7"/>
        <v>76.923076923076934</v>
      </c>
      <c r="G78" s="770"/>
      <c r="H78" s="770">
        <v>1</v>
      </c>
      <c r="I78" s="105">
        <f t="shared" si="8"/>
        <v>7.6923076923076925</v>
      </c>
      <c r="J78" s="770"/>
      <c r="K78" s="770">
        <v>2</v>
      </c>
      <c r="L78" s="105">
        <f t="shared" si="9"/>
        <v>15.384615384615385</v>
      </c>
      <c r="M78" s="770"/>
      <c r="N78" s="770">
        <v>0</v>
      </c>
      <c r="O78" s="105">
        <f t="shared" si="10"/>
        <v>0</v>
      </c>
      <c r="P78" s="770"/>
      <c r="Q78" s="770">
        <v>0</v>
      </c>
      <c r="R78" s="105">
        <f t="shared" si="11"/>
        <v>0</v>
      </c>
      <c r="S78" s="135"/>
    </row>
    <row r="79" spans="1:19" ht="13.25" customHeight="1">
      <c r="A79" s="95" t="s">
        <v>213</v>
      </c>
      <c r="B79" s="138">
        <f t="shared" si="5"/>
        <v>24</v>
      </c>
      <c r="C79" s="139">
        <f t="shared" si="6"/>
        <v>1.2772751463544438</v>
      </c>
      <c r="E79" s="770">
        <v>20</v>
      </c>
      <c r="F79" s="105">
        <f t="shared" si="7"/>
        <v>83.333333333333343</v>
      </c>
      <c r="G79" s="770"/>
      <c r="H79" s="770">
        <v>0</v>
      </c>
      <c r="I79" s="105">
        <f t="shared" si="8"/>
        <v>0</v>
      </c>
      <c r="J79" s="770"/>
      <c r="K79" s="770">
        <v>2</v>
      </c>
      <c r="L79" s="105">
        <f t="shared" si="9"/>
        <v>8.3333333333333321</v>
      </c>
      <c r="M79" s="770"/>
      <c r="N79" s="770">
        <v>2</v>
      </c>
      <c r="O79" s="105">
        <f t="shared" si="10"/>
        <v>8.3333333333333321</v>
      </c>
      <c r="P79" s="770"/>
      <c r="Q79" s="770">
        <v>0</v>
      </c>
      <c r="R79" s="105">
        <f t="shared" si="11"/>
        <v>0</v>
      </c>
      <c r="S79" s="135"/>
    </row>
    <row r="80" spans="1:19" ht="12" customHeight="1">
      <c r="A80" s="95" t="s">
        <v>214</v>
      </c>
      <c r="B80" s="138">
        <f t="shared" ref="B80:B112" si="12">IF($A80&lt;&gt;"",E80+H80+K80+N80+Q80,"")</f>
        <v>9</v>
      </c>
      <c r="C80" s="139">
        <f t="shared" si="6"/>
        <v>0.47897817988291641</v>
      </c>
      <c r="E80" s="770">
        <v>7</v>
      </c>
      <c r="F80" s="105">
        <f t="shared" si="7"/>
        <v>77.777777777777786</v>
      </c>
      <c r="G80" s="770"/>
      <c r="H80" s="770">
        <v>0</v>
      </c>
      <c r="I80" s="105">
        <f t="shared" si="8"/>
        <v>0</v>
      </c>
      <c r="J80" s="770"/>
      <c r="K80" s="770">
        <v>2</v>
      </c>
      <c r="L80" s="105">
        <f t="shared" si="9"/>
        <v>22.222222222222221</v>
      </c>
      <c r="M80" s="770"/>
      <c r="N80" s="770">
        <v>0</v>
      </c>
      <c r="O80" s="105">
        <f t="shared" si="10"/>
        <v>0</v>
      </c>
      <c r="P80" s="770"/>
      <c r="Q80" s="770">
        <v>0</v>
      </c>
      <c r="R80" s="105">
        <f t="shared" si="11"/>
        <v>0</v>
      </c>
      <c r="S80" s="135"/>
    </row>
    <row r="81" spans="1:19" ht="13.25" customHeight="1">
      <c r="A81" s="95" t="s">
        <v>215</v>
      </c>
      <c r="B81" s="138">
        <f t="shared" si="12"/>
        <v>13</v>
      </c>
      <c r="C81" s="139">
        <f t="shared" si="6"/>
        <v>0.6918573709419904</v>
      </c>
      <c r="E81" s="770">
        <v>10</v>
      </c>
      <c r="F81" s="105">
        <f t="shared" si="7"/>
        <v>76.923076923076934</v>
      </c>
      <c r="G81" s="770"/>
      <c r="H81" s="770">
        <v>0</v>
      </c>
      <c r="I81" s="105">
        <f t="shared" si="8"/>
        <v>0</v>
      </c>
      <c r="J81" s="770"/>
      <c r="K81" s="770">
        <v>1</v>
      </c>
      <c r="L81" s="105">
        <f t="shared" si="9"/>
        <v>7.6923076923076925</v>
      </c>
      <c r="M81" s="770"/>
      <c r="N81" s="770">
        <v>2</v>
      </c>
      <c r="O81" s="105">
        <f t="shared" si="10"/>
        <v>15.384615384615385</v>
      </c>
      <c r="P81" s="770"/>
      <c r="Q81" s="770">
        <v>0</v>
      </c>
      <c r="R81" s="105">
        <f t="shared" si="11"/>
        <v>0</v>
      </c>
      <c r="S81" s="135"/>
    </row>
    <row r="82" spans="1:19" ht="11.25" customHeight="1">
      <c r="B82" s="138"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38">
        <f t="shared" si="12"/>
        <v>158</v>
      </c>
      <c r="C83" s="139">
        <f t="shared" ref="C83:C105" si="13">IF(A83&lt;&gt;0,B83/$B$11*100,"")</f>
        <v>8.4087280468334225</v>
      </c>
      <c r="E83" s="72">
        <f>SUM(E84)</f>
        <v>75</v>
      </c>
      <c r="F83" s="105">
        <f t="shared" si="7"/>
        <v>47.468354430379748</v>
      </c>
      <c r="G83" s="33"/>
      <c r="H83" s="72">
        <f>SUM(H84)</f>
        <v>5</v>
      </c>
      <c r="I83" s="105">
        <f t="shared" si="8"/>
        <v>3.1645569620253164</v>
      </c>
      <c r="J83" s="73"/>
      <c r="K83" s="72">
        <f>SUM(K84)</f>
        <v>31</v>
      </c>
      <c r="L83" s="105">
        <f t="shared" si="9"/>
        <v>19.62025316455696</v>
      </c>
      <c r="M83" s="57"/>
      <c r="N83" s="72">
        <f>SUM(N84)</f>
        <v>44</v>
      </c>
      <c r="O83" s="105">
        <f t="shared" si="10"/>
        <v>27.848101265822784</v>
      </c>
      <c r="P83" s="74"/>
      <c r="Q83" s="72">
        <f>SUM(Q84)</f>
        <v>3</v>
      </c>
      <c r="R83" s="105">
        <f t="shared" si="11"/>
        <v>1.89873417721519</v>
      </c>
      <c r="S83" s="74"/>
    </row>
    <row r="84" spans="1:19" ht="13.25" customHeight="1">
      <c r="A84" s="95" t="s">
        <v>217</v>
      </c>
      <c r="B84" s="138">
        <f t="shared" si="12"/>
        <v>158</v>
      </c>
      <c r="C84" s="139">
        <f t="shared" si="13"/>
        <v>8.4087280468334225</v>
      </c>
      <c r="E84" s="140">
        <f>SUM(E85:E93)</f>
        <v>75</v>
      </c>
      <c r="F84" s="105">
        <f t="shared" si="7"/>
        <v>47.468354430379748</v>
      </c>
      <c r="H84" s="140">
        <f>SUM(H85:H93)</f>
        <v>5</v>
      </c>
      <c r="I84" s="105">
        <f t="shared" si="8"/>
        <v>3.1645569620253164</v>
      </c>
      <c r="K84" s="140">
        <f>SUM(K85:K93)</f>
        <v>31</v>
      </c>
      <c r="L84" s="105">
        <f t="shared" si="9"/>
        <v>19.62025316455696</v>
      </c>
      <c r="M84" s="116"/>
      <c r="N84" s="140">
        <f>SUM(N85:N93)</f>
        <v>44</v>
      </c>
      <c r="O84" s="105">
        <f t="shared" si="10"/>
        <v>27.848101265822784</v>
      </c>
      <c r="P84" s="135"/>
      <c r="Q84" s="140">
        <f>SUM(Q85:Q93)</f>
        <v>3</v>
      </c>
      <c r="R84" s="105">
        <f t="shared" si="11"/>
        <v>1.89873417721519</v>
      </c>
      <c r="S84" s="135"/>
    </row>
    <row r="85" spans="1:19" ht="13.25" customHeight="1">
      <c r="A85" s="95" t="s">
        <v>415</v>
      </c>
      <c r="B85" s="138">
        <f t="shared" si="12"/>
        <v>10</v>
      </c>
      <c r="C85" s="139">
        <f t="shared" si="13"/>
        <v>0.53219797764768495</v>
      </c>
      <c r="E85" s="770">
        <v>8</v>
      </c>
      <c r="F85" s="105">
        <f t="shared" si="7"/>
        <v>80</v>
      </c>
      <c r="G85" s="770"/>
      <c r="H85" s="770">
        <v>0</v>
      </c>
      <c r="I85" s="105">
        <f t="shared" si="8"/>
        <v>0</v>
      </c>
      <c r="J85" s="770"/>
      <c r="K85" s="770">
        <v>0</v>
      </c>
      <c r="L85" s="105">
        <f t="shared" si="9"/>
        <v>0</v>
      </c>
      <c r="M85" s="770"/>
      <c r="N85" s="770">
        <v>2</v>
      </c>
      <c r="O85" s="105">
        <f t="shared" si="10"/>
        <v>20</v>
      </c>
      <c r="P85" s="770"/>
      <c r="Q85" s="770">
        <v>0</v>
      </c>
      <c r="R85" s="105">
        <f t="shared" si="11"/>
        <v>0</v>
      </c>
      <c r="S85" s="135"/>
    </row>
    <row r="86" spans="1:19" ht="13.25" customHeight="1">
      <c r="A86" s="95" t="s">
        <v>218</v>
      </c>
      <c r="B86" s="138">
        <f t="shared" si="12"/>
        <v>27</v>
      </c>
      <c r="C86" s="139">
        <f t="shared" si="13"/>
        <v>1.4369345396487492</v>
      </c>
      <c r="E86" s="770">
        <v>14</v>
      </c>
      <c r="F86" s="105">
        <f t="shared" si="7"/>
        <v>51.851851851851848</v>
      </c>
      <c r="G86" s="770"/>
      <c r="H86" s="770">
        <v>1</v>
      </c>
      <c r="I86" s="105">
        <f t="shared" si="8"/>
        <v>3.7037037037037033</v>
      </c>
      <c r="J86" s="770"/>
      <c r="K86" s="770">
        <v>6</v>
      </c>
      <c r="L86" s="105">
        <f t="shared" si="9"/>
        <v>22.222222222222221</v>
      </c>
      <c r="M86" s="770"/>
      <c r="N86" s="770">
        <v>6</v>
      </c>
      <c r="O86" s="105">
        <f t="shared" si="10"/>
        <v>22.222222222222221</v>
      </c>
      <c r="P86" s="770"/>
      <c r="Q86" s="770">
        <v>0</v>
      </c>
      <c r="R86" s="105">
        <f t="shared" si="11"/>
        <v>0</v>
      </c>
      <c r="S86" s="135"/>
    </row>
    <row r="87" spans="1:19" ht="13.25" customHeight="1">
      <c r="A87" s="95" t="s">
        <v>220</v>
      </c>
      <c r="B87" s="138">
        <f t="shared" si="12"/>
        <v>20</v>
      </c>
      <c r="C87" s="139">
        <f t="shared" si="13"/>
        <v>1.0643959552953699</v>
      </c>
      <c r="E87" s="770">
        <v>14</v>
      </c>
      <c r="F87" s="105">
        <f t="shared" si="7"/>
        <v>70</v>
      </c>
      <c r="G87" s="770"/>
      <c r="H87" s="770">
        <v>0</v>
      </c>
      <c r="I87" s="105">
        <f t="shared" si="8"/>
        <v>0</v>
      </c>
      <c r="J87" s="770"/>
      <c r="K87" s="770">
        <v>1</v>
      </c>
      <c r="L87" s="105">
        <f t="shared" si="9"/>
        <v>5</v>
      </c>
      <c r="M87" s="770"/>
      <c r="N87" s="770">
        <v>4</v>
      </c>
      <c r="O87" s="105">
        <f t="shared" si="10"/>
        <v>20</v>
      </c>
      <c r="P87" s="770"/>
      <c r="Q87" s="770">
        <v>1</v>
      </c>
      <c r="R87" s="105">
        <f t="shared" si="11"/>
        <v>5</v>
      </c>
      <c r="S87" s="135"/>
    </row>
    <row r="88" spans="1:19" ht="13.25" customHeight="1">
      <c r="A88" s="95" t="s">
        <v>222</v>
      </c>
      <c r="B88" s="138">
        <f t="shared" si="12"/>
        <v>16</v>
      </c>
      <c r="C88" s="139">
        <f t="shared" si="13"/>
        <v>0.85151676423629585</v>
      </c>
      <c r="E88" s="770">
        <v>4</v>
      </c>
      <c r="F88" s="105">
        <f t="shared" si="7"/>
        <v>25</v>
      </c>
      <c r="G88" s="770"/>
      <c r="H88" s="770">
        <v>0</v>
      </c>
      <c r="I88" s="105">
        <f t="shared" si="8"/>
        <v>0</v>
      </c>
      <c r="J88" s="770"/>
      <c r="K88" s="770">
        <v>4</v>
      </c>
      <c r="L88" s="105">
        <f t="shared" si="9"/>
        <v>25</v>
      </c>
      <c r="M88" s="770"/>
      <c r="N88" s="770">
        <v>8</v>
      </c>
      <c r="O88" s="105">
        <f t="shared" si="10"/>
        <v>50</v>
      </c>
      <c r="P88" s="770"/>
      <c r="Q88" s="770">
        <v>0</v>
      </c>
      <c r="R88" s="105">
        <f t="shared" si="11"/>
        <v>0</v>
      </c>
      <c r="S88" s="135"/>
    </row>
    <row r="89" spans="1:19" ht="13.25" customHeight="1">
      <c r="A89" s="95" t="s">
        <v>221</v>
      </c>
      <c r="B89" s="138">
        <f t="shared" si="12"/>
        <v>11</v>
      </c>
      <c r="C89" s="139">
        <f t="shared" si="13"/>
        <v>0.58541777541245343</v>
      </c>
      <c r="E89" s="770">
        <v>4</v>
      </c>
      <c r="F89" s="105">
        <f t="shared" si="7"/>
        <v>36.363636363636367</v>
      </c>
      <c r="G89" s="770"/>
      <c r="H89" s="770">
        <v>0</v>
      </c>
      <c r="I89" s="105">
        <f t="shared" si="8"/>
        <v>0</v>
      </c>
      <c r="J89" s="770"/>
      <c r="K89" s="770">
        <v>1</v>
      </c>
      <c r="L89" s="105">
        <f t="shared" si="9"/>
        <v>9.0909090909090917</v>
      </c>
      <c r="M89" s="770"/>
      <c r="N89" s="770">
        <v>5</v>
      </c>
      <c r="O89" s="105">
        <f t="shared" si="10"/>
        <v>45.454545454545453</v>
      </c>
      <c r="P89" s="770"/>
      <c r="Q89" s="770">
        <v>1</v>
      </c>
      <c r="R89" s="105">
        <f t="shared" si="11"/>
        <v>9.0909090909090917</v>
      </c>
      <c r="S89" s="135"/>
    </row>
    <row r="90" spans="1:19" ht="13.25" customHeight="1">
      <c r="A90" s="95" t="s">
        <v>219</v>
      </c>
      <c r="B90" s="138">
        <f t="shared" si="12"/>
        <v>11</v>
      </c>
      <c r="C90" s="139">
        <f t="shared" si="13"/>
        <v>0.58541777541245343</v>
      </c>
      <c r="E90" s="770">
        <v>4</v>
      </c>
      <c r="F90" s="105">
        <f t="shared" si="7"/>
        <v>36.363636363636367</v>
      </c>
      <c r="G90" s="770"/>
      <c r="H90" s="770">
        <v>1</v>
      </c>
      <c r="I90" s="105">
        <f t="shared" si="8"/>
        <v>9.0909090909090917</v>
      </c>
      <c r="J90" s="770"/>
      <c r="K90" s="770">
        <v>2</v>
      </c>
      <c r="L90" s="105">
        <f t="shared" si="9"/>
        <v>18.181818181818183</v>
      </c>
      <c r="M90" s="770"/>
      <c r="N90" s="770">
        <v>4</v>
      </c>
      <c r="O90" s="105">
        <f t="shared" si="10"/>
        <v>36.363636363636367</v>
      </c>
      <c r="P90" s="770"/>
      <c r="Q90" s="770">
        <v>0</v>
      </c>
      <c r="R90" s="105">
        <f t="shared" si="11"/>
        <v>0</v>
      </c>
      <c r="S90" s="135"/>
    </row>
    <row r="91" spans="1:19" ht="13.25" customHeight="1">
      <c r="A91" s="95" t="s">
        <v>223</v>
      </c>
      <c r="B91" s="138">
        <f t="shared" si="12"/>
        <v>31</v>
      </c>
      <c r="C91" s="139">
        <f t="shared" si="13"/>
        <v>1.6498137307078233</v>
      </c>
      <c r="E91" s="770">
        <v>4</v>
      </c>
      <c r="F91" s="105">
        <f t="shared" si="7"/>
        <v>12.903225806451612</v>
      </c>
      <c r="G91" s="770"/>
      <c r="H91" s="770">
        <v>3</v>
      </c>
      <c r="I91" s="105">
        <f t="shared" si="8"/>
        <v>9.67741935483871</v>
      </c>
      <c r="J91" s="770"/>
      <c r="K91" s="770">
        <v>14</v>
      </c>
      <c r="L91" s="105">
        <f t="shared" si="9"/>
        <v>45.161290322580641</v>
      </c>
      <c r="M91" s="770"/>
      <c r="N91" s="770">
        <v>9</v>
      </c>
      <c r="O91" s="105">
        <f t="shared" si="10"/>
        <v>29.032258064516132</v>
      </c>
      <c r="P91" s="770"/>
      <c r="Q91" s="770">
        <v>1</v>
      </c>
      <c r="R91" s="105">
        <f t="shared" si="11"/>
        <v>3.225806451612903</v>
      </c>
      <c r="S91" s="135"/>
    </row>
    <row r="92" spans="1:19" ht="12" customHeight="1">
      <c r="A92" s="95" t="s">
        <v>226</v>
      </c>
      <c r="B92" s="138">
        <f t="shared" si="12"/>
        <v>9</v>
      </c>
      <c r="C92" s="139">
        <f t="shared" si="13"/>
        <v>0.47897817988291641</v>
      </c>
      <c r="E92" s="770">
        <v>2</v>
      </c>
      <c r="F92" s="105">
        <f t="shared" si="7"/>
        <v>22.222222222222221</v>
      </c>
      <c r="G92" s="770"/>
      <c r="H92" s="770">
        <v>0</v>
      </c>
      <c r="I92" s="105">
        <f t="shared" si="8"/>
        <v>0</v>
      </c>
      <c r="J92" s="770"/>
      <c r="K92" s="770">
        <v>1</v>
      </c>
      <c r="L92" s="105">
        <f t="shared" si="9"/>
        <v>11.111111111111111</v>
      </c>
      <c r="M92" s="770"/>
      <c r="N92" s="770">
        <v>6</v>
      </c>
      <c r="O92" s="105">
        <f t="shared" si="10"/>
        <v>66.666666666666657</v>
      </c>
      <c r="P92" s="770"/>
      <c r="Q92" s="770">
        <v>0</v>
      </c>
      <c r="R92" s="105">
        <f t="shared" si="11"/>
        <v>0</v>
      </c>
      <c r="S92" s="135"/>
    </row>
    <row r="93" spans="1:19" ht="13.25" customHeight="1">
      <c r="A93" s="95" t="s">
        <v>416</v>
      </c>
      <c r="B93" s="138">
        <f t="shared" si="12"/>
        <v>23</v>
      </c>
      <c r="C93" s="139">
        <f t="shared" si="13"/>
        <v>1.2240553485896752</v>
      </c>
      <c r="E93" s="770">
        <v>21</v>
      </c>
      <c r="F93" s="105">
        <f t="shared" si="7"/>
        <v>91.304347826086953</v>
      </c>
      <c r="G93" s="770"/>
      <c r="H93" s="770">
        <v>0</v>
      </c>
      <c r="I93" s="105">
        <f t="shared" si="8"/>
        <v>0</v>
      </c>
      <c r="J93" s="770"/>
      <c r="K93" s="770">
        <v>2</v>
      </c>
      <c r="L93" s="105">
        <f t="shared" si="9"/>
        <v>8.695652173913043</v>
      </c>
      <c r="M93" s="770"/>
      <c r="N93" s="770">
        <v>0</v>
      </c>
      <c r="O93" s="105">
        <f t="shared" si="10"/>
        <v>0</v>
      </c>
      <c r="P93" s="770"/>
      <c r="Q93" s="770">
        <v>0</v>
      </c>
      <c r="R93" s="105">
        <f t="shared" si="11"/>
        <v>0</v>
      </c>
      <c r="S93" s="135"/>
    </row>
    <row r="94" spans="1:19" ht="10" customHeight="1">
      <c r="B94" s="138" t="str">
        <f t="shared" si="12"/>
        <v/>
      </c>
      <c r="C94" s="139" t="str">
        <f t="shared" si="13"/>
        <v/>
      </c>
      <c r="E94" s="116"/>
      <c r="F94" s="105" t="str">
        <f t="shared" si="7"/>
        <v/>
      </c>
      <c r="G94" s="116"/>
      <c r="H94" s="116"/>
      <c r="I94" s="105" t="str">
        <f t="shared" si="8"/>
        <v/>
      </c>
      <c r="J94" s="116"/>
      <c r="K94" s="116"/>
      <c r="L94" s="105" t="str">
        <f t="shared" si="9"/>
        <v/>
      </c>
      <c r="M94" s="116"/>
      <c r="N94" s="116"/>
      <c r="O94" s="105" t="str">
        <f t="shared" si="10"/>
        <v/>
      </c>
      <c r="P94" s="116"/>
      <c r="Q94" s="116"/>
      <c r="R94" s="105" t="str">
        <f t="shared" si="11"/>
        <v/>
      </c>
      <c r="S94" s="135"/>
    </row>
    <row r="95" spans="1:19" ht="12" customHeight="1">
      <c r="A95" s="95" t="s">
        <v>227</v>
      </c>
      <c r="B95" s="138">
        <f t="shared" si="12"/>
        <v>97</v>
      </c>
      <c r="C95" s="139">
        <f t="shared" si="13"/>
        <v>5.1623203831825437</v>
      </c>
      <c r="E95" s="770">
        <v>52</v>
      </c>
      <c r="F95" s="105">
        <f t="shared" si="7"/>
        <v>53.608247422680414</v>
      </c>
      <c r="G95" s="770"/>
      <c r="H95" s="770">
        <v>6</v>
      </c>
      <c r="I95" s="105">
        <f t="shared" si="8"/>
        <v>6.1855670103092786</v>
      </c>
      <c r="J95" s="770"/>
      <c r="K95" s="770">
        <v>24</v>
      </c>
      <c r="L95" s="105">
        <f t="shared" si="9"/>
        <v>24.742268041237114</v>
      </c>
      <c r="M95" s="770"/>
      <c r="N95" s="770">
        <v>15</v>
      </c>
      <c r="O95" s="105">
        <f t="shared" si="10"/>
        <v>15.463917525773196</v>
      </c>
      <c r="P95" s="770"/>
      <c r="Q95" s="770">
        <v>0</v>
      </c>
      <c r="R95" s="105">
        <f t="shared" si="11"/>
        <v>0</v>
      </c>
      <c r="S95" s="135"/>
    </row>
    <row r="96" spans="1:19" ht="12" hidden="1" customHeight="1">
      <c r="A96" s="33" t="s">
        <v>518</v>
      </c>
      <c r="B96" s="138">
        <f t="shared" si="12"/>
        <v>0</v>
      </c>
      <c r="C96" s="139">
        <f t="shared" si="13"/>
        <v>0</v>
      </c>
      <c r="E96" s="116"/>
      <c r="F96" s="105" t="e">
        <f t="shared" si="7"/>
        <v>#DIV/0!</v>
      </c>
      <c r="G96" s="116"/>
      <c r="H96" s="116"/>
      <c r="I96" s="105" t="e">
        <f t="shared" si="8"/>
        <v>#DIV/0!</v>
      </c>
      <c r="J96" s="116"/>
      <c r="K96" s="116"/>
      <c r="L96" s="105" t="e">
        <f t="shared" si="9"/>
        <v>#DIV/0!</v>
      </c>
      <c r="M96" s="116"/>
      <c r="N96" s="116"/>
      <c r="O96" s="105" t="e">
        <f t="shared" si="10"/>
        <v>#DIV/0!</v>
      </c>
      <c r="P96" s="116"/>
      <c r="Q96" s="116"/>
      <c r="R96" s="105" t="e">
        <f t="shared" si="11"/>
        <v>#DIV/0!</v>
      </c>
      <c r="S96" s="135"/>
    </row>
    <row r="97" spans="1:19" ht="12" hidden="1" customHeight="1">
      <c r="A97" s="33" t="s">
        <v>418</v>
      </c>
      <c r="B97" s="138">
        <f t="shared" si="12"/>
        <v>0</v>
      </c>
      <c r="C97" s="139">
        <f t="shared" si="13"/>
        <v>0</v>
      </c>
      <c r="E97" s="116">
        <v>0</v>
      </c>
      <c r="F97" s="105" t="e">
        <f t="shared" si="7"/>
        <v>#DIV/0!</v>
      </c>
      <c r="G97" s="116"/>
      <c r="H97" s="116">
        <v>0</v>
      </c>
      <c r="I97" s="105" t="e">
        <f t="shared" si="8"/>
        <v>#DIV/0!</v>
      </c>
      <c r="J97" s="116"/>
      <c r="K97" s="116"/>
      <c r="L97" s="105" t="e">
        <f t="shared" si="9"/>
        <v>#DIV/0!</v>
      </c>
      <c r="M97" s="116"/>
      <c r="N97" s="116"/>
      <c r="O97" s="105" t="e">
        <f t="shared" si="10"/>
        <v>#DIV/0!</v>
      </c>
      <c r="P97" s="116"/>
      <c r="Q97" s="116"/>
      <c r="R97" s="105" t="e">
        <f t="shared" si="11"/>
        <v>#DIV/0!</v>
      </c>
      <c r="S97" s="135"/>
    </row>
    <row r="98" spans="1:19" ht="9" customHeight="1">
      <c r="B98" s="138" t="str">
        <f t="shared" si="12"/>
        <v/>
      </c>
      <c r="C98" s="139" t="str">
        <f t="shared" si="13"/>
        <v/>
      </c>
      <c r="E98" s="116"/>
      <c r="F98" s="105" t="str">
        <f t="shared" si="7"/>
        <v/>
      </c>
      <c r="G98" s="116"/>
      <c r="H98" s="116"/>
      <c r="I98" s="105" t="str">
        <f t="shared" si="8"/>
        <v/>
      </c>
      <c r="J98" s="116"/>
      <c r="K98" s="116"/>
      <c r="L98" s="105" t="str">
        <f t="shared" si="9"/>
        <v/>
      </c>
      <c r="M98" s="116"/>
      <c r="N98" s="116"/>
      <c r="O98" s="105" t="str">
        <f t="shared" si="10"/>
        <v/>
      </c>
      <c r="P98" s="116"/>
      <c r="Q98" s="116"/>
      <c r="R98" s="105" t="str">
        <f t="shared" si="11"/>
        <v/>
      </c>
      <c r="S98" s="135"/>
    </row>
    <row r="99" spans="1:19" ht="12" customHeight="1">
      <c r="A99" s="55" t="s">
        <v>84</v>
      </c>
      <c r="B99" s="138">
        <f t="shared" si="12"/>
        <v>136</v>
      </c>
      <c r="C99" s="139">
        <f t="shared" si="13"/>
        <v>7.2378924960085147</v>
      </c>
      <c r="E99" s="155">
        <f>SUM(E101:E105)</f>
        <v>68</v>
      </c>
      <c r="F99" s="105">
        <f t="shared" si="7"/>
        <v>50</v>
      </c>
      <c r="G99" s="111"/>
      <c r="H99" s="155">
        <f>SUM(H101:H105)</f>
        <v>6</v>
      </c>
      <c r="I99" s="105">
        <f t="shared" si="8"/>
        <v>4.4117647058823533</v>
      </c>
      <c r="J99" s="139"/>
      <c r="K99" s="155">
        <f>SUM(K101:K105)</f>
        <v>43</v>
      </c>
      <c r="L99" s="105">
        <f t="shared" si="9"/>
        <v>31.617647058823529</v>
      </c>
      <c r="M99" s="121"/>
      <c r="N99" s="155">
        <f>SUM(N101:N105)</f>
        <v>17</v>
      </c>
      <c r="O99" s="105">
        <f t="shared" si="10"/>
        <v>12.5</v>
      </c>
      <c r="P99" s="146"/>
      <c r="Q99" s="155">
        <f>SUM(Q101:Q105)</f>
        <v>2</v>
      </c>
      <c r="R99" s="105">
        <f t="shared" si="11"/>
        <v>1.4705882352941175</v>
      </c>
      <c r="S99" s="135"/>
    </row>
    <row r="100" spans="1:19" ht="10.5" customHeight="1">
      <c r="B100" s="138" t="str">
        <f t="shared" si="12"/>
        <v/>
      </c>
      <c r="C100" s="139" t="str">
        <f t="shared" si="13"/>
        <v/>
      </c>
      <c r="E100" s="155"/>
      <c r="F100" s="105" t="str">
        <f t="shared" si="7"/>
        <v/>
      </c>
      <c r="G100" s="111"/>
      <c r="H100" s="155"/>
      <c r="I100" s="105" t="str">
        <f t="shared" si="8"/>
        <v/>
      </c>
      <c r="J100" s="139"/>
      <c r="K100" s="155"/>
      <c r="L100" s="105" t="str">
        <f t="shared" si="9"/>
        <v/>
      </c>
      <c r="M100" s="121"/>
      <c r="N100" s="155"/>
      <c r="O100" s="105" t="str">
        <f t="shared" si="10"/>
        <v/>
      </c>
      <c r="P100" s="146"/>
      <c r="Q100" s="155"/>
      <c r="R100" s="105" t="str">
        <f t="shared" si="11"/>
        <v/>
      </c>
      <c r="S100" s="135"/>
    </row>
    <row r="101" spans="1:19" ht="12" customHeight="1">
      <c r="A101" s="95" t="s">
        <v>485</v>
      </c>
      <c r="B101" s="138">
        <f t="shared" si="12"/>
        <v>54</v>
      </c>
      <c r="C101" s="139">
        <f t="shared" si="13"/>
        <v>2.8738690792974984</v>
      </c>
      <c r="E101" s="770">
        <v>20</v>
      </c>
      <c r="F101" s="105">
        <f t="shared" si="7"/>
        <v>37.037037037037038</v>
      </c>
      <c r="G101" s="770"/>
      <c r="H101" s="770">
        <v>4</v>
      </c>
      <c r="I101" s="105">
        <f t="shared" si="8"/>
        <v>7.4074074074074066</v>
      </c>
      <c r="J101" s="770"/>
      <c r="K101" s="770">
        <v>19</v>
      </c>
      <c r="L101" s="105">
        <f t="shared" si="9"/>
        <v>35.185185185185183</v>
      </c>
      <c r="M101" s="770"/>
      <c r="N101" s="770">
        <v>10</v>
      </c>
      <c r="O101" s="105">
        <f t="shared" si="10"/>
        <v>18.518518518518519</v>
      </c>
      <c r="P101" s="770"/>
      <c r="Q101" s="770">
        <v>1</v>
      </c>
      <c r="R101" s="105">
        <f t="shared" si="11"/>
        <v>1.8518518518518516</v>
      </c>
      <c r="S101" s="135"/>
    </row>
    <row r="102" spans="1:19" ht="12" customHeight="1">
      <c r="A102" s="95" t="s">
        <v>486</v>
      </c>
      <c r="B102" s="138">
        <f t="shared" si="12"/>
        <v>67</v>
      </c>
      <c r="C102" s="139">
        <f t="shared" si="13"/>
        <v>3.565726450239489</v>
      </c>
      <c r="E102" s="770">
        <v>37</v>
      </c>
      <c r="F102" s="105">
        <f t="shared" si="7"/>
        <v>55.223880597014926</v>
      </c>
      <c r="G102" s="770"/>
      <c r="H102" s="770">
        <v>1</v>
      </c>
      <c r="I102" s="105">
        <f t="shared" si="8"/>
        <v>1.4925373134328357</v>
      </c>
      <c r="J102" s="770"/>
      <c r="K102" s="770">
        <v>23</v>
      </c>
      <c r="L102" s="105">
        <f t="shared" si="9"/>
        <v>34.328358208955223</v>
      </c>
      <c r="M102" s="770"/>
      <c r="N102" s="770">
        <v>5</v>
      </c>
      <c r="O102" s="105">
        <f t="shared" si="10"/>
        <v>7.4626865671641784</v>
      </c>
      <c r="P102" s="770"/>
      <c r="Q102" s="770">
        <v>1</v>
      </c>
      <c r="R102" s="105">
        <f t="shared" si="11"/>
        <v>1.4925373134328357</v>
      </c>
      <c r="S102" s="135"/>
    </row>
    <row r="103" spans="1:19" ht="12" customHeight="1">
      <c r="A103" s="95" t="s">
        <v>487</v>
      </c>
      <c r="B103" s="138">
        <f t="shared" si="12"/>
        <v>14</v>
      </c>
      <c r="C103" s="139">
        <f t="shared" si="13"/>
        <v>0.74507716870675889</v>
      </c>
      <c r="E103" s="770">
        <v>11</v>
      </c>
      <c r="F103" s="105">
        <f t="shared" si="7"/>
        <v>78.571428571428569</v>
      </c>
      <c r="G103" s="770"/>
      <c r="H103" s="770">
        <v>1</v>
      </c>
      <c r="I103" s="105">
        <f t="shared" si="8"/>
        <v>7.1428571428571423</v>
      </c>
      <c r="J103" s="770"/>
      <c r="K103" s="770">
        <v>1</v>
      </c>
      <c r="L103" s="105">
        <f t="shared" si="9"/>
        <v>7.1428571428571423</v>
      </c>
      <c r="M103" s="770"/>
      <c r="N103" s="770">
        <v>1</v>
      </c>
      <c r="O103" s="105">
        <f t="shared" si="10"/>
        <v>7.1428571428571423</v>
      </c>
      <c r="P103" s="770"/>
      <c r="Q103" s="770">
        <v>0</v>
      </c>
      <c r="R103" s="105">
        <f t="shared" si="11"/>
        <v>0</v>
      </c>
      <c r="S103" s="135"/>
    </row>
    <row r="104" spans="1:19" ht="12" customHeight="1">
      <c r="B104" s="138" t="str">
        <f t="shared" si="12"/>
        <v/>
      </c>
      <c r="C104" s="139" t="str">
        <f t="shared" si="13"/>
        <v/>
      </c>
      <c r="E104" s="95"/>
      <c r="F104" s="105" t="str">
        <f t="shared" si="7"/>
        <v/>
      </c>
      <c r="H104" s="95"/>
      <c r="I104" s="105" t="str">
        <f t="shared" si="8"/>
        <v/>
      </c>
      <c r="J104" s="95"/>
      <c r="K104" s="95"/>
      <c r="L104" s="105" t="str">
        <f t="shared" si="9"/>
        <v/>
      </c>
      <c r="N104" s="95"/>
      <c r="O104" s="105" t="str">
        <f t="shared" si="10"/>
        <v/>
      </c>
      <c r="R104" s="105" t="str">
        <f t="shared" si="11"/>
        <v/>
      </c>
      <c r="S104" s="135"/>
    </row>
    <row r="105" spans="1:19" ht="12" customHeight="1">
      <c r="A105" s="95" t="s">
        <v>503</v>
      </c>
      <c r="B105" s="138">
        <f t="shared" si="12"/>
        <v>1</v>
      </c>
      <c r="C105" s="139">
        <f t="shared" si="13"/>
        <v>5.3219797764768491E-2</v>
      </c>
      <c r="E105" s="95">
        <v>0</v>
      </c>
      <c r="F105" s="105">
        <f t="shared" si="7"/>
        <v>0</v>
      </c>
      <c r="H105" s="95">
        <v>0</v>
      </c>
      <c r="I105" s="105">
        <f t="shared" si="8"/>
        <v>0</v>
      </c>
      <c r="J105" s="95"/>
      <c r="K105" s="95">
        <v>0</v>
      </c>
      <c r="L105" s="105">
        <f t="shared" si="9"/>
        <v>0</v>
      </c>
      <c r="N105" s="771">
        <v>1</v>
      </c>
      <c r="O105" s="105">
        <f t="shared" si="10"/>
        <v>100</v>
      </c>
      <c r="Q105" s="95">
        <v>0</v>
      </c>
      <c r="R105" s="105">
        <f t="shared" si="11"/>
        <v>0</v>
      </c>
      <c r="S105" s="135"/>
    </row>
    <row r="106" spans="1:19" ht="9.75" customHeight="1">
      <c r="B106" s="138" t="str">
        <f t="shared" si="12"/>
        <v/>
      </c>
      <c r="F106" s="105" t="str">
        <f t="shared" si="7"/>
        <v/>
      </c>
      <c r="I106" s="105" t="str">
        <f t="shared" si="8"/>
        <v/>
      </c>
      <c r="L106" s="105" t="str">
        <f t="shared" si="9"/>
        <v/>
      </c>
      <c r="M106" s="116"/>
      <c r="O106" s="105" t="str">
        <f t="shared" si="10"/>
        <v/>
      </c>
      <c r="P106" s="135"/>
      <c r="Q106" s="140"/>
      <c r="R106" s="105" t="str">
        <f t="shared" si="11"/>
        <v/>
      </c>
      <c r="S106" s="135"/>
    </row>
    <row r="107" spans="1:19" ht="12" customHeight="1">
      <c r="A107" s="55" t="s">
        <v>423</v>
      </c>
      <c r="B107" s="138">
        <f t="shared" si="12"/>
        <v>198</v>
      </c>
      <c r="C107" s="139">
        <f t="shared" ref="C107:C112" si="14">IF(A107&lt;&gt;0,B107/$B$11*100,"")</f>
        <v>10.537519957424161</v>
      </c>
      <c r="E107" s="140">
        <f>SUM(E108:E112)</f>
        <v>119</v>
      </c>
      <c r="F107" s="105">
        <f t="shared" si="7"/>
        <v>60.101010101010097</v>
      </c>
      <c r="H107" s="140">
        <f>SUM(H108:H112)</f>
        <v>4</v>
      </c>
      <c r="I107" s="105">
        <f t="shared" si="8"/>
        <v>2.0202020202020203</v>
      </c>
      <c r="K107" s="140">
        <f>SUM(K108:K112)</f>
        <v>53</v>
      </c>
      <c r="L107" s="105">
        <f t="shared" si="9"/>
        <v>26.767676767676768</v>
      </c>
      <c r="M107" s="116"/>
      <c r="N107" s="140">
        <f>SUM(N108:N112)</f>
        <v>17</v>
      </c>
      <c r="O107" s="105">
        <f t="shared" si="10"/>
        <v>8.5858585858585847</v>
      </c>
      <c r="P107" s="135"/>
      <c r="Q107" s="140">
        <f>SUM(Q108:Q112)</f>
        <v>5</v>
      </c>
      <c r="R107" s="105">
        <f t="shared" si="11"/>
        <v>2.5252525252525251</v>
      </c>
      <c r="S107" s="135"/>
    </row>
    <row r="108" spans="1:19" ht="12" customHeight="1">
      <c r="A108" s="95" t="s">
        <v>424</v>
      </c>
      <c r="B108" s="138">
        <f t="shared" si="12"/>
        <v>82</v>
      </c>
      <c r="C108" s="139">
        <f t="shared" si="14"/>
        <v>4.3640234167110163</v>
      </c>
      <c r="E108" s="770">
        <v>58</v>
      </c>
      <c r="F108" s="105">
        <f t="shared" si="7"/>
        <v>70.731707317073173</v>
      </c>
      <c r="G108" s="770"/>
      <c r="H108" s="770">
        <v>2</v>
      </c>
      <c r="I108" s="105">
        <f t="shared" si="8"/>
        <v>2.4390243902439024</v>
      </c>
      <c r="J108" s="770"/>
      <c r="K108" s="770">
        <v>13</v>
      </c>
      <c r="L108" s="105">
        <f t="shared" si="9"/>
        <v>15.853658536585366</v>
      </c>
      <c r="M108" s="770"/>
      <c r="N108" s="770">
        <v>5</v>
      </c>
      <c r="O108" s="105">
        <f t="shared" si="10"/>
        <v>6.0975609756097562</v>
      </c>
      <c r="P108" s="770"/>
      <c r="Q108" s="770">
        <v>4</v>
      </c>
      <c r="R108" s="105">
        <f t="shared" si="11"/>
        <v>4.8780487804878048</v>
      </c>
      <c r="S108" s="135"/>
    </row>
    <row r="109" spans="1:19" ht="12" customHeight="1">
      <c r="A109" s="95" t="s">
        <v>425</v>
      </c>
      <c r="B109" s="138">
        <f t="shared" si="12"/>
        <v>32</v>
      </c>
      <c r="C109" s="139">
        <f t="shared" si="14"/>
        <v>1.7030335284725917</v>
      </c>
      <c r="E109" s="770">
        <v>16</v>
      </c>
      <c r="F109" s="105">
        <f t="shared" si="7"/>
        <v>50</v>
      </c>
      <c r="G109" s="770"/>
      <c r="H109" s="770">
        <v>1</v>
      </c>
      <c r="I109" s="105">
        <f t="shared" si="8"/>
        <v>3.125</v>
      </c>
      <c r="J109" s="770"/>
      <c r="K109" s="770">
        <v>11</v>
      </c>
      <c r="L109" s="105">
        <f t="shared" si="9"/>
        <v>34.375</v>
      </c>
      <c r="M109" s="770"/>
      <c r="N109" s="770">
        <v>3</v>
      </c>
      <c r="O109" s="105">
        <f t="shared" si="10"/>
        <v>9.375</v>
      </c>
      <c r="P109" s="770"/>
      <c r="Q109" s="770">
        <v>1</v>
      </c>
      <c r="R109" s="105">
        <f t="shared" si="11"/>
        <v>3.125</v>
      </c>
      <c r="S109" s="135"/>
    </row>
    <row r="110" spans="1:19" ht="12" customHeight="1">
      <c r="A110" s="95" t="s">
        <v>426</v>
      </c>
      <c r="B110" s="138">
        <f t="shared" si="12"/>
        <v>30</v>
      </c>
      <c r="C110" s="139">
        <f t="shared" si="14"/>
        <v>1.5965939329430547</v>
      </c>
      <c r="E110" s="770">
        <v>17</v>
      </c>
      <c r="F110" s="105">
        <f t="shared" si="7"/>
        <v>56.666666666666664</v>
      </c>
      <c r="G110" s="770"/>
      <c r="H110" s="770">
        <v>0</v>
      </c>
      <c r="I110" s="105">
        <f t="shared" si="8"/>
        <v>0</v>
      </c>
      <c r="J110" s="770"/>
      <c r="K110" s="770">
        <v>13</v>
      </c>
      <c r="L110" s="105">
        <f t="shared" si="9"/>
        <v>43.333333333333336</v>
      </c>
      <c r="M110" s="770"/>
      <c r="N110" s="770">
        <v>0</v>
      </c>
      <c r="O110" s="105">
        <f t="shared" si="10"/>
        <v>0</v>
      </c>
      <c r="P110" s="770"/>
      <c r="Q110" s="770">
        <v>0</v>
      </c>
      <c r="R110" s="105">
        <f t="shared" si="11"/>
        <v>0</v>
      </c>
      <c r="S110" s="135"/>
    </row>
    <row r="111" spans="1:19" ht="12" customHeight="1">
      <c r="A111" s="33" t="s">
        <v>427</v>
      </c>
      <c r="B111" s="138">
        <f t="shared" si="12"/>
        <v>22</v>
      </c>
      <c r="C111" s="139">
        <f t="shared" si="14"/>
        <v>1.1708355508249069</v>
      </c>
      <c r="E111" s="770">
        <v>9</v>
      </c>
      <c r="F111" s="105">
        <f t="shared" si="7"/>
        <v>40.909090909090914</v>
      </c>
      <c r="G111" s="770"/>
      <c r="H111" s="770">
        <v>1</v>
      </c>
      <c r="I111" s="105">
        <f t="shared" si="8"/>
        <v>4.5454545454545459</v>
      </c>
      <c r="J111" s="770"/>
      <c r="K111" s="770">
        <v>10</v>
      </c>
      <c r="L111" s="105">
        <f t="shared" si="9"/>
        <v>45.454545454545453</v>
      </c>
      <c r="M111" s="770"/>
      <c r="N111" s="770">
        <v>2</v>
      </c>
      <c r="O111" s="105">
        <f t="shared" si="10"/>
        <v>9.0909090909090917</v>
      </c>
      <c r="P111" s="770"/>
      <c r="Q111" s="770">
        <v>0</v>
      </c>
      <c r="R111" s="105">
        <f t="shared" si="11"/>
        <v>0</v>
      </c>
      <c r="S111" s="135"/>
    </row>
    <row r="112" spans="1:19" ht="12" customHeight="1">
      <c r="A112" s="95" t="s">
        <v>428</v>
      </c>
      <c r="B112" s="138">
        <f t="shared" si="12"/>
        <v>32</v>
      </c>
      <c r="C112" s="139">
        <f t="shared" si="14"/>
        <v>1.7030335284725917</v>
      </c>
      <c r="E112" s="770">
        <v>19</v>
      </c>
      <c r="F112" s="105">
        <f t="shared" si="7"/>
        <v>59.375</v>
      </c>
      <c r="G112" s="770"/>
      <c r="H112" s="770">
        <v>0</v>
      </c>
      <c r="I112" s="105">
        <f t="shared" si="8"/>
        <v>0</v>
      </c>
      <c r="J112" s="770"/>
      <c r="K112" s="770">
        <v>6</v>
      </c>
      <c r="L112" s="105">
        <f t="shared" si="9"/>
        <v>18.75</v>
      </c>
      <c r="M112" s="770"/>
      <c r="N112" s="770">
        <v>7</v>
      </c>
      <c r="O112" s="105">
        <f t="shared" si="10"/>
        <v>21.875</v>
      </c>
      <c r="P112" s="770"/>
      <c r="Q112" s="770">
        <v>0</v>
      </c>
      <c r="R112" s="105">
        <f t="shared" si="11"/>
        <v>0</v>
      </c>
      <c r="S112" s="135"/>
    </row>
    <row r="113" spans="1:19" ht="10" customHeight="1" thickBot="1">
      <c r="O113" s="105" t="str">
        <f t="shared" si="10"/>
        <v/>
      </c>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c r="A115" s="121" t="s">
        <v>1858</v>
      </c>
      <c r="B115" s="145"/>
      <c r="C115" s="146"/>
      <c r="D115" s="121"/>
      <c r="E115" s="119"/>
      <c r="F115" s="146"/>
      <c r="G115" s="121"/>
      <c r="H115" s="119"/>
      <c r="I115" s="146"/>
      <c r="J115" s="146"/>
      <c r="K115" s="119"/>
      <c r="L115" s="146"/>
      <c r="M115" s="121"/>
      <c r="N115" s="119"/>
      <c r="O115" s="146"/>
      <c r="P115" s="135"/>
      <c r="Q115" s="154"/>
      <c r="R115" s="135"/>
      <c r="S115" s="135"/>
    </row>
    <row r="116" spans="1:19" ht="10.5" customHeight="1">
      <c r="A116" s="121" t="s">
        <v>519</v>
      </c>
      <c r="B116" s="145"/>
      <c r="C116" s="146"/>
      <c r="D116" s="121"/>
      <c r="E116" s="119"/>
      <c r="F116" s="146"/>
      <c r="G116" s="121"/>
      <c r="H116" s="119"/>
      <c r="I116" s="146"/>
      <c r="J116" s="146"/>
      <c r="K116" s="119"/>
      <c r="L116" s="146"/>
      <c r="M116" s="121"/>
      <c r="N116" s="119"/>
      <c r="O116" s="146"/>
      <c r="P116" s="135"/>
      <c r="Q116" s="154"/>
      <c r="R116" s="135"/>
      <c r="S116" s="135"/>
    </row>
    <row r="117" spans="1:19" ht="8.25" customHeight="1">
      <c r="A117" s="121"/>
      <c r="B117" s="145"/>
      <c r="C117" s="146"/>
      <c r="D117" s="121"/>
      <c r="E117" s="119"/>
      <c r="F117" s="146"/>
      <c r="G117" s="121"/>
      <c r="H117" s="119"/>
      <c r="I117" s="146"/>
      <c r="J117" s="146"/>
      <c r="K117" s="119"/>
      <c r="L117" s="146"/>
      <c r="M117" s="121"/>
      <c r="N117" s="119"/>
      <c r="O117" s="146"/>
    </row>
    <row r="118" spans="1:19">
      <c r="A118" s="75" t="s">
        <v>649</v>
      </c>
      <c r="B118" s="145"/>
      <c r="C118" s="146"/>
      <c r="D118" s="121"/>
      <c r="E118" s="119"/>
      <c r="F118" s="146"/>
      <c r="G118" s="121"/>
      <c r="H118" s="119"/>
      <c r="I118" s="146"/>
      <c r="J118" s="146"/>
      <c r="K118" s="119"/>
      <c r="L118" s="146"/>
      <c r="M118" s="121"/>
      <c r="N118" s="119"/>
      <c r="O118" s="146"/>
    </row>
    <row r="119" spans="1:19" ht="7.5" customHeight="1">
      <c r="A119" s="121"/>
      <c r="B119" s="145"/>
      <c r="C119" s="146"/>
      <c r="D119" s="121"/>
      <c r="E119" s="119"/>
      <c r="F119" s="146"/>
      <c r="G119" s="121"/>
      <c r="H119" s="119"/>
      <c r="I119" s="146"/>
      <c r="J119" s="146"/>
      <c r="K119" s="119"/>
      <c r="L119" s="146"/>
      <c r="M119" s="121"/>
      <c r="N119" s="119"/>
      <c r="O119" s="146"/>
    </row>
    <row r="120" spans="1:19">
      <c r="A120" s="111" t="s">
        <v>491</v>
      </c>
      <c r="D120" s="111"/>
      <c r="E120" s="155"/>
      <c r="F120" s="139"/>
      <c r="G120" s="111"/>
      <c r="H120" s="155"/>
      <c r="I120" s="139"/>
      <c r="J120" s="139"/>
      <c r="K120" s="155"/>
      <c r="L120" s="139"/>
      <c r="M120" s="111"/>
      <c r="N120" s="155"/>
      <c r="O120" s="111"/>
    </row>
    <row r="121" spans="1:19">
      <c r="A121" s="111" t="s">
        <v>471</v>
      </c>
      <c r="D121" s="111"/>
      <c r="E121" s="155"/>
      <c r="F121" s="139"/>
      <c r="G121" s="111"/>
      <c r="H121" s="155"/>
      <c r="I121" s="139"/>
      <c r="J121" s="139"/>
      <c r="K121" s="155"/>
      <c r="L121" s="139"/>
      <c r="M121" s="111"/>
      <c r="N121" s="155"/>
      <c r="O121" s="111"/>
    </row>
    <row r="123" spans="1:19">
      <c r="A123" s="75"/>
    </row>
    <row r="124" spans="1:19">
      <c r="A124" s="121"/>
    </row>
    <row r="125" spans="1:19">
      <c r="A125" s="121"/>
      <c r="B125" s="145"/>
      <c r="C125" s="146"/>
      <c r="D125" s="121"/>
      <c r="E125" s="119"/>
      <c r="F125" s="146"/>
      <c r="G125" s="121"/>
      <c r="H125" s="119"/>
      <c r="I125" s="146"/>
      <c r="J125" s="146"/>
      <c r="K125" s="119"/>
      <c r="L125" s="146"/>
      <c r="M125" s="121"/>
      <c r="N125" s="119"/>
      <c r="O125" s="146"/>
      <c r="P125" s="146"/>
      <c r="Q125" s="119"/>
      <c r="R125" s="146"/>
      <c r="S125" s="146"/>
    </row>
    <row r="126" spans="1:19">
      <c r="A126" s="121"/>
      <c r="B126" s="145"/>
      <c r="C126" s="146"/>
      <c r="D126" s="121"/>
      <c r="E126" s="119"/>
      <c r="F126" s="146"/>
      <c r="G126" s="121"/>
      <c r="H126" s="119"/>
      <c r="I126" s="146"/>
      <c r="J126" s="146"/>
      <c r="K126" s="119"/>
      <c r="L126" s="146"/>
      <c r="M126" s="121"/>
      <c r="N126" s="119"/>
      <c r="O126" s="146"/>
      <c r="P126" s="146"/>
      <c r="Q126" s="119"/>
      <c r="R126" s="146"/>
      <c r="S126" s="146"/>
    </row>
    <row r="127" spans="1:19">
      <c r="A127" s="121"/>
      <c r="B127" s="145"/>
      <c r="C127" s="146"/>
      <c r="D127" s="121"/>
      <c r="E127" s="119"/>
      <c r="F127" s="146"/>
      <c r="G127" s="121"/>
      <c r="H127" s="119"/>
      <c r="I127" s="146"/>
      <c r="J127" s="146"/>
      <c r="K127" s="119"/>
      <c r="L127" s="146"/>
      <c r="M127" s="121"/>
      <c r="N127" s="119"/>
      <c r="O127" s="146"/>
      <c r="P127" s="146"/>
      <c r="Q127" s="119"/>
      <c r="R127" s="146"/>
      <c r="S127" s="146"/>
    </row>
    <row r="128" spans="1:19">
      <c r="A128" s="121"/>
      <c r="B128" s="145"/>
      <c r="C128" s="146"/>
      <c r="D128" s="121"/>
      <c r="E128" s="119"/>
      <c r="F128" s="146"/>
      <c r="G128" s="121"/>
      <c r="H128" s="119"/>
      <c r="I128" s="146"/>
      <c r="J128" s="146"/>
      <c r="K128" s="119"/>
      <c r="L128" s="146"/>
      <c r="M128" s="121"/>
      <c r="N128" s="119"/>
      <c r="O128" s="146"/>
      <c r="P128" s="146"/>
      <c r="Q128" s="119"/>
      <c r="R128" s="146"/>
      <c r="S128" s="146"/>
    </row>
    <row r="129" spans="1:19">
      <c r="A129" s="121"/>
      <c r="B129" s="145"/>
      <c r="C129" s="146"/>
      <c r="D129" s="121"/>
      <c r="E129" s="119"/>
      <c r="F129" s="146"/>
      <c r="G129" s="121"/>
      <c r="H129" s="119"/>
      <c r="I129" s="146"/>
      <c r="J129" s="146"/>
      <c r="K129" s="119"/>
      <c r="L129" s="146"/>
      <c r="M129" s="121"/>
      <c r="N129" s="119"/>
      <c r="O129" s="146"/>
      <c r="P129" s="146"/>
      <c r="Q129" s="119"/>
      <c r="R129" s="146"/>
      <c r="S129" s="146"/>
    </row>
    <row r="130" spans="1:19">
      <c r="A130" s="121"/>
      <c r="B130" s="145"/>
      <c r="C130" s="146"/>
      <c r="D130" s="121"/>
      <c r="E130" s="119"/>
      <c r="F130" s="146"/>
      <c r="G130" s="121"/>
      <c r="H130" s="119"/>
      <c r="I130" s="146"/>
      <c r="J130" s="146"/>
      <c r="K130" s="119"/>
      <c r="L130" s="146"/>
      <c r="M130" s="121"/>
      <c r="N130" s="119"/>
      <c r="O130" s="146"/>
      <c r="P130" s="146"/>
      <c r="Q130" s="119"/>
      <c r="R130" s="146"/>
      <c r="S130" s="146"/>
    </row>
    <row r="131" spans="1:19">
      <c r="A131" s="75"/>
      <c r="B131" s="145"/>
      <c r="C131" s="146"/>
      <c r="D131" s="121"/>
      <c r="E131" s="119"/>
      <c r="F131" s="146"/>
      <c r="G131" s="121"/>
      <c r="H131" s="119"/>
      <c r="I131" s="146"/>
      <c r="J131" s="146"/>
      <c r="K131" s="119"/>
      <c r="L131" s="146"/>
      <c r="M131" s="121"/>
      <c r="N131" s="119"/>
      <c r="O131" s="146"/>
      <c r="P131" s="146"/>
      <c r="Q131" s="119"/>
      <c r="R131" s="146"/>
      <c r="S131" s="146"/>
    </row>
    <row r="132" spans="1:19">
      <c r="A132" s="121"/>
      <c r="B132" s="145"/>
      <c r="C132" s="146"/>
      <c r="D132" s="121"/>
      <c r="E132" s="119"/>
      <c r="F132" s="146"/>
      <c r="G132" s="121"/>
      <c r="H132" s="119"/>
      <c r="I132" s="146"/>
      <c r="J132" s="146"/>
      <c r="K132" s="119"/>
      <c r="L132" s="146"/>
      <c r="M132" s="121"/>
      <c r="N132" s="119"/>
      <c r="O132" s="146"/>
      <c r="P132" s="146"/>
      <c r="Q132" s="119"/>
      <c r="R132" s="146"/>
      <c r="S132" s="146"/>
    </row>
    <row r="133" spans="1:19">
      <c r="A133" s="111"/>
      <c r="D133" s="111"/>
      <c r="E133" s="155"/>
      <c r="F133" s="139"/>
      <c r="G133" s="111"/>
      <c r="H133" s="155"/>
      <c r="I133" s="139"/>
      <c r="J133" s="139"/>
      <c r="K133" s="155"/>
      <c r="L133" s="139"/>
      <c r="M133" s="111"/>
      <c r="N133" s="155"/>
      <c r="O133" s="111"/>
      <c r="P133" s="111"/>
      <c r="Q133" s="155"/>
      <c r="R133" s="111"/>
      <c r="S133" s="111"/>
    </row>
    <row r="134" spans="1:19">
      <c r="A134" s="111"/>
      <c r="D134" s="111"/>
      <c r="E134" s="155"/>
      <c r="F134" s="139"/>
      <c r="G134" s="111"/>
      <c r="H134" s="155"/>
      <c r="I134" s="139"/>
      <c r="J134" s="139"/>
      <c r="K134" s="155"/>
      <c r="L134" s="139"/>
      <c r="M134" s="111"/>
      <c r="N134" s="155"/>
      <c r="O134" s="111"/>
      <c r="P134" s="111"/>
      <c r="Q134" s="155"/>
      <c r="R134" s="111"/>
      <c r="S134" s="111"/>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123"/>
  <sheetViews>
    <sheetView topLeftCell="A64" workbookViewId="0">
      <selection activeCell="K4" sqref="K4"/>
    </sheetView>
  </sheetViews>
  <sheetFormatPr baseColWidth="10" defaultColWidth="9.1640625" defaultRowHeight="13"/>
  <cols>
    <col min="1" max="1" width="36" style="95" customWidth="1"/>
    <col min="2" max="2" width="8" style="138" customWidth="1"/>
    <col min="3" max="3" width="8.33203125" style="105" customWidth="1"/>
    <col min="4" max="4" width="2.5" style="95" customWidth="1"/>
    <col min="5" max="5" width="7.5" style="140" customWidth="1"/>
    <col min="6" max="6" width="7.832031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66406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832031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0" width="7.83203125" style="95" customWidth="1"/>
    <col min="271" max="271" width="7.66406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832031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6" width="7.83203125" style="95" customWidth="1"/>
    <col min="527" max="527" width="7.66406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832031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2" width="7.83203125" style="95" customWidth="1"/>
    <col min="783" max="783" width="7.66406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832031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8" width="7.83203125" style="95" customWidth="1"/>
    <col min="1039" max="1039" width="7.66406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832031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4" width="7.83203125" style="95" customWidth="1"/>
    <col min="1295" max="1295" width="7.66406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832031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0" width="7.83203125" style="95" customWidth="1"/>
    <col min="1551" max="1551" width="7.66406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832031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6" width="7.83203125" style="95" customWidth="1"/>
    <col min="1807" max="1807" width="7.66406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832031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2" width="7.83203125" style="95" customWidth="1"/>
    <col min="2063" max="2063" width="7.66406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832031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8" width="7.83203125" style="95" customWidth="1"/>
    <col min="2319" max="2319" width="7.66406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832031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4" width="7.83203125" style="95" customWidth="1"/>
    <col min="2575" max="2575" width="7.66406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832031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0" width="7.83203125" style="95" customWidth="1"/>
    <col min="2831" max="2831" width="7.66406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832031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6" width="7.83203125" style="95" customWidth="1"/>
    <col min="3087" max="3087" width="7.66406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832031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2" width="7.83203125" style="95" customWidth="1"/>
    <col min="3343" max="3343" width="7.66406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832031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8" width="7.83203125" style="95" customWidth="1"/>
    <col min="3599" max="3599" width="7.66406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832031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4" width="7.83203125" style="95" customWidth="1"/>
    <col min="3855" max="3855" width="7.66406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832031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0" width="7.83203125" style="95" customWidth="1"/>
    <col min="4111" max="4111" width="7.66406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832031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6" width="7.83203125" style="95" customWidth="1"/>
    <col min="4367" max="4367" width="7.66406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832031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2" width="7.83203125" style="95" customWidth="1"/>
    <col min="4623" max="4623" width="7.66406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832031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8" width="7.83203125" style="95" customWidth="1"/>
    <col min="4879" max="4879" width="7.66406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832031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4" width="7.83203125" style="95" customWidth="1"/>
    <col min="5135" max="5135" width="7.66406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832031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0" width="7.83203125" style="95" customWidth="1"/>
    <col min="5391" max="5391" width="7.66406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832031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6" width="7.83203125" style="95" customWidth="1"/>
    <col min="5647" max="5647" width="7.66406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832031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2" width="7.83203125" style="95" customWidth="1"/>
    <col min="5903" max="5903" width="7.66406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832031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8" width="7.83203125" style="95" customWidth="1"/>
    <col min="6159" max="6159" width="7.66406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832031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4" width="7.83203125" style="95" customWidth="1"/>
    <col min="6415" max="6415" width="7.66406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832031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0" width="7.83203125" style="95" customWidth="1"/>
    <col min="6671" max="6671" width="7.66406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832031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6" width="7.83203125" style="95" customWidth="1"/>
    <col min="6927" max="6927" width="7.66406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832031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2" width="7.83203125" style="95" customWidth="1"/>
    <col min="7183" max="7183" width="7.66406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832031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8" width="7.83203125" style="95" customWidth="1"/>
    <col min="7439" max="7439" width="7.66406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832031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4" width="7.83203125" style="95" customWidth="1"/>
    <col min="7695" max="7695" width="7.66406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832031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0" width="7.83203125" style="95" customWidth="1"/>
    <col min="7951" max="7951" width="7.66406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832031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6" width="7.83203125" style="95" customWidth="1"/>
    <col min="8207" max="8207" width="7.66406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832031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2" width="7.83203125" style="95" customWidth="1"/>
    <col min="8463" max="8463" width="7.66406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832031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8" width="7.83203125" style="95" customWidth="1"/>
    <col min="8719" max="8719" width="7.66406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832031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4" width="7.83203125" style="95" customWidth="1"/>
    <col min="8975" max="8975" width="7.66406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832031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0" width="7.83203125" style="95" customWidth="1"/>
    <col min="9231" max="9231" width="7.66406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832031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6" width="7.83203125" style="95" customWidth="1"/>
    <col min="9487" max="9487" width="7.66406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832031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2" width="7.83203125" style="95" customWidth="1"/>
    <col min="9743" max="9743" width="7.66406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832031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8" width="7.83203125" style="95" customWidth="1"/>
    <col min="9999" max="9999" width="7.66406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832031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4" width="7.83203125" style="95" customWidth="1"/>
    <col min="10255" max="10255" width="7.66406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832031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0" width="7.83203125" style="95" customWidth="1"/>
    <col min="10511" max="10511" width="7.66406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832031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6" width="7.83203125" style="95" customWidth="1"/>
    <col min="10767" max="10767" width="7.66406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832031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2" width="7.83203125" style="95" customWidth="1"/>
    <col min="11023" max="11023" width="7.66406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832031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8" width="7.83203125" style="95" customWidth="1"/>
    <col min="11279" max="11279" width="7.66406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832031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4" width="7.83203125" style="95" customWidth="1"/>
    <col min="11535" max="11535" width="7.66406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832031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0" width="7.83203125" style="95" customWidth="1"/>
    <col min="11791" max="11791" width="7.66406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832031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6" width="7.83203125" style="95" customWidth="1"/>
    <col min="12047" max="12047" width="7.66406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832031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2" width="7.83203125" style="95" customWidth="1"/>
    <col min="12303" max="12303" width="7.66406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832031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8" width="7.83203125" style="95" customWidth="1"/>
    <col min="12559" max="12559" width="7.66406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832031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4" width="7.83203125" style="95" customWidth="1"/>
    <col min="12815" max="12815" width="7.66406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832031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0" width="7.83203125" style="95" customWidth="1"/>
    <col min="13071" max="13071" width="7.66406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832031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6" width="7.83203125" style="95" customWidth="1"/>
    <col min="13327" max="13327" width="7.66406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832031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2" width="7.83203125" style="95" customWidth="1"/>
    <col min="13583" max="13583" width="7.66406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832031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8" width="7.83203125" style="95" customWidth="1"/>
    <col min="13839" max="13839" width="7.66406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832031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4" width="7.83203125" style="95" customWidth="1"/>
    <col min="14095" max="14095" width="7.66406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832031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0" width="7.83203125" style="95" customWidth="1"/>
    <col min="14351" max="14351" width="7.66406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832031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6" width="7.83203125" style="95" customWidth="1"/>
    <col min="14607" max="14607" width="7.66406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832031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2" width="7.83203125" style="95" customWidth="1"/>
    <col min="14863" max="14863" width="7.66406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832031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8" width="7.83203125" style="95" customWidth="1"/>
    <col min="15119" max="15119" width="7.66406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832031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4" width="7.83203125" style="95" customWidth="1"/>
    <col min="15375" max="15375" width="7.66406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832031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0" width="7.83203125" style="95" customWidth="1"/>
    <col min="15631" max="15631" width="7.66406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832031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6" width="7.83203125" style="95" customWidth="1"/>
    <col min="15887" max="15887" width="7.66406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832031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2" width="7.83203125" style="95" customWidth="1"/>
    <col min="16143" max="16143" width="7.66406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1859</v>
      </c>
      <c r="L4" s="141"/>
      <c r="O4" s="141"/>
      <c r="Q4" s="140"/>
    </row>
    <row r="5" spans="1:19" ht="10" customHeight="1" thickBot="1">
      <c r="O5" s="105"/>
      <c r="Q5" s="140"/>
      <c r="R5" s="105"/>
    </row>
    <row r="6" spans="1:19" ht="10" customHeight="1">
      <c r="A6" s="97" t="s">
        <v>472</v>
      </c>
      <c r="B6" s="142"/>
      <c r="C6" s="99"/>
      <c r="D6" s="97"/>
      <c r="E6" s="144"/>
      <c r="F6" s="99"/>
      <c r="G6" s="97"/>
      <c r="H6" s="144"/>
      <c r="I6" s="99"/>
      <c r="J6" s="99"/>
      <c r="K6" s="144"/>
      <c r="L6" s="99"/>
      <c r="M6" s="97"/>
      <c r="N6" s="144"/>
      <c r="O6" s="99"/>
      <c r="P6" s="99"/>
      <c r="Q6" s="144"/>
      <c r="R6" s="99"/>
      <c r="S6" s="99"/>
    </row>
    <row r="7" spans="1:19" ht="15" customHeight="1">
      <c r="A7" s="116" t="s">
        <v>511</v>
      </c>
      <c r="B7" s="145" t="s">
        <v>457</v>
      </c>
      <c r="C7" s="135"/>
      <c r="D7" s="116"/>
      <c r="E7" s="763"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01"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4.25" customHeight="1" thickBot="1">
      <c r="A9" s="102" t="s">
        <v>480</v>
      </c>
      <c r="B9" s="151"/>
      <c r="C9" s="96"/>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1890</v>
      </c>
      <c r="C11" s="105">
        <f>SUM(C13+C109)</f>
        <v>100</v>
      </c>
      <c r="E11" s="140">
        <f>E13+E109</f>
        <v>855</v>
      </c>
      <c r="F11" s="105">
        <f t="shared" ref="F11:F75" si="0">IF($A11&lt;&gt;0,E11/$B11*100,"")</f>
        <v>45.238095238095241</v>
      </c>
      <c r="H11" s="140">
        <f>H13+H109</f>
        <v>73</v>
      </c>
      <c r="I11" s="105">
        <f t="shared" ref="I11:I74" si="1">IF($A11&lt;&gt;0,H11/$B11*100,"")</f>
        <v>3.8624338624338623</v>
      </c>
      <c r="K11" s="140">
        <f>K13+K109</f>
        <v>377</v>
      </c>
      <c r="L11" s="105">
        <f t="shared" ref="L11:L74" si="2">IF($A11&lt;&gt;0,K11/$B11*100,"")</f>
        <v>19.947089947089946</v>
      </c>
      <c r="M11" s="116"/>
      <c r="N11" s="140">
        <f>N13+N109</f>
        <v>372</v>
      </c>
      <c r="O11" s="105">
        <f t="shared" ref="O11:O74" si="3">IF($A11&lt;&gt;0,N11/$B11*100,"")</f>
        <v>19.682539682539684</v>
      </c>
      <c r="P11" s="135"/>
      <c r="Q11" s="140">
        <f>Q13+Q109</f>
        <v>213</v>
      </c>
      <c r="R11" s="105">
        <f t="shared" ref="R11:R78" si="4">IF($A11&lt;&gt;0,Q11/$B11*100,"")</f>
        <v>11.269841269841271</v>
      </c>
      <c r="S11" s="135"/>
    </row>
    <row r="12" spans="1:19" ht="10" customHeight="1">
      <c r="B12" s="138" t="str">
        <f t="shared" ref="B12:B79" si="5">IF($A12&lt;&gt;"",E12+H12+K12+N12+Q12,"")</f>
        <v/>
      </c>
      <c r="C12" s="105"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1702</v>
      </c>
      <c r="C13" s="105">
        <f>IF(A13&lt;&gt;0,B13/$B$11*100,"")</f>
        <v>90.05291005291005</v>
      </c>
      <c r="E13" s="140">
        <f>E15+E101</f>
        <v>736</v>
      </c>
      <c r="F13" s="105">
        <f t="shared" si="0"/>
        <v>43.243243243243242</v>
      </c>
      <c r="H13" s="140">
        <f>H15+H101</f>
        <v>69</v>
      </c>
      <c r="I13" s="105">
        <f t="shared" si="1"/>
        <v>4.0540540540540544</v>
      </c>
      <c r="K13" s="140">
        <f>K15+K101</f>
        <v>331</v>
      </c>
      <c r="L13" s="105">
        <f t="shared" si="2"/>
        <v>19.447708578143359</v>
      </c>
      <c r="M13" s="116"/>
      <c r="N13" s="140">
        <f>N15+N101</f>
        <v>357</v>
      </c>
      <c r="O13" s="105">
        <f t="shared" si="3"/>
        <v>20.975323149236193</v>
      </c>
      <c r="P13" s="135"/>
      <c r="Q13" s="140">
        <f>Q15+Q101</f>
        <v>209</v>
      </c>
      <c r="R13" s="105">
        <f t="shared" si="4"/>
        <v>12.27967097532315</v>
      </c>
      <c r="S13" s="135"/>
    </row>
    <row r="14" spans="1:19" ht="9.75" customHeight="1">
      <c r="A14" s="55"/>
      <c r="B14" s="138" t="str">
        <f t="shared" si="5"/>
        <v/>
      </c>
      <c r="C14" s="105"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1560</v>
      </c>
      <c r="C15" s="105">
        <f>IF(A15&lt;&gt;0,B15/$B$11*100,"")</f>
        <v>82.539682539682531</v>
      </c>
      <c r="E15" s="140">
        <f>E17+E28+E36+E62+E76+E83+E95+E99+E96+E97</f>
        <v>667</v>
      </c>
      <c r="F15" s="105">
        <f t="shared" si="0"/>
        <v>42.756410256410255</v>
      </c>
      <c r="H15" s="140">
        <f>H17+H28+H36+H62+H76+H83+H95+H99+H96+H97</f>
        <v>61</v>
      </c>
      <c r="I15" s="105">
        <f t="shared" si="1"/>
        <v>3.9102564102564101</v>
      </c>
      <c r="K15" s="140">
        <f>K17+K28+K36+K62+K76+K83+K95+K99+K96+K97</f>
        <v>290</v>
      </c>
      <c r="L15" s="105">
        <f t="shared" si="2"/>
        <v>18.589743589743591</v>
      </c>
      <c r="M15" s="116"/>
      <c r="N15" s="140">
        <f>N17+N28+N36+N62+N76+N83+N95+N99+N96+N97</f>
        <v>335</v>
      </c>
      <c r="O15" s="105">
        <f t="shared" si="3"/>
        <v>21.474358974358974</v>
      </c>
      <c r="P15" s="135"/>
      <c r="Q15" s="140">
        <f>Q17+Q28+Q36+Q62+Q76+Q83+Q95+Q99+Q96+Q97</f>
        <v>207</v>
      </c>
      <c r="R15" s="105">
        <f t="shared" si="4"/>
        <v>13.26923076923077</v>
      </c>
      <c r="S15" s="135"/>
    </row>
    <row r="16" spans="1:19" ht="10" customHeight="1">
      <c r="B16" s="138" t="str">
        <f t="shared" si="5"/>
        <v/>
      </c>
      <c r="C16" s="105"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154</v>
      </c>
      <c r="C17" s="105">
        <f>IF(A17&lt;&gt;0,B17/$B$11*100,"")</f>
        <v>8.1481481481481488</v>
      </c>
      <c r="E17" s="140">
        <f>E18+E23</f>
        <v>92</v>
      </c>
      <c r="F17" s="105">
        <f t="shared" si="0"/>
        <v>59.740259740259738</v>
      </c>
      <c r="H17" s="140">
        <f>H18+H23</f>
        <v>11</v>
      </c>
      <c r="I17" s="105">
        <f t="shared" si="1"/>
        <v>7.1428571428571423</v>
      </c>
      <c r="K17" s="140">
        <f>K18+K23</f>
        <v>27</v>
      </c>
      <c r="L17" s="105">
        <f t="shared" si="2"/>
        <v>17.532467532467532</v>
      </c>
      <c r="M17" s="116"/>
      <c r="N17" s="140">
        <f>N18+N23</f>
        <v>21</v>
      </c>
      <c r="O17" s="105">
        <f t="shared" si="3"/>
        <v>13.636363636363635</v>
      </c>
      <c r="P17" s="135"/>
      <c r="Q17" s="140">
        <f>Q18+Q23</f>
        <v>3</v>
      </c>
      <c r="R17" s="105">
        <f t="shared" si="4"/>
        <v>1.948051948051948</v>
      </c>
      <c r="S17" s="135"/>
    </row>
    <row r="18" spans="1:19" ht="13.25" customHeight="1">
      <c r="A18" s="95" t="s">
        <v>162</v>
      </c>
      <c r="B18" s="138">
        <f t="shared" si="5"/>
        <v>59</v>
      </c>
      <c r="C18" s="105">
        <f t="shared" ref="C18:C81" si="6">IF(A18&lt;&gt;0,B18/$B$11*100,"")</f>
        <v>3.1216931216931214</v>
      </c>
      <c r="E18" s="140">
        <f>SUM(E19:E21)</f>
        <v>33</v>
      </c>
      <c r="F18" s="105">
        <f t="shared" si="0"/>
        <v>55.932203389830505</v>
      </c>
      <c r="H18" s="140">
        <f>SUM(H19:H21)</f>
        <v>4</v>
      </c>
      <c r="I18" s="105">
        <f t="shared" si="1"/>
        <v>6.7796610169491522</v>
      </c>
      <c r="K18" s="140">
        <f>SUM(K19:K21)</f>
        <v>12</v>
      </c>
      <c r="L18" s="105">
        <f t="shared" si="2"/>
        <v>20.33898305084746</v>
      </c>
      <c r="M18" s="116"/>
      <c r="N18" s="140">
        <f>SUM(N19:N21)</f>
        <v>9</v>
      </c>
      <c r="O18" s="105">
        <f t="shared" si="3"/>
        <v>15.254237288135593</v>
      </c>
      <c r="P18" s="135"/>
      <c r="Q18" s="140">
        <f>SUM(Q19:Q21)</f>
        <v>1</v>
      </c>
      <c r="R18" s="105">
        <f t="shared" si="4"/>
        <v>1.6949152542372881</v>
      </c>
      <c r="S18" s="135"/>
    </row>
    <row r="19" spans="1:19" ht="13.25" customHeight="1">
      <c r="A19" s="95" t="s">
        <v>163</v>
      </c>
      <c r="B19" s="138">
        <f>IF($A19&lt;&gt;"",E19+H19+K19+N19+Q19,"")</f>
        <v>6</v>
      </c>
      <c r="C19" s="105">
        <f t="shared" si="6"/>
        <v>0.31746031746031744</v>
      </c>
      <c r="E19" s="772">
        <v>4</v>
      </c>
      <c r="F19" s="105">
        <f t="shared" si="0"/>
        <v>66.666666666666657</v>
      </c>
      <c r="G19" s="772"/>
      <c r="H19" s="772">
        <v>1</v>
      </c>
      <c r="I19" s="105">
        <f t="shared" si="1"/>
        <v>16.666666666666664</v>
      </c>
      <c r="J19" s="772"/>
      <c r="K19" s="772">
        <v>0</v>
      </c>
      <c r="L19" s="105">
        <f t="shared" si="2"/>
        <v>0</v>
      </c>
      <c r="M19" s="772"/>
      <c r="N19" s="772">
        <v>1</v>
      </c>
      <c r="O19" s="105">
        <f t="shared" si="3"/>
        <v>16.666666666666664</v>
      </c>
      <c r="P19" s="772"/>
      <c r="Q19" s="772">
        <v>0</v>
      </c>
      <c r="R19" s="105">
        <f t="shared" si="4"/>
        <v>0</v>
      </c>
      <c r="S19" s="135"/>
    </row>
    <row r="20" spans="1:19" ht="13.25" customHeight="1">
      <c r="A20" s="95" t="s">
        <v>164</v>
      </c>
      <c r="B20" s="138">
        <f>IF($A20&lt;&gt;"",E20+H20+K20+N20+Q20,"")</f>
        <v>18</v>
      </c>
      <c r="C20" s="105">
        <f t="shared" si="6"/>
        <v>0.95238095238095244</v>
      </c>
      <c r="E20" s="772">
        <v>14</v>
      </c>
      <c r="F20" s="105">
        <f t="shared" si="0"/>
        <v>77.777777777777786</v>
      </c>
      <c r="G20" s="772"/>
      <c r="H20" s="772">
        <v>0</v>
      </c>
      <c r="I20" s="105">
        <f t="shared" si="1"/>
        <v>0</v>
      </c>
      <c r="J20" s="772"/>
      <c r="K20" s="772">
        <v>4</v>
      </c>
      <c r="L20" s="105">
        <f t="shared" si="2"/>
        <v>22.222222222222221</v>
      </c>
      <c r="M20" s="772"/>
      <c r="N20" s="772">
        <v>0</v>
      </c>
      <c r="O20" s="105">
        <f t="shared" si="3"/>
        <v>0</v>
      </c>
      <c r="P20" s="772"/>
      <c r="Q20" s="772">
        <v>0</v>
      </c>
      <c r="R20" s="105">
        <f t="shared" si="4"/>
        <v>0</v>
      </c>
      <c r="S20" s="135"/>
    </row>
    <row r="21" spans="1:19" ht="12" customHeight="1">
      <c r="A21" s="95" t="s">
        <v>165</v>
      </c>
      <c r="B21" s="138">
        <f>IF($A21&lt;&gt;"",E21+H21+K21+N21+Q21,"")</f>
        <v>35</v>
      </c>
      <c r="C21" s="105">
        <f t="shared" si="6"/>
        <v>1.8518518518518516</v>
      </c>
      <c r="E21" s="772">
        <v>15</v>
      </c>
      <c r="F21" s="105">
        <f t="shared" si="0"/>
        <v>42.857142857142854</v>
      </c>
      <c r="G21" s="772"/>
      <c r="H21" s="772">
        <v>3</v>
      </c>
      <c r="I21" s="105">
        <f t="shared" si="1"/>
        <v>8.5714285714285712</v>
      </c>
      <c r="J21" s="772"/>
      <c r="K21" s="772">
        <v>8</v>
      </c>
      <c r="L21" s="105">
        <f t="shared" si="2"/>
        <v>22.857142857142858</v>
      </c>
      <c r="M21" s="772"/>
      <c r="N21" s="772">
        <v>8</v>
      </c>
      <c r="O21" s="105">
        <f t="shared" si="3"/>
        <v>22.857142857142858</v>
      </c>
      <c r="P21" s="772"/>
      <c r="Q21" s="772">
        <v>1</v>
      </c>
      <c r="R21" s="105">
        <f t="shared" si="4"/>
        <v>2.8571428571428572</v>
      </c>
      <c r="S21" s="135"/>
    </row>
    <row r="22" spans="1:19" ht="10" customHeight="1">
      <c r="B22" s="138" t="str">
        <f t="shared" si="5"/>
        <v/>
      </c>
      <c r="C22" s="105" t="str">
        <f t="shared" si="6"/>
        <v/>
      </c>
      <c r="E22" s="121"/>
      <c r="F22" s="105" t="str">
        <f t="shared" si="0"/>
        <v/>
      </c>
      <c r="G22" s="121"/>
      <c r="H22" s="121"/>
      <c r="I22" s="105" t="str">
        <f t="shared" si="1"/>
        <v/>
      </c>
      <c r="J22" s="121"/>
      <c r="K22" s="121"/>
      <c r="L22" s="105" t="str">
        <f t="shared" si="2"/>
        <v/>
      </c>
      <c r="M22" s="121"/>
      <c r="N22" s="121"/>
      <c r="O22" s="105" t="str">
        <f t="shared" si="3"/>
        <v/>
      </c>
      <c r="P22" s="121"/>
      <c r="Q22" s="121"/>
      <c r="R22" s="105" t="str">
        <f t="shared" si="4"/>
        <v/>
      </c>
      <c r="S22" s="135"/>
    </row>
    <row r="23" spans="1:19" ht="13.25" customHeight="1">
      <c r="A23" s="95" t="s">
        <v>166</v>
      </c>
      <c r="B23" s="138">
        <f t="shared" si="5"/>
        <v>95</v>
      </c>
      <c r="C23" s="105">
        <f t="shared" si="6"/>
        <v>5.0264550264550261</v>
      </c>
      <c r="E23" s="140">
        <f>SUM(E24:E26)</f>
        <v>59</v>
      </c>
      <c r="F23" s="105">
        <f t="shared" si="0"/>
        <v>62.10526315789474</v>
      </c>
      <c r="H23" s="140">
        <f>SUM(H24:H26)</f>
        <v>7</v>
      </c>
      <c r="I23" s="105">
        <f t="shared" si="1"/>
        <v>7.3684210526315779</v>
      </c>
      <c r="K23" s="140">
        <f>SUM(K24:K26)</f>
        <v>15</v>
      </c>
      <c r="L23" s="105">
        <f t="shared" si="2"/>
        <v>15.789473684210526</v>
      </c>
      <c r="M23" s="116"/>
      <c r="N23" s="140">
        <f>SUM(N24:N26)</f>
        <v>12</v>
      </c>
      <c r="O23" s="105">
        <f t="shared" si="3"/>
        <v>12.631578947368421</v>
      </c>
      <c r="P23" s="135"/>
      <c r="Q23" s="140">
        <f>SUM(Q24:Q26)</f>
        <v>2</v>
      </c>
      <c r="R23" s="105">
        <f t="shared" si="4"/>
        <v>2.1052631578947367</v>
      </c>
      <c r="S23" s="135"/>
    </row>
    <row r="24" spans="1:19" ht="13.25" customHeight="1">
      <c r="A24" s="95" t="s">
        <v>167</v>
      </c>
      <c r="B24" s="138">
        <f t="shared" si="5"/>
        <v>24</v>
      </c>
      <c r="C24" s="105">
        <f t="shared" si="6"/>
        <v>1.2698412698412698</v>
      </c>
      <c r="E24" s="772">
        <v>17</v>
      </c>
      <c r="F24" s="105">
        <f t="shared" si="0"/>
        <v>70.833333333333343</v>
      </c>
      <c r="G24" s="772"/>
      <c r="H24" s="772">
        <v>1</v>
      </c>
      <c r="I24" s="105">
        <f t="shared" si="1"/>
        <v>4.1666666666666661</v>
      </c>
      <c r="J24" s="772"/>
      <c r="K24" s="772">
        <v>1</v>
      </c>
      <c r="L24" s="105">
        <f t="shared" si="2"/>
        <v>4.1666666666666661</v>
      </c>
      <c r="M24" s="772"/>
      <c r="N24" s="772">
        <v>4</v>
      </c>
      <c r="O24" s="105">
        <f t="shared" si="3"/>
        <v>16.666666666666664</v>
      </c>
      <c r="P24" s="772"/>
      <c r="Q24" s="772">
        <v>1</v>
      </c>
      <c r="R24" s="105">
        <f t="shared" si="4"/>
        <v>4.1666666666666661</v>
      </c>
      <c r="S24" s="135"/>
    </row>
    <row r="25" spans="1:19" ht="13.25" customHeight="1">
      <c r="A25" s="95" t="s">
        <v>168</v>
      </c>
      <c r="B25" s="138">
        <f t="shared" si="5"/>
        <v>23</v>
      </c>
      <c r="C25" s="105">
        <f t="shared" si="6"/>
        <v>1.216931216931217</v>
      </c>
      <c r="E25" s="772">
        <v>7</v>
      </c>
      <c r="F25" s="105">
        <f t="shared" si="0"/>
        <v>30.434782608695656</v>
      </c>
      <c r="G25" s="772"/>
      <c r="H25" s="772">
        <v>5</v>
      </c>
      <c r="I25" s="105">
        <f t="shared" si="1"/>
        <v>21.739130434782609</v>
      </c>
      <c r="J25" s="772"/>
      <c r="K25" s="772">
        <v>6</v>
      </c>
      <c r="L25" s="105">
        <f t="shared" si="2"/>
        <v>26.086956521739129</v>
      </c>
      <c r="M25" s="772"/>
      <c r="N25" s="772">
        <v>5</v>
      </c>
      <c r="O25" s="105">
        <f t="shared" si="3"/>
        <v>21.739130434782609</v>
      </c>
      <c r="P25" s="772"/>
      <c r="Q25" s="772">
        <v>0</v>
      </c>
      <c r="R25" s="105">
        <f t="shared" si="4"/>
        <v>0</v>
      </c>
      <c r="S25" s="135"/>
    </row>
    <row r="26" spans="1:19" ht="12" customHeight="1">
      <c r="A26" s="95" t="s">
        <v>169</v>
      </c>
      <c r="B26" s="138">
        <f t="shared" si="5"/>
        <v>48</v>
      </c>
      <c r="C26" s="105">
        <f t="shared" si="6"/>
        <v>2.5396825396825395</v>
      </c>
      <c r="E26" s="772">
        <v>35</v>
      </c>
      <c r="F26" s="105">
        <f t="shared" si="0"/>
        <v>72.916666666666657</v>
      </c>
      <c r="G26" s="772"/>
      <c r="H26" s="772">
        <v>1</v>
      </c>
      <c r="I26" s="105">
        <f t="shared" si="1"/>
        <v>2.083333333333333</v>
      </c>
      <c r="J26" s="772"/>
      <c r="K26" s="772">
        <v>8</v>
      </c>
      <c r="L26" s="105">
        <f t="shared" si="2"/>
        <v>16.666666666666664</v>
      </c>
      <c r="M26" s="772"/>
      <c r="N26" s="772">
        <v>3</v>
      </c>
      <c r="O26" s="105">
        <f t="shared" si="3"/>
        <v>6.25</v>
      </c>
      <c r="P26" s="772"/>
      <c r="Q26" s="772">
        <v>1</v>
      </c>
      <c r="R26" s="105">
        <f t="shared" si="4"/>
        <v>2.083333333333333</v>
      </c>
      <c r="S26" s="135"/>
    </row>
    <row r="27" spans="1:19" ht="10" customHeight="1">
      <c r="B27" s="138" t="str">
        <f t="shared" si="5"/>
        <v/>
      </c>
      <c r="C27" s="105"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144</v>
      </c>
      <c r="C28" s="105">
        <f t="shared" si="6"/>
        <v>7.6190476190476195</v>
      </c>
      <c r="E28" s="140">
        <f>SUM(E30:E34)</f>
        <v>119</v>
      </c>
      <c r="F28" s="105">
        <f t="shared" si="0"/>
        <v>82.638888888888886</v>
      </c>
      <c r="H28" s="140">
        <f>SUM(H30:H34)</f>
        <v>1</v>
      </c>
      <c r="I28" s="105">
        <f t="shared" si="1"/>
        <v>0.69444444444444442</v>
      </c>
      <c r="K28" s="140">
        <f>SUM(K30:K34)</f>
        <v>18</v>
      </c>
      <c r="L28" s="105">
        <f t="shared" si="2"/>
        <v>12.5</v>
      </c>
      <c r="M28" s="116"/>
      <c r="N28" s="140">
        <f>SUM(N30:N34)</f>
        <v>3</v>
      </c>
      <c r="O28" s="105">
        <f t="shared" si="3"/>
        <v>2.083333333333333</v>
      </c>
      <c r="P28" s="135"/>
      <c r="Q28" s="140">
        <f>SUM(Q29)</f>
        <v>3</v>
      </c>
      <c r="R28" s="105">
        <f t="shared" si="4"/>
        <v>2.083333333333333</v>
      </c>
      <c r="S28" s="135"/>
    </row>
    <row r="29" spans="1:19" ht="13.25" customHeight="1">
      <c r="A29" s="95" t="s">
        <v>171</v>
      </c>
      <c r="B29" s="138">
        <f t="shared" si="5"/>
        <v>144</v>
      </c>
      <c r="C29" s="105">
        <f t="shared" si="6"/>
        <v>7.6190476190476195</v>
      </c>
      <c r="E29" s="140">
        <f>SUM(E30:E34)</f>
        <v>119</v>
      </c>
      <c r="F29" s="105">
        <f t="shared" si="0"/>
        <v>82.638888888888886</v>
      </c>
      <c r="H29" s="140">
        <f>SUM(H30:H34)</f>
        <v>1</v>
      </c>
      <c r="I29" s="105">
        <f t="shared" si="1"/>
        <v>0.69444444444444442</v>
      </c>
      <c r="K29" s="140">
        <f>SUM(K30:K34)</f>
        <v>18</v>
      </c>
      <c r="L29" s="105">
        <f t="shared" si="2"/>
        <v>12.5</v>
      </c>
      <c r="M29" s="116"/>
      <c r="N29" s="140">
        <f>SUM(N30:N34)</f>
        <v>3</v>
      </c>
      <c r="O29" s="105">
        <f t="shared" si="3"/>
        <v>2.083333333333333</v>
      </c>
      <c r="P29" s="135"/>
      <c r="Q29" s="140">
        <f>SUM(Q30:Q34)</f>
        <v>3</v>
      </c>
      <c r="R29" s="105">
        <f t="shared" si="4"/>
        <v>2.083333333333333</v>
      </c>
      <c r="S29" s="135"/>
    </row>
    <row r="30" spans="1:19" ht="13.25" customHeight="1">
      <c r="A30" s="95" t="s">
        <v>172</v>
      </c>
      <c r="B30" s="138">
        <f t="shared" si="5"/>
        <v>38</v>
      </c>
      <c r="C30" s="105">
        <f t="shared" si="6"/>
        <v>2.0105820105820107</v>
      </c>
      <c r="E30" s="772">
        <v>29</v>
      </c>
      <c r="F30" s="105">
        <f t="shared" si="0"/>
        <v>76.31578947368422</v>
      </c>
      <c r="G30" s="772"/>
      <c r="H30" s="772">
        <v>0</v>
      </c>
      <c r="I30" s="105">
        <f t="shared" si="1"/>
        <v>0</v>
      </c>
      <c r="J30" s="772"/>
      <c r="K30" s="772">
        <v>8</v>
      </c>
      <c r="L30" s="105">
        <f t="shared" si="2"/>
        <v>21.052631578947366</v>
      </c>
      <c r="M30" s="772"/>
      <c r="N30" s="772">
        <v>1</v>
      </c>
      <c r="O30" s="105">
        <f t="shared" si="3"/>
        <v>2.6315789473684208</v>
      </c>
      <c r="P30" s="772"/>
      <c r="Q30" s="772">
        <v>0</v>
      </c>
      <c r="R30" s="105">
        <f t="shared" si="4"/>
        <v>0</v>
      </c>
      <c r="S30" s="135"/>
    </row>
    <row r="31" spans="1:19" ht="13.25" customHeight="1">
      <c r="A31" s="95" t="s">
        <v>173</v>
      </c>
      <c r="B31" s="138">
        <f t="shared" si="5"/>
        <v>28</v>
      </c>
      <c r="C31" s="105">
        <f t="shared" si="6"/>
        <v>1.4814814814814816</v>
      </c>
      <c r="E31" s="772">
        <v>24</v>
      </c>
      <c r="F31" s="105">
        <f t="shared" si="0"/>
        <v>85.714285714285708</v>
      </c>
      <c r="G31" s="772"/>
      <c r="H31" s="772">
        <v>0</v>
      </c>
      <c r="I31" s="105">
        <f t="shared" si="1"/>
        <v>0</v>
      </c>
      <c r="J31" s="772"/>
      <c r="K31" s="772">
        <v>3</v>
      </c>
      <c r="L31" s="105">
        <f t="shared" si="2"/>
        <v>10.714285714285714</v>
      </c>
      <c r="M31" s="772"/>
      <c r="N31" s="772">
        <v>0</v>
      </c>
      <c r="O31" s="105">
        <f t="shared" si="3"/>
        <v>0</v>
      </c>
      <c r="P31" s="772"/>
      <c r="Q31" s="772">
        <v>1</v>
      </c>
      <c r="R31" s="105">
        <f t="shared" si="4"/>
        <v>3.5714285714285712</v>
      </c>
      <c r="S31" s="135"/>
    </row>
    <row r="32" spans="1:19" ht="13.25" customHeight="1">
      <c r="A32" s="95" t="s">
        <v>174</v>
      </c>
      <c r="B32" s="138">
        <f t="shared" si="5"/>
        <v>17</v>
      </c>
      <c r="C32" s="105">
        <f t="shared" si="6"/>
        <v>0.89947089947089942</v>
      </c>
      <c r="E32" s="772">
        <v>13</v>
      </c>
      <c r="F32" s="105">
        <f t="shared" si="0"/>
        <v>76.470588235294116</v>
      </c>
      <c r="G32" s="772"/>
      <c r="H32" s="772">
        <v>0</v>
      </c>
      <c r="I32" s="105">
        <f t="shared" si="1"/>
        <v>0</v>
      </c>
      <c r="J32" s="772"/>
      <c r="K32" s="772">
        <v>2</v>
      </c>
      <c r="L32" s="105">
        <f t="shared" si="2"/>
        <v>11.76470588235294</v>
      </c>
      <c r="M32" s="772"/>
      <c r="N32" s="772">
        <v>0</v>
      </c>
      <c r="O32" s="105">
        <f t="shared" si="3"/>
        <v>0</v>
      </c>
      <c r="P32" s="772"/>
      <c r="Q32" s="772">
        <v>2</v>
      </c>
      <c r="R32" s="105">
        <f t="shared" si="4"/>
        <v>11.76470588235294</v>
      </c>
      <c r="S32" s="135"/>
    </row>
    <row r="33" spans="1:19" ht="13.25" customHeight="1">
      <c r="A33" s="95" t="s">
        <v>175</v>
      </c>
      <c r="B33" s="138">
        <f t="shared" si="5"/>
        <v>31</v>
      </c>
      <c r="C33" s="105">
        <f t="shared" si="6"/>
        <v>1.64021164021164</v>
      </c>
      <c r="E33" s="772">
        <v>28</v>
      </c>
      <c r="F33" s="105">
        <f t="shared" si="0"/>
        <v>90.322580645161281</v>
      </c>
      <c r="G33" s="772"/>
      <c r="H33" s="772">
        <v>1</v>
      </c>
      <c r="I33" s="105">
        <f t="shared" si="1"/>
        <v>3.225806451612903</v>
      </c>
      <c r="J33" s="772"/>
      <c r="K33" s="772">
        <v>2</v>
      </c>
      <c r="L33" s="105">
        <f t="shared" si="2"/>
        <v>6.4516129032258061</v>
      </c>
      <c r="M33" s="772"/>
      <c r="N33" s="772">
        <v>0</v>
      </c>
      <c r="O33" s="105">
        <f t="shared" si="3"/>
        <v>0</v>
      </c>
      <c r="P33" s="772"/>
      <c r="Q33" s="772">
        <v>0</v>
      </c>
      <c r="R33" s="105">
        <f t="shared" si="4"/>
        <v>0</v>
      </c>
      <c r="S33" s="135"/>
    </row>
    <row r="34" spans="1:19" ht="12" customHeight="1">
      <c r="A34" s="95" t="s">
        <v>176</v>
      </c>
      <c r="B34" s="138">
        <f t="shared" si="5"/>
        <v>30</v>
      </c>
      <c r="C34" s="105">
        <f t="shared" si="6"/>
        <v>1.5873015873015872</v>
      </c>
      <c r="E34" s="772">
        <v>25</v>
      </c>
      <c r="F34" s="105">
        <f t="shared" si="0"/>
        <v>83.333333333333343</v>
      </c>
      <c r="G34" s="772"/>
      <c r="H34" s="772">
        <v>0</v>
      </c>
      <c r="I34" s="105">
        <f t="shared" si="1"/>
        <v>0</v>
      </c>
      <c r="J34" s="772"/>
      <c r="K34" s="772">
        <v>3</v>
      </c>
      <c r="L34" s="105">
        <f t="shared" si="2"/>
        <v>10</v>
      </c>
      <c r="M34" s="772"/>
      <c r="N34" s="772">
        <v>2</v>
      </c>
      <c r="O34" s="105">
        <f t="shared" si="3"/>
        <v>6.666666666666667</v>
      </c>
      <c r="P34" s="772"/>
      <c r="Q34" s="772">
        <v>0</v>
      </c>
      <c r="R34" s="105">
        <f t="shared" si="4"/>
        <v>0</v>
      </c>
      <c r="S34" s="135"/>
    </row>
    <row r="35" spans="1:19" ht="10" customHeight="1">
      <c r="B35" s="138" t="str">
        <f t="shared" si="5"/>
        <v/>
      </c>
      <c r="C35" s="105"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427</v>
      </c>
      <c r="C36" s="105">
        <f t="shared" si="6"/>
        <v>22.592592592592592</v>
      </c>
      <c r="E36" s="140">
        <f>E37+E43+E53+E55</f>
        <v>151</v>
      </c>
      <c r="F36" s="105">
        <f t="shared" si="0"/>
        <v>35.362997658079628</v>
      </c>
      <c r="H36" s="140">
        <f>H37+H43+H53+H55</f>
        <v>28</v>
      </c>
      <c r="I36" s="105">
        <f t="shared" si="1"/>
        <v>6.557377049180328</v>
      </c>
      <c r="K36" s="140">
        <f>K37+K43+K53+K55</f>
        <v>132</v>
      </c>
      <c r="L36" s="105">
        <f t="shared" si="2"/>
        <v>30.913348946135834</v>
      </c>
      <c r="M36" s="116"/>
      <c r="N36" s="140">
        <f>N37+N43+N53+N55</f>
        <v>105</v>
      </c>
      <c r="O36" s="105">
        <f t="shared" si="3"/>
        <v>24.590163934426229</v>
      </c>
      <c r="P36" s="135"/>
      <c r="Q36" s="140">
        <f>Q37+Q43+Q53+Q55</f>
        <v>11</v>
      </c>
      <c r="R36" s="105">
        <f t="shared" si="4"/>
        <v>2.5761124121779861</v>
      </c>
      <c r="S36" s="135"/>
    </row>
    <row r="37" spans="1:19" ht="13.25" customHeight="1">
      <c r="A37" s="95" t="s">
        <v>178</v>
      </c>
      <c r="B37" s="138">
        <f t="shared" si="5"/>
        <v>107</v>
      </c>
      <c r="C37" s="105">
        <f t="shared" si="6"/>
        <v>5.6613756613756614</v>
      </c>
      <c r="E37" s="140">
        <f>SUM(E38:E41)</f>
        <v>30</v>
      </c>
      <c r="F37" s="105">
        <f t="shared" si="0"/>
        <v>28.037383177570092</v>
      </c>
      <c r="H37" s="140">
        <f>SUM(H38:H41)</f>
        <v>12</v>
      </c>
      <c r="I37" s="105">
        <f t="shared" si="1"/>
        <v>11.214953271028037</v>
      </c>
      <c r="K37" s="140">
        <f>SUM(K38:K41)</f>
        <v>20</v>
      </c>
      <c r="L37" s="105">
        <f t="shared" si="2"/>
        <v>18.691588785046729</v>
      </c>
      <c r="M37" s="116"/>
      <c r="N37" s="140">
        <f>SUM(N38:N41)</f>
        <v>45</v>
      </c>
      <c r="O37" s="105">
        <f t="shared" si="3"/>
        <v>42.056074766355138</v>
      </c>
      <c r="P37" s="135"/>
      <c r="Q37" s="140">
        <f>SUM(Q38:Q41)</f>
        <v>0</v>
      </c>
      <c r="R37" s="105">
        <f t="shared" si="4"/>
        <v>0</v>
      </c>
      <c r="S37" s="135"/>
    </row>
    <row r="38" spans="1:19" ht="13.25" customHeight="1">
      <c r="A38" s="95" t="s">
        <v>179</v>
      </c>
      <c r="B38" s="138">
        <f t="shared" si="5"/>
        <v>47</v>
      </c>
      <c r="C38" s="105">
        <f t="shared" si="6"/>
        <v>2.486772486772487</v>
      </c>
      <c r="E38" s="772">
        <v>7</v>
      </c>
      <c r="F38" s="105">
        <f t="shared" si="0"/>
        <v>14.893617021276595</v>
      </c>
      <c r="G38" s="772"/>
      <c r="H38" s="772">
        <v>3</v>
      </c>
      <c r="I38" s="105">
        <f t="shared" si="1"/>
        <v>6.3829787234042552</v>
      </c>
      <c r="J38" s="772"/>
      <c r="K38" s="772">
        <v>14</v>
      </c>
      <c r="L38" s="105">
        <f t="shared" si="2"/>
        <v>29.787234042553191</v>
      </c>
      <c r="M38" s="772"/>
      <c r="N38" s="772">
        <v>23</v>
      </c>
      <c r="O38" s="105">
        <f t="shared" si="3"/>
        <v>48.936170212765958</v>
      </c>
      <c r="P38" s="772"/>
      <c r="Q38" s="772">
        <v>0</v>
      </c>
      <c r="R38" s="105">
        <f t="shared" si="4"/>
        <v>0</v>
      </c>
      <c r="S38" s="135"/>
    </row>
    <row r="39" spans="1:19" ht="13.25" customHeight="1">
      <c r="A39" s="95" t="s">
        <v>180</v>
      </c>
      <c r="B39" s="138">
        <f t="shared" si="5"/>
        <v>27</v>
      </c>
      <c r="C39" s="105">
        <f t="shared" si="6"/>
        <v>1.4285714285714286</v>
      </c>
      <c r="E39" s="772">
        <v>7</v>
      </c>
      <c r="F39" s="105">
        <f t="shared" si="0"/>
        <v>25.925925925925924</v>
      </c>
      <c r="G39" s="772"/>
      <c r="H39" s="772">
        <v>4</v>
      </c>
      <c r="I39" s="105">
        <f t="shared" si="1"/>
        <v>14.814814814814813</v>
      </c>
      <c r="J39" s="772"/>
      <c r="K39" s="772">
        <v>2</v>
      </c>
      <c r="L39" s="105">
        <f t="shared" si="2"/>
        <v>7.4074074074074066</v>
      </c>
      <c r="M39" s="772"/>
      <c r="N39" s="772">
        <v>14</v>
      </c>
      <c r="O39" s="105">
        <f t="shared" si="3"/>
        <v>51.851851851851848</v>
      </c>
      <c r="P39" s="772"/>
      <c r="Q39" s="772">
        <v>0</v>
      </c>
      <c r="R39" s="105">
        <f t="shared" si="4"/>
        <v>0</v>
      </c>
      <c r="S39" s="135"/>
    </row>
    <row r="40" spans="1:19" ht="13.25" customHeight="1">
      <c r="A40" s="95" t="s">
        <v>181</v>
      </c>
      <c r="B40" s="138">
        <f t="shared" si="5"/>
        <v>20</v>
      </c>
      <c r="C40" s="105">
        <f t="shared" si="6"/>
        <v>1.0582010582010581</v>
      </c>
      <c r="E40" s="772">
        <v>9</v>
      </c>
      <c r="F40" s="105">
        <f t="shared" si="0"/>
        <v>45</v>
      </c>
      <c r="G40" s="772"/>
      <c r="H40" s="772">
        <v>5</v>
      </c>
      <c r="I40" s="105">
        <f t="shared" si="1"/>
        <v>25</v>
      </c>
      <c r="J40" s="772"/>
      <c r="K40" s="772">
        <v>1</v>
      </c>
      <c r="L40" s="105">
        <f t="shared" si="2"/>
        <v>5</v>
      </c>
      <c r="M40" s="772"/>
      <c r="N40" s="772">
        <v>5</v>
      </c>
      <c r="O40" s="105">
        <f t="shared" si="3"/>
        <v>25</v>
      </c>
      <c r="P40" s="772"/>
      <c r="Q40" s="772">
        <v>0</v>
      </c>
      <c r="R40" s="105">
        <f t="shared" si="4"/>
        <v>0</v>
      </c>
      <c r="S40" s="135"/>
    </row>
    <row r="41" spans="1:19" ht="12" customHeight="1">
      <c r="A41" s="95" t="s">
        <v>182</v>
      </c>
      <c r="B41" s="138">
        <f t="shared" si="5"/>
        <v>13</v>
      </c>
      <c r="C41" s="105">
        <f t="shared" si="6"/>
        <v>0.68783068783068779</v>
      </c>
      <c r="E41" s="772">
        <v>7</v>
      </c>
      <c r="F41" s="105">
        <f t="shared" si="0"/>
        <v>53.846153846153847</v>
      </c>
      <c r="G41" s="772"/>
      <c r="H41" s="772">
        <v>0</v>
      </c>
      <c r="I41" s="105">
        <f t="shared" si="1"/>
        <v>0</v>
      </c>
      <c r="J41" s="772"/>
      <c r="K41" s="772">
        <v>3</v>
      </c>
      <c r="L41" s="105">
        <f t="shared" si="2"/>
        <v>23.076923076923077</v>
      </c>
      <c r="M41" s="772"/>
      <c r="N41" s="772">
        <v>3</v>
      </c>
      <c r="O41" s="105">
        <f t="shared" si="3"/>
        <v>23.076923076923077</v>
      </c>
      <c r="P41" s="772"/>
      <c r="Q41" s="772">
        <v>0</v>
      </c>
      <c r="R41" s="105">
        <f t="shared" si="4"/>
        <v>0</v>
      </c>
      <c r="S41" s="135"/>
    </row>
    <row r="42" spans="1:19" ht="10" customHeight="1">
      <c r="B42" s="138" t="str">
        <f t="shared" si="5"/>
        <v/>
      </c>
      <c r="C42" s="105"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188</v>
      </c>
      <c r="C43" s="105">
        <f t="shared" si="6"/>
        <v>9.9470899470899479</v>
      </c>
      <c r="E43" s="140">
        <f>SUM(E44:E51)</f>
        <v>69</v>
      </c>
      <c r="F43" s="105">
        <f t="shared" si="0"/>
        <v>36.702127659574465</v>
      </c>
      <c r="H43" s="140">
        <f>SUM(H44:H51)</f>
        <v>8</v>
      </c>
      <c r="I43" s="105">
        <f t="shared" si="1"/>
        <v>4.2553191489361701</v>
      </c>
      <c r="K43" s="140">
        <f>SUM(K44:K51)</f>
        <v>74</v>
      </c>
      <c r="L43" s="105">
        <f t="shared" si="2"/>
        <v>39.361702127659576</v>
      </c>
      <c r="M43" s="116"/>
      <c r="N43" s="140">
        <f>SUM(N44:N51)</f>
        <v>34</v>
      </c>
      <c r="O43" s="105">
        <f t="shared" si="3"/>
        <v>18.085106382978726</v>
      </c>
      <c r="P43" s="135"/>
      <c r="Q43" s="140">
        <f>SUM(Q44:Q51)</f>
        <v>3</v>
      </c>
      <c r="R43" s="105">
        <f t="shared" si="4"/>
        <v>1.5957446808510638</v>
      </c>
      <c r="S43" s="135"/>
    </row>
    <row r="44" spans="1:19" ht="13.25" customHeight="1">
      <c r="A44" s="95" t="s">
        <v>185</v>
      </c>
      <c r="B44" s="138">
        <f t="shared" si="5"/>
        <v>33</v>
      </c>
      <c r="C44" s="105">
        <f t="shared" si="6"/>
        <v>1.746031746031746</v>
      </c>
      <c r="E44" s="772">
        <v>4</v>
      </c>
      <c r="F44" s="105">
        <f t="shared" si="0"/>
        <v>12.121212121212121</v>
      </c>
      <c r="G44" s="772"/>
      <c r="H44" s="772">
        <v>3</v>
      </c>
      <c r="I44" s="105">
        <f t="shared" si="1"/>
        <v>9.0909090909090917</v>
      </c>
      <c r="J44" s="772"/>
      <c r="K44" s="772">
        <v>14</v>
      </c>
      <c r="L44" s="105">
        <f t="shared" si="2"/>
        <v>42.424242424242422</v>
      </c>
      <c r="M44" s="772"/>
      <c r="N44" s="772">
        <v>12</v>
      </c>
      <c r="O44" s="105">
        <f t="shared" si="3"/>
        <v>36.363636363636367</v>
      </c>
      <c r="P44" s="772"/>
      <c r="Q44" s="772">
        <v>0</v>
      </c>
      <c r="R44" s="105">
        <f t="shared" si="4"/>
        <v>0</v>
      </c>
      <c r="S44" s="135"/>
    </row>
    <row r="45" spans="1:19" ht="13.25" customHeight="1">
      <c r="A45" s="95" t="s">
        <v>191</v>
      </c>
      <c r="B45" s="138">
        <f>IF($A45&lt;&gt;"",E45+H45+K45+N45+Q45,"")</f>
        <v>19</v>
      </c>
      <c r="C45" s="105">
        <f>IF(A45&lt;&gt;0,B45/$B$11*100,"")</f>
        <v>1.0052910052910053</v>
      </c>
      <c r="E45" s="772">
        <v>12</v>
      </c>
      <c r="F45" s="105">
        <f t="shared" si="0"/>
        <v>63.157894736842103</v>
      </c>
      <c r="G45" s="772"/>
      <c r="H45" s="772">
        <v>0</v>
      </c>
      <c r="I45" s="105">
        <f t="shared" si="1"/>
        <v>0</v>
      </c>
      <c r="J45" s="772"/>
      <c r="K45" s="772">
        <v>6</v>
      </c>
      <c r="L45" s="105">
        <f t="shared" si="2"/>
        <v>31.578947368421051</v>
      </c>
      <c r="M45" s="772"/>
      <c r="N45" s="772">
        <v>1</v>
      </c>
      <c r="O45" s="105">
        <f t="shared" si="3"/>
        <v>5.2631578947368416</v>
      </c>
      <c r="P45" s="772"/>
      <c r="Q45" s="772">
        <v>0</v>
      </c>
      <c r="R45" s="105">
        <f t="shared" si="4"/>
        <v>0</v>
      </c>
      <c r="S45" s="135"/>
    </row>
    <row r="46" spans="1:19" ht="13.25" customHeight="1">
      <c r="A46" s="95" t="s">
        <v>184</v>
      </c>
      <c r="B46" s="138">
        <f>IF($A46&lt;&gt;"",E46+H46+K46+N46+Q46,"")</f>
        <v>19</v>
      </c>
      <c r="C46" s="105">
        <f>IF(A46&lt;&gt;0,B46/$B$11*100,"")</f>
        <v>1.0052910052910053</v>
      </c>
      <c r="E46" s="772">
        <v>9</v>
      </c>
      <c r="F46" s="105">
        <f t="shared" si="0"/>
        <v>47.368421052631575</v>
      </c>
      <c r="G46" s="772"/>
      <c r="H46" s="772">
        <v>0</v>
      </c>
      <c r="I46" s="105">
        <f t="shared" si="1"/>
        <v>0</v>
      </c>
      <c r="J46" s="772"/>
      <c r="K46" s="772">
        <v>10</v>
      </c>
      <c r="L46" s="105">
        <f t="shared" si="2"/>
        <v>52.631578947368418</v>
      </c>
      <c r="M46" s="772"/>
      <c r="N46" s="772">
        <v>0</v>
      </c>
      <c r="O46" s="105">
        <f t="shared" si="3"/>
        <v>0</v>
      </c>
      <c r="P46" s="772"/>
      <c r="Q46" s="772">
        <v>0</v>
      </c>
      <c r="R46" s="105">
        <f t="shared" si="4"/>
        <v>0</v>
      </c>
      <c r="S46" s="135"/>
    </row>
    <row r="47" spans="1:19" ht="13.25" customHeight="1">
      <c r="A47" s="95" t="s">
        <v>186</v>
      </c>
      <c r="B47" s="138">
        <f t="shared" si="5"/>
        <v>21</v>
      </c>
      <c r="C47" s="105">
        <f t="shared" si="6"/>
        <v>1.1111111111111112</v>
      </c>
      <c r="E47" s="772">
        <v>9</v>
      </c>
      <c r="F47" s="105">
        <f t="shared" si="0"/>
        <v>42.857142857142854</v>
      </c>
      <c r="G47" s="772"/>
      <c r="H47" s="772">
        <v>2</v>
      </c>
      <c r="I47" s="105">
        <f t="shared" si="1"/>
        <v>9.5238095238095237</v>
      </c>
      <c r="J47" s="772"/>
      <c r="K47" s="772">
        <v>7</v>
      </c>
      <c r="L47" s="105">
        <f t="shared" si="2"/>
        <v>33.333333333333329</v>
      </c>
      <c r="M47" s="772"/>
      <c r="N47" s="772">
        <v>3</v>
      </c>
      <c r="O47" s="105">
        <f t="shared" si="3"/>
        <v>14.285714285714285</v>
      </c>
      <c r="P47" s="772"/>
      <c r="Q47" s="772">
        <v>0</v>
      </c>
      <c r="R47" s="105">
        <f t="shared" si="4"/>
        <v>0</v>
      </c>
      <c r="S47" s="135"/>
    </row>
    <row r="48" spans="1:19" ht="13.25" customHeight="1">
      <c r="A48" s="95" t="s">
        <v>408</v>
      </c>
      <c r="B48" s="138">
        <f t="shared" si="5"/>
        <v>23</v>
      </c>
      <c r="C48" s="105">
        <f t="shared" si="6"/>
        <v>1.216931216931217</v>
      </c>
      <c r="E48" s="772">
        <v>10</v>
      </c>
      <c r="F48" s="105">
        <f t="shared" si="0"/>
        <v>43.478260869565219</v>
      </c>
      <c r="G48" s="772"/>
      <c r="H48" s="772">
        <v>2</v>
      </c>
      <c r="I48" s="105">
        <f t="shared" si="1"/>
        <v>8.695652173913043</v>
      </c>
      <c r="J48" s="772"/>
      <c r="K48" s="772">
        <v>6</v>
      </c>
      <c r="L48" s="105">
        <f t="shared" si="2"/>
        <v>26.086956521739129</v>
      </c>
      <c r="M48" s="772"/>
      <c r="N48" s="772">
        <v>5</v>
      </c>
      <c r="O48" s="105">
        <f t="shared" si="3"/>
        <v>21.739130434782609</v>
      </c>
      <c r="P48" s="772"/>
      <c r="Q48" s="772">
        <v>0</v>
      </c>
      <c r="R48" s="105">
        <f t="shared" si="4"/>
        <v>0</v>
      </c>
      <c r="S48" s="135"/>
    </row>
    <row r="49" spans="1:19" ht="13.25" customHeight="1">
      <c r="A49" s="95" t="s">
        <v>190</v>
      </c>
      <c r="B49" s="138">
        <f t="shared" si="5"/>
        <v>14</v>
      </c>
      <c r="C49" s="105">
        <f t="shared" si="6"/>
        <v>0.74074074074074081</v>
      </c>
      <c r="E49" s="772">
        <v>6</v>
      </c>
      <c r="F49" s="105">
        <f t="shared" si="0"/>
        <v>42.857142857142854</v>
      </c>
      <c r="G49" s="772"/>
      <c r="H49" s="772">
        <v>0</v>
      </c>
      <c r="I49" s="105">
        <f t="shared" si="1"/>
        <v>0</v>
      </c>
      <c r="J49" s="772"/>
      <c r="K49" s="772">
        <v>7</v>
      </c>
      <c r="L49" s="105">
        <f t="shared" si="2"/>
        <v>50</v>
      </c>
      <c r="M49" s="772"/>
      <c r="N49" s="772">
        <v>1</v>
      </c>
      <c r="O49" s="105">
        <f t="shared" si="3"/>
        <v>7.1428571428571423</v>
      </c>
      <c r="P49" s="772"/>
      <c r="Q49" s="772">
        <v>0</v>
      </c>
      <c r="R49" s="105">
        <f t="shared" si="4"/>
        <v>0</v>
      </c>
      <c r="S49" s="135"/>
    </row>
    <row r="50" spans="1:19" ht="13.25" customHeight="1">
      <c r="A50" s="95" t="s">
        <v>189</v>
      </c>
      <c r="B50" s="138">
        <f t="shared" si="5"/>
        <v>40</v>
      </c>
      <c r="C50" s="105">
        <f t="shared" si="6"/>
        <v>2.1164021164021163</v>
      </c>
      <c r="E50" s="772">
        <v>11</v>
      </c>
      <c r="F50" s="105">
        <f t="shared" si="0"/>
        <v>27.500000000000004</v>
      </c>
      <c r="G50" s="772"/>
      <c r="H50" s="772">
        <v>1</v>
      </c>
      <c r="I50" s="105">
        <f t="shared" si="1"/>
        <v>2.5</v>
      </c>
      <c r="J50" s="772"/>
      <c r="K50" s="772">
        <v>17</v>
      </c>
      <c r="L50" s="105">
        <f t="shared" si="2"/>
        <v>42.5</v>
      </c>
      <c r="M50" s="772"/>
      <c r="N50" s="772">
        <v>8</v>
      </c>
      <c r="O50" s="105">
        <f t="shared" si="3"/>
        <v>20</v>
      </c>
      <c r="P50" s="772"/>
      <c r="Q50" s="772">
        <v>3</v>
      </c>
      <c r="R50" s="105">
        <f t="shared" si="4"/>
        <v>7.5</v>
      </c>
      <c r="S50" s="135"/>
    </row>
    <row r="51" spans="1:19" ht="12" customHeight="1">
      <c r="A51" s="95" t="s">
        <v>188</v>
      </c>
      <c r="B51" s="138">
        <f t="shared" si="5"/>
        <v>19</v>
      </c>
      <c r="C51" s="105">
        <f t="shared" si="6"/>
        <v>1.0052910052910053</v>
      </c>
      <c r="E51" s="772">
        <v>8</v>
      </c>
      <c r="F51" s="105">
        <f t="shared" si="0"/>
        <v>42.105263157894733</v>
      </c>
      <c r="G51" s="772"/>
      <c r="H51" s="772">
        <v>0</v>
      </c>
      <c r="I51" s="105">
        <f t="shared" si="1"/>
        <v>0</v>
      </c>
      <c r="J51" s="772"/>
      <c r="K51" s="772">
        <v>7</v>
      </c>
      <c r="L51" s="105">
        <f t="shared" si="2"/>
        <v>36.84210526315789</v>
      </c>
      <c r="M51" s="772"/>
      <c r="N51" s="772">
        <v>4</v>
      </c>
      <c r="O51" s="105">
        <f t="shared" si="3"/>
        <v>21.052631578947366</v>
      </c>
      <c r="P51" s="772"/>
      <c r="Q51" s="772">
        <v>0</v>
      </c>
      <c r="R51" s="105">
        <f t="shared" si="4"/>
        <v>0</v>
      </c>
      <c r="S51" s="135"/>
    </row>
    <row r="52" spans="1:19" ht="10" customHeight="1">
      <c r="B52" s="138" t="str">
        <f t="shared" si="5"/>
        <v/>
      </c>
      <c r="C52" s="105" t="str">
        <f t="shared" si="6"/>
        <v/>
      </c>
      <c r="E52" s="772"/>
      <c r="F52" s="105" t="str">
        <f t="shared" si="0"/>
        <v/>
      </c>
      <c r="G52" s="772"/>
      <c r="H52" s="772"/>
      <c r="I52" s="105" t="str">
        <f t="shared" si="1"/>
        <v/>
      </c>
      <c r="J52" s="772"/>
      <c r="K52" s="772"/>
      <c r="L52" s="105" t="str">
        <f t="shared" si="2"/>
        <v/>
      </c>
      <c r="M52" s="772"/>
      <c r="N52" s="772"/>
      <c r="O52" s="105" t="str">
        <f t="shared" si="3"/>
        <v/>
      </c>
      <c r="P52" s="772"/>
      <c r="Q52" s="772"/>
      <c r="R52" s="105" t="str">
        <f t="shared" si="4"/>
        <v/>
      </c>
      <c r="S52" s="135"/>
    </row>
    <row r="53" spans="1:19" ht="12" customHeight="1">
      <c r="A53" s="95" t="s">
        <v>192</v>
      </c>
      <c r="B53" s="138">
        <f t="shared" si="5"/>
        <v>52</v>
      </c>
      <c r="C53" s="105">
        <f t="shared" si="6"/>
        <v>2.7513227513227512</v>
      </c>
      <c r="E53" s="772">
        <v>5</v>
      </c>
      <c r="F53" s="105">
        <f t="shared" si="0"/>
        <v>9.6153846153846168</v>
      </c>
      <c r="G53" s="772"/>
      <c r="H53" s="772">
        <v>2</v>
      </c>
      <c r="I53" s="105">
        <f t="shared" si="1"/>
        <v>3.8461538461538463</v>
      </c>
      <c r="J53" s="772"/>
      <c r="K53" s="772">
        <v>18</v>
      </c>
      <c r="L53" s="105">
        <f t="shared" si="2"/>
        <v>34.615384615384613</v>
      </c>
      <c r="M53" s="772"/>
      <c r="N53" s="772">
        <v>19</v>
      </c>
      <c r="O53" s="105">
        <f t="shared" si="3"/>
        <v>36.538461538461533</v>
      </c>
      <c r="P53" s="772"/>
      <c r="Q53" s="772">
        <v>8</v>
      </c>
      <c r="R53" s="105">
        <f t="shared" si="4"/>
        <v>15.384615384615385</v>
      </c>
      <c r="S53" s="135"/>
    </row>
    <row r="54" spans="1:19" ht="10" customHeight="1">
      <c r="B54" s="138" t="str">
        <f t="shared" si="5"/>
        <v/>
      </c>
      <c r="C54" s="105"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80</v>
      </c>
      <c r="C55" s="105">
        <f t="shared" si="6"/>
        <v>4.2328042328042326</v>
      </c>
      <c r="E55" s="140">
        <f>SUM(E56:E60)</f>
        <v>47</v>
      </c>
      <c r="F55" s="105">
        <f t="shared" si="0"/>
        <v>58.75</v>
      </c>
      <c r="H55" s="140">
        <f>SUM(H56:H60)</f>
        <v>6</v>
      </c>
      <c r="I55" s="105">
        <f t="shared" si="1"/>
        <v>7.5</v>
      </c>
      <c r="K55" s="140">
        <f>SUM(K56:K60)</f>
        <v>20</v>
      </c>
      <c r="L55" s="105">
        <f t="shared" si="2"/>
        <v>25</v>
      </c>
      <c r="M55" s="116"/>
      <c r="N55" s="140">
        <f>SUM(N56:N60)</f>
        <v>7</v>
      </c>
      <c r="O55" s="105">
        <f t="shared" si="3"/>
        <v>8.75</v>
      </c>
      <c r="P55" s="135"/>
      <c r="Q55" s="140">
        <f>SUM(Q56:Q60)</f>
        <v>0</v>
      </c>
      <c r="R55" s="105">
        <f t="shared" si="4"/>
        <v>0</v>
      </c>
      <c r="S55" s="135"/>
    </row>
    <row r="56" spans="1:19" ht="13.25" customHeight="1">
      <c r="A56" s="95" t="s">
        <v>194</v>
      </c>
      <c r="B56" s="138">
        <f t="shared" si="5"/>
        <v>13</v>
      </c>
      <c r="C56" s="105">
        <f t="shared" si="6"/>
        <v>0.68783068783068779</v>
      </c>
      <c r="E56" s="772">
        <v>4</v>
      </c>
      <c r="F56" s="105">
        <f t="shared" si="0"/>
        <v>30.76923076923077</v>
      </c>
      <c r="G56" s="772"/>
      <c r="H56" s="772">
        <v>2</v>
      </c>
      <c r="I56" s="105">
        <f t="shared" si="1"/>
        <v>15.384615384615385</v>
      </c>
      <c r="J56" s="772"/>
      <c r="K56" s="772">
        <v>4</v>
      </c>
      <c r="L56" s="105">
        <f t="shared" si="2"/>
        <v>30.76923076923077</v>
      </c>
      <c r="M56" s="772"/>
      <c r="N56" s="772">
        <v>3</v>
      </c>
      <c r="O56" s="105">
        <f t="shared" si="3"/>
        <v>23.076923076923077</v>
      </c>
      <c r="P56" s="772"/>
      <c r="Q56" s="772">
        <v>0</v>
      </c>
      <c r="R56" s="105">
        <f t="shared" si="4"/>
        <v>0</v>
      </c>
      <c r="S56" s="135"/>
    </row>
    <row r="57" spans="1:19" ht="13.25" customHeight="1">
      <c r="A57" s="95" t="s">
        <v>195</v>
      </c>
      <c r="B57" s="138">
        <f t="shared" si="5"/>
        <v>21</v>
      </c>
      <c r="C57" s="105">
        <f t="shared" si="6"/>
        <v>1.1111111111111112</v>
      </c>
      <c r="E57" s="772">
        <v>11</v>
      </c>
      <c r="F57" s="105">
        <f t="shared" si="0"/>
        <v>52.380952380952387</v>
      </c>
      <c r="G57" s="772"/>
      <c r="H57" s="772">
        <v>1</v>
      </c>
      <c r="I57" s="105">
        <f t="shared" si="1"/>
        <v>4.7619047619047619</v>
      </c>
      <c r="J57" s="772"/>
      <c r="K57" s="772">
        <v>7</v>
      </c>
      <c r="L57" s="105">
        <f t="shared" si="2"/>
        <v>33.333333333333329</v>
      </c>
      <c r="M57" s="772"/>
      <c r="N57" s="772">
        <v>2</v>
      </c>
      <c r="O57" s="105">
        <f t="shared" si="3"/>
        <v>9.5238095238095237</v>
      </c>
      <c r="P57" s="772"/>
      <c r="Q57" s="772">
        <v>0</v>
      </c>
      <c r="R57" s="105">
        <f t="shared" si="4"/>
        <v>0</v>
      </c>
      <c r="S57" s="135"/>
    </row>
    <row r="58" spans="1:19" ht="13.25" customHeight="1">
      <c r="A58" s="95" t="s">
        <v>196</v>
      </c>
      <c r="B58" s="138">
        <f t="shared" si="5"/>
        <v>19</v>
      </c>
      <c r="C58" s="105">
        <f t="shared" si="6"/>
        <v>1.0052910052910053</v>
      </c>
      <c r="E58" s="772">
        <v>12</v>
      </c>
      <c r="F58" s="105">
        <f t="shared" si="0"/>
        <v>63.157894736842103</v>
      </c>
      <c r="G58" s="772"/>
      <c r="H58" s="772">
        <v>3</v>
      </c>
      <c r="I58" s="105">
        <f t="shared" si="1"/>
        <v>15.789473684210526</v>
      </c>
      <c r="J58" s="772"/>
      <c r="K58" s="772">
        <v>3</v>
      </c>
      <c r="L58" s="105">
        <f t="shared" si="2"/>
        <v>15.789473684210526</v>
      </c>
      <c r="M58" s="772"/>
      <c r="N58" s="772">
        <v>1</v>
      </c>
      <c r="O58" s="105">
        <f t="shared" si="3"/>
        <v>5.2631578947368416</v>
      </c>
      <c r="P58" s="772"/>
      <c r="Q58" s="772">
        <v>0</v>
      </c>
      <c r="R58" s="105">
        <f t="shared" si="4"/>
        <v>0</v>
      </c>
      <c r="S58" s="135"/>
    </row>
    <row r="59" spans="1:19" ht="13.25" customHeight="1">
      <c r="A59" s="95" t="s">
        <v>409</v>
      </c>
      <c r="B59" s="138">
        <f t="shared" si="5"/>
        <v>10</v>
      </c>
      <c r="C59" s="105">
        <f t="shared" si="6"/>
        <v>0.52910052910052907</v>
      </c>
      <c r="E59" s="772">
        <v>9</v>
      </c>
      <c r="F59" s="105">
        <f t="shared" si="0"/>
        <v>90</v>
      </c>
      <c r="G59" s="772"/>
      <c r="H59" s="772">
        <v>0</v>
      </c>
      <c r="I59" s="105">
        <f t="shared" si="1"/>
        <v>0</v>
      </c>
      <c r="J59" s="772"/>
      <c r="K59" s="772">
        <v>1</v>
      </c>
      <c r="L59" s="105">
        <f t="shared" si="2"/>
        <v>10</v>
      </c>
      <c r="M59" s="772"/>
      <c r="N59" s="772">
        <v>0</v>
      </c>
      <c r="O59" s="105">
        <f t="shared" si="3"/>
        <v>0</v>
      </c>
      <c r="P59" s="772"/>
      <c r="Q59" s="772">
        <v>0</v>
      </c>
      <c r="R59" s="105">
        <f t="shared" si="4"/>
        <v>0</v>
      </c>
      <c r="S59" s="135"/>
    </row>
    <row r="60" spans="1:19" ht="12" customHeight="1">
      <c r="A60" s="95" t="s">
        <v>198</v>
      </c>
      <c r="B60" s="138">
        <f t="shared" si="5"/>
        <v>17</v>
      </c>
      <c r="C60" s="105">
        <f t="shared" si="6"/>
        <v>0.89947089947089942</v>
      </c>
      <c r="E60" s="772">
        <v>11</v>
      </c>
      <c r="F60" s="105">
        <f t="shared" si="0"/>
        <v>64.705882352941174</v>
      </c>
      <c r="G60" s="772"/>
      <c r="H60" s="772">
        <v>0</v>
      </c>
      <c r="I60" s="105">
        <f t="shared" si="1"/>
        <v>0</v>
      </c>
      <c r="J60" s="772"/>
      <c r="K60" s="772">
        <v>5</v>
      </c>
      <c r="L60" s="105">
        <f t="shared" si="2"/>
        <v>29.411764705882355</v>
      </c>
      <c r="M60" s="772"/>
      <c r="N60" s="772">
        <v>1</v>
      </c>
      <c r="O60" s="105">
        <f t="shared" si="3"/>
        <v>5.8823529411764701</v>
      </c>
      <c r="P60" s="772"/>
      <c r="Q60" s="772">
        <v>0</v>
      </c>
      <c r="R60" s="105">
        <f t="shared" si="4"/>
        <v>0</v>
      </c>
      <c r="S60" s="135"/>
    </row>
    <row r="61" spans="1:19" ht="10" customHeight="1">
      <c r="B61" s="138" t="str">
        <f t="shared" si="5"/>
        <v/>
      </c>
      <c r="C61" s="105"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519</v>
      </c>
      <c r="C62" s="105">
        <f t="shared" si="6"/>
        <v>27.460317460317462</v>
      </c>
      <c r="E62" s="140">
        <f>E63+E65+E72+E74</f>
        <v>124</v>
      </c>
      <c r="F62" s="105">
        <f t="shared" si="0"/>
        <v>23.892100192678228</v>
      </c>
      <c r="H62" s="140">
        <f>H63+H65+H72+H74</f>
        <v>5</v>
      </c>
      <c r="I62" s="105">
        <f t="shared" si="1"/>
        <v>0.96339113680154131</v>
      </c>
      <c r="K62" s="140">
        <f>K63+K65+K72+K74</f>
        <v>55</v>
      </c>
      <c r="L62" s="105">
        <f t="shared" si="2"/>
        <v>10.597302504816955</v>
      </c>
      <c r="M62" s="116"/>
      <c r="N62" s="140">
        <f>N63+N65+N72+N74</f>
        <v>150</v>
      </c>
      <c r="O62" s="105">
        <f t="shared" si="3"/>
        <v>28.901734104046245</v>
      </c>
      <c r="P62" s="135"/>
      <c r="Q62" s="140">
        <f>Q63+Q65+Q72+Q74</f>
        <v>185</v>
      </c>
      <c r="R62" s="105">
        <f t="shared" si="4"/>
        <v>35.645472061657038</v>
      </c>
      <c r="S62" s="135"/>
    </row>
    <row r="63" spans="1:19" ht="12" customHeight="1">
      <c r="A63" s="95" t="s">
        <v>411</v>
      </c>
      <c r="B63" s="138">
        <f t="shared" si="5"/>
        <v>28</v>
      </c>
      <c r="C63" s="105">
        <f t="shared" si="6"/>
        <v>1.4814814814814816</v>
      </c>
      <c r="E63" s="772">
        <v>17</v>
      </c>
      <c r="F63" s="105">
        <f t="shared" si="0"/>
        <v>60.714285714285708</v>
      </c>
      <c r="G63" s="772"/>
      <c r="H63" s="772">
        <v>2</v>
      </c>
      <c r="I63" s="105">
        <f t="shared" si="1"/>
        <v>7.1428571428571423</v>
      </c>
      <c r="J63" s="772"/>
      <c r="K63" s="772">
        <v>2</v>
      </c>
      <c r="L63" s="105">
        <f t="shared" si="2"/>
        <v>7.1428571428571423</v>
      </c>
      <c r="M63" s="772"/>
      <c r="N63" s="772">
        <v>1</v>
      </c>
      <c r="O63" s="105">
        <f t="shared" si="3"/>
        <v>3.5714285714285712</v>
      </c>
      <c r="P63" s="772"/>
      <c r="Q63" s="772">
        <v>6</v>
      </c>
      <c r="R63" s="105">
        <f t="shared" si="4"/>
        <v>21.428571428571427</v>
      </c>
      <c r="S63" s="135"/>
    </row>
    <row r="64" spans="1:19" ht="10" customHeight="1">
      <c r="B64" s="138" t="str">
        <f t="shared" si="5"/>
        <v/>
      </c>
      <c r="C64" s="105"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377</v>
      </c>
      <c r="C65" s="105">
        <f t="shared" si="6"/>
        <v>19.947089947089946</v>
      </c>
      <c r="E65" s="140">
        <f>SUM(E66:E70)</f>
        <v>63</v>
      </c>
      <c r="F65" s="105">
        <f t="shared" si="0"/>
        <v>16.710875331564985</v>
      </c>
      <c r="H65" s="140">
        <f>SUM(H66:H70)</f>
        <v>1</v>
      </c>
      <c r="I65" s="105">
        <f t="shared" si="1"/>
        <v>0.2652519893899204</v>
      </c>
      <c r="K65" s="140">
        <f>SUM(K66:K70)</f>
        <v>25</v>
      </c>
      <c r="L65" s="105">
        <f t="shared" si="2"/>
        <v>6.6312997347480112</v>
      </c>
      <c r="M65" s="116"/>
      <c r="N65" s="140">
        <f>SUM(N66:N70)</f>
        <v>122</v>
      </c>
      <c r="O65" s="105">
        <f t="shared" si="3"/>
        <v>32.360742705570296</v>
      </c>
      <c r="P65" s="135"/>
      <c r="Q65" s="140">
        <f>SUM(Q66:Q70)</f>
        <v>166</v>
      </c>
      <c r="R65" s="105">
        <f t="shared" si="4"/>
        <v>44.031830238726791</v>
      </c>
      <c r="S65" s="135"/>
    </row>
    <row r="66" spans="1:19" ht="13.25" customHeight="1">
      <c r="A66" s="95" t="s">
        <v>482</v>
      </c>
      <c r="B66" s="138">
        <f t="shared" si="5"/>
        <v>302</v>
      </c>
      <c r="C66" s="105">
        <f t="shared" si="6"/>
        <v>15.978835978835978</v>
      </c>
      <c r="E66" s="772">
        <v>9</v>
      </c>
      <c r="F66" s="105">
        <f t="shared" si="0"/>
        <v>2.9801324503311259</v>
      </c>
      <c r="G66" s="772"/>
      <c r="H66" s="772">
        <v>0</v>
      </c>
      <c r="I66" s="105">
        <f t="shared" si="1"/>
        <v>0</v>
      </c>
      <c r="J66" s="772"/>
      <c r="K66" s="772">
        <v>17</v>
      </c>
      <c r="L66" s="105">
        <f t="shared" si="2"/>
        <v>5.629139072847682</v>
      </c>
      <c r="M66" s="772"/>
      <c r="N66" s="772">
        <v>114</v>
      </c>
      <c r="O66" s="105">
        <f t="shared" si="3"/>
        <v>37.748344370860927</v>
      </c>
      <c r="P66" s="772"/>
      <c r="Q66" s="772">
        <v>162</v>
      </c>
      <c r="R66" s="105">
        <f t="shared" si="4"/>
        <v>53.642384105960261</v>
      </c>
      <c r="S66" s="135"/>
    </row>
    <row r="67" spans="1:19" ht="13.25" customHeight="1">
      <c r="A67" s="95" t="s">
        <v>204</v>
      </c>
      <c r="B67" s="138">
        <f t="shared" si="5"/>
        <v>35</v>
      </c>
      <c r="C67" s="105">
        <f t="shared" si="6"/>
        <v>1.8518518518518516</v>
      </c>
      <c r="E67" s="772">
        <v>34</v>
      </c>
      <c r="F67" s="105">
        <f t="shared" si="0"/>
        <v>97.142857142857139</v>
      </c>
      <c r="G67" s="772"/>
      <c r="H67" s="772">
        <v>0</v>
      </c>
      <c r="I67" s="105">
        <f t="shared" si="1"/>
        <v>0</v>
      </c>
      <c r="J67" s="772"/>
      <c r="K67" s="772">
        <v>1</v>
      </c>
      <c r="L67" s="105">
        <f t="shared" si="2"/>
        <v>2.8571428571428572</v>
      </c>
      <c r="M67" s="772"/>
      <c r="N67" s="772">
        <v>0</v>
      </c>
      <c r="O67" s="105">
        <f t="shared" si="3"/>
        <v>0</v>
      </c>
      <c r="P67" s="772"/>
      <c r="Q67" s="772">
        <v>0</v>
      </c>
      <c r="R67" s="105">
        <f t="shared" si="4"/>
        <v>0</v>
      </c>
      <c r="S67" s="135"/>
    </row>
    <row r="68" spans="1:19" ht="13.25" customHeight="1">
      <c r="A68" s="95" t="s">
        <v>206</v>
      </c>
      <c r="B68" s="138">
        <f t="shared" si="5"/>
        <v>19</v>
      </c>
      <c r="C68" s="105">
        <f t="shared" si="6"/>
        <v>1.0052910052910053</v>
      </c>
      <c r="E68" s="772">
        <v>14</v>
      </c>
      <c r="F68" s="105">
        <f t="shared" si="0"/>
        <v>73.68421052631578</v>
      </c>
      <c r="G68" s="772"/>
      <c r="H68" s="772">
        <v>1</v>
      </c>
      <c r="I68" s="105">
        <f t="shared" si="1"/>
        <v>5.2631578947368416</v>
      </c>
      <c r="J68" s="772"/>
      <c r="K68" s="772">
        <v>1</v>
      </c>
      <c r="L68" s="105">
        <f t="shared" si="2"/>
        <v>5.2631578947368416</v>
      </c>
      <c r="M68" s="772"/>
      <c r="N68" s="772">
        <v>1</v>
      </c>
      <c r="O68" s="105">
        <f t="shared" si="3"/>
        <v>5.2631578947368416</v>
      </c>
      <c r="P68" s="772"/>
      <c r="Q68" s="772">
        <v>2</v>
      </c>
      <c r="R68" s="105">
        <f t="shared" si="4"/>
        <v>10.526315789473683</v>
      </c>
      <c r="S68" s="135"/>
    </row>
    <row r="69" spans="1:19" ht="12" customHeight="1">
      <c r="A69" s="95" t="s">
        <v>205</v>
      </c>
      <c r="B69" s="138">
        <f t="shared" si="5"/>
        <v>10</v>
      </c>
      <c r="C69" s="105">
        <f t="shared" si="6"/>
        <v>0.52910052910052907</v>
      </c>
      <c r="E69" s="772">
        <v>5</v>
      </c>
      <c r="F69" s="105">
        <f t="shared" si="0"/>
        <v>50</v>
      </c>
      <c r="G69" s="772"/>
      <c r="H69" s="772">
        <v>0</v>
      </c>
      <c r="I69" s="105">
        <f t="shared" si="1"/>
        <v>0</v>
      </c>
      <c r="J69" s="772"/>
      <c r="K69" s="772">
        <v>3</v>
      </c>
      <c r="L69" s="105">
        <f t="shared" si="2"/>
        <v>30</v>
      </c>
      <c r="M69" s="772"/>
      <c r="N69" s="772">
        <v>1</v>
      </c>
      <c r="O69" s="105">
        <f t="shared" si="3"/>
        <v>10</v>
      </c>
      <c r="P69" s="772"/>
      <c r="Q69" s="772">
        <v>1</v>
      </c>
      <c r="R69" s="105">
        <f t="shared" si="4"/>
        <v>10</v>
      </c>
      <c r="S69" s="135"/>
    </row>
    <row r="70" spans="1:19" ht="13.25" customHeight="1">
      <c r="A70" s="95" t="s">
        <v>207</v>
      </c>
      <c r="B70" s="138">
        <f t="shared" si="5"/>
        <v>11</v>
      </c>
      <c r="C70" s="105">
        <f t="shared" si="6"/>
        <v>0.58201058201058198</v>
      </c>
      <c r="E70" s="772">
        <v>1</v>
      </c>
      <c r="F70" s="105">
        <f t="shared" si="0"/>
        <v>9.0909090909090917</v>
      </c>
      <c r="G70" s="772"/>
      <c r="H70" s="772">
        <v>0</v>
      </c>
      <c r="I70" s="105">
        <f t="shared" si="1"/>
        <v>0</v>
      </c>
      <c r="J70" s="772"/>
      <c r="K70" s="772">
        <v>3</v>
      </c>
      <c r="L70" s="105">
        <f t="shared" si="2"/>
        <v>27.27272727272727</v>
      </c>
      <c r="M70" s="772"/>
      <c r="N70" s="772">
        <v>6</v>
      </c>
      <c r="O70" s="105">
        <f t="shared" si="3"/>
        <v>54.54545454545454</v>
      </c>
      <c r="P70" s="772"/>
      <c r="Q70" s="772">
        <v>1</v>
      </c>
      <c r="R70" s="105">
        <f t="shared" si="4"/>
        <v>9.0909090909090917</v>
      </c>
      <c r="S70" s="135"/>
    </row>
    <row r="71" spans="1:19" ht="10" customHeight="1">
      <c r="B71" s="138" t="str">
        <f t="shared" si="5"/>
        <v/>
      </c>
      <c r="C71" s="105" t="str">
        <f t="shared" si="6"/>
        <v/>
      </c>
      <c r="E71" s="772"/>
      <c r="F71" s="105" t="str">
        <f t="shared" si="0"/>
        <v/>
      </c>
      <c r="G71" s="772"/>
      <c r="H71" s="772"/>
      <c r="I71" s="105" t="str">
        <f t="shared" si="1"/>
        <v/>
      </c>
      <c r="J71" s="772"/>
      <c r="K71" s="772"/>
      <c r="L71" s="105" t="str">
        <f t="shared" si="2"/>
        <v/>
      </c>
      <c r="M71" s="772"/>
      <c r="N71" s="772"/>
      <c r="O71" s="105" t="str">
        <f t="shared" si="3"/>
        <v/>
      </c>
      <c r="P71" s="772"/>
      <c r="Q71" s="772"/>
      <c r="R71" s="105" t="str">
        <f t="shared" si="4"/>
        <v/>
      </c>
      <c r="S71" s="135"/>
    </row>
    <row r="72" spans="1:19" ht="13.25" customHeight="1">
      <c r="A72" s="95" t="s">
        <v>208</v>
      </c>
      <c r="B72" s="138">
        <f t="shared" si="5"/>
        <v>25</v>
      </c>
      <c r="C72" s="105">
        <f t="shared" si="6"/>
        <v>1.3227513227513228</v>
      </c>
      <c r="E72" s="772">
        <v>22</v>
      </c>
      <c r="F72" s="105">
        <f t="shared" si="0"/>
        <v>88</v>
      </c>
      <c r="G72" s="772"/>
      <c r="H72" s="772">
        <v>0</v>
      </c>
      <c r="I72" s="105">
        <f t="shared" si="1"/>
        <v>0</v>
      </c>
      <c r="J72" s="772"/>
      <c r="K72" s="772">
        <v>3</v>
      </c>
      <c r="L72" s="105">
        <f t="shared" si="2"/>
        <v>12</v>
      </c>
      <c r="M72" s="772"/>
      <c r="N72" s="772">
        <v>0</v>
      </c>
      <c r="O72" s="105">
        <f t="shared" si="3"/>
        <v>0</v>
      </c>
      <c r="P72" s="772"/>
      <c r="Q72" s="772">
        <v>0</v>
      </c>
      <c r="R72" s="105">
        <f t="shared" si="4"/>
        <v>0</v>
      </c>
      <c r="S72" s="135"/>
    </row>
    <row r="73" spans="1:19" ht="9" customHeight="1">
      <c r="B73" s="138" t="str">
        <f t="shared" si="5"/>
        <v/>
      </c>
      <c r="C73" s="105" t="str">
        <f t="shared" si="6"/>
        <v/>
      </c>
      <c r="E73" s="772"/>
      <c r="F73" s="105" t="str">
        <f t="shared" si="0"/>
        <v/>
      </c>
      <c r="G73" s="772"/>
      <c r="H73" s="772"/>
      <c r="I73" s="105" t="str">
        <f t="shared" si="1"/>
        <v/>
      </c>
      <c r="J73" s="772"/>
      <c r="K73" s="772"/>
      <c r="L73" s="105" t="str">
        <f t="shared" si="2"/>
        <v/>
      </c>
      <c r="M73" s="772"/>
      <c r="N73" s="772"/>
      <c r="O73" s="105" t="str">
        <f t="shared" si="3"/>
        <v/>
      </c>
      <c r="P73" s="772"/>
      <c r="Q73" s="772"/>
      <c r="R73" s="105" t="str">
        <f t="shared" si="4"/>
        <v/>
      </c>
      <c r="S73" s="135"/>
    </row>
    <row r="74" spans="1:19" ht="13.25" customHeight="1">
      <c r="A74" s="95" t="s">
        <v>209</v>
      </c>
      <c r="B74" s="138">
        <f t="shared" si="5"/>
        <v>89</v>
      </c>
      <c r="C74" s="105">
        <f t="shared" si="6"/>
        <v>4.7089947089947088</v>
      </c>
      <c r="E74" s="772">
        <v>22</v>
      </c>
      <c r="F74" s="105">
        <f t="shared" si="0"/>
        <v>24.719101123595504</v>
      </c>
      <c r="G74" s="772"/>
      <c r="H74" s="772">
        <v>2</v>
      </c>
      <c r="I74" s="105">
        <f t="shared" si="1"/>
        <v>2.2471910112359552</v>
      </c>
      <c r="J74" s="772"/>
      <c r="K74" s="772">
        <v>25</v>
      </c>
      <c r="L74" s="105">
        <f t="shared" si="2"/>
        <v>28.08988764044944</v>
      </c>
      <c r="M74" s="772"/>
      <c r="N74" s="772">
        <v>27</v>
      </c>
      <c r="O74" s="105">
        <f t="shared" si="3"/>
        <v>30.337078651685395</v>
      </c>
      <c r="P74" s="772"/>
      <c r="Q74" s="772">
        <v>13</v>
      </c>
      <c r="R74" s="105">
        <f t="shared" si="4"/>
        <v>14.606741573033707</v>
      </c>
      <c r="S74" s="135"/>
    </row>
    <row r="75" spans="1:19" ht="10" customHeight="1">
      <c r="B75" s="138" t="str">
        <f t="shared" si="5"/>
        <v/>
      </c>
      <c r="C75" s="105" t="str">
        <f t="shared" si="6"/>
        <v/>
      </c>
      <c r="F75" s="105" t="str">
        <f t="shared" si="0"/>
        <v/>
      </c>
      <c r="I75" s="105" t="str">
        <f t="shared" ref="I75:I114" si="7">IF($A75&lt;&gt;0,H75/$B75*100,"")</f>
        <v/>
      </c>
      <c r="L75" s="105" t="str">
        <f t="shared" ref="L75:L114" si="8">IF($A75&lt;&gt;0,K75/$B75*100,"")</f>
        <v/>
      </c>
      <c r="M75" s="116"/>
      <c r="O75" s="105" t="str">
        <f t="shared" ref="O75:O114" si="9">IF($A75&lt;&gt;0,N75/$B75*100,"")</f>
        <v/>
      </c>
      <c r="P75" s="135"/>
      <c r="Q75" s="140"/>
      <c r="R75" s="105" t="str">
        <f t="shared" si="4"/>
        <v/>
      </c>
      <c r="S75" s="135"/>
    </row>
    <row r="76" spans="1:19" ht="13.25" customHeight="1">
      <c r="A76" s="55" t="s">
        <v>413</v>
      </c>
      <c r="B76" s="138">
        <f t="shared" si="5"/>
        <v>57</v>
      </c>
      <c r="C76" s="105">
        <f t="shared" si="6"/>
        <v>3.0158730158730158</v>
      </c>
      <c r="E76" s="140">
        <f>E77</f>
        <v>46</v>
      </c>
      <c r="F76" s="105">
        <f t="shared" ref="F76:F114" si="10">IF($A76&lt;&gt;0,E76/$B76*100,"")</f>
        <v>80.701754385964904</v>
      </c>
      <c r="H76" s="140">
        <f>H77</f>
        <v>1</v>
      </c>
      <c r="I76" s="105">
        <f t="shared" si="7"/>
        <v>1.7543859649122806</v>
      </c>
      <c r="K76" s="140">
        <f>K77</f>
        <v>6</v>
      </c>
      <c r="L76" s="105">
        <f t="shared" si="8"/>
        <v>10.526315789473683</v>
      </c>
      <c r="M76" s="116"/>
      <c r="N76" s="140">
        <f>N77</f>
        <v>4</v>
      </c>
      <c r="O76" s="105">
        <f t="shared" si="9"/>
        <v>7.0175438596491224</v>
      </c>
      <c r="P76" s="135"/>
      <c r="Q76" s="140">
        <f>Q77</f>
        <v>0</v>
      </c>
      <c r="R76" s="105">
        <f t="shared" si="4"/>
        <v>0</v>
      </c>
      <c r="S76" s="135"/>
    </row>
    <row r="77" spans="1:19" ht="13.25" customHeight="1">
      <c r="A77" s="95" t="s">
        <v>414</v>
      </c>
      <c r="B77" s="138">
        <f t="shared" si="5"/>
        <v>57</v>
      </c>
      <c r="C77" s="105">
        <f t="shared" si="6"/>
        <v>3.0158730158730158</v>
      </c>
      <c r="E77" s="140">
        <f>SUM(E78:E81)</f>
        <v>46</v>
      </c>
      <c r="F77" s="105">
        <f t="shared" si="10"/>
        <v>80.701754385964904</v>
      </c>
      <c r="H77" s="140">
        <f>SUM(H78:H81)</f>
        <v>1</v>
      </c>
      <c r="I77" s="105">
        <f t="shared" si="7"/>
        <v>1.7543859649122806</v>
      </c>
      <c r="K77" s="140">
        <f>SUM(K78:K81)</f>
        <v>6</v>
      </c>
      <c r="L77" s="105">
        <f t="shared" si="8"/>
        <v>10.526315789473683</v>
      </c>
      <c r="M77" s="116"/>
      <c r="N77" s="140">
        <f>SUM(N78:N81)</f>
        <v>4</v>
      </c>
      <c r="O77" s="105">
        <f t="shared" si="9"/>
        <v>7.0175438596491224</v>
      </c>
      <c r="P77" s="135"/>
      <c r="Q77" s="140">
        <f>SUM(Q78:Q81)</f>
        <v>0</v>
      </c>
      <c r="R77" s="105">
        <f t="shared" si="4"/>
        <v>0</v>
      </c>
      <c r="S77" s="135"/>
    </row>
    <row r="78" spans="1:19" ht="13.25" customHeight="1">
      <c r="A78" s="95" t="s">
        <v>212</v>
      </c>
      <c r="B78" s="138">
        <f t="shared" si="5"/>
        <v>14</v>
      </c>
      <c r="C78" s="105">
        <f t="shared" si="6"/>
        <v>0.74074074074074081</v>
      </c>
      <c r="E78" s="772">
        <v>11</v>
      </c>
      <c r="F78" s="105">
        <f t="shared" si="10"/>
        <v>78.571428571428569</v>
      </c>
      <c r="G78" s="772"/>
      <c r="H78" s="772">
        <v>1</v>
      </c>
      <c r="I78" s="105">
        <f t="shared" si="7"/>
        <v>7.1428571428571423</v>
      </c>
      <c r="J78" s="772"/>
      <c r="K78" s="772">
        <v>2</v>
      </c>
      <c r="L78" s="105">
        <f t="shared" si="8"/>
        <v>14.285714285714285</v>
      </c>
      <c r="M78" s="772"/>
      <c r="N78" s="772">
        <v>0</v>
      </c>
      <c r="O78" s="105">
        <f t="shared" si="9"/>
        <v>0</v>
      </c>
      <c r="P78" s="772"/>
      <c r="Q78" s="772">
        <v>0</v>
      </c>
      <c r="R78" s="105">
        <f t="shared" si="4"/>
        <v>0</v>
      </c>
      <c r="S78" s="135"/>
    </row>
    <row r="79" spans="1:19" ht="13.25" customHeight="1">
      <c r="A79" s="95" t="s">
        <v>213</v>
      </c>
      <c r="B79" s="138">
        <f t="shared" si="5"/>
        <v>21</v>
      </c>
      <c r="C79" s="105">
        <f t="shared" si="6"/>
        <v>1.1111111111111112</v>
      </c>
      <c r="E79" s="772">
        <v>17</v>
      </c>
      <c r="F79" s="105">
        <f t="shared" si="10"/>
        <v>80.952380952380949</v>
      </c>
      <c r="G79" s="772"/>
      <c r="H79" s="772">
        <v>0</v>
      </c>
      <c r="I79" s="105">
        <f t="shared" si="7"/>
        <v>0</v>
      </c>
      <c r="J79" s="772"/>
      <c r="K79" s="772">
        <v>2</v>
      </c>
      <c r="L79" s="105">
        <f t="shared" si="8"/>
        <v>9.5238095238095237</v>
      </c>
      <c r="M79" s="772"/>
      <c r="N79" s="772">
        <v>2</v>
      </c>
      <c r="O79" s="105">
        <f t="shared" si="9"/>
        <v>9.5238095238095237</v>
      </c>
      <c r="P79" s="772"/>
      <c r="Q79" s="772">
        <v>0</v>
      </c>
      <c r="R79" s="105">
        <f t="shared" ref="R79:R114" si="11">IF($A79&lt;&gt;0,Q79/$B79*100,"")</f>
        <v>0</v>
      </c>
      <c r="S79" s="135"/>
    </row>
    <row r="80" spans="1:19" ht="12" customHeight="1">
      <c r="A80" s="95" t="s">
        <v>214</v>
      </c>
      <c r="B80" s="138">
        <f t="shared" ref="B80:B99" si="12">IF($A80&lt;&gt;"",E80+H80+K80+N80+Q80,"")</f>
        <v>9</v>
      </c>
      <c r="C80" s="105">
        <f t="shared" si="6"/>
        <v>0.47619047619047622</v>
      </c>
      <c r="E80" s="772">
        <v>7</v>
      </c>
      <c r="F80" s="105">
        <f t="shared" si="10"/>
        <v>77.777777777777786</v>
      </c>
      <c r="G80" s="772"/>
      <c r="H80" s="772">
        <v>0</v>
      </c>
      <c r="I80" s="105">
        <f t="shared" si="7"/>
        <v>0</v>
      </c>
      <c r="J80" s="772"/>
      <c r="K80" s="772">
        <v>2</v>
      </c>
      <c r="L80" s="105">
        <f t="shared" si="8"/>
        <v>22.222222222222221</v>
      </c>
      <c r="M80" s="772"/>
      <c r="N80" s="772">
        <v>0</v>
      </c>
      <c r="O80" s="105">
        <f t="shared" si="9"/>
        <v>0</v>
      </c>
      <c r="P80" s="772"/>
      <c r="Q80" s="772">
        <v>0</v>
      </c>
      <c r="R80" s="105">
        <f t="shared" si="11"/>
        <v>0</v>
      </c>
      <c r="S80" s="135"/>
    </row>
    <row r="81" spans="1:19" ht="13.25" customHeight="1">
      <c r="A81" s="95" t="s">
        <v>215</v>
      </c>
      <c r="B81" s="138">
        <f t="shared" si="12"/>
        <v>13</v>
      </c>
      <c r="C81" s="105">
        <f t="shared" si="6"/>
        <v>0.68783068783068779</v>
      </c>
      <c r="E81" s="772">
        <v>11</v>
      </c>
      <c r="F81" s="105">
        <f t="shared" si="10"/>
        <v>84.615384615384613</v>
      </c>
      <c r="G81" s="772"/>
      <c r="H81" s="772">
        <v>0</v>
      </c>
      <c r="I81" s="105">
        <f t="shared" si="7"/>
        <v>0</v>
      </c>
      <c r="J81" s="772"/>
      <c r="K81" s="772">
        <v>0</v>
      </c>
      <c r="L81" s="105">
        <f t="shared" si="8"/>
        <v>0</v>
      </c>
      <c r="M81" s="772"/>
      <c r="N81" s="772">
        <v>2</v>
      </c>
      <c r="O81" s="105">
        <f t="shared" si="9"/>
        <v>15.384615384615385</v>
      </c>
      <c r="P81" s="772"/>
      <c r="Q81" s="772">
        <v>0</v>
      </c>
      <c r="R81" s="105">
        <f t="shared" si="11"/>
        <v>0</v>
      </c>
      <c r="S81" s="135"/>
    </row>
    <row r="82" spans="1:19" ht="9.75" customHeight="1">
      <c r="B82" s="138" t="str">
        <f t="shared" si="12"/>
        <v/>
      </c>
      <c r="C82" s="105" t="str">
        <f t="shared" ref="C82:C107" si="13">IF(A82&lt;&gt;0,B82/$B$11*100,"")</f>
        <v/>
      </c>
      <c r="F82" s="105" t="str">
        <f t="shared" si="10"/>
        <v/>
      </c>
      <c r="I82" s="105" t="str">
        <f t="shared" si="7"/>
        <v/>
      </c>
      <c r="L82" s="105" t="str">
        <f t="shared" si="8"/>
        <v/>
      </c>
      <c r="M82" s="116"/>
      <c r="O82" s="105" t="str">
        <f t="shared" si="9"/>
        <v/>
      </c>
      <c r="P82" s="135"/>
      <c r="Q82" s="140"/>
      <c r="R82" s="105" t="str">
        <f t="shared" si="11"/>
        <v/>
      </c>
      <c r="S82" s="135"/>
    </row>
    <row r="83" spans="1:19" s="55" customFormat="1" ht="12.75" customHeight="1">
      <c r="A83" s="55" t="s">
        <v>483</v>
      </c>
      <c r="B83" s="138">
        <f t="shared" si="12"/>
        <v>163</v>
      </c>
      <c r="C83" s="105">
        <f t="shared" si="13"/>
        <v>8.6243386243386251</v>
      </c>
      <c r="E83" s="72">
        <f>SUM(E84)</f>
        <v>84</v>
      </c>
      <c r="F83" s="105">
        <f t="shared" si="10"/>
        <v>51.533742331288344</v>
      </c>
      <c r="G83" s="33"/>
      <c r="H83" s="72">
        <f>SUM(H84)</f>
        <v>8</v>
      </c>
      <c r="I83" s="105">
        <f t="shared" si="7"/>
        <v>4.9079754601226995</v>
      </c>
      <c r="J83" s="73"/>
      <c r="K83" s="72">
        <f>SUM(K84)</f>
        <v>28</v>
      </c>
      <c r="L83" s="105">
        <f t="shared" si="8"/>
        <v>17.177914110429448</v>
      </c>
      <c r="M83" s="57"/>
      <c r="N83" s="72">
        <f>SUM(N84)</f>
        <v>38</v>
      </c>
      <c r="O83" s="105">
        <f t="shared" si="9"/>
        <v>23.312883435582819</v>
      </c>
      <c r="P83" s="74"/>
      <c r="Q83" s="72">
        <f>SUM(Q84)</f>
        <v>5</v>
      </c>
      <c r="R83" s="105">
        <f t="shared" si="11"/>
        <v>3.0674846625766872</v>
      </c>
      <c r="S83" s="74"/>
    </row>
    <row r="84" spans="1:19" ht="13.25" customHeight="1">
      <c r="A84" s="95" t="s">
        <v>217</v>
      </c>
      <c r="B84" s="138">
        <f t="shared" si="12"/>
        <v>163</v>
      </c>
      <c r="C84" s="105">
        <f t="shared" si="13"/>
        <v>8.6243386243386251</v>
      </c>
      <c r="E84" s="140">
        <f>SUM(E85:E93)</f>
        <v>84</v>
      </c>
      <c r="F84" s="105">
        <f t="shared" si="10"/>
        <v>51.533742331288344</v>
      </c>
      <c r="H84" s="140">
        <f>SUM(H85:H93)</f>
        <v>8</v>
      </c>
      <c r="I84" s="105">
        <f t="shared" si="7"/>
        <v>4.9079754601226995</v>
      </c>
      <c r="K84" s="140">
        <f>SUM(K85:K93)</f>
        <v>28</v>
      </c>
      <c r="L84" s="105">
        <f t="shared" si="8"/>
        <v>17.177914110429448</v>
      </c>
      <c r="M84" s="116"/>
      <c r="N84" s="140">
        <f>SUM(N85:N93)</f>
        <v>38</v>
      </c>
      <c r="O84" s="105">
        <f t="shared" si="9"/>
        <v>23.312883435582819</v>
      </c>
      <c r="P84" s="135"/>
      <c r="Q84" s="140">
        <f>SUM(Q85:Q93)</f>
        <v>5</v>
      </c>
      <c r="R84" s="105">
        <f t="shared" si="11"/>
        <v>3.0674846625766872</v>
      </c>
      <c r="S84" s="135"/>
    </row>
    <row r="85" spans="1:19" ht="13.25" customHeight="1">
      <c r="A85" s="95" t="s">
        <v>415</v>
      </c>
      <c r="B85" s="138">
        <f t="shared" si="12"/>
        <v>9</v>
      </c>
      <c r="C85" s="105">
        <f t="shared" si="13"/>
        <v>0.47619047619047622</v>
      </c>
      <c r="E85" s="772">
        <v>7</v>
      </c>
      <c r="F85" s="105">
        <f t="shared" si="10"/>
        <v>77.777777777777786</v>
      </c>
      <c r="G85" s="772"/>
      <c r="H85" s="772">
        <v>0</v>
      </c>
      <c r="I85" s="105">
        <f t="shared" si="7"/>
        <v>0</v>
      </c>
      <c r="J85" s="772"/>
      <c r="K85" s="772">
        <v>0</v>
      </c>
      <c r="L85" s="105">
        <f t="shared" si="8"/>
        <v>0</v>
      </c>
      <c r="M85" s="772"/>
      <c r="N85" s="772">
        <v>2</v>
      </c>
      <c r="O85" s="105">
        <f t="shared" si="9"/>
        <v>22.222222222222221</v>
      </c>
      <c r="P85" s="772"/>
      <c r="Q85" s="772">
        <v>0</v>
      </c>
      <c r="R85" s="105">
        <f t="shared" si="11"/>
        <v>0</v>
      </c>
      <c r="S85" s="135"/>
    </row>
    <row r="86" spans="1:19" ht="13.25" customHeight="1">
      <c r="A86" s="95" t="s">
        <v>218</v>
      </c>
      <c r="B86" s="138">
        <f t="shared" si="12"/>
        <v>30</v>
      </c>
      <c r="C86" s="105">
        <f t="shared" si="13"/>
        <v>1.5873015873015872</v>
      </c>
      <c r="E86" s="772">
        <v>15</v>
      </c>
      <c r="F86" s="105">
        <f t="shared" si="10"/>
        <v>50</v>
      </c>
      <c r="G86" s="772"/>
      <c r="H86" s="772">
        <v>2</v>
      </c>
      <c r="I86" s="105">
        <f t="shared" si="7"/>
        <v>6.666666666666667</v>
      </c>
      <c r="J86" s="772"/>
      <c r="K86" s="772">
        <v>6</v>
      </c>
      <c r="L86" s="105">
        <f t="shared" si="8"/>
        <v>20</v>
      </c>
      <c r="M86" s="772"/>
      <c r="N86" s="772">
        <v>7</v>
      </c>
      <c r="O86" s="105">
        <f t="shared" si="9"/>
        <v>23.333333333333332</v>
      </c>
      <c r="P86" s="772"/>
      <c r="Q86" s="772">
        <v>0</v>
      </c>
      <c r="R86" s="105">
        <f t="shared" si="11"/>
        <v>0</v>
      </c>
      <c r="S86" s="135"/>
    </row>
    <row r="87" spans="1:19" ht="13.25" customHeight="1">
      <c r="A87" s="95" t="s">
        <v>220</v>
      </c>
      <c r="B87" s="138">
        <f t="shared" si="12"/>
        <v>19</v>
      </c>
      <c r="C87" s="105">
        <f t="shared" si="13"/>
        <v>1.0052910052910053</v>
      </c>
      <c r="E87" s="772">
        <v>13</v>
      </c>
      <c r="F87" s="105">
        <f t="shared" si="10"/>
        <v>68.421052631578945</v>
      </c>
      <c r="G87" s="772"/>
      <c r="H87" s="772">
        <v>1</v>
      </c>
      <c r="I87" s="105">
        <f t="shared" si="7"/>
        <v>5.2631578947368416</v>
      </c>
      <c r="J87" s="772"/>
      <c r="K87" s="772">
        <v>1</v>
      </c>
      <c r="L87" s="105">
        <f t="shared" si="8"/>
        <v>5.2631578947368416</v>
      </c>
      <c r="M87" s="772"/>
      <c r="N87" s="772">
        <v>3</v>
      </c>
      <c r="O87" s="105">
        <f t="shared" si="9"/>
        <v>15.789473684210526</v>
      </c>
      <c r="P87" s="772"/>
      <c r="Q87" s="772">
        <v>1</v>
      </c>
      <c r="R87" s="105">
        <f t="shared" si="11"/>
        <v>5.2631578947368416</v>
      </c>
      <c r="S87" s="135"/>
    </row>
    <row r="88" spans="1:19" ht="13.25" customHeight="1">
      <c r="A88" s="95" t="s">
        <v>222</v>
      </c>
      <c r="B88" s="138">
        <f t="shared" si="12"/>
        <v>16</v>
      </c>
      <c r="C88" s="105">
        <f t="shared" si="13"/>
        <v>0.84656084656084662</v>
      </c>
      <c r="E88" s="772">
        <v>5</v>
      </c>
      <c r="F88" s="105">
        <f t="shared" si="10"/>
        <v>31.25</v>
      </c>
      <c r="G88" s="772"/>
      <c r="H88" s="772">
        <v>0</v>
      </c>
      <c r="I88" s="105">
        <f t="shared" si="7"/>
        <v>0</v>
      </c>
      <c r="J88" s="772"/>
      <c r="K88" s="772">
        <v>5</v>
      </c>
      <c r="L88" s="105">
        <f t="shared" si="8"/>
        <v>31.25</v>
      </c>
      <c r="M88" s="772"/>
      <c r="N88" s="772">
        <v>6</v>
      </c>
      <c r="O88" s="105">
        <f t="shared" si="9"/>
        <v>37.5</v>
      </c>
      <c r="P88" s="772"/>
      <c r="Q88" s="772">
        <v>0</v>
      </c>
      <c r="R88" s="105">
        <f t="shared" si="11"/>
        <v>0</v>
      </c>
      <c r="S88" s="135"/>
    </row>
    <row r="89" spans="1:19" ht="13.25" customHeight="1">
      <c r="A89" s="95" t="s">
        <v>221</v>
      </c>
      <c r="B89" s="138">
        <f t="shared" si="12"/>
        <v>14</v>
      </c>
      <c r="C89" s="105">
        <f t="shared" si="13"/>
        <v>0.74074074074074081</v>
      </c>
      <c r="E89" s="772">
        <v>7</v>
      </c>
      <c r="F89" s="105">
        <f t="shared" si="10"/>
        <v>50</v>
      </c>
      <c r="G89" s="772"/>
      <c r="H89" s="772">
        <v>0</v>
      </c>
      <c r="I89" s="105">
        <f t="shared" si="7"/>
        <v>0</v>
      </c>
      <c r="J89" s="772"/>
      <c r="K89" s="772">
        <v>2</v>
      </c>
      <c r="L89" s="105">
        <f t="shared" si="8"/>
        <v>14.285714285714285</v>
      </c>
      <c r="M89" s="772"/>
      <c r="N89" s="772">
        <v>4</v>
      </c>
      <c r="O89" s="105">
        <f t="shared" si="9"/>
        <v>28.571428571428569</v>
      </c>
      <c r="P89" s="772"/>
      <c r="Q89" s="772">
        <v>1</v>
      </c>
      <c r="R89" s="105">
        <f t="shared" si="11"/>
        <v>7.1428571428571423</v>
      </c>
      <c r="S89" s="135"/>
    </row>
    <row r="90" spans="1:19" ht="13.25" customHeight="1">
      <c r="A90" s="95" t="s">
        <v>219</v>
      </c>
      <c r="B90" s="138">
        <f t="shared" si="12"/>
        <v>11</v>
      </c>
      <c r="C90" s="105">
        <f t="shared" si="13"/>
        <v>0.58201058201058198</v>
      </c>
      <c r="E90" s="772">
        <v>4</v>
      </c>
      <c r="F90" s="105">
        <f t="shared" si="10"/>
        <v>36.363636363636367</v>
      </c>
      <c r="G90" s="772"/>
      <c r="H90" s="772">
        <v>1</v>
      </c>
      <c r="I90" s="105">
        <f t="shared" si="7"/>
        <v>9.0909090909090917</v>
      </c>
      <c r="J90" s="772"/>
      <c r="K90" s="772">
        <v>2</v>
      </c>
      <c r="L90" s="105">
        <f t="shared" si="8"/>
        <v>18.181818181818183</v>
      </c>
      <c r="M90" s="772"/>
      <c r="N90" s="772">
        <v>4</v>
      </c>
      <c r="O90" s="105">
        <f t="shared" si="9"/>
        <v>36.363636363636367</v>
      </c>
      <c r="P90" s="772"/>
      <c r="Q90" s="772">
        <v>0</v>
      </c>
      <c r="R90" s="105">
        <f t="shared" si="11"/>
        <v>0</v>
      </c>
      <c r="S90" s="135"/>
    </row>
    <row r="91" spans="1:19" ht="13.25" customHeight="1">
      <c r="A91" s="95" t="s">
        <v>223</v>
      </c>
      <c r="B91" s="138">
        <f t="shared" si="12"/>
        <v>32</v>
      </c>
      <c r="C91" s="105">
        <f t="shared" si="13"/>
        <v>1.6931216931216932</v>
      </c>
      <c r="E91" s="772">
        <v>10</v>
      </c>
      <c r="F91" s="105">
        <f t="shared" si="10"/>
        <v>31.25</v>
      </c>
      <c r="G91" s="772"/>
      <c r="H91" s="772">
        <v>4</v>
      </c>
      <c r="I91" s="105">
        <f t="shared" si="7"/>
        <v>12.5</v>
      </c>
      <c r="J91" s="772"/>
      <c r="K91" s="772">
        <v>9</v>
      </c>
      <c r="L91" s="105">
        <f t="shared" si="8"/>
        <v>28.125</v>
      </c>
      <c r="M91" s="772"/>
      <c r="N91" s="772">
        <v>7</v>
      </c>
      <c r="O91" s="105">
        <f t="shared" si="9"/>
        <v>21.875</v>
      </c>
      <c r="P91" s="772"/>
      <c r="Q91" s="772">
        <v>2</v>
      </c>
      <c r="R91" s="105">
        <f t="shared" si="11"/>
        <v>6.25</v>
      </c>
      <c r="S91" s="135"/>
    </row>
    <row r="92" spans="1:19" ht="12" customHeight="1">
      <c r="A92" s="95" t="s">
        <v>226</v>
      </c>
      <c r="B92" s="138">
        <f t="shared" si="12"/>
        <v>9</v>
      </c>
      <c r="C92" s="105">
        <f t="shared" si="13"/>
        <v>0.47619047619047622</v>
      </c>
      <c r="E92" s="772">
        <v>2</v>
      </c>
      <c r="F92" s="105">
        <f t="shared" si="10"/>
        <v>22.222222222222221</v>
      </c>
      <c r="G92" s="772"/>
      <c r="H92" s="772">
        <v>0</v>
      </c>
      <c r="I92" s="105">
        <f t="shared" si="7"/>
        <v>0</v>
      </c>
      <c r="J92" s="772"/>
      <c r="K92" s="772">
        <v>1</v>
      </c>
      <c r="L92" s="105">
        <f t="shared" si="8"/>
        <v>11.111111111111111</v>
      </c>
      <c r="M92" s="772"/>
      <c r="N92" s="772">
        <v>5</v>
      </c>
      <c r="O92" s="105">
        <f t="shared" si="9"/>
        <v>55.555555555555557</v>
      </c>
      <c r="P92" s="772"/>
      <c r="Q92" s="772">
        <v>1</v>
      </c>
      <c r="R92" s="105">
        <f t="shared" si="11"/>
        <v>11.111111111111111</v>
      </c>
      <c r="S92" s="135"/>
    </row>
    <row r="93" spans="1:19" ht="13.25" customHeight="1">
      <c r="A93" s="95" t="s">
        <v>416</v>
      </c>
      <c r="B93" s="138">
        <f t="shared" si="12"/>
        <v>23</v>
      </c>
      <c r="C93" s="105">
        <f t="shared" si="13"/>
        <v>1.216931216931217</v>
      </c>
      <c r="E93" s="772">
        <v>21</v>
      </c>
      <c r="F93" s="105">
        <f t="shared" si="10"/>
        <v>91.304347826086953</v>
      </c>
      <c r="G93" s="772"/>
      <c r="H93" s="772">
        <v>0</v>
      </c>
      <c r="I93" s="105">
        <f t="shared" si="7"/>
        <v>0</v>
      </c>
      <c r="J93" s="772"/>
      <c r="K93" s="772">
        <v>2</v>
      </c>
      <c r="L93" s="105">
        <f t="shared" si="8"/>
        <v>8.695652173913043</v>
      </c>
      <c r="M93" s="772"/>
      <c r="N93" s="772">
        <v>0</v>
      </c>
      <c r="O93" s="105">
        <f t="shared" si="9"/>
        <v>0</v>
      </c>
      <c r="P93" s="772"/>
      <c r="Q93" s="772">
        <v>0</v>
      </c>
      <c r="R93" s="105">
        <f t="shared" si="11"/>
        <v>0</v>
      </c>
      <c r="S93" s="135"/>
    </row>
    <row r="94" spans="1:19" ht="10" customHeight="1">
      <c r="B94" s="138" t="str">
        <f t="shared" si="12"/>
        <v/>
      </c>
      <c r="C94" s="105" t="str">
        <f t="shared" si="13"/>
        <v/>
      </c>
      <c r="E94" s="772"/>
      <c r="F94" s="105" t="str">
        <f t="shared" si="10"/>
        <v/>
      </c>
      <c r="G94" s="772"/>
      <c r="H94" s="772"/>
      <c r="I94" s="105" t="str">
        <f t="shared" si="7"/>
        <v/>
      </c>
      <c r="J94" s="772"/>
      <c r="K94" s="772"/>
      <c r="L94" s="105" t="str">
        <f t="shared" si="8"/>
        <v/>
      </c>
      <c r="M94" s="772"/>
      <c r="N94" s="772"/>
      <c r="O94" s="105" t="str">
        <f t="shared" si="9"/>
        <v/>
      </c>
      <c r="P94" s="772"/>
      <c r="Q94" s="772"/>
      <c r="R94" s="105" t="str">
        <f t="shared" si="11"/>
        <v/>
      </c>
      <c r="S94" s="135"/>
    </row>
    <row r="95" spans="1:19" ht="12" customHeight="1">
      <c r="A95" s="95" t="s">
        <v>227</v>
      </c>
      <c r="B95" s="138">
        <f t="shared" si="12"/>
        <v>95</v>
      </c>
      <c r="C95" s="105">
        <f t="shared" si="13"/>
        <v>5.0264550264550261</v>
      </c>
      <c r="E95" s="772">
        <v>51</v>
      </c>
      <c r="F95" s="105">
        <f t="shared" si="10"/>
        <v>53.684210526315788</v>
      </c>
      <c r="G95" s="772"/>
      <c r="H95" s="772">
        <v>7</v>
      </c>
      <c r="I95" s="105">
        <f t="shared" si="7"/>
        <v>7.3684210526315779</v>
      </c>
      <c r="J95" s="772"/>
      <c r="K95" s="772">
        <v>24</v>
      </c>
      <c r="L95" s="105">
        <f t="shared" si="8"/>
        <v>25.263157894736842</v>
      </c>
      <c r="M95" s="772"/>
      <c r="N95" s="772">
        <v>13</v>
      </c>
      <c r="O95" s="105">
        <f t="shared" si="9"/>
        <v>13.684210526315791</v>
      </c>
      <c r="P95" s="772"/>
      <c r="Q95" s="772">
        <v>0</v>
      </c>
      <c r="R95" s="105">
        <f t="shared" si="11"/>
        <v>0</v>
      </c>
      <c r="S95" s="135"/>
    </row>
    <row r="96" spans="1:19" ht="12" customHeight="1">
      <c r="A96" s="95" t="s">
        <v>417</v>
      </c>
      <c r="B96" s="138">
        <f t="shared" si="12"/>
        <v>1</v>
      </c>
      <c r="C96" s="105">
        <f t="shared" si="13"/>
        <v>5.2910052910052914E-2</v>
      </c>
      <c r="E96" s="772">
        <v>0</v>
      </c>
      <c r="F96" s="105">
        <f t="shared" si="10"/>
        <v>0</v>
      </c>
      <c r="G96" s="772"/>
      <c r="H96" s="772">
        <v>0</v>
      </c>
      <c r="I96" s="105">
        <f t="shared" si="7"/>
        <v>0</v>
      </c>
      <c r="J96" s="772"/>
      <c r="K96" s="772">
        <v>0</v>
      </c>
      <c r="L96" s="105">
        <f t="shared" si="8"/>
        <v>0</v>
      </c>
      <c r="M96" s="772"/>
      <c r="N96" s="772">
        <v>1</v>
      </c>
      <c r="O96" s="105">
        <f t="shared" si="9"/>
        <v>100</v>
      </c>
      <c r="P96" s="772"/>
      <c r="Q96" s="772">
        <v>0</v>
      </c>
      <c r="R96" s="105">
        <f t="shared" si="11"/>
        <v>0</v>
      </c>
      <c r="S96" s="135"/>
    </row>
    <row r="97" spans="1:19" ht="12" hidden="1" customHeight="1">
      <c r="A97" s="95" t="s">
        <v>520</v>
      </c>
      <c r="B97" s="138">
        <f t="shared" si="12"/>
        <v>0</v>
      </c>
      <c r="C97" s="105">
        <f t="shared" si="13"/>
        <v>0</v>
      </c>
      <c r="E97" s="121">
        <v>0</v>
      </c>
      <c r="F97" s="105" t="e">
        <f t="shared" si="10"/>
        <v>#DIV/0!</v>
      </c>
      <c r="G97" s="121"/>
      <c r="H97" s="121">
        <v>0</v>
      </c>
      <c r="I97" s="105" t="e">
        <f t="shared" si="7"/>
        <v>#DIV/0!</v>
      </c>
      <c r="J97" s="121"/>
      <c r="K97" s="121">
        <v>0</v>
      </c>
      <c r="L97" s="105" t="e">
        <f t="shared" si="8"/>
        <v>#DIV/0!</v>
      </c>
      <c r="M97" s="121"/>
      <c r="N97" s="121"/>
      <c r="O97" s="105" t="e">
        <f t="shared" si="9"/>
        <v>#DIV/0!</v>
      </c>
      <c r="P97" s="121"/>
      <c r="Q97" s="121">
        <v>0</v>
      </c>
      <c r="R97" s="105" t="e">
        <f t="shared" si="11"/>
        <v>#DIV/0!</v>
      </c>
      <c r="S97" s="135"/>
    </row>
    <row r="98" spans="1:19" ht="7.5" hidden="1" customHeight="1">
      <c r="B98" s="138" t="str">
        <f t="shared" si="12"/>
        <v/>
      </c>
      <c r="C98" s="105" t="str">
        <f t="shared" si="13"/>
        <v/>
      </c>
      <c r="F98" s="105" t="str">
        <f t="shared" si="10"/>
        <v/>
      </c>
      <c r="I98" s="105" t="str">
        <f t="shared" si="7"/>
        <v/>
      </c>
      <c r="L98" s="105" t="str">
        <f t="shared" si="8"/>
        <v/>
      </c>
      <c r="M98" s="116"/>
      <c r="O98" s="105" t="str">
        <f t="shared" si="9"/>
        <v/>
      </c>
      <c r="P98" s="135"/>
      <c r="Q98" s="140"/>
      <c r="R98" s="105" t="str">
        <f t="shared" si="11"/>
        <v/>
      </c>
      <c r="S98" s="135"/>
    </row>
    <row r="99" spans="1:19" ht="12" hidden="1" customHeight="1">
      <c r="A99" s="95" t="s">
        <v>157</v>
      </c>
      <c r="B99" s="138">
        <f t="shared" si="12"/>
        <v>0</v>
      </c>
      <c r="C99" s="105">
        <f t="shared" si="13"/>
        <v>0</v>
      </c>
      <c r="F99" s="105" t="e">
        <f t="shared" si="10"/>
        <v>#DIV/0!</v>
      </c>
      <c r="I99" s="105" t="e">
        <f t="shared" si="7"/>
        <v>#DIV/0!</v>
      </c>
      <c r="L99" s="105" t="e">
        <f t="shared" si="8"/>
        <v>#DIV/0!</v>
      </c>
      <c r="M99" s="116"/>
      <c r="O99" s="105" t="e">
        <f t="shared" si="9"/>
        <v>#DIV/0!</v>
      </c>
      <c r="P99" s="135"/>
      <c r="Q99" s="140"/>
      <c r="R99" s="105" t="e">
        <f t="shared" si="11"/>
        <v>#DIV/0!</v>
      </c>
      <c r="S99" s="135"/>
    </row>
    <row r="100" spans="1:19" ht="12" customHeight="1">
      <c r="B100" s="138" t="str">
        <f>IF($A100&lt;&gt;"",E100+H100+K100+N100+Q100+#REF!,"")</f>
        <v/>
      </c>
      <c r="C100" s="105" t="str">
        <f t="shared" si="13"/>
        <v/>
      </c>
      <c r="F100" s="105" t="str">
        <f t="shared" si="10"/>
        <v/>
      </c>
      <c r="I100" s="105" t="str">
        <f t="shared" si="7"/>
        <v/>
      </c>
      <c r="L100" s="105" t="str">
        <f t="shared" si="8"/>
        <v/>
      </c>
      <c r="M100" s="116"/>
      <c r="O100" s="105" t="str">
        <f t="shared" si="9"/>
        <v/>
      </c>
      <c r="P100" s="135"/>
      <c r="Q100" s="140"/>
      <c r="R100" s="105" t="str">
        <f t="shared" si="11"/>
        <v/>
      </c>
      <c r="S100" s="135"/>
    </row>
    <row r="101" spans="1:19" ht="12" customHeight="1">
      <c r="A101" s="55" t="s">
        <v>84</v>
      </c>
      <c r="B101" s="138">
        <f t="shared" ref="B101:B106" si="14">IF($A101&lt;&gt;"",E101+H101+K101+N101+Q101,"")</f>
        <v>142</v>
      </c>
      <c r="C101" s="105">
        <f t="shared" si="13"/>
        <v>7.5132275132275135</v>
      </c>
      <c r="E101" s="155">
        <f>SUM(E103+E104+E105+E107)</f>
        <v>69</v>
      </c>
      <c r="F101" s="105">
        <f t="shared" si="10"/>
        <v>48.591549295774648</v>
      </c>
      <c r="G101" s="111"/>
      <c r="H101" s="155">
        <f>SUM(H103+H104+H105+H107)</f>
        <v>8</v>
      </c>
      <c r="I101" s="105">
        <f t="shared" si="7"/>
        <v>5.6338028169014089</v>
      </c>
      <c r="J101" s="139"/>
      <c r="K101" s="155">
        <f>SUM(K103+K104+K105+K107)</f>
        <v>41</v>
      </c>
      <c r="L101" s="105">
        <f t="shared" si="8"/>
        <v>28.87323943661972</v>
      </c>
      <c r="M101" s="121"/>
      <c r="N101" s="155">
        <f>SUM(N103+N104+N105+N107)</f>
        <v>22</v>
      </c>
      <c r="O101" s="105">
        <f t="shared" si="9"/>
        <v>15.492957746478872</v>
      </c>
      <c r="P101" s="146"/>
      <c r="Q101" s="155">
        <f>SUM(Q103+Q104+Q105+Q107)</f>
        <v>2</v>
      </c>
      <c r="R101" s="105">
        <f t="shared" si="11"/>
        <v>1.4084507042253522</v>
      </c>
      <c r="S101" s="135"/>
    </row>
    <row r="102" spans="1:19" ht="8.25" customHeight="1">
      <c r="B102" s="138" t="str">
        <f t="shared" si="14"/>
        <v/>
      </c>
      <c r="C102" s="105" t="str">
        <f t="shared" si="13"/>
        <v/>
      </c>
      <c r="E102" s="155"/>
      <c r="F102" s="105" t="str">
        <f t="shared" si="10"/>
        <v/>
      </c>
      <c r="G102" s="111"/>
      <c r="H102" s="155"/>
      <c r="I102" s="105" t="str">
        <f t="shared" si="7"/>
        <v/>
      </c>
      <c r="J102" s="139"/>
      <c r="K102" s="155"/>
      <c r="L102" s="105" t="str">
        <f t="shared" si="8"/>
        <v/>
      </c>
      <c r="M102" s="121"/>
      <c r="N102" s="155"/>
      <c r="O102" s="105" t="str">
        <f t="shared" si="9"/>
        <v/>
      </c>
      <c r="P102" s="146"/>
      <c r="Q102" s="155"/>
      <c r="R102" s="105" t="str">
        <f t="shared" si="11"/>
        <v/>
      </c>
      <c r="S102" s="135"/>
    </row>
    <row r="103" spans="1:19" ht="12" customHeight="1">
      <c r="A103" s="95" t="s">
        <v>485</v>
      </c>
      <c r="B103" s="138">
        <f t="shared" si="14"/>
        <v>55</v>
      </c>
      <c r="C103" s="105">
        <f t="shared" si="13"/>
        <v>2.9100529100529098</v>
      </c>
      <c r="E103" s="772">
        <v>19</v>
      </c>
      <c r="F103" s="105">
        <f t="shared" si="10"/>
        <v>34.545454545454547</v>
      </c>
      <c r="G103" s="772"/>
      <c r="H103" s="772">
        <v>5</v>
      </c>
      <c r="I103" s="105">
        <f t="shared" si="7"/>
        <v>9.0909090909090917</v>
      </c>
      <c r="J103" s="772"/>
      <c r="K103" s="772">
        <v>19</v>
      </c>
      <c r="L103" s="105">
        <f t="shared" si="8"/>
        <v>34.545454545454547</v>
      </c>
      <c r="M103" s="772"/>
      <c r="N103" s="772">
        <v>12</v>
      </c>
      <c r="O103" s="105">
        <f t="shared" si="9"/>
        <v>21.818181818181817</v>
      </c>
      <c r="P103" s="772"/>
      <c r="Q103" s="772">
        <v>0</v>
      </c>
      <c r="R103" s="105">
        <f t="shared" si="11"/>
        <v>0</v>
      </c>
      <c r="S103" s="135"/>
    </row>
    <row r="104" spans="1:19" ht="12" customHeight="1">
      <c r="A104" s="95" t="s">
        <v>486</v>
      </c>
      <c r="B104" s="138">
        <f t="shared" si="14"/>
        <v>73</v>
      </c>
      <c r="C104" s="105">
        <f t="shared" si="13"/>
        <v>3.8624338624338623</v>
      </c>
      <c r="E104" s="772">
        <v>39</v>
      </c>
      <c r="F104" s="105">
        <f t="shared" si="10"/>
        <v>53.424657534246577</v>
      </c>
      <c r="G104" s="772"/>
      <c r="H104" s="772">
        <v>2</v>
      </c>
      <c r="I104" s="105">
        <f t="shared" si="7"/>
        <v>2.7397260273972601</v>
      </c>
      <c r="J104" s="772"/>
      <c r="K104" s="772">
        <v>21</v>
      </c>
      <c r="L104" s="105">
        <f t="shared" si="8"/>
        <v>28.767123287671232</v>
      </c>
      <c r="M104" s="772"/>
      <c r="N104" s="772">
        <v>9</v>
      </c>
      <c r="O104" s="105">
        <f t="shared" si="9"/>
        <v>12.328767123287671</v>
      </c>
      <c r="P104" s="772"/>
      <c r="Q104" s="772">
        <v>2</v>
      </c>
      <c r="R104" s="105">
        <f t="shared" si="11"/>
        <v>2.7397260273972601</v>
      </c>
      <c r="S104" s="135"/>
    </row>
    <row r="105" spans="1:19" ht="12" customHeight="1">
      <c r="A105" s="95" t="s">
        <v>487</v>
      </c>
      <c r="B105" s="138">
        <f t="shared" si="14"/>
        <v>14</v>
      </c>
      <c r="C105" s="105">
        <f t="shared" si="13"/>
        <v>0.74074074074074081</v>
      </c>
      <c r="E105" s="772">
        <v>11</v>
      </c>
      <c r="F105" s="105">
        <f t="shared" si="10"/>
        <v>78.571428571428569</v>
      </c>
      <c r="G105" s="772"/>
      <c r="H105" s="772">
        <v>1</v>
      </c>
      <c r="I105" s="105">
        <f t="shared" si="7"/>
        <v>7.1428571428571423</v>
      </c>
      <c r="J105" s="772"/>
      <c r="K105" s="772">
        <v>1</v>
      </c>
      <c r="L105" s="105">
        <f t="shared" si="8"/>
        <v>7.1428571428571423</v>
      </c>
      <c r="M105" s="772"/>
      <c r="N105" s="772">
        <v>1</v>
      </c>
      <c r="O105" s="105">
        <f t="shared" si="9"/>
        <v>7.1428571428571423</v>
      </c>
      <c r="P105" s="772"/>
      <c r="Q105" s="772">
        <v>0</v>
      </c>
      <c r="R105" s="105">
        <f t="shared" si="11"/>
        <v>0</v>
      </c>
      <c r="S105" s="135"/>
    </row>
    <row r="106" spans="1:19" ht="12" customHeight="1">
      <c r="B106" s="138" t="str">
        <f t="shared" si="14"/>
        <v/>
      </c>
      <c r="C106" s="105" t="str">
        <f t="shared" si="13"/>
        <v/>
      </c>
      <c r="E106" s="121"/>
      <c r="F106" s="105" t="str">
        <f t="shared" si="10"/>
        <v/>
      </c>
      <c r="G106" s="121"/>
      <c r="H106" s="121"/>
      <c r="I106" s="105" t="str">
        <f t="shared" si="7"/>
        <v/>
      </c>
      <c r="J106" s="121"/>
      <c r="K106" s="121"/>
      <c r="L106" s="105" t="str">
        <f t="shared" si="8"/>
        <v/>
      </c>
      <c r="M106" s="121"/>
      <c r="N106" s="121"/>
      <c r="O106" s="105" t="str">
        <f t="shared" si="9"/>
        <v/>
      </c>
      <c r="P106" s="121"/>
      <c r="Q106" s="121"/>
      <c r="R106" s="105" t="str">
        <f t="shared" si="11"/>
        <v/>
      </c>
      <c r="S106" s="135"/>
    </row>
    <row r="107" spans="1:19" ht="12" hidden="1" customHeight="1">
      <c r="A107" s="95" t="s">
        <v>503</v>
      </c>
      <c r="B107" s="138">
        <f>IF($A107&lt;&gt;"",E107+H107+K107+N107+Q107,"")</f>
        <v>0</v>
      </c>
      <c r="C107" s="105">
        <f t="shared" si="13"/>
        <v>0</v>
      </c>
      <c r="E107" s="121">
        <v>0</v>
      </c>
      <c r="F107" s="105" t="e">
        <f t="shared" si="10"/>
        <v>#DIV/0!</v>
      </c>
      <c r="G107" s="121"/>
      <c r="H107" s="121">
        <v>0</v>
      </c>
      <c r="I107" s="105" t="e">
        <f t="shared" si="7"/>
        <v>#DIV/0!</v>
      </c>
      <c r="J107" s="121"/>
      <c r="K107" s="121">
        <v>0</v>
      </c>
      <c r="L107" s="105" t="e">
        <f t="shared" si="8"/>
        <v>#DIV/0!</v>
      </c>
      <c r="M107" s="121"/>
      <c r="N107" s="121">
        <v>0</v>
      </c>
      <c r="O107" s="105" t="e">
        <f t="shared" si="9"/>
        <v>#DIV/0!</v>
      </c>
      <c r="P107" s="121"/>
      <c r="Q107" s="121"/>
      <c r="R107" s="105" t="e">
        <f t="shared" si="11"/>
        <v>#DIV/0!</v>
      </c>
      <c r="S107" s="135"/>
    </row>
    <row r="108" spans="1:19" ht="9" hidden="1" customHeight="1">
      <c r="F108" s="105" t="str">
        <f t="shared" si="10"/>
        <v/>
      </c>
      <c r="I108" s="105" t="str">
        <f t="shared" si="7"/>
        <v/>
      </c>
      <c r="L108" s="105" t="str">
        <f t="shared" si="8"/>
        <v/>
      </c>
      <c r="M108" s="116"/>
      <c r="O108" s="105" t="str">
        <f t="shared" si="9"/>
        <v/>
      </c>
      <c r="P108" s="135"/>
      <c r="Q108" s="140"/>
      <c r="R108" s="105" t="str">
        <f t="shared" si="11"/>
        <v/>
      </c>
      <c r="S108" s="135"/>
    </row>
    <row r="109" spans="1:19" ht="12" customHeight="1">
      <c r="A109" s="55" t="s">
        <v>423</v>
      </c>
      <c r="B109" s="138">
        <f t="shared" ref="B109:B114" si="15">IF($A109&lt;&gt;"",E109+H109+K109+N109+Q109,"")</f>
        <v>188</v>
      </c>
      <c r="C109" s="105">
        <f t="shared" ref="C109:C114" si="16">IF(A109&lt;&gt;0,B109/$B$11*100,"")</f>
        <v>9.9470899470899479</v>
      </c>
      <c r="E109" s="140">
        <f>SUM(E110:E114)</f>
        <v>119</v>
      </c>
      <c r="F109" s="105">
        <f t="shared" si="10"/>
        <v>63.297872340425535</v>
      </c>
      <c r="H109" s="140">
        <f>SUM(H110:H114)</f>
        <v>4</v>
      </c>
      <c r="I109" s="105">
        <f t="shared" si="7"/>
        <v>2.1276595744680851</v>
      </c>
      <c r="K109" s="140">
        <f>SUM(K110:K114)</f>
        <v>46</v>
      </c>
      <c r="L109" s="105">
        <f t="shared" si="8"/>
        <v>24.468085106382979</v>
      </c>
      <c r="M109" s="116"/>
      <c r="N109" s="140">
        <f>SUM(N110:N114)</f>
        <v>15</v>
      </c>
      <c r="O109" s="105">
        <f t="shared" si="9"/>
        <v>7.9787234042553195</v>
      </c>
      <c r="P109" s="135"/>
      <c r="Q109" s="140">
        <f>SUM(Q110:Q114)</f>
        <v>4</v>
      </c>
      <c r="R109" s="105">
        <f t="shared" si="11"/>
        <v>2.1276595744680851</v>
      </c>
      <c r="S109" s="135"/>
    </row>
    <row r="110" spans="1:19" ht="12" customHeight="1">
      <c r="A110" s="95" t="s">
        <v>424</v>
      </c>
      <c r="B110" s="138">
        <f t="shared" si="15"/>
        <v>75</v>
      </c>
      <c r="C110" s="105">
        <f t="shared" si="16"/>
        <v>3.9682539682539679</v>
      </c>
      <c r="E110" s="772">
        <v>57</v>
      </c>
      <c r="F110" s="105">
        <f t="shared" si="10"/>
        <v>76</v>
      </c>
      <c r="G110" s="772"/>
      <c r="H110" s="772">
        <v>3</v>
      </c>
      <c r="I110" s="105">
        <f t="shared" si="7"/>
        <v>4</v>
      </c>
      <c r="J110" s="772"/>
      <c r="K110" s="772">
        <v>8</v>
      </c>
      <c r="L110" s="105">
        <f t="shared" si="8"/>
        <v>10.666666666666668</v>
      </c>
      <c r="M110" s="772"/>
      <c r="N110" s="772">
        <v>5</v>
      </c>
      <c r="O110" s="105">
        <f t="shared" si="9"/>
        <v>6.666666666666667</v>
      </c>
      <c r="P110" s="772"/>
      <c r="Q110" s="772">
        <v>2</v>
      </c>
      <c r="R110" s="105">
        <f t="shared" si="11"/>
        <v>2.666666666666667</v>
      </c>
      <c r="S110" s="135"/>
    </row>
    <row r="111" spans="1:19" ht="12" customHeight="1">
      <c r="A111" s="95" t="s">
        <v>425</v>
      </c>
      <c r="B111" s="138">
        <f t="shared" si="15"/>
        <v>31</v>
      </c>
      <c r="C111" s="105">
        <f t="shared" si="16"/>
        <v>1.64021164021164</v>
      </c>
      <c r="E111" s="772">
        <v>15</v>
      </c>
      <c r="F111" s="105">
        <f t="shared" si="10"/>
        <v>48.387096774193552</v>
      </c>
      <c r="G111" s="772"/>
      <c r="H111" s="772">
        <v>0</v>
      </c>
      <c r="I111" s="105">
        <f t="shared" si="7"/>
        <v>0</v>
      </c>
      <c r="J111" s="772"/>
      <c r="K111" s="772">
        <v>11</v>
      </c>
      <c r="L111" s="105">
        <f t="shared" si="8"/>
        <v>35.483870967741936</v>
      </c>
      <c r="M111" s="772"/>
      <c r="N111" s="772">
        <v>3</v>
      </c>
      <c r="O111" s="105">
        <f t="shared" si="9"/>
        <v>9.67741935483871</v>
      </c>
      <c r="P111" s="772"/>
      <c r="Q111" s="772">
        <v>2</v>
      </c>
      <c r="R111" s="105">
        <f t="shared" si="11"/>
        <v>6.4516129032258061</v>
      </c>
      <c r="S111" s="135"/>
    </row>
    <row r="112" spans="1:19" ht="12" customHeight="1">
      <c r="A112" s="95" t="s">
        <v>426</v>
      </c>
      <c r="B112" s="138">
        <f t="shared" si="15"/>
        <v>28</v>
      </c>
      <c r="C112" s="105">
        <f t="shared" si="16"/>
        <v>1.4814814814814816</v>
      </c>
      <c r="E112" s="772">
        <v>17</v>
      </c>
      <c r="F112" s="105">
        <f t="shared" si="10"/>
        <v>60.714285714285708</v>
      </c>
      <c r="G112" s="772"/>
      <c r="H112" s="772">
        <v>0</v>
      </c>
      <c r="I112" s="105">
        <f t="shared" si="7"/>
        <v>0</v>
      </c>
      <c r="J112" s="772"/>
      <c r="K112" s="772">
        <v>11</v>
      </c>
      <c r="L112" s="105">
        <f t="shared" si="8"/>
        <v>39.285714285714285</v>
      </c>
      <c r="M112" s="772"/>
      <c r="N112" s="772">
        <v>0</v>
      </c>
      <c r="O112" s="105">
        <f t="shared" si="9"/>
        <v>0</v>
      </c>
      <c r="P112" s="772"/>
      <c r="Q112" s="772">
        <v>0</v>
      </c>
      <c r="R112" s="105">
        <f t="shared" si="11"/>
        <v>0</v>
      </c>
      <c r="S112" s="135"/>
    </row>
    <row r="113" spans="1:19" ht="12" customHeight="1">
      <c r="A113" s="33" t="s">
        <v>427</v>
      </c>
      <c r="B113" s="138">
        <f t="shared" si="15"/>
        <v>24</v>
      </c>
      <c r="C113" s="105">
        <f t="shared" si="16"/>
        <v>1.2698412698412698</v>
      </c>
      <c r="E113" s="772">
        <v>11</v>
      </c>
      <c r="F113" s="105">
        <f t="shared" si="10"/>
        <v>45.833333333333329</v>
      </c>
      <c r="G113" s="772"/>
      <c r="H113" s="772">
        <v>1</v>
      </c>
      <c r="I113" s="105">
        <f t="shared" si="7"/>
        <v>4.1666666666666661</v>
      </c>
      <c r="J113" s="772"/>
      <c r="K113" s="772">
        <v>10</v>
      </c>
      <c r="L113" s="105">
        <f t="shared" si="8"/>
        <v>41.666666666666671</v>
      </c>
      <c r="M113" s="772"/>
      <c r="N113" s="772">
        <v>2</v>
      </c>
      <c r="O113" s="105">
        <f t="shared" si="9"/>
        <v>8.3333333333333321</v>
      </c>
      <c r="P113" s="772"/>
      <c r="Q113" s="772">
        <v>0</v>
      </c>
      <c r="R113" s="105">
        <f t="shared" si="11"/>
        <v>0</v>
      </c>
      <c r="S113" s="135"/>
    </row>
    <row r="114" spans="1:19" ht="12" customHeight="1">
      <c r="A114" s="95" t="s">
        <v>428</v>
      </c>
      <c r="B114" s="138">
        <f t="shared" si="15"/>
        <v>30</v>
      </c>
      <c r="C114" s="105">
        <f t="shared" si="16"/>
        <v>1.5873015873015872</v>
      </c>
      <c r="E114" s="772">
        <v>19</v>
      </c>
      <c r="F114" s="105">
        <f t="shared" si="10"/>
        <v>63.333333333333329</v>
      </c>
      <c r="G114" s="772"/>
      <c r="H114" s="772">
        <v>0</v>
      </c>
      <c r="I114" s="105">
        <f t="shared" si="7"/>
        <v>0</v>
      </c>
      <c r="J114" s="772"/>
      <c r="K114" s="772">
        <v>6</v>
      </c>
      <c r="L114" s="105">
        <f t="shared" si="8"/>
        <v>20</v>
      </c>
      <c r="M114" s="772"/>
      <c r="N114" s="772">
        <v>5</v>
      </c>
      <c r="O114" s="105">
        <f t="shared" si="9"/>
        <v>16.666666666666664</v>
      </c>
      <c r="P114" s="772"/>
      <c r="Q114" s="772">
        <v>0</v>
      </c>
      <c r="R114" s="105">
        <f t="shared" si="11"/>
        <v>0</v>
      </c>
      <c r="S114" s="135"/>
    </row>
    <row r="115" spans="1:19" ht="10" customHeight="1" thickBot="1">
      <c r="O115" s="105"/>
      <c r="P115" s="105"/>
      <c r="Q115" s="140"/>
      <c r="R115" s="105"/>
      <c r="S115" s="105"/>
    </row>
    <row r="116" spans="1:19" ht="10" customHeight="1">
      <c r="A116" s="97"/>
      <c r="B116" s="142"/>
      <c r="C116" s="99"/>
      <c r="D116" s="97"/>
      <c r="E116" s="144"/>
      <c r="F116" s="99"/>
      <c r="G116" s="97"/>
      <c r="H116" s="144"/>
      <c r="I116" s="99"/>
      <c r="J116" s="99"/>
      <c r="K116" s="144"/>
      <c r="L116" s="99"/>
      <c r="M116" s="97"/>
      <c r="N116" s="144"/>
      <c r="O116" s="99"/>
      <c r="P116" s="99"/>
      <c r="Q116" s="144"/>
      <c r="R116" s="99"/>
      <c r="S116" s="99"/>
    </row>
    <row r="117" spans="1:19">
      <c r="A117" s="121" t="s">
        <v>1858</v>
      </c>
      <c r="B117" s="145"/>
      <c r="C117" s="135"/>
      <c r="D117" s="116"/>
      <c r="E117" s="154"/>
      <c r="F117" s="135"/>
      <c r="G117" s="116"/>
      <c r="H117" s="154"/>
      <c r="I117" s="135"/>
      <c r="J117" s="135"/>
      <c r="K117" s="154"/>
      <c r="L117" s="135"/>
      <c r="M117" s="116"/>
      <c r="N117" s="154"/>
      <c r="O117" s="135"/>
      <c r="P117" s="135"/>
      <c r="Q117" s="154"/>
      <c r="R117" s="135"/>
      <c r="S117" s="135"/>
    </row>
    <row r="118" spans="1:19" ht="12" customHeight="1">
      <c r="A118" s="121" t="s">
        <v>519</v>
      </c>
      <c r="B118" s="145"/>
      <c r="C118" s="135"/>
      <c r="D118" s="116"/>
      <c r="E118" s="154"/>
      <c r="F118" s="135"/>
      <c r="G118" s="116"/>
      <c r="H118" s="154"/>
      <c r="I118" s="135"/>
      <c r="J118" s="135"/>
      <c r="K118" s="154"/>
      <c r="L118" s="135"/>
      <c r="M118" s="116"/>
      <c r="N118" s="154"/>
      <c r="O118" s="135"/>
      <c r="P118" s="135"/>
      <c r="Q118" s="154"/>
      <c r="R118" s="135"/>
      <c r="S118" s="135"/>
    </row>
    <row r="119" spans="1:19" ht="7.5" customHeight="1">
      <c r="A119" s="121"/>
    </row>
    <row r="120" spans="1:19">
      <c r="A120" s="75" t="s">
        <v>649</v>
      </c>
    </row>
    <row r="121" spans="1:19" ht="8.25" customHeight="1">
      <c r="A121" s="121"/>
    </row>
    <row r="122" spans="1:19">
      <c r="A122" s="111" t="s">
        <v>491</v>
      </c>
    </row>
    <row r="123" spans="1:19">
      <c r="A123" s="111" t="s">
        <v>471</v>
      </c>
    </row>
  </sheetData>
  <mergeCells count="4">
    <mergeCell ref="H7:I7"/>
    <mergeCell ref="K7:L7"/>
    <mergeCell ref="N7:O7"/>
    <mergeCell ref="Q7:R7"/>
  </mergeCells>
  <printOptions horizontalCentered="1" verticalCentered="1"/>
  <pageMargins left="0" right="0" top="0" bottom="0" header="0.31496062992125984" footer="0.31496062992125984"/>
  <pageSetup scale="5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C56"/>
  <sheetViews>
    <sheetView topLeftCell="A40" workbookViewId="0">
      <selection activeCell="C62" sqref="C62"/>
    </sheetView>
  </sheetViews>
  <sheetFormatPr baseColWidth="10" defaultColWidth="11.5" defaultRowHeight="16"/>
  <cols>
    <col min="1" max="1" width="11.6640625" style="4" customWidth="1"/>
    <col min="2" max="2" width="4.1640625" style="4" customWidth="1"/>
    <col min="3" max="3" width="68" style="4" customWidth="1"/>
    <col min="4" max="16384" width="11.5" style="4"/>
  </cols>
  <sheetData>
    <row r="1" spans="1:3">
      <c r="A1" s="5" t="s">
        <v>18</v>
      </c>
    </row>
    <row r="2" spans="1:3">
      <c r="A2" s="5"/>
    </row>
    <row r="3" spans="1:3">
      <c r="A3" s="4" t="s">
        <v>19</v>
      </c>
      <c r="C3" s="4" t="s">
        <v>20</v>
      </c>
    </row>
    <row r="4" spans="1:3">
      <c r="A4" s="4" t="s">
        <v>21</v>
      </c>
      <c r="C4" s="4" t="s">
        <v>22</v>
      </c>
    </row>
    <row r="5" spans="1:3">
      <c r="A5" s="6" t="s">
        <v>23</v>
      </c>
      <c r="C5" s="4" t="s">
        <v>24</v>
      </c>
    </row>
    <row r="6" spans="1:3">
      <c r="A6" s="6" t="s">
        <v>25</v>
      </c>
      <c r="C6" s="4" t="s">
        <v>26</v>
      </c>
    </row>
    <row r="7" spans="1:3">
      <c r="A7" s="6" t="s">
        <v>27</v>
      </c>
      <c r="C7" s="4" t="s">
        <v>28</v>
      </c>
    </row>
    <row r="8" spans="1:3">
      <c r="A8" s="6" t="s">
        <v>29</v>
      </c>
      <c r="C8" s="4" t="s">
        <v>30</v>
      </c>
    </row>
    <row r="9" spans="1:3">
      <c r="A9" s="6" t="s">
        <v>31</v>
      </c>
      <c r="C9" s="4" t="s">
        <v>32</v>
      </c>
    </row>
    <row r="10" spans="1:3">
      <c r="A10" s="6" t="s">
        <v>33</v>
      </c>
      <c r="C10" s="4" t="s">
        <v>34</v>
      </c>
    </row>
    <row r="11" spans="1:3">
      <c r="A11" s="6" t="s">
        <v>35</v>
      </c>
      <c r="C11" s="4" t="s">
        <v>36</v>
      </c>
    </row>
    <row r="12" spans="1:3">
      <c r="A12" s="6" t="s">
        <v>37</v>
      </c>
      <c r="C12" s="4" t="s">
        <v>38</v>
      </c>
    </row>
    <row r="13" spans="1:3">
      <c r="A13" s="6" t="s">
        <v>39</v>
      </c>
      <c r="C13" s="4" t="s">
        <v>40</v>
      </c>
    </row>
    <row r="14" spans="1:3">
      <c r="A14" s="6" t="s">
        <v>41</v>
      </c>
      <c r="C14" s="4" t="s">
        <v>42</v>
      </c>
    </row>
    <row r="15" spans="1:3">
      <c r="A15" s="6" t="s">
        <v>43</v>
      </c>
      <c r="C15" s="4" t="s">
        <v>44</v>
      </c>
    </row>
    <row r="16" spans="1:3">
      <c r="A16" s="6" t="s">
        <v>45</v>
      </c>
      <c r="C16" s="4" t="s">
        <v>46</v>
      </c>
    </row>
    <row r="17" spans="1:3">
      <c r="A17" s="6" t="s">
        <v>47</v>
      </c>
      <c r="C17" s="4" t="s">
        <v>48</v>
      </c>
    </row>
    <row r="18" spans="1:3">
      <c r="A18" s="6" t="s">
        <v>49</v>
      </c>
      <c r="C18" s="4" t="s">
        <v>50</v>
      </c>
    </row>
    <row r="19" spans="1:3">
      <c r="A19" s="6" t="s">
        <v>51</v>
      </c>
      <c r="C19" s="4" t="s">
        <v>52</v>
      </c>
    </row>
    <row r="20" spans="1:3">
      <c r="A20" s="6" t="s">
        <v>53</v>
      </c>
      <c r="C20" s="4" t="s">
        <v>54</v>
      </c>
    </row>
    <row r="21" spans="1:3">
      <c r="A21" s="6" t="s">
        <v>55</v>
      </c>
      <c r="C21" s="4" t="s">
        <v>56</v>
      </c>
    </row>
    <row r="22" spans="1:3">
      <c r="A22" s="6" t="s">
        <v>57</v>
      </c>
      <c r="C22" s="4" t="s">
        <v>58</v>
      </c>
    </row>
    <row r="23" spans="1:3">
      <c r="A23" s="6" t="s">
        <v>59</v>
      </c>
      <c r="C23" s="4" t="s">
        <v>60</v>
      </c>
    </row>
    <row r="24" spans="1:3">
      <c r="A24" s="6" t="s">
        <v>61</v>
      </c>
      <c r="C24" s="4" t="s">
        <v>62</v>
      </c>
    </row>
    <row r="25" spans="1:3">
      <c r="A25" s="6" t="s">
        <v>63</v>
      </c>
      <c r="C25" s="4" t="s">
        <v>64</v>
      </c>
    </row>
    <row r="26" spans="1:3">
      <c r="A26" s="6" t="s">
        <v>65</v>
      </c>
      <c r="C26" s="4" t="s">
        <v>66</v>
      </c>
    </row>
    <row r="27" spans="1:3">
      <c r="A27" s="6" t="s">
        <v>67</v>
      </c>
      <c r="C27" s="4" t="s">
        <v>68</v>
      </c>
    </row>
    <row r="28" spans="1:3">
      <c r="A28" s="6" t="s">
        <v>69</v>
      </c>
      <c r="C28" s="4" t="s">
        <v>70</v>
      </c>
    </row>
    <row r="29" spans="1:3">
      <c r="A29" s="6" t="s">
        <v>71</v>
      </c>
      <c r="C29" s="4" t="s">
        <v>72</v>
      </c>
    </row>
    <row r="30" spans="1:3">
      <c r="A30" s="6" t="s">
        <v>73</v>
      </c>
      <c r="C30" s="4" t="s">
        <v>74</v>
      </c>
    </row>
    <row r="31" spans="1:3">
      <c r="A31" s="6" t="s">
        <v>75</v>
      </c>
      <c r="C31" s="4" t="s">
        <v>76</v>
      </c>
    </row>
    <row r="32" spans="1:3">
      <c r="A32" s="6" t="s">
        <v>77</v>
      </c>
      <c r="C32" s="4" t="s">
        <v>78</v>
      </c>
    </row>
    <row r="33" spans="1:3">
      <c r="A33" s="4" t="s">
        <v>79</v>
      </c>
      <c r="C33" s="4" t="s">
        <v>80</v>
      </c>
    </row>
    <row r="34" spans="1:3">
      <c r="A34" s="4" t="s">
        <v>81</v>
      </c>
      <c r="C34" s="4" t="s">
        <v>82</v>
      </c>
    </row>
    <row r="35" spans="1:3">
      <c r="A35" s="4" t="s">
        <v>83</v>
      </c>
      <c r="C35" s="4" t="s">
        <v>84</v>
      </c>
    </row>
    <row r="36" spans="1:3">
      <c r="A36" s="6" t="s">
        <v>85</v>
      </c>
      <c r="C36" s="4" t="s">
        <v>86</v>
      </c>
    </row>
    <row r="37" spans="1:3">
      <c r="A37" s="6" t="s">
        <v>87</v>
      </c>
      <c r="C37" s="4" t="s">
        <v>88</v>
      </c>
    </row>
    <row r="38" spans="1:3">
      <c r="A38" s="6" t="s">
        <v>89</v>
      </c>
      <c r="C38" s="4" t="s">
        <v>90</v>
      </c>
    </row>
    <row r="39" spans="1:3">
      <c r="A39" s="6" t="s">
        <v>91</v>
      </c>
      <c r="C39" s="4" t="s">
        <v>92</v>
      </c>
    </row>
    <row r="40" spans="1:3">
      <c r="A40" s="6" t="s">
        <v>93</v>
      </c>
      <c r="C40" s="4" t="s">
        <v>94</v>
      </c>
    </row>
    <row r="41" spans="1:3">
      <c r="A41" s="6" t="s">
        <v>95</v>
      </c>
      <c r="C41" s="4" t="s">
        <v>96</v>
      </c>
    </row>
    <row r="42" spans="1:3">
      <c r="A42" s="6" t="s">
        <v>97</v>
      </c>
      <c r="C42" s="4" t="s">
        <v>98</v>
      </c>
    </row>
    <row r="43" spans="1:3">
      <c r="A43" s="6" t="s">
        <v>99</v>
      </c>
      <c r="C43" s="4" t="s">
        <v>100</v>
      </c>
    </row>
    <row r="44" spans="1:3">
      <c r="A44" s="6" t="s">
        <v>101</v>
      </c>
      <c r="C44" s="4" t="s">
        <v>102</v>
      </c>
    </row>
    <row r="45" spans="1:3">
      <c r="A45" s="6" t="s">
        <v>103</v>
      </c>
      <c r="C45" s="4" t="s">
        <v>104</v>
      </c>
    </row>
    <row r="46" spans="1:3">
      <c r="A46" s="6" t="s">
        <v>105</v>
      </c>
      <c r="C46" s="4" t="s">
        <v>106</v>
      </c>
    </row>
    <row r="47" spans="1:3">
      <c r="A47" s="6" t="s">
        <v>107</v>
      </c>
      <c r="C47" s="4" t="s">
        <v>108</v>
      </c>
    </row>
    <row r="48" spans="1:3">
      <c r="A48" s="4" t="s">
        <v>109</v>
      </c>
      <c r="C48" s="4" t="s">
        <v>110</v>
      </c>
    </row>
    <row r="49" spans="1:3">
      <c r="A49" s="4" t="s">
        <v>111</v>
      </c>
      <c r="C49" s="4" t="s">
        <v>112</v>
      </c>
    </row>
    <row r="50" spans="1:3">
      <c r="A50" s="4" t="s">
        <v>113</v>
      </c>
      <c r="C50" s="4" t="s">
        <v>114</v>
      </c>
    </row>
    <row r="51" spans="1:3">
      <c r="A51" s="4" t="s">
        <v>115</v>
      </c>
      <c r="C51" s="4" t="s">
        <v>116</v>
      </c>
    </row>
    <row r="52" spans="1:3">
      <c r="A52" s="4" t="s">
        <v>117</v>
      </c>
      <c r="C52" s="4" t="s">
        <v>118</v>
      </c>
    </row>
    <row r="53" spans="1:3">
      <c r="A53" s="4" t="s">
        <v>119</v>
      </c>
      <c r="C53" s="4" t="s">
        <v>120</v>
      </c>
    </row>
    <row r="54" spans="1:3">
      <c r="A54" s="4" t="s">
        <v>121</v>
      </c>
      <c r="C54" s="4" t="s">
        <v>122</v>
      </c>
    </row>
    <row r="55" spans="1:3">
      <c r="A55" s="4" t="s">
        <v>123</v>
      </c>
      <c r="C55" s="4" t="s">
        <v>124</v>
      </c>
    </row>
    <row r="56" spans="1:3">
      <c r="A56" s="4" t="s">
        <v>1820</v>
      </c>
      <c r="C56" s="4" t="s">
        <v>125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B3:L37"/>
  <sheetViews>
    <sheetView workbookViewId="0">
      <selection activeCell="K4" sqref="K4"/>
    </sheetView>
  </sheetViews>
  <sheetFormatPr baseColWidth="10" defaultRowHeight="15"/>
  <cols>
    <col min="1" max="1" width="6.5" customWidth="1"/>
    <col min="257" max="257" width="6.5" customWidth="1"/>
    <col min="513" max="513" width="6.5" customWidth="1"/>
    <col min="769" max="769" width="6.5" customWidth="1"/>
    <col min="1025" max="1025" width="6.5" customWidth="1"/>
    <col min="1281" max="1281" width="6.5" customWidth="1"/>
    <col min="1537" max="1537" width="6.5" customWidth="1"/>
    <col min="1793" max="1793" width="6.5" customWidth="1"/>
    <col min="2049" max="2049" width="6.5" customWidth="1"/>
    <col min="2305" max="2305" width="6.5" customWidth="1"/>
    <col min="2561" max="2561" width="6.5" customWidth="1"/>
    <col min="2817" max="2817" width="6.5" customWidth="1"/>
    <col min="3073" max="3073" width="6.5" customWidth="1"/>
    <col min="3329" max="3329" width="6.5" customWidth="1"/>
    <col min="3585" max="3585" width="6.5" customWidth="1"/>
    <col min="3841" max="3841" width="6.5" customWidth="1"/>
    <col min="4097" max="4097" width="6.5" customWidth="1"/>
    <col min="4353" max="4353" width="6.5" customWidth="1"/>
    <col min="4609" max="4609" width="6.5" customWidth="1"/>
    <col min="4865" max="4865" width="6.5" customWidth="1"/>
    <col min="5121" max="5121" width="6.5" customWidth="1"/>
    <col min="5377" max="5377" width="6.5" customWidth="1"/>
    <col min="5633" max="5633" width="6.5" customWidth="1"/>
    <col min="5889" max="5889" width="6.5" customWidth="1"/>
    <col min="6145" max="6145" width="6.5" customWidth="1"/>
    <col min="6401" max="6401" width="6.5" customWidth="1"/>
    <col min="6657" max="6657" width="6.5" customWidth="1"/>
    <col min="6913" max="6913" width="6.5" customWidth="1"/>
    <col min="7169" max="7169" width="6.5" customWidth="1"/>
    <col min="7425" max="7425" width="6.5" customWidth="1"/>
    <col min="7681" max="7681" width="6.5" customWidth="1"/>
    <col min="7937" max="7937" width="6.5" customWidth="1"/>
    <col min="8193" max="8193" width="6.5" customWidth="1"/>
    <col min="8449" max="8449" width="6.5" customWidth="1"/>
    <col min="8705" max="8705" width="6.5" customWidth="1"/>
    <col min="8961" max="8961" width="6.5" customWidth="1"/>
    <col min="9217" max="9217" width="6.5" customWidth="1"/>
    <col min="9473" max="9473" width="6.5" customWidth="1"/>
    <col min="9729" max="9729" width="6.5" customWidth="1"/>
    <col min="9985" max="9985" width="6.5" customWidth="1"/>
    <col min="10241" max="10241" width="6.5" customWidth="1"/>
    <col min="10497" max="10497" width="6.5" customWidth="1"/>
    <col min="10753" max="10753" width="6.5" customWidth="1"/>
    <col min="11009" max="11009" width="6.5" customWidth="1"/>
    <col min="11265" max="11265" width="6.5" customWidth="1"/>
    <col min="11521" max="11521" width="6.5" customWidth="1"/>
    <col min="11777" max="11777" width="6.5" customWidth="1"/>
    <col min="12033" max="12033" width="6.5" customWidth="1"/>
    <col min="12289" max="12289" width="6.5" customWidth="1"/>
    <col min="12545" max="12545" width="6.5" customWidth="1"/>
    <col min="12801" max="12801" width="6.5" customWidth="1"/>
    <col min="13057" max="13057" width="6.5" customWidth="1"/>
    <col min="13313" max="13313" width="6.5" customWidth="1"/>
    <col min="13569" max="13569" width="6.5" customWidth="1"/>
    <col min="13825" max="13825" width="6.5" customWidth="1"/>
    <col min="14081" max="14081" width="6.5" customWidth="1"/>
    <col min="14337" max="14337" width="6.5" customWidth="1"/>
    <col min="14593" max="14593" width="6.5" customWidth="1"/>
    <col min="14849" max="14849" width="6.5" customWidth="1"/>
    <col min="15105" max="15105" width="6.5" customWidth="1"/>
    <col min="15361" max="15361" width="6.5" customWidth="1"/>
    <col min="15617" max="15617" width="6.5" customWidth="1"/>
    <col min="15873" max="15873" width="6.5" customWidth="1"/>
    <col min="16129" max="16129" width="6.5" customWidth="1"/>
  </cols>
  <sheetData>
    <row r="3" spans="2:12">
      <c r="C3" t="s">
        <v>603</v>
      </c>
      <c r="D3" t="s">
        <v>604</v>
      </c>
      <c r="G3" s="33"/>
      <c r="H3" s="79"/>
    </row>
    <row r="4" spans="2:12">
      <c r="B4" t="s">
        <v>516</v>
      </c>
      <c r="C4" s="36">
        <v>11.55</v>
      </c>
      <c r="D4" s="36">
        <v>11.27</v>
      </c>
      <c r="F4" s="24"/>
      <c r="G4" s="24"/>
      <c r="L4" s="36"/>
    </row>
    <row r="5" spans="2:12">
      <c r="B5" t="s">
        <v>515</v>
      </c>
      <c r="C5" s="36">
        <v>19.850000000000001</v>
      </c>
      <c r="D5" s="36">
        <v>19.68</v>
      </c>
      <c r="F5" s="24"/>
      <c r="G5" s="24"/>
      <c r="H5" s="36"/>
      <c r="I5" s="36"/>
      <c r="J5" s="36"/>
    </row>
    <row r="6" spans="2:12">
      <c r="B6" t="s">
        <v>609</v>
      </c>
      <c r="C6" s="36">
        <v>20.49</v>
      </c>
      <c r="D6" s="36">
        <v>19.95</v>
      </c>
      <c r="E6" s="28"/>
      <c r="F6" s="24"/>
      <c r="G6" s="24"/>
      <c r="H6" s="36"/>
      <c r="I6" s="36"/>
      <c r="J6" s="36"/>
    </row>
    <row r="7" spans="2:12">
      <c r="B7" t="s">
        <v>513</v>
      </c>
      <c r="C7" s="36">
        <v>3.35</v>
      </c>
      <c r="D7" s="36">
        <v>3.86</v>
      </c>
      <c r="F7" s="24"/>
      <c r="G7" s="24"/>
    </row>
    <row r="8" spans="2:12">
      <c r="B8" t="s">
        <v>610</v>
      </c>
      <c r="C8" s="36">
        <v>44.76</v>
      </c>
      <c r="D8" s="36">
        <v>45.24</v>
      </c>
      <c r="F8" s="24"/>
      <c r="G8" s="24"/>
    </row>
    <row r="9" spans="2:12">
      <c r="B9" s="28"/>
      <c r="C9" s="28"/>
      <c r="D9" s="28"/>
      <c r="E9" s="28"/>
      <c r="F9" s="28"/>
    </row>
    <row r="33" spans="2:6">
      <c r="B33" s="36"/>
      <c r="C33" s="36"/>
    </row>
    <row r="34" spans="2:6">
      <c r="B34" s="36"/>
      <c r="C34" s="36"/>
    </row>
    <row r="35" spans="2:6">
      <c r="B35" s="36"/>
      <c r="C35" s="36"/>
      <c r="D35" s="36"/>
      <c r="E35" s="36"/>
      <c r="F35" s="36"/>
    </row>
    <row r="36" spans="2:6">
      <c r="B36" s="36"/>
      <c r="C36" s="36"/>
    </row>
    <row r="37" spans="2:6">
      <c r="B37" s="36"/>
      <c r="C37" s="36"/>
      <c r="D37" s="36"/>
      <c r="E37" s="36"/>
      <c r="F37" s="3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121"/>
  <sheetViews>
    <sheetView topLeftCell="A16" workbookViewId="0">
      <selection activeCell="A4" sqref="A4"/>
    </sheetView>
  </sheetViews>
  <sheetFormatPr baseColWidth="10" defaultColWidth="9.1640625" defaultRowHeight="13"/>
  <cols>
    <col min="1" max="1" width="36" style="95" customWidth="1"/>
    <col min="2" max="2" width="8" style="138" customWidth="1"/>
    <col min="3" max="3" width="8.33203125" style="139" customWidth="1"/>
    <col min="4" max="4" width="2.5" style="95" customWidth="1"/>
    <col min="5" max="5" width="7.5" style="140" customWidth="1"/>
    <col min="6" max="6" width="7.6640625" style="105" customWidth="1"/>
    <col min="7" max="7" width="2.5" style="95" customWidth="1"/>
    <col min="8" max="8" width="8.33203125" style="140" customWidth="1"/>
    <col min="9" max="9" width="8.5" style="105" customWidth="1"/>
    <col min="10" max="10" width="2.5" style="105" customWidth="1"/>
    <col min="11" max="11" width="7.6640625" style="140" customWidth="1"/>
    <col min="12" max="12" width="7.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 style="95" customWidth="1"/>
    <col min="259" max="259" width="8.33203125" style="95" customWidth="1"/>
    <col min="260" max="260" width="2.5" style="95" customWidth="1"/>
    <col min="261" max="261" width="7.5" style="95" customWidth="1"/>
    <col min="262" max="262" width="7.6640625" style="95" customWidth="1"/>
    <col min="263" max="263" width="2.5" style="95" customWidth="1"/>
    <col min="264" max="264" width="8.33203125" style="95" customWidth="1"/>
    <col min="265" max="265" width="8.5" style="95" customWidth="1"/>
    <col min="266" max="266" width="2.5" style="95" customWidth="1"/>
    <col min="267" max="267" width="7.6640625" style="95" customWidth="1"/>
    <col min="268" max="268" width="7.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 style="95" customWidth="1"/>
    <col min="515" max="515" width="8.33203125" style="95" customWidth="1"/>
    <col min="516" max="516" width="2.5" style="95" customWidth="1"/>
    <col min="517" max="517" width="7.5" style="95" customWidth="1"/>
    <col min="518" max="518" width="7.6640625" style="95" customWidth="1"/>
    <col min="519" max="519" width="2.5" style="95" customWidth="1"/>
    <col min="520" max="520" width="8.33203125" style="95" customWidth="1"/>
    <col min="521" max="521" width="8.5" style="95" customWidth="1"/>
    <col min="522" max="522" width="2.5" style="95" customWidth="1"/>
    <col min="523" max="523" width="7.6640625" style="95" customWidth="1"/>
    <col min="524" max="524" width="7.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 style="95" customWidth="1"/>
    <col min="771" max="771" width="8.33203125" style="95" customWidth="1"/>
    <col min="772" max="772" width="2.5" style="95" customWidth="1"/>
    <col min="773" max="773" width="7.5" style="95" customWidth="1"/>
    <col min="774" max="774" width="7.6640625" style="95" customWidth="1"/>
    <col min="775" max="775" width="2.5" style="95" customWidth="1"/>
    <col min="776" max="776" width="8.33203125" style="95" customWidth="1"/>
    <col min="777" max="777" width="8.5" style="95" customWidth="1"/>
    <col min="778" max="778" width="2.5" style="95" customWidth="1"/>
    <col min="779" max="779" width="7.6640625" style="95" customWidth="1"/>
    <col min="780" max="780" width="7.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 style="95" customWidth="1"/>
    <col min="1027" max="1027" width="8.33203125" style="95" customWidth="1"/>
    <col min="1028" max="1028" width="2.5" style="95" customWidth="1"/>
    <col min="1029" max="1029" width="7.5" style="95" customWidth="1"/>
    <col min="1030" max="1030" width="7.6640625" style="95" customWidth="1"/>
    <col min="1031" max="1031" width="2.5" style="95" customWidth="1"/>
    <col min="1032" max="1032" width="8.33203125" style="95" customWidth="1"/>
    <col min="1033" max="1033" width="8.5" style="95" customWidth="1"/>
    <col min="1034" max="1034" width="2.5" style="95" customWidth="1"/>
    <col min="1035" max="1035" width="7.6640625" style="95" customWidth="1"/>
    <col min="1036" max="1036" width="7.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 style="95" customWidth="1"/>
    <col min="1283" max="1283" width="8.33203125" style="95" customWidth="1"/>
    <col min="1284" max="1284" width="2.5" style="95" customWidth="1"/>
    <col min="1285" max="1285" width="7.5" style="95" customWidth="1"/>
    <col min="1286" max="1286" width="7.6640625" style="95" customWidth="1"/>
    <col min="1287" max="1287" width="2.5" style="95" customWidth="1"/>
    <col min="1288" max="1288" width="8.33203125" style="95" customWidth="1"/>
    <col min="1289" max="1289" width="8.5" style="95" customWidth="1"/>
    <col min="1290" max="1290" width="2.5" style="95" customWidth="1"/>
    <col min="1291" max="1291" width="7.6640625" style="95" customWidth="1"/>
    <col min="1292" max="1292" width="7.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 style="95" customWidth="1"/>
    <col min="1539" max="1539" width="8.33203125" style="95" customWidth="1"/>
    <col min="1540" max="1540" width="2.5" style="95" customWidth="1"/>
    <col min="1541" max="1541" width="7.5" style="95" customWidth="1"/>
    <col min="1542" max="1542" width="7.6640625" style="95" customWidth="1"/>
    <col min="1543" max="1543" width="2.5" style="95" customWidth="1"/>
    <col min="1544" max="1544" width="8.33203125" style="95" customWidth="1"/>
    <col min="1545" max="1545" width="8.5" style="95" customWidth="1"/>
    <col min="1546" max="1546" width="2.5" style="95" customWidth="1"/>
    <col min="1547" max="1547" width="7.6640625" style="95" customWidth="1"/>
    <col min="1548" max="1548" width="7.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 style="95" customWidth="1"/>
    <col min="1795" max="1795" width="8.33203125" style="95" customWidth="1"/>
    <col min="1796" max="1796" width="2.5" style="95" customWidth="1"/>
    <col min="1797" max="1797" width="7.5" style="95" customWidth="1"/>
    <col min="1798" max="1798" width="7.6640625" style="95" customWidth="1"/>
    <col min="1799" max="1799" width="2.5" style="95" customWidth="1"/>
    <col min="1800" max="1800" width="8.33203125" style="95" customWidth="1"/>
    <col min="1801" max="1801" width="8.5" style="95" customWidth="1"/>
    <col min="1802" max="1802" width="2.5" style="95" customWidth="1"/>
    <col min="1803" max="1803" width="7.6640625" style="95" customWidth="1"/>
    <col min="1804" max="1804" width="7.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 style="95" customWidth="1"/>
    <col min="2051" max="2051" width="8.33203125" style="95" customWidth="1"/>
    <col min="2052" max="2052" width="2.5" style="95" customWidth="1"/>
    <col min="2053" max="2053" width="7.5" style="95" customWidth="1"/>
    <col min="2054" max="2054" width="7.6640625" style="95" customWidth="1"/>
    <col min="2055" max="2055" width="2.5" style="95" customWidth="1"/>
    <col min="2056" max="2056" width="8.33203125" style="95" customWidth="1"/>
    <col min="2057" max="2057" width="8.5" style="95" customWidth="1"/>
    <col min="2058" max="2058" width="2.5" style="95" customWidth="1"/>
    <col min="2059" max="2059" width="7.6640625" style="95" customWidth="1"/>
    <col min="2060" max="2060" width="7.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 style="95" customWidth="1"/>
    <col min="2307" max="2307" width="8.33203125" style="95" customWidth="1"/>
    <col min="2308" max="2308" width="2.5" style="95" customWidth="1"/>
    <col min="2309" max="2309" width="7.5" style="95" customWidth="1"/>
    <col min="2310" max="2310" width="7.6640625" style="95" customWidth="1"/>
    <col min="2311" max="2311" width="2.5" style="95" customWidth="1"/>
    <col min="2312" max="2312" width="8.33203125" style="95" customWidth="1"/>
    <col min="2313" max="2313" width="8.5" style="95" customWidth="1"/>
    <col min="2314" max="2314" width="2.5" style="95" customWidth="1"/>
    <col min="2315" max="2315" width="7.6640625" style="95" customWidth="1"/>
    <col min="2316" max="2316" width="7.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 style="95" customWidth="1"/>
    <col min="2563" max="2563" width="8.33203125" style="95" customWidth="1"/>
    <col min="2564" max="2564" width="2.5" style="95" customWidth="1"/>
    <col min="2565" max="2565" width="7.5" style="95" customWidth="1"/>
    <col min="2566" max="2566" width="7.6640625" style="95" customWidth="1"/>
    <col min="2567" max="2567" width="2.5" style="95" customWidth="1"/>
    <col min="2568" max="2568" width="8.33203125" style="95" customWidth="1"/>
    <col min="2569" max="2569" width="8.5" style="95" customWidth="1"/>
    <col min="2570" max="2570" width="2.5" style="95" customWidth="1"/>
    <col min="2571" max="2571" width="7.6640625" style="95" customWidth="1"/>
    <col min="2572" max="2572" width="7.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 style="95" customWidth="1"/>
    <col min="2819" max="2819" width="8.33203125" style="95" customWidth="1"/>
    <col min="2820" max="2820" width="2.5" style="95" customWidth="1"/>
    <col min="2821" max="2821" width="7.5" style="95" customWidth="1"/>
    <col min="2822" max="2822" width="7.6640625" style="95" customWidth="1"/>
    <col min="2823" max="2823" width="2.5" style="95" customWidth="1"/>
    <col min="2824" max="2824" width="8.33203125" style="95" customWidth="1"/>
    <col min="2825" max="2825" width="8.5" style="95" customWidth="1"/>
    <col min="2826" max="2826" width="2.5" style="95" customWidth="1"/>
    <col min="2827" max="2827" width="7.6640625" style="95" customWidth="1"/>
    <col min="2828" max="2828" width="7.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 style="95" customWidth="1"/>
    <col min="3075" max="3075" width="8.33203125" style="95" customWidth="1"/>
    <col min="3076" max="3076" width="2.5" style="95" customWidth="1"/>
    <col min="3077" max="3077" width="7.5" style="95" customWidth="1"/>
    <col min="3078" max="3078" width="7.6640625" style="95" customWidth="1"/>
    <col min="3079" max="3079" width="2.5" style="95" customWidth="1"/>
    <col min="3080" max="3080" width="8.33203125" style="95" customWidth="1"/>
    <col min="3081" max="3081" width="8.5" style="95" customWidth="1"/>
    <col min="3082" max="3082" width="2.5" style="95" customWidth="1"/>
    <col min="3083" max="3083" width="7.6640625" style="95" customWidth="1"/>
    <col min="3084" max="3084" width="7.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 style="95" customWidth="1"/>
    <col min="3331" max="3331" width="8.33203125" style="95" customWidth="1"/>
    <col min="3332" max="3332" width="2.5" style="95" customWidth="1"/>
    <col min="3333" max="3333" width="7.5" style="95" customWidth="1"/>
    <col min="3334" max="3334" width="7.6640625" style="95" customWidth="1"/>
    <col min="3335" max="3335" width="2.5" style="95" customWidth="1"/>
    <col min="3336" max="3336" width="8.33203125" style="95" customWidth="1"/>
    <col min="3337" max="3337" width="8.5" style="95" customWidth="1"/>
    <col min="3338" max="3338" width="2.5" style="95" customWidth="1"/>
    <col min="3339" max="3339" width="7.6640625" style="95" customWidth="1"/>
    <col min="3340" max="3340" width="7.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 style="95" customWidth="1"/>
    <col min="3587" max="3587" width="8.33203125" style="95" customWidth="1"/>
    <col min="3588" max="3588" width="2.5" style="95" customWidth="1"/>
    <col min="3589" max="3589" width="7.5" style="95" customWidth="1"/>
    <col min="3590" max="3590" width="7.6640625" style="95" customWidth="1"/>
    <col min="3591" max="3591" width="2.5" style="95" customWidth="1"/>
    <col min="3592" max="3592" width="8.33203125" style="95" customWidth="1"/>
    <col min="3593" max="3593" width="8.5" style="95" customWidth="1"/>
    <col min="3594" max="3594" width="2.5" style="95" customWidth="1"/>
    <col min="3595" max="3595" width="7.6640625" style="95" customWidth="1"/>
    <col min="3596" max="3596" width="7.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 style="95" customWidth="1"/>
    <col min="3843" max="3843" width="8.33203125" style="95" customWidth="1"/>
    <col min="3844" max="3844" width="2.5" style="95" customWidth="1"/>
    <col min="3845" max="3845" width="7.5" style="95" customWidth="1"/>
    <col min="3846" max="3846" width="7.6640625" style="95" customWidth="1"/>
    <col min="3847" max="3847" width="2.5" style="95" customWidth="1"/>
    <col min="3848" max="3848" width="8.33203125" style="95" customWidth="1"/>
    <col min="3849" max="3849" width="8.5" style="95" customWidth="1"/>
    <col min="3850" max="3850" width="2.5" style="95" customWidth="1"/>
    <col min="3851" max="3851" width="7.6640625" style="95" customWidth="1"/>
    <col min="3852" max="3852" width="7.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 style="95" customWidth="1"/>
    <col min="4099" max="4099" width="8.33203125" style="95" customWidth="1"/>
    <col min="4100" max="4100" width="2.5" style="95" customWidth="1"/>
    <col min="4101" max="4101" width="7.5" style="95" customWidth="1"/>
    <col min="4102" max="4102" width="7.6640625" style="95" customWidth="1"/>
    <col min="4103" max="4103" width="2.5" style="95" customWidth="1"/>
    <col min="4104" max="4104" width="8.33203125" style="95" customWidth="1"/>
    <col min="4105" max="4105" width="8.5" style="95" customWidth="1"/>
    <col min="4106" max="4106" width="2.5" style="95" customWidth="1"/>
    <col min="4107" max="4107" width="7.6640625" style="95" customWidth="1"/>
    <col min="4108" max="4108" width="7.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 style="95" customWidth="1"/>
    <col min="4355" max="4355" width="8.33203125" style="95" customWidth="1"/>
    <col min="4356" max="4356" width="2.5" style="95" customWidth="1"/>
    <col min="4357" max="4357" width="7.5" style="95" customWidth="1"/>
    <col min="4358" max="4358" width="7.6640625" style="95" customWidth="1"/>
    <col min="4359" max="4359" width="2.5" style="95" customWidth="1"/>
    <col min="4360" max="4360" width="8.33203125" style="95" customWidth="1"/>
    <col min="4361" max="4361" width="8.5" style="95" customWidth="1"/>
    <col min="4362" max="4362" width="2.5" style="95" customWidth="1"/>
    <col min="4363" max="4363" width="7.6640625" style="95" customWidth="1"/>
    <col min="4364" max="4364" width="7.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 style="95" customWidth="1"/>
    <col min="4611" max="4611" width="8.33203125" style="95" customWidth="1"/>
    <col min="4612" max="4612" width="2.5" style="95" customWidth="1"/>
    <col min="4613" max="4613" width="7.5" style="95" customWidth="1"/>
    <col min="4614" max="4614" width="7.6640625" style="95" customWidth="1"/>
    <col min="4615" max="4615" width="2.5" style="95" customWidth="1"/>
    <col min="4616" max="4616" width="8.33203125" style="95" customWidth="1"/>
    <col min="4617" max="4617" width="8.5" style="95" customWidth="1"/>
    <col min="4618" max="4618" width="2.5" style="95" customWidth="1"/>
    <col min="4619" max="4619" width="7.6640625" style="95" customWidth="1"/>
    <col min="4620" max="4620" width="7.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 style="95" customWidth="1"/>
    <col min="4867" max="4867" width="8.33203125" style="95" customWidth="1"/>
    <col min="4868" max="4868" width="2.5" style="95" customWidth="1"/>
    <col min="4869" max="4869" width="7.5" style="95" customWidth="1"/>
    <col min="4870" max="4870" width="7.6640625" style="95" customWidth="1"/>
    <col min="4871" max="4871" width="2.5" style="95" customWidth="1"/>
    <col min="4872" max="4872" width="8.33203125" style="95" customWidth="1"/>
    <col min="4873" max="4873" width="8.5" style="95" customWidth="1"/>
    <col min="4874" max="4874" width="2.5" style="95" customWidth="1"/>
    <col min="4875" max="4875" width="7.6640625" style="95" customWidth="1"/>
    <col min="4876" max="4876" width="7.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 style="95" customWidth="1"/>
    <col min="5123" max="5123" width="8.33203125" style="95" customWidth="1"/>
    <col min="5124" max="5124" width="2.5" style="95" customWidth="1"/>
    <col min="5125" max="5125" width="7.5" style="95" customWidth="1"/>
    <col min="5126" max="5126" width="7.6640625" style="95" customWidth="1"/>
    <col min="5127" max="5127" width="2.5" style="95" customWidth="1"/>
    <col min="5128" max="5128" width="8.33203125" style="95" customWidth="1"/>
    <col min="5129" max="5129" width="8.5" style="95" customWidth="1"/>
    <col min="5130" max="5130" width="2.5" style="95" customWidth="1"/>
    <col min="5131" max="5131" width="7.6640625" style="95" customWidth="1"/>
    <col min="5132" max="5132" width="7.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 style="95" customWidth="1"/>
    <col min="5379" max="5379" width="8.33203125" style="95" customWidth="1"/>
    <col min="5380" max="5380" width="2.5" style="95" customWidth="1"/>
    <col min="5381" max="5381" width="7.5" style="95" customWidth="1"/>
    <col min="5382" max="5382" width="7.6640625" style="95" customWidth="1"/>
    <col min="5383" max="5383" width="2.5" style="95" customWidth="1"/>
    <col min="5384" max="5384" width="8.33203125" style="95" customWidth="1"/>
    <col min="5385" max="5385" width="8.5" style="95" customWidth="1"/>
    <col min="5386" max="5386" width="2.5" style="95" customWidth="1"/>
    <col min="5387" max="5387" width="7.6640625" style="95" customWidth="1"/>
    <col min="5388" max="5388" width="7.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 style="95" customWidth="1"/>
    <col min="5635" max="5635" width="8.33203125" style="95" customWidth="1"/>
    <col min="5636" max="5636" width="2.5" style="95" customWidth="1"/>
    <col min="5637" max="5637" width="7.5" style="95" customWidth="1"/>
    <col min="5638" max="5638" width="7.6640625" style="95" customWidth="1"/>
    <col min="5639" max="5639" width="2.5" style="95" customWidth="1"/>
    <col min="5640" max="5640" width="8.33203125" style="95" customWidth="1"/>
    <col min="5641" max="5641" width="8.5" style="95" customWidth="1"/>
    <col min="5642" max="5642" width="2.5" style="95" customWidth="1"/>
    <col min="5643" max="5643" width="7.6640625" style="95" customWidth="1"/>
    <col min="5644" max="5644" width="7.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 style="95" customWidth="1"/>
    <col min="5891" max="5891" width="8.33203125" style="95" customWidth="1"/>
    <col min="5892" max="5892" width="2.5" style="95" customWidth="1"/>
    <col min="5893" max="5893" width="7.5" style="95" customWidth="1"/>
    <col min="5894" max="5894" width="7.6640625" style="95" customWidth="1"/>
    <col min="5895" max="5895" width="2.5" style="95" customWidth="1"/>
    <col min="5896" max="5896" width="8.33203125" style="95" customWidth="1"/>
    <col min="5897" max="5897" width="8.5" style="95" customWidth="1"/>
    <col min="5898" max="5898" width="2.5" style="95" customWidth="1"/>
    <col min="5899" max="5899" width="7.6640625" style="95" customWidth="1"/>
    <col min="5900" max="5900" width="7.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 style="95" customWidth="1"/>
    <col min="6147" max="6147" width="8.33203125" style="95" customWidth="1"/>
    <col min="6148" max="6148" width="2.5" style="95" customWidth="1"/>
    <col min="6149" max="6149" width="7.5" style="95" customWidth="1"/>
    <col min="6150" max="6150" width="7.6640625" style="95" customWidth="1"/>
    <col min="6151" max="6151" width="2.5" style="95" customWidth="1"/>
    <col min="6152" max="6152" width="8.33203125" style="95" customWidth="1"/>
    <col min="6153" max="6153" width="8.5" style="95" customWidth="1"/>
    <col min="6154" max="6154" width="2.5" style="95" customWidth="1"/>
    <col min="6155" max="6155" width="7.6640625" style="95" customWidth="1"/>
    <col min="6156" max="6156" width="7.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 style="95" customWidth="1"/>
    <col min="6403" max="6403" width="8.33203125" style="95" customWidth="1"/>
    <col min="6404" max="6404" width="2.5" style="95" customWidth="1"/>
    <col min="6405" max="6405" width="7.5" style="95" customWidth="1"/>
    <col min="6406" max="6406" width="7.6640625" style="95" customWidth="1"/>
    <col min="6407" max="6407" width="2.5" style="95" customWidth="1"/>
    <col min="6408" max="6408" width="8.33203125" style="95" customWidth="1"/>
    <col min="6409" max="6409" width="8.5" style="95" customWidth="1"/>
    <col min="6410" max="6410" width="2.5" style="95" customWidth="1"/>
    <col min="6411" max="6411" width="7.6640625" style="95" customWidth="1"/>
    <col min="6412" max="6412" width="7.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 style="95" customWidth="1"/>
    <col min="6659" max="6659" width="8.33203125" style="95" customWidth="1"/>
    <col min="6660" max="6660" width="2.5" style="95" customWidth="1"/>
    <col min="6661" max="6661" width="7.5" style="95" customWidth="1"/>
    <col min="6662" max="6662" width="7.6640625" style="95" customWidth="1"/>
    <col min="6663" max="6663" width="2.5" style="95" customWidth="1"/>
    <col min="6664" max="6664" width="8.33203125" style="95" customWidth="1"/>
    <col min="6665" max="6665" width="8.5" style="95" customWidth="1"/>
    <col min="6666" max="6666" width="2.5" style="95" customWidth="1"/>
    <col min="6667" max="6667" width="7.6640625" style="95" customWidth="1"/>
    <col min="6668" max="6668" width="7.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 style="95" customWidth="1"/>
    <col min="6915" max="6915" width="8.33203125" style="95" customWidth="1"/>
    <col min="6916" max="6916" width="2.5" style="95" customWidth="1"/>
    <col min="6917" max="6917" width="7.5" style="95" customWidth="1"/>
    <col min="6918" max="6918" width="7.6640625" style="95" customWidth="1"/>
    <col min="6919" max="6919" width="2.5" style="95" customWidth="1"/>
    <col min="6920" max="6920" width="8.33203125" style="95" customWidth="1"/>
    <col min="6921" max="6921" width="8.5" style="95" customWidth="1"/>
    <col min="6922" max="6922" width="2.5" style="95" customWidth="1"/>
    <col min="6923" max="6923" width="7.6640625" style="95" customWidth="1"/>
    <col min="6924" max="6924" width="7.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 style="95" customWidth="1"/>
    <col min="7171" max="7171" width="8.33203125" style="95" customWidth="1"/>
    <col min="7172" max="7172" width="2.5" style="95" customWidth="1"/>
    <col min="7173" max="7173" width="7.5" style="95" customWidth="1"/>
    <col min="7174" max="7174" width="7.6640625" style="95" customWidth="1"/>
    <col min="7175" max="7175" width="2.5" style="95" customWidth="1"/>
    <col min="7176" max="7176" width="8.33203125" style="95" customWidth="1"/>
    <col min="7177" max="7177" width="8.5" style="95" customWidth="1"/>
    <col min="7178" max="7178" width="2.5" style="95" customWidth="1"/>
    <col min="7179" max="7179" width="7.6640625" style="95" customWidth="1"/>
    <col min="7180" max="7180" width="7.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 style="95" customWidth="1"/>
    <col min="7427" max="7427" width="8.33203125" style="95" customWidth="1"/>
    <col min="7428" max="7428" width="2.5" style="95" customWidth="1"/>
    <col min="7429" max="7429" width="7.5" style="95" customWidth="1"/>
    <col min="7430" max="7430" width="7.6640625" style="95" customWidth="1"/>
    <col min="7431" max="7431" width="2.5" style="95" customWidth="1"/>
    <col min="7432" max="7432" width="8.33203125" style="95" customWidth="1"/>
    <col min="7433" max="7433" width="8.5" style="95" customWidth="1"/>
    <col min="7434" max="7434" width="2.5" style="95" customWidth="1"/>
    <col min="7435" max="7435" width="7.6640625" style="95" customWidth="1"/>
    <col min="7436" max="7436" width="7.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 style="95" customWidth="1"/>
    <col min="7683" max="7683" width="8.33203125" style="95" customWidth="1"/>
    <col min="7684" max="7684" width="2.5" style="95" customWidth="1"/>
    <col min="7685" max="7685" width="7.5" style="95" customWidth="1"/>
    <col min="7686" max="7686" width="7.6640625" style="95" customWidth="1"/>
    <col min="7687" max="7687" width="2.5" style="95" customWidth="1"/>
    <col min="7688" max="7688" width="8.33203125" style="95" customWidth="1"/>
    <col min="7689" max="7689" width="8.5" style="95" customWidth="1"/>
    <col min="7690" max="7690" width="2.5" style="95" customWidth="1"/>
    <col min="7691" max="7691" width="7.6640625" style="95" customWidth="1"/>
    <col min="7692" max="7692" width="7.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 style="95" customWidth="1"/>
    <col min="7939" max="7939" width="8.33203125" style="95" customWidth="1"/>
    <col min="7940" max="7940" width="2.5" style="95" customWidth="1"/>
    <col min="7941" max="7941" width="7.5" style="95" customWidth="1"/>
    <col min="7942" max="7942" width="7.6640625" style="95" customWidth="1"/>
    <col min="7943" max="7943" width="2.5" style="95" customWidth="1"/>
    <col min="7944" max="7944" width="8.33203125" style="95" customWidth="1"/>
    <col min="7945" max="7945" width="8.5" style="95" customWidth="1"/>
    <col min="7946" max="7946" width="2.5" style="95" customWidth="1"/>
    <col min="7947" max="7947" width="7.6640625" style="95" customWidth="1"/>
    <col min="7948" max="7948" width="7.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 style="95" customWidth="1"/>
    <col min="8195" max="8195" width="8.33203125" style="95" customWidth="1"/>
    <col min="8196" max="8196" width="2.5" style="95" customWidth="1"/>
    <col min="8197" max="8197" width="7.5" style="95" customWidth="1"/>
    <col min="8198" max="8198" width="7.6640625" style="95" customWidth="1"/>
    <col min="8199" max="8199" width="2.5" style="95" customWidth="1"/>
    <col min="8200" max="8200" width="8.33203125" style="95" customWidth="1"/>
    <col min="8201" max="8201" width="8.5" style="95" customWidth="1"/>
    <col min="8202" max="8202" width="2.5" style="95" customWidth="1"/>
    <col min="8203" max="8203" width="7.6640625" style="95" customWidth="1"/>
    <col min="8204" max="8204" width="7.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 style="95" customWidth="1"/>
    <col min="8451" max="8451" width="8.33203125" style="95" customWidth="1"/>
    <col min="8452" max="8452" width="2.5" style="95" customWidth="1"/>
    <col min="8453" max="8453" width="7.5" style="95" customWidth="1"/>
    <col min="8454" max="8454" width="7.6640625" style="95" customWidth="1"/>
    <col min="8455" max="8455" width="2.5" style="95" customWidth="1"/>
    <col min="8456" max="8456" width="8.33203125" style="95" customWidth="1"/>
    <col min="8457" max="8457" width="8.5" style="95" customWidth="1"/>
    <col min="8458" max="8458" width="2.5" style="95" customWidth="1"/>
    <col min="8459" max="8459" width="7.6640625" style="95" customWidth="1"/>
    <col min="8460" max="8460" width="7.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 style="95" customWidth="1"/>
    <col min="8707" max="8707" width="8.33203125" style="95" customWidth="1"/>
    <col min="8708" max="8708" width="2.5" style="95" customWidth="1"/>
    <col min="8709" max="8709" width="7.5" style="95" customWidth="1"/>
    <col min="8710" max="8710" width="7.6640625" style="95" customWidth="1"/>
    <col min="8711" max="8711" width="2.5" style="95" customWidth="1"/>
    <col min="8712" max="8712" width="8.33203125" style="95" customWidth="1"/>
    <col min="8713" max="8713" width="8.5" style="95" customWidth="1"/>
    <col min="8714" max="8714" width="2.5" style="95" customWidth="1"/>
    <col min="8715" max="8715" width="7.6640625" style="95" customWidth="1"/>
    <col min="8716" max="8716" width="7.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 style="95" customWidth="1"/>
    <col min="8963" max="8963" width="8.33203125" style="95" customWidth="1"/>
    <col min="8964" max="8964" width="2.5" style="95" customWidth="1"/>
    <col min="8965" max="8965" width="7.5" style="95" customWidth="1"/>
    <col min="8966" max="8966" width="7.6640625" style="95" customWidth="1"/>
    <col min="8967" max="8967" width="2.5" style="95" customWidth="1"/>
    <col min="8968" max="8968" width="8.33203125" style="95" customWidth="1"/>
    <col min="8969" max="8969" width="8.5" style="95" customWidth="1"/>
    <col min="8970" max="8970" width="2.5" style="95" customWidth="1"/>
    <col min="8971" max="8971" width="7.6640625" style="95" customWidth="1"/>
    <col min="8972" max="8972" width="7.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 style="95" customWidth="1"/>
    <col min="9219" max="9219" width="8.33203125" style="95" customWidth="1"/>
    <col min="9220" max="9220" width="2.5" style="95" customWidth="1"/>
    <col min="9221" max="9221" width="7.5" style="95" customWidth="1"/>
    <col min="9222" max="9222" width="7.6640625" style="95" customWidth="1"/>
    <col min="9223" max="9223" width="2.5" style="95" customWidth="1"/>
    <col min="9224" max="9224" width="8.33203125" style="95" customWidth="1"/>
    <col min="9225" max="9225" width="8.5" style="95" customWidth="1"/>
    <col min="9226" max="9226" width="2.5" style="95" customWidth="1"/>
    <col min="9227" max="9227" width="7.6640625" style="95" customWidth="1"/>
    <col min="9228" max="9228" width="7.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 style="95" customWidth="1"/>
    <col min="9475" max="9475" width="8.33203125" style="95" customWidth="1"/>
    <col min="9476" max="9476" width="2.5" style="95" customWidth="1"/>
    <col min="9477" max="9477" width="7.5" style="95" customWidth="1"/>
    <col min="9478" max="9478" width="7.6640625" style="95" customWidth="1"/>
    <col min="9479" max="9479" width="2.5" style="95" customWidth="1"/>
    <col min="9480" max="9480" width="8.33203125" style="95" customWidth="1"/>
    <col min="9481" max="9481" width="8.5" style="95" customWidth="1"/>
    <col min="9482" max="9482" width="2.5" style="95" customWidth="1"/>
    <col min="9483" max="9483" width="7.6640625" style="95" customWidth="1"/>
    <col min="9484" max="9484" width="7.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 style="95" customWidth="1"/>
    <col min="9731" max="9731" width="8.33203125" style="95" customWidth="1"/>
    <col min="9732" max="9732" width="2.5" style="95" customWidth="1"/>
    <col min="9733" max="9733" width="7.5" style="95" customWidth="1"/>
    <col min="9734" max="9734" width="7.6640625" style="95" customWidth="1"/>
    <col min="9735" max="9735" width="2.5" style="95" customWidth="1"/>
    <col min="9736" max="9736" width="8.33203125" style="95" customWidth="1"/>
    <col min="9737" max="9737" width="8.5" style="95" customWidth="1"/>
    <col min="9738" max="9738" width="2.5" style="95" customWidth="1"/>
    <col min="9739" max="9739" width="7.6640625" style="95" customWidth="1"/>
    <col min="9740" max="9740" width="7.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 style="95" customWidth="1"/>
    <col min="9987" max="9987" width="8.33203125" style="95" customWidth="1"/>
    <col min="9988" max="9988" width="2.5" style="95" customWidth="1"/>
    <col min="9989" max="9989" width="7.5" style="95" customWidth="1"/>
    <col min="9990" max="9990" width="7.6640625" style="95" customWidth="1"/>
    <col min="9991" max="9991" width="2.5" style="95" customWidth="1"/>
    <col min="9992" max="9992" width="8.33203125" style="95" customWidth="1"/>
    <col min="9993" max="9993" width="8.5" style="95" customWidth="1"/>
    <col min="9994" max="9994" width="2.5" style="95" customWidth="1"/>
    <col min="9995" max="9995" width="7.6640625" style="95" customWidth="1"/>
    <col min="9996" max="9996" width="7.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 style="95" customWidth="1"/>
    <col min="10243" max="10243" width="8.33203125" style="95" customWidth="1"/>
    <col min="10244" max="10244" width="2.5" style="95" customWidth="1"/>
    <col min="10245" max="10245" width="7.5" style="95" customWidth="1"/>
    <col min="10246" max="10246" width="7.6640625" style="95" customWidth="1"/>
    <col min="10247" max="10247" width="2.5" style="95" customWidth="1"/>
    <col min="10248" max="10248" width="8.33203125" style="95" customWidth="1"/>
    <col min="10249" max="10249" width="8.5" style="95" customWidth="1"/>
    <col min="10250" max="10250" width="2.5" style="95" customWidth="1"/>
    <col min="10251" max="10251" width="7.6640625" style="95" customWidth="1"/>
    <col min="10252" max="10252" width="7.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 style="95" customWidth="1"/>
    <col min="10499" max="10499" width="8.33203125" style="95" customWidth="1"/>
    <col min="10500" max="10500" width="2.5" style="95" customWidth="1"/>
    <col min="10501" max="10501" width="7.5" style="95" customWidth="1"/>
    <col min="10502" max="10502" width="7.6640625" style="95" customWidth="1"/>
    <col min="10503" max="10503" width="2.5" style="95" customWidth="1"/>
    <col min="10504" max="10504" width="8.33203125" style="95" customWidth="1"/>
    <col min="10505" max="10505" width="8.5" style="95" customWidth="1"/>
    <col min="10506" max="10506" width="2.5" style="95" customWidth="1"/>
    <col min="10507" max="10507" width="7.6640625" style="95" customWidth="1"/>
    <col min="10508" max="10508" width="7.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 style="95" customWidth="1"/>
    <col min="10755" max="10755" width="8.33203125" style="95" customWidth="1"/>
    <col min="10756" max="10756" width="2.5" style="95" customWidth="1"/>
    <col min="10757" max="10757" width="7.5" style="95" customWidth="1"/>
    <col min="10758" max="10758" width="7.6640625" style="95" customWidth="1"/>
    <col min="10759" max="10759" width="2.5" style="95" customWidth="1"/>
    <col min="10760" max="10760" width="8.33203125" style="95" customWidth="1"/>
    <col min="10761" max="10761" width="8.5" style="95" customWidth="1"/>
    <col min="10762" max="10762" width="2.5" style="95" customWidth="1"/>
    <col min="10763" max="10763" width="7.6640625" style="95" customWidth="1"/>
    <col min="10764" max="10764" width="7.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 style="95" customWidth="1"/>
    <col min="11011" max="11011" width="8.33203125" style="95" customWidth="1"/>
    <col min="11012" max="11012" width="2.5" style="95" customWidth="1"/>
    <col min="11013" max="11013" width="7.5" style="95" customWidth="1"/>
    <col min="11014" max="11014" width="7.6640625" style="95" customWidth="1"/>
    <col min="11015" max="11015" width="2.5" style="95" customWidth="1"/>
    <col min="11016" max="11016" width="8.33203125" style="95" customWidth="1"/>
    <col min="11017" max="11017" width="8.5" style="95" customWidth="1"/>
    <col min="11018" max="11018" width="2.5" style="95" customWidth="1"/>
    <col min="11019" max="11019" width="7.6640625" style="95" customWidth="1"/>
    <col min="11020" max="11020" width="7.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 style="95" customWidth="1"/>
    <col min="11267" max="11267" width="8.33203125" style="95" customWidth="1"/>
    <col min="11268" max="11268" width="2.5" style="95" customWidth="1"/>
    <col min="11269" max="11269" width="7.5" style="95" customWidth="1"/>
    <col min="11270" max="11270" width="7.6640625" style="95" customWidth="1"/>
    <col min="11271" max="11271" width="2.5" style="95" customWidth="1"/>
    <col min="11272" max="11272" width="8.33203125" style="95" customWidth="1"/>
    <col min="11273" max="11273" width="8.5" style="95" customWidth="1"/>
    <col min="11274" max="11274" width="2.5" style="95" customWidth="1"/>
    <col min="11275" max="11275" width="7.6640625" style="95" customWidth="1"/>
    <col min="11276" max="11276" width="7.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 style="95" customWidth="1"/>
    <col min="11523" max="11523" width="8.33203125" style="95" customWidth="1"/>
    <col min="11524" max="11524" width="2.5" style="95" customWidth="1"/>
    <col min="11525" max="11525" width="7.5" style="95" customWidth="1"/>
    <col min="11526" max="11526" width="7.6640625" style="95" customWidth="1"/>
    <col min="11527" max="11527" width="2.5" style="95" customWidth="1"/>
    <col min="11528" max="11528" width="8.33203125" style="95" customWidth="1"/>
    <col min="11529" max="11529" width="8.5" style="95" customWidth="1"/>
    <col min="11530" max="11530" width="2.5" style="95" customWidth="1"/>
    <col min="11531" max="11531" width="7.6640625" style="95" customWidth="1"/>
    <col min="11532" max="11532" width="7.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 style="95" customWidth="1"/>
    <col min="11779" max="11779" width="8.33203125" style="95" customWidth="1"/>
    <col min="11780" max="11780" width="2.5" style="95" customWidth="1"/>
    <col min="11781" max="11781" width="7.5" style="95" customWidth="1"/>
    <col min="11782" max="11782" width="7.6640625" style="95" customWidth="1"/>
    <col min="11783" max="11783" width="2.5" style="95" customWidth="1"/>
    <col min="11784" max="11784" width="8.33203125" style="95" customWidth="1"/>
    <col min="11785" max="11785" width="8.5" style="95" customWidth="1"/>
    <col min="11786" max="11786" width="2.5" style="95" customWidth="1"/>
    <col min="11787" max="11787" width="7.6640625" style="95" customWidth="1"/>
    <col min="11788" max="11788" width="7.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 style="95" customWidth="1"/>
    <col min="12035" max="12035" width="8.33203125" style="95" customWidth="1"/>
    <col min="12036" max="12036" width="2.5" style="95" customWidth="1"/>
    <col min="12037" max="12037" width="7.5" style="95" customWidth="1"/>
    <col min="12038" max="12038" width="7.6640625" style="95" customWidth="1"/>
    <col min="12039" max="12039" width="2.5" style="95" customWidth="1"/>
    <col min="12040" max="12040" width="8.33203125" style="95" customWidth="1"/>
    <col min="12041" max="12041" width="8.5" style="95" customWidth="1"/>
    <col min="12042" max="12042" width="2.5" style="95" customWidth="1"/>
    <col min="12043" max="12043" width="7.6640625" style="95" customWidth="1"/>
    <col min="12044" max="12044" width="7.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 style="95" customWidth="1"/>
    <col min="12291" max="12291" width="8.33203125" style="95" customWidth="1"/>
    <col min="12292" max="12292" width="2.5" style="95" customWidth="1"/>
    <col min="12293" max="12293" width="7.5" style="95" customWidth="1"/>
    <col min="12294" max="12294" width="7.6640625" style="95" customWidth="1"/>
    <col min="12295" max="12295" width="2.5" style="95" customWidth="1"/>
    <col min="12296" max="12296" width="8.33203125" style="95" customWidth="1"/>
    <col min="12297" max="12297" width="8.5" style="95" customWidth="1"/>
    <col min="12298" max="12298" width="2.5" style="95" customWidth="1"/>
    <col min="12299" max="12299" width="7.6640625" style="95" customWidth="1"/>
    <col min="12300" max="12300" width="7.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 style="95" customWidth="1"/>
    <col min="12547" max="12547" width="8.33203125" style="95" customWidth="1"/>
    <col min="12548" max="12548" width="2.5" style="95" customWidth="1"/>
    <col min="12549" max="12549" width="7.5" style="95" customWidth="1"/>
    <col min="12550" max="12550" width="7.6640625" style="95" customWidth="1"/>
    <col min="12551" max="12551" width="2.5" style="95" customWidth="1"/>
    <col min="12552" max="12552" width="8.33203125" style="95" customWidth="1"/>
    <col min="12553" max="12553" width="8.5" style="95" customWidth="1"/>
    <col min="12554" max="12554" width="2.5" style="95" customWidth="1"/>
    <col min="12555" max="12555" width="7.6640625" style="95" customWidth="1"/>
    <col min="12556" max="12556" width="7.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 style="95" customWidth="1"/>
    <col min="12803" max="12803" width="8.33203125" style="95" customWidth="1"/>
    <col min="12804" max="12804" width="2.5" style="95" customWidth="1"/>
    <col min="12805" max="12805" width="7.5" style="95" customWidth="1"/>
    <col min="12806" max="12806" width="7.6640625" style="95" customWidth="1"/>
    <col min="12807" max="12807" width="2.5" style="95" customWidth="1"/>
    <col min="12808" max="12808" width="8.33203125" style="95" customWidth="1"/>
    <col min="12809" max="12809" width="8.5" style="95" customWidth="1"/>
    <col min="12810" max="12810" width="2.5" style="95" customWidth="1"/>
    <col min="12811" max="12811" width="7.6640625" style="95" customWidth="1"/>
    <col min="12812" max="12812" width="7.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 style="95" customWidth="1"/>
    <col min="13059" max="13059" width="8.33203125" style="95" customWidth="1"/>
    <col min="13060" max="13060" width="2.5" style="95" customWidth="1"/>
    <col min="13061" max="13061" width="7.5" style="95" customWidth="1"/>
    <col min="13062" max="13062" width="7.6640625" style="95" customWidth="1"/>
    <col min="13063" max="13063" width="2.5" style="95" customWidth="1"/>
    <col min="13064" max="13064" width="8.33203125" style="95" customWidth="1"/>
    <col min="13065" max="13065" width="8.5" style="95" customWidth="1"/>
    <col min="13066" max="13066" width="2.5" style="95" customWidth="1"/>
    <col min="13067" max="13067" width="7.6640625" style="95" customWidth="1"/>
    <col min="13068" max="13068" width="7.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 style="95" customWidth="1"/>
    <col min="13315" max="13315" width="8.33203125" style="95" customWidth="1"/>
    <col min="13316" max="13316" width="2.5" style="95" customWidth="1"/>
    <col min="13317" max="13317" width="7.5" style="95" customWidth="1"/>
    <col min="13318" max="13318" width="7.6640625" style="95" customWidth="1"/>
    <col min="13319" max="13319" width="2.5" style="95" customWidth="1"/>
    <col min="13320" max="13320" width="8.33203125" style="95" customWidth="1"/>
    <col min="13321" max="13321" width="8.5" style="95" customWidth="1"/>
    <col min="13322" max="13322" width="2.5" style="95" customWidth="1"/>
    <col min="13323" max="13323" width="7.6640625" style="95" customWidth="1"/>
    <col min="13324" max="13324" width="7.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 style="95" customWidth="1"/>
    <col min="13571" max="13571" width="8.33203125" style="95" customWidth="1"/>
    <col min="13572" max="13572" width="2.5" style="95" customWidth="1"/>
    <col min="13573" max="13573" width="7.5" style="95" customWidth="1"/>
    <col min="13574" max="13574" width="7.6640625" style="95" customWidth="1"/>
    <col min="13575" max="13575" width="2.5" style="95" customWidth="1"/>
    <col min="13576" max="13576" width="8.33203125" style="95" customWidth="1"/>
    <col min="13577" max="13577" width="8.5" style="95" customWidth="1"/>
    <col min="13578" max="13578" width="2.5" style="95" customWidth="1"/>
    <col min="13579" max="13579" width="7.6640625" style="95" customWidth="1"/>
    <col min="13580" max="13580" width="7.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 style="95" customWidth="1"/>
    <col min="13827" max="13827" width="8.33203125" style="95" customWidth="1"/>
    <col min="13828" max="13828" width="2.5" style="95" customWidth="1"/>
    <col min="13829" max="13829" width="7.5" style="95" customWidth="1"/>
    <col min="13830" max="13830" width="7.6640625" style="95" customWidth="1"/>
    <col min="13831" max="13831" width="2.5" style="95" customWidth="1"/>
    <col min="13832" max="13832" width="8.33203125" style="95" customWidth="1"/>
    <col min="13833" max="13833" width="8.5" style="95" customWidth="1"/>
    <col min="13834" max="13834" width="2.5" style="95" customWidth="1"/>
    <col min="13835" max="13835" width="7.6640625" style="95" customWidth="1"/>
    <col min="13836" max="13836" width="7.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 style="95" customWidth="1"/>
    <col min="14083" max="14083" width="8.33203125" style="95" customWidth="1"/>
    <col min="14084" max="14084" width="2.5" style="95" customWidth="1"/>
    <col min="14085" max="14085" width="7.5" style="95" customWidth="1"/>
    <col min="14086" max="14086" width="7.6640625" style="95" customWidth="1"/>
    <col min="14087" max="14087" width="2.5" style="95" customWidth="1"/>
    <col min="14088" max="14088" width="8.33203125" style="95" customWidth="1"/>
    <col min="14089" max="14089" width="8.5" style="95" customWidth="1"/>
    <col min="14090" max="14090" width="2.5" style="95" customWidth="1"/>
    <col min="14091" max="14091" width="7.6640625" style="95" customWidth="1"/>
    <col min="14092" max="14092" width="7.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 style="95" customWidth="1"/>
    <col min="14339" max="14339" width="8.33203125" style="95" customWidth="1"/>
    <col min="14340" max="14340" width="2.5" style="95" customWidth="1"/>
    <col min="14341" max="14341" width="7.5" style="95" customWidth="1"/>
    <col min="14342" max="14342" width="7.6640625" style="95" customWidth="1"/>
    <col min="14343" max="14343" width="2.5" style="95" customWidth="1"/>
    <col min="14344" max="14344" width="8.33203125" style="95" customWidth="1"/>
    <col min="14345" max="14345" width="8.5" style="95" customWidth="1"/>
    <col min="14346" max="14346" width="2.5" style="95" customWidth="1"/>
    <col min="14347" max="14347" width="7.6640625" style="95" customWidth="1"/>
    <col min="14348" max="14348" width="7.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 style="95" customWidth="1"/>
    <col min="14595" max="14595" width="8.33203125" style="95" customWidth="1"/>
    <col min="14596" max="14596" width="2.5" style="95" customWidth="1"/>
    <col min="14597" max="14597" width="7.5" style="95" customWidth="1"/>
    <col min="14598" max="14598" width="7.6640625" style="95" customWidth="1"/>
    <col min="14599" max="14599" width="2.5" style="95" customWidth="1"/>
    <col min="14600" max="14600" width="8.33203125" style="95" customWidth="1"/>
    <col min="14601" max="14601" width="8.5" style="95" customWidth="1"/>
    <col min="14602" max="14602" width="2.5" style="95" customWidth="1"/>
    <col min="14603" max="14603" width="7.6640625" style="95" customWidth="1"/>
    <col min="14604" max="14604" width="7.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 style="95" customWidth="1"/>
    <col min="14851" max="14851" width="8.33203125" style="95" customWidth="1"/>
    <col min="14852" max="14852" width="2.5" style="95" customWidth="1"/>
    <col min="14853" max="14853" width="7.5" style="95" customWidth="1"/>
    <col min="14854" max="14854" width="7.6640625" style="95" customWidth="1"/>
    <col min="14855" max="14855" width="2.5" style="95" customWidth="1"/>
    <col min="14856" max="14856" width="8.33203125" style="95" customWidth="1"/>
    <col min="14857" max="14857" width="8.5" style="95" customWidth="1"/>
    <col min="14858" max="14858" width="2.5" style="95" customWidth="1"/>
    <col min="14859" max="14859" width="7.6640625" style="95" customWidth="1"/>
    <col min="14860" max="14860" width="7.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 style="95" customWidth="1"/>
    <col min="15107" max="15107" width="8.33203125" style="95" customWidth="1"/>
    <col min="15108" max="15108" width="2.5" style="95" customWidth="1"/>
    <col min="15109" max="15109" width="7.5" style="95" customWidth="1"/>
    <col min="15110" max="15110" width="7.6640625" style="95" customWidth="1"/>
    <col min="15111" max="15111" width="2.5" style="95" customWidth="1"/>
    <col min="15112" max="15112" width="8.33203125" style="95" customWidth="1"/>
    <col min="15113" max="15113" width="8.5" style="95" customWidth="1"/>
    <col min="15114" max="15114" width="2.5" style="95" customWidth="1"/>
    <col min="15115" max="15115" width="7.6640625" style="95" customWidth="1"/>
    <col min="15116" max="15116" width="7.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 style="95" customWidth="1"/>
    <col min="15363" max="15363" width="8.33203125" style="95" customWidth="1"/>
    <col min="15364" max="15364" width="2.5" style="95" customWidth="1"/>
    <col min="15365" max="15365" width="7.5" style="95" customWidth="1"/>
    <col min="15366" max="15366" width="7.6640625" style="95" customWidth="1"/>
    <col min="15367" max="15367" width="2.5" style="95" customWidth="1"/>
    <col min="15368" max="15368" width="8.33203125" style="95" customWidth="1"/>
    <col min="15369" max="15369" width="8.5" style="95" customWidth="1"/>
    <col min="15370" max="15370" width="2.5" style="95" customWidth="1"/>
    <col min="15371" max="15371" width="7.6640625" style="95" customWidth="1"/>
    <col min="15372" max="15372" width="7.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 style="95" customWidth="1"/>
    <col min="15619" max="15619" width="8.33203125" style="95" customWidth="1"/>
    <col min="15620" max="15620" width="2.5" style="95" customWidth="1"/>
    <col min="15621" max="15621" width="7.5" style="95" customWidth="1"/>
    <col min="15622" max="15622" width="7.6640625" style="95" customWidth="1"/>
    <col min="15623" max="15623" width="2.5" style="95" customWidth="1"/>
    <col min="15624" max="15624" width="8.33203125" style="95" customWidth="1"/>
    <col min="15625" max="15625" width="8.5" style="95" customWidth="1"/>
    <col min="15626" max="15626" width="2.5" style="95" customWidth="1"/>
    <col min="15627" max="15627" width="7.6640625" style="95" customWidth="1"/>
    <col min="15628" max="15628" width="7.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 style="95" customWidth="1"/>
    <col min="15875" max="15875" width="8.33203125" style="95" customWidth="1"/>
    <col min="15876" max="15876" width="2.5" style="95" customWidth="1"/>
    <col min="15877" max="15877" width="7.5" style="95" customWidth="1"/>
    <col min="15878" max="15878" width="7.6640625" style="95" customWidth="1"/>
    <col min="15879" max="15879" width="2.5" style="95" customWidth="1"/>
    <col min="15880" max="15880" width="8.33203125" style="95" customWidth="1"/>
    <col min="15881" max="15881" width="8.5" style="95" customWidth="1"/>
    <col min="15882" max="15882" width="2.5" style="95" customWidth="1"/>
    <col min="15883" max="15883" width="7.6640625" style="95" customWidth="1"/>
    <col min="15884" max="15884" width="7.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 style="95" customWidth="1"/>
    <col min="16131" max="16131" width="8.33203125" style="95" customWidth="1"/>
    <col min="16132" max="16132" width="2.5" style="95" customWidth="1"/>
    <col min="16133" max="16133" width="7.5" style="95" customWidth="1"/>
    <col min="16134" max="16134" width="7.6640625" style="95" customWidth="1"/>
    <col min="16135" max="16135" width="2.5" style="95" customWidth="1"/>
    <col min="16136" max="16136" width="8.33203125" style="95" customWidth="1"/>
    <col min="16137" max="16137" width="8.5" style="95" customWidth="1"/>
    <col min="16138" max="16138" width="2.5" style="95" customWidth="1"/>
    <col min="16139" max="16139" width="7.6640625" style="95" customWidth="1"/>
    <col min="16140" max="16140" width="7.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521</v>
      </c>
      <c r="Q1" s="140"/>
    </row>
    <row r="2" spans="1:19">
      <c r="A2" s="95" t="s">
        <v>454</v>
      </c>
      <c r="Q2" s="140"/>
    </row>
    <row r="3" spans="1:19" ht="10" customHeight="1">
      <c r="Q3" s="140"/>
    </row>
    <row r="4" spans="1:19">
      <c r="A4" s="14" t="s">
        <v>1860</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6"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38">
        <f>IF($A11&lt;&gt;"",E11+H11+K11+N11+Q11,"")</f>
        <v>4336</v>
      </c>
      <c r="C11" s="139">
        <f>SUM(C13+C107)</f>
        <v>100</v>
      </c>
      <c r="E11" s="140">
        <f>E13+E107</f>
        <v>728</v>
      </c>
      <c r="F11" s="105">
        <f t="shared" ref="F11:F75" si="0">IF($A11&lt;&gt;0,E11/$B11*100,"")</f>
        <v>16.789667896678967</v>
      </c>
      <c r="H11" s="140">
        <f>H13+H107</f>
        <v>236</v>
      </c>
      <c r="I11" s="105">
        <f t="shared" ref="I11:I77" si="1">IF($A11&lt;&gt;0,H11/$B11*100,"")</f>
        <v>5.4428044280442807</v>
      </c>
      <c r="K11" s="140">
        <f>K13+K107</f>
        <v>704</v>
      </c>
      <c r="L11" s="105">
        <f t="shared" ref="L11:L77" si="2">IF($A11&lt;&gt;0,K11/$B11*100,"")</f>
        <v>16.236162361623617</v>
      </c>
      <c r="M11" s="116"/>
      <c r="N11" s="140">
        <f>N13+N107</f>
        <v>1415</v>
      </c>
      <c r="O11" s="105">
        <f t="shared" ref="O11:O75" si="3">IF($A11&lt;&gt;0,N11/$B11*100,"")</f>
        <v>32.633763837638377</v>
      </c>
      <c r="P11" s="135"/>
      <c r="Q11" s="140">
        <f>Q13+Q107</f>
        <v>1253</v>
      </c>
      <c r="R11" s="105">
        <f t="shared" ref="R11:R78" si="4">IF($A11&lt;&gt;0,Q11/$B11*100,"")</f>
        <v>28.89760147601476</v>
      </c>
      <c r="S11" s="135"/>
    </row>
    <row r="12" spans="1:19" ht="10" customHeight="1">
      <c r="B12" s="138" t="str">
        <f t="shared" ref="B12:B79"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38">
        <f t="shared" si="5"/>
        <v>3341</v>
      </c>
      <c r="C13" s="139">
        <f>IF(A13&lt;&gt;0,B13/$B$11*100,"")</f>
        <v>77.052583025830259</v>
      </c>
      <c r="E13" s="140">
        <f>E15+E99</f>
        <v>528</v>
      </c>
      <c r="F13" s="105">
        <f t="shared" si="0"/>
        <v>15.80365160131697</v>
      </c>
      <c r="H13" s="140">
        <f>H15+H99</f>
        <v>159</v>
      </c>
      <c r="I13" s="105">
        <f t="shared" si="1"/>
        <v>4.7590541753965878</v>
      </c>
      <c r="K13" s="140">
        <f>K15+K99</f>
        <v>485</v>
      </c>
      <c r="L13" s="105">
        <f t="shared" si="2"/>
        <v>14.516611792876386</v>
      </c>
      <c r="M13" s="116"/>
      <c r="N13" s="140">
        <f>N15+N99</f>
        <v>1097</v>
      </c>
      <c r="O13" s="105">
        <f t="shared" si="3"/>
        <v>32.83448069440287</v>
      </c>
      <c r="P13" s="135"/>
      <c r="Q13" s="140">
        <f>Q15+Q99</f>
        <v>1072</v>
      </c>
      <c r="R13" s="105">
        <f t="shared" si="4"/>
        <v>32.086201736007183</v>
      </c>
      <c r="S13" s="135"/>
    </row>
    <row r="14" spans="1:19" ht="10.5" customHeight="1">
      <c r="A14" s="55"/>
      <c r="B14" s="138"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38">
        <f t="shared" si="5"/>
        <v>2848</v>
      </c>
      <c r="C15" s="139">
        <f>IF(A15&lt;&gt;0,B15/$B$11*100,"")</f>
        <v>65.682656826568262</v>
      </c>
      <c r="E15" s="140">
        <f>E17+E28+E36+E62+E76+E83+E95+E96+E97</f>
        <v>478</v>
      </c>
      <c r="F15" s="105">
        <f t="shared" si="0"/>
        <v>16.783707865168541</v>
      </c>
      <c r="H15" s="140">
        <f>H17+H28+H36+H62+H76+H83+H95+H96+H97</f>
        <v>141</v>
      </c>
      <c r="I15" s="105">
        <f t="shared" si="1"/>
        <v>4.9508426966292136</v>
      </c>
      <c r="K15" s="140">
        <f>K17+K28+K36+K62+K76+K83+K95+K96+K97</f>
        <v>397</v>
      </c>
      <c r="L15" s="105">
        <f t="shared" si="2"/>
        <v>13.939606741573032</v>
      </c>
      <c r="M15" s="116"/>
      <c r="N15" s="140">
        <f>N17+N28+N36+N62+N76+N83+N95+N96+N97</f>
        <v>847</v>
      </c>
      <c r="O15" s="105">
        <f t="shared" si="3"/>
        <v>29.740168539325847</v>
      </c>
      <c r="P15" s="135"/>
      <c r="Q15" s="140">
        <f>Q17+Q28+Q36+Q62+Q76+Q83+Q95+Q96+Q97</f>
        <v>985</v>
      </c>
      <c r="R15" s="105">
        <f t="shared" si="4"/>
        <v>34.585674157303373</v>
      </c>
      <c r="S15" s="135"/>
    </row>
    <row r="16" spans="1:19" ht="10" customHeight="1">
      <c r="B16" s="138"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38">
        <f t="shared" si="5"/>
        <v>216</v>
      </c>
      <c r="C17" s="139">
        <f>IF(A17&lt;&gt;0,B17/$B$11*100,"")</f>
        <v>4.9815498154981546</v>
      </c>
      <c r="E17" s="140">
        <f>E18+E23</f>
        <v>48</v>
      </c>
      <c r="F17" s="105">
        <f t="shared" si="0"/>
        <v>22.222222222222221</v>
      </c>
      <c r="H17" s="140">
        <f>H18+H23</f>
        <v>25</v>
      </c>
      <c r="I17" s="105">
        <f t="shared" si="1"/>
        <v>11.574074074074074</v>
      </c>
      <c r="K17" s="140">
        <f>K18+K23</f>
        <v>36</v>
      </c>
      <c r="L17" s="105">
        <f t="shared" si="2"/>
        <v>16.666666666666664</v>
      </c>
      <c r="M17" s="116"/>
      <c r="N17" s="140">
        <f>N18+N23</f>
        <v>62</v>
      </c>
      <c r="O17" s="105">
        <f t="shared" si="3"/>
        <v>28.703703703703702</v>
      </c>
      <c r="P17" s="135"/>
      <c r="Q17" s="140">
        <f>Q18+Q23</f>
        <v>45</v>
      </c>
      <c r="R17" s="105">
        <f t="shared" si="4"/>
        <v>20.833333333333336</v>
      </c>
      <c r="S17" s="135"/>
    </row>
    <row r="18" spans="1:19" ht="13.25" customHeight="1">
      <c r="A18" s="95" t="s">
        <v>162</v>
      </c>
      <c r="B18" s="138">
        <f t="shared" si="5"/>
        <v>107</v>
      </c>
      <c r="C18" s="139">
        <f t="shared" ref="C18:C81" si="6">IF(A18&lt;&gt;0,B18/$B$11*100,"")</f>
        <v>2.4677121771217712</v>
      </c>
      <c r="E18" s="140">
        <f>SUM(E19:E21)</f>
        <v>23</v>
      </c>
      <c r="F18" s="105">
        <f t="shared" si="0"/>
        <v>21.495327102803738</v>
      </c>
      <c r="H18" s="140">
        <f>SUM(H19:H21)</f>
        <v>13</v>
      </c>
      <c r="I18" s="105">
        <f t="shared" si="1"/>
        <v>12.149532710280374</v>
      </c>
      <c r="K18" s="140">
        <f>SUM(K19:K21)</f>
        <v>21</v>
      </c>
      <c r="L18" s="105">
        <f t="shared" si="2"/>
        <v>19.626168224299064</v>
      </c>
      <c r="M18" s="116"/>
      <c r="N18" s="140">
        <f>SUM(N19:N21)</f>
        <v>37</v>
      </c>
      <c r="O18" s="105">
        <f t="shared" si="3"/>
        <v>34.579439252336449</v>
      </c>
      <c r="P18" s="135"/>
      <c r="Q18" s="140">
        <f>SUM(Q19:Q21)</f>
        <v>13</v>
      </c>
      <c r="R18" s="105">
        <f t="shared" si="4"/>
        <v>12.149532710280374</v>
      </c>
      <c r="S18" s="135"/>
    </row>
    <row r="19" spans="1:19" ht="13.25" customHeight="1">
      <c r="A19" s="95" t="s">
        <v>163</v>
      </c>
      <c r="B19" s="138">
        <f>IF($A19&lt;&gt;"",E19+H19+K19+N19+Q19,"")</f>
        <v>23</v>
      </c>
      <c r="C19" s="139">
        <f t="shared" si="6"/>
        <v>0.53044280442804426</v>
      </c>
      <c r="E19" s="769">
        <v>2</v>
      </c>
      <c r="F19" s="105">
        <f t="shared" si="0"/>
        <v>8.695652173913043</v>
      </c>
      <c r="G19" s="769"/>
      <c r="H19" s="769">
        <v>2</v>
      </c>
      <c r="I19" s="105">
        <f t="shared" si="1"/>
        <v>8.695652173913043</v>
      </c>
      <c r="J19" s="769"/>
      <c r="K19" s="769">
        <v>4</v>
      </c>
      <c r="L19" s="105">
        <f t="shared" si="2"/>
        <v>17.391304347826086</v>
      </c>
      <c r="M19" s="769"/>
      <c r="N19" s="769">
        <v>8</v>
      </c>
      <c r="O19" s="105">
        <f t="shared" si="3"/>
        <v>34.782608695652172</v>
      </c>
      <c r="P19" s="769"/>
      <c r="Q19" s="769">
        <v>7</v>
      </c>
      <c r="R19" s="105">
        <f>IF($A19&lt;&gt;0,Q19/$B19*100,"")</f>
        <v>30.434782608695656</v>
      </c>
      <c r="S19" s="135"/>
    </row>
    <row r="20" spans="1:19" ht="13.25" customHeight="1">
      <c r="A20" s="95" t="s">
        <v>164</v>
      </c>
      <c r="B20" s="138">
        <f>IF($A20&lt;&gt;"",E20+H20+K20+N20+Q20,"")</f>
        <v>48</v>
      </c>
      <c r="C20" s="139">
        <f t="shared" si="6"/>
        <v>1.107011070110701</v>
      </c>
      <c r="E20" s="769">
        <v>7</v>
      </c>
      <c r="F20" s="105">
        <f t="shared" si="0"/>
        <v>14.583333333333334</v>
      </c>
      <c r="G20" s="769"/>
      <c r="H20" s="769">
        <v>6</v>
      </c>
      <c r="I20" s="105">
        <f t="shared" si="1"/>
        <v>12.5</v>
      </c>
      <c r="J20" s="769"/>
      <c r="K20" s="769">
        <v>14</v>
      </c>
      <c r="L20" s="105">
        <f t="shared" si="2"/>
        <v>29.166666666666668</v>
      </c>
      <c r="M20" s="769"/>
      <c r="N20" s="769">
        <v>15</v>
      </c>
      <c r="O20" s="105">
        <f t="shared" si="3"/>
        <v>31.25</v>
      </c>
      <c r="P20" s="769"/>
      <c r="Q20" s="769">
        <v>6</v>
      </c>
      <c r="R20" s="105">
        <f>IF($A20&lt;&gt;0,Q20/$B20*100,"")</f>
        <v>12.5</v>
      </c>
      <c r="S20" s="135"/>
    </row>
    <row r="21" spans="1:19" ht="12" customHeight="1">
      <c r="A21" s="95" t="s">
        <v>165</v>
      </c>
      <c r="B21" s="138">
        <f>IF($A21&lt;&gt;"",E21+H21+K21+N21+Q21,"")</f>
        <v>36</v>
      </c>
      <c r="C21" s="139">
        <f t="shared" si="6"/>
        <v>0.83025830258302591</v>
      </c>
      <c r="E21" s="769">
        <v>14</v>
      </c>
      <c r="F21" s="105">
        <f t="shared" si="0"/>
        <v>38.888888888888893</v>
      </c>
      <c r="G21" s="769"/>
      <c r="H21" s="769">
        <v>5</v>
      </c>
      <c r="I21" s="105">
        <f t="shared" si="1"/>
        <v>13.888888888888889</v>
      </c>
      <c r="J21" s="769"/>
      <c r="K21" s="769">
        <v>3</v>
      </c>
      <c r="L21" s="105">
        <f t="shared" si="2"/>
        <v>8.3333333333333321</v>
      </c>
      <c r="M21" s="769"/>
      <c r="N21" s="769">
        <v>14</v>
      </c>
      <c r="O21" s="105">
        <f t="shared" si="3"/>
        <v>38.888888888888893</v>
      </c>
      <c r="P21" s="769"/>
      <c r="Q21" s="769">
        <v>0</v>
      </c>
      <c r="R21" s="105">
        <f>IF($A21&lt;&gt;0,Q21/$B21*100,"")</f>
        <v>0</v>
      </c>
      <c r="S21" s="135"/>
    </row>
    <row r="22" spans="1:19" ht="10" customHeight="1">
      <c r="B22" s="138" t="str">
        <f t="shared" si="5"/>
        <v/>
      </c>
      <c r="C22" s="139" t="str">
        <f t="shared" si="6"/>
        <v/>
      </c>
      <c r="F22" s="105" t="str">
        <f t="shared" si="0"/>
        <v/>
      </c>
      <c r="I22" s="105" t="str">
        <f t="shared" si="1"/>
        <v/>
      </c>
      <c r="L22" s="105" t="str">
        <f t="shared" si="2"/>
        <v/>
      </c>
      <c r="M22" s="116"/>
      <c r="O22" s="105" t="str">
        <f t="shared" si="3"/>
        <v/>
      </c>
      <c r="P22" s="135"/>
      <c r="Q22" s="140"/>
      <c r="R22" s="105" t="str">
        <f t="shared" si="4"/>
        <v/>
      </c>
      <c r="S22" s="135"/>
    </row>
    <row r="23" spans="1:19" ht="13.25" customHeight="1">
      <c r="A23" s="95" t="s">
        <v>166</v>
      </c>
      <c r="B23" s="138">
        <f t="shared" si="5"/>
        <v>109</v>
      </c>
      <c r="C23" s="139">
        <f t="shared" si="6"/>
        <v>2.5138376383763839</v>
      </c>
      <c r="E23" s="140">
        <f>SUM(E24:E26)</f>
        <v>25</v>
      </c>
      <c r="F23" s="105">
        <f t="shared" si="0"/>
        <v>22.935779816513762</v>
      </c>
      <c r="H23" s="140">
        <f>SUM(H24:H26)</f>
        <v>12</v>
      </c>
      <c r="I23" s="105">
        <f t="shared" si="1"/>
        <v>11.009174311926607</v>
      </c>
      <c r="K23" s="140">
        <f>SUM(K24:K26)</f>
        <v>15</v>
      </c>
      <c r="L23" s="105">
        <f t="shared" si="2"/>
        <v>13.761467889908257</v>
      </c>
      <c r="M23" s="116"/>
      <c r="N23" s="140">
        <f>SUM(N24:N26)</f>
        <v>25</v>
      </c>
      <c r="O23" s="105">
        <f t="shared" si="3"/>
        <v>22.935779816513762</v>
      </c>
      <c r="P23" s="135"/>
      <c r="Q23" s="140">
        <f>SUM(Q24:Q26)</f>
        <v>32</v>
      </c>
      <c r="R23" s="105">
        <f t="shared" si="4"/>
        <v>29.357798165137616</v>
      </c>
      <c r="S23" s="135"/>
    </row>
    <row r="24" spans="1:19" ht="13.25" customHeight="1">
      <c r="A24" s="95" t="s">
        <v>167</v>
      </c>
      <c r="B24" s="138">
        <f t="shared" si="5"/>
        <v>16</v>
      </c>
      <c r="C24" s="139">
        <f t="shared" si="6"/>
        <v>0.36900369003690037</v>
      </c>
      <c r="E24" s="769">
        <v>7</v>
      </c>
      <c r="F24" s="105">
        <f t="shared" si="0"/>
        <v>43.75</v>
      </c>
      <c r="G24" s="769"/>
      <c r="H24" s="769">
        <v>7</v>
      </c>
      <c r="I24" s="105">
        <f t="shared" si="1"/>
        <v>43.75</v>
      </c>
      <c r="J24" s="769"/>
      <c r="K24" s="769">
        <v>0</v>
      </c>
      <c r="L24" s="105">
        <f t="shared" si="2"/>
        <v>0</v>
      </c>
      <c r="M24" s="769"/>
      <c r="N24" s="769">
        <v>1</v>
      </c>
      <c r="O24" s="105">
        <f t="shared" si="3"/>
        <v>6.25</v>
      </c>
      <c r="P24" s="769"/>
      <c r="Q24" s="769">
        <v>1</v>
      </c>
      <c r="R24" s="105">
        <f t="shared" si="4"/>
        <v>6.25</v>
      </c>
      <c r="S24" s="135"/>
    </row>
    <row r="25" spans="1:19" ht="13.25" customHeight="1">
      <c r="A25" s="95" t="s">
        <v>168</v>
      </c>
      <c r="B25" s="138">
        <f t="shared" si="5"/>
        <v>24</v>
      </c>
      <c r="C25" s="139">
        <f t="shared" si="6"/>
        <v>0.55350553505535049</v>
      </c>
      <c r="E25" s="769">
        <v>3</v>
      </c>
      <c r="F25" s="105">
        <f t="shared" si="0"/>
        <v>12.5</v>
      </c>
      <c r="G25" s="769"/>
      <c r="H25" s="769">
        <v>2</v>
      </c>
      <c r="I25" s="105">
        <f t="shared" si="1"/>
        <v>8.3333333333333321</v>
      </c>
      <c r="J25" s="769"/>
      <c r="K25" s="769">
        <v>4</v>
      </c>
      <c r="L25" s="105">
        <f t="shared" si="2"/>
        <v>16.666666666666664</v>
      </c>
      <c r="M25" s="769"/>
      <c r="N25" s="769">
        <v>12</v>
      </c>
      <c r="O25" s="105">
        <f t="shared" si="3"/>
        <v>50</v>
      </c>
      <c r="P25" s="769"/>
      <c r="Q25" s="769">
        <v>3</v>
      </c>
      <c r="R25" s="105">
        <f t="shared" si="4"/>
        <v>12.5</v>
      </c>
      <c r="S25" s="135"/>
    </row>
    <row r="26" spans="1:19" ht="12" customHeight="1">
      <c r="A26" s="95" t="s">
        <v>169</v>
      </c>
      <c r="B26" s="138">
        <f t="shared" si="5"/>
        <v>69</v>
      </c>
      <c r="C26" s="139">
        <f t="shared" si="6"/>
        <v>1.5913284132841328</v>
      </c>
      <c r="E26" s="769">
        <v>15</v>
      </c>
      <c r="F26" s="105">
        <f t="shared" si="0"/>
        <v>21.739130434782609</v>
      </c>
      <c r="G26" s="769"/>
      <c r="H26" s="769">
        <v>3</v>
      </c>
      <c r="I26" s="105">
        <f t="shared" si="1"/>
        <v>4.3478260869565215</v>
      </c>
      <c r="J26" s="769"/>
      <c r="K26" s="769">
        <v>11</v>
      </c>
      <c r="L26" s="105">
        <f t="shared" si="2"/>
        <v>15.942028985507244</v>
      </c>
      <c r="M26" s="769"/>
      <c r="N26" s="769">
        <v>12</v>
      </c>
      <c r="O26" s="105">
        <f t="shared" si="3"/>
        <v>17.391304347826086</v>
      </c>
      <c r="P26" s="769"/>
      <c r="Q26" s="769">
        <v>28</v>
      </c>
      <c r="R26" s="105">
        <f t="shared" si="4"/>
        <v>40.579710144927539</v>
      </c>
      <c r="S26" s="135"/>
    </row>
    <row r="27" spans="1:19" ht="10" customHeight="1">
      <c r="B27" s="138" t="str">
        <f t="shared" si="5"/>
        <v/>
      </c>
      <c r="C27" s="139" t="str">
        <f t="shared" si="6"/>
        <v/>
      </c>
      <c r="F27" s="105" t="str">
        <f t="shared" si="0"/>
        <v/>
      </c>
      <c r="I27" s="105" t="str">
        <f t="shared" si="1"/>
        <v/>
      </c>
      <c r="L27" s="105" t="str">
        <f t="shared" si="2"/>
        <v/>
      </c>
      <c r="M27" s="116"/>
      <c r="O27" s="105" t="str">
        <f t="shared" si="3"/>
        <v/>
      </c>
      <c r="P27" s="135"/>
      <c r="Q27" s="140"/>
      <c r="R27" s="105" t="str">
        <f t="shared" si="4"/>
        <v/>
      </c>
      <c r="S27" s="135"/>
    </row>
    <row r="28" spans="1:19" ht="13.25" customHeight="1">
      <c r="A28" s="55" t="s">
        <v>464</v>
      </c>
      <c r="B28" s="138">
        <f t="shared" si="5"/>
        <v>226</v>
      </c>
      <c r="C28" s="139">
        <f t="shared" si="6"/>
        <v>5.2121771217712176</v>
      </c>
      <c r="E28" s="140">
        <f>SUM(E30:E34)</f>
        <v>102</v>
      </c>
      <c r="F28" s="105">
        <f t="shared" si="0"/>
        <v>45.132743362831853</v>
      </c>
      <c r="H28" s="140">
        <f>SUM(H30:H34)</f>
        <v>5</v>
      </c>
      <c r="I28" s="105">
        <f t="shared" si="1"/>
        <v>2.2123893805309733</v>
      </c>
      <c r="K28" s="140">
        <f>SUM(K30:K34)</f>
        <v>28</v>
      </c>
      <c r="L28" s="105">
        <f t="shared" si="2"/>
        <v>12.389380530973451</v>
      </c>
      <c r="M28" s="116"/>
      <c r="N28" s="140">
        <f>SUM(N30:N34)</f>
        <v>52</v>
      </c>
      <c r="O28" s="105">
        <f t="shared" si="3"/>
        <v>23.008849557522122</v>
      </c>
      <c r="P28" s="135"/>
      <c r="Q28" s="140">
        <f>SUM(Q29)</f>
        <v>39</v>
      </c>
      <c r="R28" s="105">
        <f t="shared" si="4"/>
        <v>17.256637168141591</v>
      </c>
      <c r="S28" s="135"/>
    </row>
    <row r="29" spans="1:19" ht="13.25" customHeight="1">
      <c r="A29" s="95" t="s">
        <v>171</v>
      </c>
      <c r="B29" s="138">
        <f t="shared" si="5"/>
        <v>226</v>
      </c>
      <c r="C29" s="139">
        <f t="shared" si="6"/>
        <v>5.2121771217712176</v>
      </c>
      <c r="E29" s="140">
        <f>SUM(E30:E34)</f>
        <v>102</v>
      </c>
      <c r="F29" s="105">
        <f t="shared" si="0"/>
        <v>45.132743362831853</v>
      </c>
      <c r="H29" s="140">
        <f>SUM(H30:H34)</f>
        <v>5</v>
      </c>
      <c r="I29" s="105">
        <f t="shared" si="1"/>
        <v>2.2123893805309733</v>
      </c>
      <c r="K29" s="140">
        <f>SUM(K30:K34)</f>
        <v>28</v>
      </c>
      <c r="L29" s="105">
        <f t="shared" si="2"/>
        <v>12.389380530973451</v>
      </c>
      <c r="M29" s="116"/>
      <c r="N29" s="140">
        <f>SUM(N30:N34)</f>
        <v>52</v>
      </c>
      <c r="O29" s="105">
        <f t="shared" si="3"/>
        <v>23.008849557522122</v>
      </c>
      <c r="P29" s="135"/>
      <c r="Q29" s="140">
        <f>SUM(Q30:Q34)</f>
        <v>39</v>
      </c>
      <c r="R29" s="105">
        <f t="shared" si="4"/>
        <v>17.256637168141591</v>
      </c>
      <c r="S29" s="135"/>
    </row>
    <row r="30" spans="1:19" ht="13.25" customHeight="1">
      <c r="A30" s="95" t="s">
        <v>172</v>
      </c>
      <c r="B30" s="138">
        <f t="shared" si="5"/>
        <v>18</v>
      </c>
      <c r="C30" s="139">
        <f t="shared" si="6"/>
        <v>0.41512915129151295</v>
      </c>
      <c r="E30" s="769">
        <v>5</v>
      </c>
      <c r="F30" s="105">
        <f t="shared" si="0"/>
        <v>27.777777777777779</v>
      </c>
      <c r="G30" s="769"/>
      <c r="H30" s="769">
        <v>0</v>
      </c>
      <c r="I30" s="105">
        <f t="shared" si="1"/>
        <v>0</v>
      </c>
      <c r="J30" s="769"/>
      <c r="K30" s="769">
        <v>3</v>
      </c>
      <c r="L30" s="105">
        <f t="shared" si="2"/>
        <v>16.666666666666664</v>
      </c>
      <c r="M30" s="769"/>
      <c r="N30" s="769">
        <v>7</v>
      </c>
      <c r="O30" s="105">
        <f t="shared" si="3"/>
        <v>38.888888888888893</v>
      </c>
      <c r="P30" s="769"/>
      <c r="Q30" s="769">
        <v>3</v>
      </c>
      <c r="R30" s="105">
        <f t="shared" si="4"/>
        <v>16.666666666666664</v>
      </c>
      <c r="S30" s="135"/>
    </row>
    <row r="31" spans="1:19" ht="13.25" customHeight="1">
      <c r="A31" s="95" t="s">
        <v>173</v>
      </c>
      <c r="B31" s="138">
        <f t="shared" si="5"/>
        <v>54</v>
      </c>
      <c r="C31" s="139">
        <f t="shared" si="6"/>
        <v>1.2453874538745386</v>
      </c>
      <c r="E31" s="769">
        <v>15</v>
      </c>
      <c r="F31" s="105">
        <f t="shared" si="0"/>
        <v>27.777777777777779</v>
      </c>
      <c r="G31" s="769"/>
      <c r="H31" s="769">
        <v>1</v>
      </c>
      <c r="I31" s="105">
        <f t="shared" si="1"/>
        <v>1.8518518518518516</v>
      </c>
      <c r="J31" s="769"/>
      <c r="K31" s="769">
        <v>13</v>
      </c>
      <c r="L31" s="105">
        <f t="shared" si="2"/>
        <v>24.074074074074073</v>
      </c>
      <c r="M31" s="769"/>
      <c r="N31" s="769">
        <v>13</v>
      </c>
      <c r="O31" s="105">
        <f t="shared" si="3"/>
        <v>24.074074074074073</v>
      </c>
      <c r="P31" s="769"/>
      <c r="Q31" s="769">
        <v>12</v>
      </c>
      <c r="R31" s="105">
        <f t="shared" si="4"/>
        <v>22.222222222222221</v>
      </c>
      <c r="S31" s="135"/>
    </row>
    <row r="32" spans="1:19" ht="13.25" customHeight="1">
      <c r="A32" s="95" t="s">
        <v>174</v>
      </c>
      <c r="B32" s="138">
        <f t="shared" si="5"/>
        <v>14</v>
      </c>
      <c r="C32" s="139">
        <f t="shared" si="6"/>
        <v>0.32287822878228783</v>
      </c>
      <c r="E32" s="769">
        <v>3</v>
      </c>
      <c r="F32" s="105">
        <f t="shared" si="0"/>
        <v>21.428571428571427</v>
      </c>
      <c r="G32" s="769"/>
      <c r="H32" s="769">
        <v>1</v>
      </c>
      <c r="I32" s="105">
        <f t="shared" si="1"/>
        <v>7.1428571428571423</v>
      </c>
      <c r="J32" s="769"/>
      <c r="K32" s="769">
        <v>1</v>
      </c>
      <c r="L32" s="105">
        <f t="shared" si="2"/>
        <v>7.1428571428571423</v>
      </c>
      <c r="M32" s="769"/>
      <c r="N32" s="769">
        <v>5</v>
      </c>
      <c r="O32" s="105">
        <f t="shared" si="3"/>
        <v>35.714285714285715</v>
      </c>
      <c r="P32" s="769"/>
      <c r="Q32" s="769">
        <v>4</v>
      </c>
      <c r="R32" s="105">
        <f t="shared" si="4"/>
        <v>28.571428571428569</v>
      </c>
      <c r="S32" s="135"/>
    </row>
    <row r="33" spans="1:19" ht="13.25" customHeight="1">
      <c r="A33" s="95" t="s">
        <v>175</v>
      </c>
      <c r="B33" s="138">
        <f t="shared" si="5"/>
        <v>102</v>
      </c>
      <c r="C33" s="139">
        <f t="shared" si="6"/>
        <v>2.3523985239852401</v>
      </c>
      <c r="E33" s="769">
        <v>56</v>
      </c>
      <c r="F33" s="105">
        <f t="shared" si="0"/>
        <v>54.901960784313729</v>
      </c>
      <c r="G33" s="769"/>
      <c r="H33" s="769">
        <v>2</v>
      </c>
      <c r="I33" s="105">
        <f t="shared" si="1"/>
        <v>1.9607843137254901</v>
      </c>
      <c r="J33" s="769"/>
      <c r="K33" s="769">
        <v>5</v>
      </c>
      <c r="L33" s="105">
        <f t="shared" si="2"/>
        <v>4.9019607843137258</v>
      </c>
      <c r="M33" s="769"/>
      <c r="N33" s="769">
        <v>24</v>
      </c>
      <c r="O33" s="105">
        <f t="shared" si="3"/>
        <v>23.52941176470588</v>
      </c>
      <c r="P33" s="769"/>
      <c r="Q33" s="769">
        <v>15</v>
      </c>
      <c r="R33" s="105">
        <f t="shared" si="4"/>
        <v>14.705882352941178</v>
      </c>
      <c r="S33" s="135"/>
    </row>
    <row r="34" spans="1:19" ht="12" customHeight="1">
      <c r="A34" s="95" t="s">
        <v>176</v>
      </c>
      <c r="B34" s="138">
        <f t="shared" si="5"/>
        <v>38</v>
      </c>
      <c r="C34" s="139">
        <f t="shared" si="6"/>
        <v>0.87638376383763827</v>
      </c>
      <c r="E34" s="769">
        <v>23</v>
      </c>
      <c r="F34" s="105">
        <f t="shared" si="0"/>
        <v>60.526315789473685</v>
      </c>
      <c r="G34" s="769"/>
      <c r="H34" s="769">
        <v>1</v>
      </c>
      <c r="I34" s="105">
        <f t="shared" si="1"/>
        <v>2.6315789473684208</v>
      </c>
      <c r="J34" s="769"/>
      <c r="K34" s="769">
        <v>6</v>
      </c>
      <c r="L34" s="105">
        <f t="shared" si="2"/>
        <v>15.789473684210526</v>
      </c>
      <c r="M34" s="769"/>
      <c r="N34" s="769">
        <v>3</v>
      </c>
      <c r="O34" s="105">
        <f t="shared" si="3"/>
        <v>7.8947368421052628</v>
      </c>
      <c r="P34" s="769"/>
      <c r="Q34" s="769">
        <v>5</v>
      </c>
      <c r="R34" s="105">
        <f t="shared" si="4"/>
        <v>13.157894736842104</v>
      </c>
      <c r="S34" s="135"/>
    </row>
    <row r="35" spans="1:19" ht="10" customHeight="1">
      <c r="B35" s="138"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38">
        <f t="shared" si="5"/>
        <v>836</v>
      </c>
      <c r="C36" s="139">
        <f t="shared" si="6"/>
        <v>19.280442804428045</v>
      </c>
      <c r="E36" s="140">
        <f>E37+E43+E53+E55</f>
        <v>87</v>
      </c>
      <c r="F36" s="105">
        <f t="shared" si="0"/>
        <v>10.406698564593302</v>
      </c>
      <c r="H36" s="140">
        <f>H37+H43+H53+H55</f>
        <v>48</v>
      </c>
      <c r="I36" s="105">
        <f t="shared" si="1"/>
        <v>5.741626794258373</v>
      </c>
      <c r="K36" s="140">
        <f>K37+K43+K53+K55</f>
        <v>160</v>
      </c>
      <c r="L36" s="105">
        <f t="shared" si="2"/>
        <v>19.138755980861244</v>
      </c>
      <c r="M36" s="116"/>
      <c r="N36" s="140">
        <f>N37+N43+N53+N55</f>
        <v>359</v>
      </c>
      <c r="O36" s="105">
        <f t="shared" si="3"/>
        <v>42.942583732057415</v>
      </c>
      <c r="P36" s="135"/>
      <c r="Q36" s="140">
        <f>Q37+Q43+Q53+Q55</f>
        <v>182</v>
      </c>
      <c r="R36" s="105">
        <f t="shared" si="4"/>
        <v>21.770334928229666</v>
      </c>
      <c r="S36" s="135"/>
    </row>
    <row r="37" spans="1:19" ht="13.25" customHeight="1">
      <c r="A37" s="95" t="s">
        <v>178</v>
      </c>
      <c r="B37" s="138">
        <f t="shared" si="5"/>
        <v>234</v>
      </c>
      <c r="C37" s="139">
        <f t="shared" si="6"/>
        <v>5.3966789667896675</v>
      </c>
      <c r="E37" s="140">
        <f>SUM(E38:E41)</f>
        <v>17</v>
      </c>
      <c r="F37" s="105">
        <f t="shared" si="0"/>
        <v>7.2649572649572658</v>
      </c>
      <c r="H37" s="140">
        <f>SUM(H38:H41)</f>
        <v>15</v>
      </c>
      <c r="I37" s="105">
        <f t="shared" si="1"/>
        <v>6.4102564102564097</v>
      </c>
      <c r="K37" s="140">
        <f>SUM(K38:K41)</f>
        <v>34</v>
      </c>
      <c r="L37" s="105">
        <f t="shared" si="2"/>
        <v>14.529914529914532</v>
      </c>
      <c r="M37" s="116"/>
      <c r="N37" s="140">
        <f>SUM(N38:N41)</f>
        <v>123</v>
      </c>
      <c r="O37" s="105">
        <f t="shared" si="3"/>
        <v>52.564102564102569</v>
      </c>
      <c r="P37" s="135"/>
      <c r="Q37" s="140">
        <f>SUM(Q38:Q41)</f>
        <v>45</v>
      </c>
      <c r="R37" s="105">
        <f t="shared" si="4"/>
        <v>19.230769230769234</v>
      </c>
      <c r="S37" s="135"/>
    </row>
    <row r="38" spans="1:19" ht="13.25" customHeight="1">
      <c r="A38" s="95" t="s">
        <v>179</v>
      </c>
      <c r="B38" s="138">
        <f t="shared" si="5"/>
        <v>97</v>
      </c>
      <c r="C38" s="139">
        <f t="shared" si="6"/>
        <v>2.2370848708487086</v>
      </c>
      <c r="E38" s="769">
        <v>5</v>
      </c>
      <c r="F38" s="105">
        <f t="shared" si="0"/>
        <v>5.1546391752577314</v>
      </c>
      <c r="G38" s="769"/>
      <c r="H38" s="769">
        <v>9</v>
      </c>
      <c r="I38" s="105">
        <f t="shared" si="1"/>
        <v>9.2783505154639183</v>
      </c>
      <c r="J38" s="769"/>
      <c r="K38" s="769">
        <v>15</v>
      </c>
      <c r="L38" s="105">
        <f t="shared" si="2"/>
        <v>15.463917525773196</v>
      </c>
      <c r="M38" s="769"/>
      <c r="N38" s="769">
        <v>42</v>
      </c>
      <c r="O38" s="105">
        <f t="shared" si="3"/>
        <v>43.298969072164951</v>
      </c>
      <c r="P38" s="769"/>
      <c r="Q38" s="769">
        <v>26</v>
      </c>
      <c r="R38" s="105">
        <f t="shared" si="4"/>
        <v>26.804123711340207</v>
      </c>
    </row>
    <row r="39" spans="1:19" ht="13.25" customHeight="1">
      <c r="A39" s="95" t="s">
        <v>180</v>
      </c>
      <c r="B39" s="138">
        <f t="shared" si="5"/>
        <v>79</v>
      </c>
      <c r="C39" s="139">
        <f t="shared" si="6"/>
        <v>1.8219557195571956</v>
      </c>
      <c r="E39" s="769">
        <v>3</v>
      </c>
      <c r="F39" s="105">
        <f t="shared" si="0"/>
        <v>3.79746835443038</v>
      </c>
      <c r="G39" s="769"/>
      <c r="H39" s="769">
        <v>2</v>
      </c>
      <c r="I39" s="105">
        <f t="shared" si="1"/>
        <v>2.5316455696202533</v>
      </c>
      <c r="J39" s="769"/>
      <c r="K39" s="769">
        <v>9</v>
      </c>
      <c r="L39" s="105">
        <f t="shared" si="2"/>
        <v>11.39240506329114</v>
      </c>
      <c r="M39" s="769"/>
      <c r="N39" s="769">
        <v>51</v>
      </c>
      <c r="O39" s="105">
        <f t="shared" si="3"/>
        <v>64.556962025316452</v>
      </c>
      <c r="P39" s="769"/>
      <c r="Q39" s="769">
        <v>14</v>
      </c>
      <c r="R39" s="105">
        <f t="shared" si="4"/>
        <v>17.721518987341771</v>
      </c>
    </row>
    <row r="40" spans="1:19" ht="13.25" customHeight="1">
      <c r="A40" s="95" t="s">
        <v>181</v>
      </c>
      <c r="B40" s="138">
        <f t="shared" si="5"/>
        <v>33</v>
      </c>
      <c r="C40" s="139">
        <f t="shared" si="6"/>
        <v>0.76107011070110697</v>
      </c>
      <c r="E40" s="769">
        <v>5</v>
      </c>
      <c r="F40" s="105">
        <f t="shared" si="0"/>
        <v>15.151515151515152</v>
      </c>
      <c r="G40" s="769"/>
      <c r="H40" s="769">
        <v>0</v>
      </c>
      <c r="I40" s="105">
        <f t="shared" si="1"/>
        <v>0</v>
      </c>
      <c r="J40" s="769"/>
      <c r="K40" s="769">
        <v>5</v>
      </c>
      <c r="L40" s="105">
        <f t="shared" si="2"/>
        <v>15.151515151515152</v>
      </c>
      <c r="M40" s="769"/>
      <c r="N40" s="769">
        <v>19</v>
      </c>
      <c r="O40" s="105">
        <f t="shared" si="3"/>
        <v>57.575757575757578</v>
      </c>
      <c r="P40" s="769"/>
      <c r="Q40" s="769">
        <v>4</v>
      </c>
      <c r="R40" s="105">
        <f t="shared" si="4"/>
        <v>12.121212121212121</v>
      </c>
    </row>
    <row r="41" spans="1:19" ht="12" customHeight="1">
      <c r="A41" s="95" t="s">
        <v>182</v>
      </c>
      <c r="B41" s="138">
        <f t="shared" si="5"/>
        <v>25</v>
      </c>
      <c r="C41" s="139">
        <f t="shared" si="6"/>
        <v>0.57656826568265684</v>
      </c>
      <c r="E41" s="769">
        <v>4</v>
      </c>
      <c r="F41" s="105">
        <f t="shared" si="0"/>
        <v>16</v>
      </c>
      <c r="G41" s="769"/>
      <c r="H41" s="769">
        <v>4</v>
      </c>
      <c r="I41" s="105">
        <f t="shared" si="1"/>
        <v>16</v>
      </c>
      <c r="J41" s="769"/>
      <c r="K41" s="769">
        <v>5</v>
      </c>
      <c r="L41" s="105">
        <f t="shared" si="2"/>
        <v>20</v>
      </c>
      <c r="M41" s="769"/>
      <c r="N41" s="769">
        <v>11</v>
      </c>
      <c r="O41" s="105">
        <f t="shared" si="3"/>
        <v>44</v>
      </c>
      <c r="P41" s="769"/>
      <c r="Q41" s="769">
        <v>1</v>
      </c>
      <c r="R41" s="105">
        <f t="shared" si="4"/>
        <v>4</v>
      </c>
    </row>
    <row r="42" spans="1:19" ht="10" customHeight="1">
      <c r="B42" s="138"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38">
        <f t="shared" si="5"/>
        <v>280</v>
      </c>
      <c r="C43" s="139">
        <f t="shared" si="6"/>
        <v>6.4575645756457565</v>
      </c>
      <c r="E43" s="140">
        <f>SUM(E44:E51)</f>
        <v>30</v>
      </c>
      <c r="F43" s="105">
        <f t="shared" si="0"/>
        <v>10.714285714285714</v>
      </c>
      <c r="H43" s="140">
        <f>SUM(H44:H51)</f>
        <v>22</v>
      </c>
      <c r="I43" s="105">
        <f t="shared" si="1"/>
        <v>7.8571428571428568</v>
      </c>
      <c r="K43" s="140">
        <f>SUM(K44:K51)</f>
        <v>57</v>
      </c>
      <c r="L43" s="105">
        <f t="shared" si="2"/>
        <v>20.357142857142858</v>
      </c>
      <c r="M43" s="116"/>
      <c r="N43" s="140">
        <f>SUM(N44:N51)</f>
        <v>103</v>
      </c>
      <c r="O43" s="105">
        <f t="shared" si="3"/>
        <v>36.785714285714292</v>
      </c>
      <c r="P43" s="135"/>
      <c r="Q43" s="140">
        <f>SUM(Q44:Q51)</f>
        <v>68</v>
      </c>
      <c r="R43" s="105">
        <f t="shared" si="4"/>
        <v>24.285714285714285</v>
      </c>
      <c r="S43" s="135"/>
    </row>
    <row r="44" spans="1:19" ht="13.25" customHeight="1">
      <c r="A44" s="95" t="s">
        <v>185</v>
      </c>
      <c r="B44" s="138">
        <f t="shared" si="5"/>
        <v>43</v>
      </c>
      <c r="C44" s="139">
        <f t="shared" si="6"/>
        <v>0.99169741697416969</v>
      </c>
      <c r="E44" s="769">
        <v>2</v>
      </c>
      <c r="F44" s="105">
        <f t="shared" si="0"/>
        <v>4.6511627906976747</v>
      </c>
      <c r="G44" s="769"/>
      <c r="H44" s="769">
        <v>8</v>
      </c>
      <c r="I44" s="105">
        <f t="shared" si="1"/>
        <v>18.604651162790699</v>
      </c>
      <c r="J44" s="769"/>
      <c r="K44" s="769">
        <v>13</v>
      </c>
      <c r="L44" s="105">
        <f t="shared" si="2"/>
        <v>30.232558139534881</v>
      </c>
      <c r="M44" s="769"/>
      <c r="N44" s="769">
        <v>20</v>
      </c>
      <c r="O44" s="105">
        <f t="shared" si="3"/>
        <v>46.511627906976742</v>
      </c>
      <c r="P44" s="769"/>
      <c r="Q44" s="769">
        <v>0</v>
      </c>
      <c r="R44" s="105">
        <f t="shared" si="4"/>
        <v>0</v>
      </c>
      <c r="S44" s="135"/>
    </row>
    <row r="45" spans="1:19" ht="13.25" customHeight="1">
      <c r="A45" s="95" t="s">
        <v>191</v>
      </c>
      <c r="B45" s="138">
        <f>IF($A45&lt;&gt;"",E45+H45+K45+N45+Q45,"")</f>
        <v>13</v>
      </c>
      <c r="C45" s="139">
        <f>IF(A45&lt;&gt;0,B45/$B$11*100,"")</f>
        <v>0.29981549815498154</v>
      </c>
      <c r="E45" s="769">
        <v>1</v>
      </c>
      <c r="F45" s="105">
        <f t="shared" si="0"/>
        <v>7.6923076923076925</v>
      </c>
      <c r="G45" s="769"/>
      <c r="H45" s="769">
        <v>0</v>
      </c>
      <c r="I45" s="105">
        <f t="shared" si="1"/>
        <v>0</v>
      </c>
      <c r="J45" s="769"/>
      <c r="K45" s="769">
        <v>5</v>
      </c>
      <c r="L45" s="105">
        <f t="shared" si="2"/>
        <v>38.461538461538467</v>
      </c>
      <c r="M45" s="769"/>
      <c r="N45" s="769">
        <v>6</v>
      </c>
      <c r="O45" s="105">
        <f t="shared" si="3"/>
        <v>46.153846153846153</v>
      </c>
      <c r="P45" s="769"/>
      <c r="Q45" s="769">
        <v>1</v>
      </c>
      <c r="R45" s="105">
        <f t="shared" si="4"/>
        <v>7.6923076923076925</v>
      </c>
      <c r="S45" s="135"/>
    </row>
    <row r="46" spans="1:19" ht="13.25" customHeight="1">
      <c r="A46" s="95" t="s">
        <v>184</v>
      </c>
      <c r="B46" s="138">
        <f>IF($A46&lt;&gt;"",E46+H46+K46+N46+Q46,"")</f>
        <v>25</v>
      </c>
      <c r="C46" s="139">
        <f>IF(A46&lt;&gt;0,B46/$B$11*100,"")</f>
        <v>0.57656826568265684</v>
      </c>
      <c r="E46" s="769">
        <v>3</v>
      </c>
      <c r="F46" s="105">
        <f t="shared" si="0"/>
        <v>12</v>
      </c>
      <c r="G46" s="769"/>
      <c r="H46" s="769">
        <v>2</v>
      </c>
      <c r="I46" s="105">
        <f t="shared" si="1"/>
        <v>8</v>
      </c>
      <c r="J46" s="769"/>
      <c r="K46" s="769">
        <v>4</v>
      </c>
      <c r="L46" s="105">
        <f t="shared" si="2"/>
        <v>16</v>
      </c>
      <c r="M46" s="769"/>
      <c r="N46" s="769">
        <v>12</v>
      </c>
      <c r="O46" s="105">
        <f t="shared" si="3"/>
        <v>48</v>
      </c>
      <c r="P46" s="769"/>
      <c r="Q46" s="769">
        <v>4</v>
      </c>
      <c r="R46" s="105">
        <f t="shared" si="4"/>
        <v>16</v>
      </c>
      <c r="S46" s="135"/>
    </row>
    <row r="47" spans="1:19" ht="13.25" customHeight="1">
      <c r="A47" s="95" t="s">
        <v>186</v>
      </c>
      <c r="B47" s="138">
        <f t="shared" si="5"/>
        <v>32</v>
      </c>
      <c r="C47" s="139">
        <f t="shared" si="6"/>
        <v>0.73800738007380073</v>
      </c>
      <c r="E47" s="769">
        <v>6</v>
      </c>
      <c r="F47" s="105">
        <f t="shared" si="0"/>
        <v>18.75</v>
      </c>
      <c r="G47" s="769"/>
      <c r="H47" s="769">
        <v>1</v>
      </c>
      <c r="I47" s="105">
        <f t="shared" si="1"/>
        <v>3.125</v>
      </c>
      <c r="J47" s="769"/>
      <c r="K47" s="769">
        <v>5</v>
      </c>
      <c r="L47" s="105">
        <f t="shared" si="2"/>
        <v>15.625</v>
      </c>
      <c r="M47" s="769"/>
      <c r="N47" s="769">
        <v>13</v>
      </c>
      <c r="O47" s="105">
        <f t="shared" si="3"/>
        <v>40.625</v>
      </c>
      <c r="P47" s="769"/>
      <c r="Q47" s="769">
        <v>7</v>
      </c>
      <c r="R47" s="105">
        <f t="shared" si="4"/>
        <v>21.875</v>
      </c>
      <c r="S47" s="135"/>
    </row>
    <row r="48" spans="1:19" ht="13.25" customHeight="1">
      <c r="A48" s="95" t="s">
        <v>408</v>
      </c>
      <c r="B48" s="138">
        <f t="shared" si="5"/>
        <v>30</v>
      </c>
      <c r="C48" s="139">
        <f t="shared" si="6"/>
        <v>0.69188191881918815</v>
      </c>
      <c r="E48" s="769">
        <v>4</v>
      </c>
      <c r="F48" s="105">
        <f t="shared" si="0"/>
        <v>13.333333333333334</v>
      </c>
      <c r="G48" s="769"/>
      <c r="H48" s="769">
        <v>3</v>
      </c>
      <c r="I48" s="105">
        <f t="shared" si="1"/>
        <v>10</v>
      </c>
      <c r="J48" s="769"/>
      <c r="K48" s="769">
        <v>7</v>
      </c>
      <c r="L48" s="105">
        <f t="shared" si="2"/>
        <v>23.333333333333332</v>
      </c>
      <c r="M48" s="769"/>
      <c r="N48" s="769">
        <v>16</v>
      </c>
      <c r="O48" s="105">
        <f t="shared" si="3"/>
        <v>53.333333333333336</v>
      </c>
      <c r="P48" s="769"/>
      <c r="Q48" s="769">
        <v>0</v>
      </c>
      <c r="R48" s="105">
        <f t="shared" si="4"/>
        <v>0</v>
      </c>
      <c r="S48" s="135"/>
    </row>
    <row r="49" spans="1:19" ht="13.25" customHeight="1">
      <c r="A49" s="95" t="s">
        <v>190</v>
      </c>
      <c r="B49" s="138">
        <f t="shared" si="5"/>
        <v>19</v>
      </c>
      <c r="C49" s="139">
        <f t="shared" si="6"/>
        <v>0.43819188191881914</v>
      </c>
      <c r="E49" s="769">
        <v>3</v>
      </c>
      <c r="F49" s="105">
        <f t="shared" si="0"/>
        <v>15.789473684210526</v>
      </c>
      <c r="G49" s="769"/>
      <c r="H49" s="769">
        <v>3</v>
      </c>
      <c r="I49" s="105">
        <f t="shared" si="1"/>
        <v>15.789473684210526</v>
      </c>
      <c r="J49" s="769"/>
      <c r="K49" s="769">
        <v>5</v>
      </c>
      <c r="L49" s="105">
        <f t="shared" si="2"/>
        <v>26.315789473684209</v>
      </c>
      <c r="M49" s="769"/>
      <c r="N49" s="769">
        <v>8</v>
      </c>
      <c r="O49" s="105">
        <f t="shared" si="3"/>
        <v>42.105263157894733</v>
      </c>
      <c r="P49" s="769"/>
      <c r="Q49" s="769">
        <v>0</v>
      </c>
      <c r="R49" s="105">
        <f t="shared" si="4"/>
        <v>0</v>
      </c>
      <c r="S49" s="135"/>
    </row>
    <row r="50" spans="1:19" ht="13.25" customHeight="1">
      <c r="A50" s="95" t="s">
        <v>189</v>
      </c>
      <c r="B50" s="138">
        <f t="shared" si="5"/>
        <v>82</v>
      </c>
      <c r="C50" s="139">
        <f t="shared" si="6"/>
        <v>1.8911439114391144</v>
      </c>
      <c r="E50" s="769">
        <v>2</v>
      </c>
      <c r="F50" s="105">
        <f t="shared" si="0"/>
        <v>2.4390243902439024</v>
      </c>
      <c r="G50" s="769"/>
      <c r="H50" s="769">
        <v>4</v>
      </c>
      <c r="I50" s="105">
        <f t="shared" si="1"/>
        <v>4.8780487804878048</v>
      </c>
      <c r="J50" s="769"/>
      <c r="K50" s="769">
        <v>10</v>
      </c>
      <c r="L50" s="105">
        <f t="shared" si="2"/>
        <v>12.195121951219512</v>
      </c>
      <c r="M50" s="769"/>
      <c r="N50" s="769">
        <v>17</v>
      </c>
      <c r="O50" s="105">
        <f t="shared" si="3"/>
        <v>20.73170731707317</v>
      </c>
      <c r="P50" s="769"/>
      <c r="Q50" s="769">
        <v>49</v>
      </c>
      <c r="R50" s="105">
        <f t="shared" si="4"/>
        <v>59.756097560975604</v>
      </c>
      <c r="S50" s="135"/>
    </row>
    <row r="51" spans="1:19" ht="12" customHeight="1">
      <c r="A51" s="95" t="s">
        <v>188</v>
      </c>
      <c r="B51" s="138">
        <f>IF($A51&lt;&gt;"",E51+H51+K51+N51+Q51,"")</f>
        <v>36</v>
      </c>
      <c r="C51" s="139">
        <f t="shared" si="6"/>
        <v>0.83025830258302591</v>
      </c>
      <c r="E51" s="769">
        <v>9</v>
      </c>
      <c r="F51" s="105">
        <f t="shared" si="0"/>
        <v>25</v>
      </c>
      <c r="G51" s="769"/>
      <c r="H51" s="769">
        <v>1</v>
      </c>
      <c r="I51" s="105">
        <f t="shared" si="1"/>
        <v>2.7777777777777777</v>
      </c>
      <c r="J51" s="769"/>
      <c r="K51" s="769">
        <v>8</v>
      </c>
      <c r="L51" s="105">
        <f t="shared" si="2"/>
        <v>22.222222222222221</v>
      </c>
      <c r="M51" s="769"/>
      <c r="N51" s="769">
        <v>11</v>
      </c>
      <c r="O51" s="105">
        <f t="shared" si="3"/>
        <v>30.555555555555557</v>
      </c>
      <c r="P51" s="769"/>
      <c r="Q51" s="769">
        <v>7</v>
      </c>
      <c r="R51" s="105">
        <f>IF($A51&lt;&gt;0,Q51/$B51*100,"")</f>
        <v>19.444444444444446</v>
      </c>
      <c r="S51" s="135"/>
    </row>
    <row r="52" spans="1:19" ht="10" customHeight="1">
      <c r="B52" s="138" t="str">
        <f t="shared" si="5"/>
        <v/>
      </c>
      <c r="C52" s="139" t="str">
        <f t="shared" si="6"/>
        <v/>
      </c>
      <c r="E52" s="116"/>
      <c r="F52" s="105" t="str">
        <f t="shared" si="0"/>
        <v/>
      </c>
      <c r="G52" s="116"/>
      <c r="H52" s="116"/>
      <c r="I52" s="105" t="str">
        <f t="shared" si="1"/>
        <v/>
      </c>
      <c r="J52" s="116"/>
      <c r="K52" s="116"/>
      <c r="L52" s="105" t="str">
        <f t="shared" si="2"/>
        <v/>
      </c>
      <c r="M52" s="116"/>
      <c r="N52" s="116"/>
      <c r="O52" s="105" t="str">
        <f t="shared" si="3"/>
        <v/>
      </c>
      <c r="P52" s="116"/>
      <c r="Q52" s="116"/>
      <c r="R52" s="105" t="str">
        <f t="shared" si="4"/>
        <v/>
      </c>
      <c r="S52" s="135"/>
    </row>
    <row r="53" spans="1:19" ht="12" customHeight="1">
      <c r="A53" s="95" t="s">
        <v>192</v>
      </c>
      <c r="B53" s="138">
        <f t="shared" si="5"/>
        <v>117</v>
      </c>
      <c r="C53" s="139">
        <f t="shared" si="6"/>
        <v>2.6983394833948338</v>
      </c>
      <c r="E53" s="769">
        <v>11</v>
      </c>
      <c r="F53" s="105">
        <f t="shared" si="0"/>
        <v>9.4017094017094021</v>
      </c>
      <c r="G53" s="769"/>
      <c r="H53" s="769">
        <v>4</v>
      </c>
      <c r="I53" s="105">
        <f t="shared" si="1"/>
        <v>3.4188034188034191</v>
      </c>
      <c r="J53" s="769"/>
      <c r="K53" s="769">
        <v>24</v>
      </c>
      <c r="L53" s="105">
        <f t="shared" si="2"/>
        <v>20.512820512820511</v>
      </c>
      <c r="M53" s="769"/>
      <c r="N53" s="769">
        <v>64</v>
      </c>
      <c r="O53" s="105">
        <f t="shared" si="3"/>
        <v>54.700854700854705</v>
      </c>
      <c r="P53" s="769"/>
      <c r="Q53" s="769">
        <v>14</v>
      </c>
      <c r="R53" s="105">
        <f t="shared" si="4"/>
        <v>11.965811965811966</v>
      </c>
      <c r="S53" s="135"/>
    </row>
    <row r="54" spans="1:19" ht="10" customHeight="1">
      <c r="B54" s="138"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38">
        <f t="shared" si="5"/>
        <v>205</v>
      </c>
      <c r="C55" s="139">
        <f t="shared" si="6"/>
        <v>4.7278597785977858</v>
      </c>
      <c r="E55" s="140">
        <f>SUM(E56:E60)</f>
        <v>29</v>
      </c>
      <c r="F55" s="105">
        <f t="shared" si="0"/>
        <v>14.146341463414632</v>
      </c>
      <c r="H55" s="140">
        <f>SUM(H56:H60)</f>
        <v>7</v>
      </c>
      <c r="I55" s="105">
        <f t="shared" si="1"/>
        <v>3.4146341463414638</v>
      </c>
      <c r="K55" s="140">
        <f>SUM(K56:K60)</f>
        <v>45</v>
      </c>
      <c r="L55" s="105">
        <f t="shared" si="2"/>
        <v>21.951219512195124</v>
      </c>
      <c r="M55" s="116"/>
      <c r="N55" s="140">
        <f>SUM(N56:N60)</f>
        <v>69</v>
      </c>
      <c r="O55" s="105">
        <f t="shared" si="3"/>
        <v>33.658536585365859</v>
      </c>
      <c r="P55" s="135"/>
      <c r="Q55" s="140">
        <f>SUM(Q56:Q60)</f>
        <v>55</v>
      </c>
      <c r="R55" s="105">
        <f t="shared" si="4"/>
        <v>26.829268292682929</v>
      </c>
      <c r="S55" s="135"/>
    </row>
    <row r="56" spans="1:19" ht="13.25" customHeight="1">
      <c r="A56" s="95" t="s">
        <v>194</v>
      </c>
      <c r="B56" s="138">
        <f t="shared" si="5"/>
        <v>25</v>
      </c>
      <c r="C56" s="139">
        <f t="shared" si="6"/>
        <v>0.57656826568265684</v>
      </c>
      <c r="E56" s="769">
        <v>0</v>
      </c>
      <c r="F56" s="105">
        <f t="shared" si="0"/>
        <v>0</v>
      </c>
      <c r="G56" s="769"/>
      <c r="H56" s="769">
        <v>3</v>
      </c>
      <c r="I56" s="105">
        <f t="shared" si="1"/>
        <v>12</v>
      </c>
      <c r="J56" s="769"/>
      <c r="K56" s="769">
        <v>6</v>
      </c>
      <c r="L56" s="105">
        <f t="shared" si="2"/>
        <v>24</v>
      </c>
      <c r="M56" s="769"/>
      <c r="N56" s="769">
        <v>11</v>
      </c>
      <c r="O56" s="105">
        <f t="shared" si="3"/>
        <v>44</v>
      </c>
      <c r="P56" s="769"/>
      <c r="Q56" s="769">
        <v>5</v>
      </c>
      <c r="R56" s="105">
        <f t="shared" si="4"/>
        <v>20</v>
      </c>
      <c r="S56" s="135"/>
    </row>
    <row r="57" spans="1:19" ht="13.25" customHeight="1">
      <c r="A57" s="95" t="s">
        <v>195</v>
      </c>
      <c r="B57" s="138">
        <f t="shared" si="5"/>
        <v>66</v>
      </c>
      <c r="C57" s="139">
        <f t="shared" si="6"/>
        <v>1.5221402214022139</v>
      </c>
      <c r="E57" s="769">
        <v>12</v>
      </c>
      <c r="F57" s="105">
        <f t="shared" si="0"/>
        <v>18.181818181818183</v>
      </c>
      <c r="G57" s="769"/>
      <c r="H57" s="769">
        <v>2</v>
      </c>
      <c r="I57" s="105">
        <f t="shared" si="1"/>
        <v>3.0303030303030303</v>
      </c>
      <c r="J57" s="769"/>
      <c r="K57" s="769">
        <v>15</v>
      </c>
      <c r="L57" s="105">
        <f t="shared" si="2"/>
        <v>22.727272727272727</v>
      </c>
      <c r="M57" s="769"/>
      <c r="N57" s="769">
        <v>30</v>
      </c>
      <c r="O57" s="105">
        <f t="shared" si="3"/>
        <v>45.454545454545453</v>
      </c>
      <c r="P57" s="769"/>
      <c r="Q57" s="769">
        <v>7</v>
      </c>
      <c r="R57" s="105">
        <f t="shared" si="4"/>
        <v>10.606060606060606</v>
      </c>
      <c r="S57" s="135"/>
    </row>
    <row r="58" spans="1:19" ht="13.25" customHeight="1">
      <c r="A58" s="95" t="s">
        <v>196</v>
      </c>
      <c r="B58" s="138">
        <f t="shared" si="5"/>
        <v>63</v>
      </c>
      <c r="C58" s="139">
        <f t="shared" si="6"/>
        <v>1.4529520295202951</v>
      </c>
      <c r="E58" s="769">
        <v>3</v>
      </c>
      <c r="F58" s="105">
        <f t="shared" si="0"/>
        <v>4.7619047619047619</v>
      </c>
      <c r="G58" s="769"/>
      <c r="H58" s="769">
        <v>0</v>
      </c>
      <c r="I58" s="105">
        <f t="shared" si="1"/>
        <v>0</v>
      </c>
      <c r="J58" s="769"/>
      <c r="K58" s="769">
        <v>10</v>
      </c>
      <c r="L58" s="105">
        <f t="shared" si="2"/>
        <v>15.873015873015872</v>
      </c>
      <c r="M58" s="769"/>
      <c r="N58" s="769">
        <v>15</v>
      </c>
      <c r="O58" s="105">
        <f t="shared" si="3"/>
        <v>23.809523809523807</v>
      </c>
      <c r="P58" s="769"/>
      <c r="Q58" s="769">
        <v>35</v>
      </c>
      <c r="R58" s="105">
        <f t="shared" si="4"/>
        <v>55.555555555555557</v>
      </c>
      <c r="S58" s="135"/>
    </row>
    <row r="59" spans="1:19" ht="13.25" customHeight="1">
      <c r="A59" s="95" t="s">
        <v>409</v>
      </c>
      <c r="B59" s="138">
        <f t="shared" si="5"/>
        <v>17</v>
      </c>
      <c r="C59" s="139">
        <f t="shared" si="6"/>
        <v>0.39206642066420661</v>
      </c>
      <c r="E59" s="769">
        <v>7</v>
      </c>
      <c r="F59" s="105">
        <f t="shared" si="0"/>
        <v>41.17647058823529</v>
      </c>
      <c r="G59" s="769"/>
      <c r="H59" s="769">
        <v>0</v>
      </c>
      <c r="I59" s="105">
        <f t="shared" si="1"/>
        <v>0</v>
      </c>
      <c r="J59" s="769"/>
      <c r="K59" s="769">
        <v>2</v>
      </c>
      <c r="L59" s="105">
        <f t="shared" si="2"/>
        <v>11.76470588235294</v>
      </c>
      <c r="M59" s="769"/>
      <c r="N59" s="769">
        <v>7</v>
      </c>
      <c r="O59" s="105">
        <f t="shared" si="3"/>
        <v>41.17647058823529</v>
      </c>
      <c r="P59" s="769"/>
      <c r="Q59" s="769">
        <v>1</v>
      </c>
      <c r="R59" s="105">
        <f t="shared" si="4"/>
        <v>5.8823529411764701</v>
      </c>
      <c r="S59" s="135"/>
    </row>
    <row r="60" spans="1:19" ht="12" customHeight="1">
      <c r="A60" s="95" t="s">
        <v>198</v>
      </c>
      <c r="B60" s="138">
        <f t="shared" si="5"/>
        <v>34</v>
      </c>
      <c r="C60" s="139">
        <f t="shared" si="6"/>
        <v>0.78413284132841321</v>
      </c>
      <c r="E60" s="769">
        <v>7</v>
      </c>
      <c r="F60" s="105">
        <f t="shared" si="0"/>
        <v>20.588235294117645</v>
      </c>
      <c r="G60" s="769"/>
      <c r="H60" s="769">
        <v>2</v>
      </c>
      <c r="I60" s="105">
        <f t="shared" si="1"/>
        <v>5.8823529411764701</v>
      </c>
      <c r="J60" s="769"/>
      <c r="K60" s="769">
        <v>12</v>
      </c>
      <c r="L60" s="105">
        <f t="shared" si="2"/>
        <v>35.294117647058826</v>
      </c>
      <c r="M60" s="769"/>
      <c r="N60" s="769">
        <v>6</v>
      </c>
      <c r="O60" s="105">
        <f t="shared" si="3"/>
        <v>17.647058823529413</v>
      </c>
      <c r="P60" s="769"/>
      <c r="Q60" s="769">
        <v>7</v>
      </c>
      <c r="R60" s="105">
        <f t="shared" si="4"/>
        <v>20.588235294117645</v>
      </c>
      <c r="S60" s="135"/>
    </row>
    <row r="61" spans="1:19" ht="10" customHeight="1">
      <c r="B61" s="138"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38">
        <f t="shared" si="5"/>
        <v>922</v>
      </c>
      <c r="C62" s="139">
        <f t="shared" si="6"/>
        <v>21.263837638376383</v>
      </c>
      <c r="E62" s="140">
        <f>E63+E65+E72+E74</f>
        <v>91</v>
      </c>
      <c r="F62" s="105">
        <f t="shared" si="0"/>
        <v>9.8698481561822113</v>
      </c>
      <c r="H62" s="140">
        <f>H63+H65+H72+H74</f>
        <v>23</v>
      </c>
      <c r="I62" s="105">
        <f t="shared" si="1"/>
        <v>2.4945770065075923</v>
      </c>
      <c r="K62" s="140">
        <f>K63+K65+K72+K74</f>
        <v>52</v>
      </c>
      <c r="L62" s="105">
        <f t="shared" si="2"/>
        <v>5.6399132321041208</v>
      </c>
      <c r="M62" s="116"/>
      <c r="N62" s="140">
        <f>N63+N65+N72+N74</f>
        <v>157</v>
      </c>
      <c r="O62" s="105">
        <f t="shared" si="3"/>
        <v>17.02819956616052</v>
      </c>
      <c r="P62" s="135"/>
      <c r="Q62" s="140">
        <f>Q63+Q65+Q72+Q74</f>
        <v>599</v>
      </c>
      <c r="R62" s="105">
        <f t="shared" si="4"/>
        <v>64.967462039045557</v>
      </c>
      <c r="S62" s="135"/>
    </row>
    <row r="63" spans="1:19" ht="12" customHeight="1">
      <c r="A63" s="95" t="s">
        <v>411</v>
      </c>
      <c r="B63" s="138">
        <f t="shared" si="5"/>
        <v>76</v>
      </c>
      <c r="C63" s="139">
        <f t="shared" si="6"/>
        <v>1.7527675276752765</v>
      </c>
      <c r="E63" s="769">
        <v>13</v>
      </c>
      <c r="F63" s="105">
        <f t="shared" si="0"/>
        <v>17.105263157894736</v>
      </c>
      <c r="G63" s="769"/>
      <c r="H63" s="769">
        <v>1</v>
      </c>
      <c r="I63" s="105">
        <f t="shared" si="1"/>
        <v>1.3157894736842104</v>
      </c>
      <c r="J63" s="769"/>
      <c r="K63" s="769">
        <v>3</v>
      </c>
      <c r="L63" s="105">
        <f t="shared" si="2"/>
        <v>3.9473684210526314</v>
      </c>
      <c r="M63" s="769"/>
      <c r="N63" s="769">
        <v>6</v>
      </c>
      <c r="O63" s="105">
        <f t="shared" si="3"/>
        <v>7.8947368421052628</v>
      </c>
      <c r="P63" s="769"/>
      <c r="Q63" s="769">
        <v>53</v>
      </c>
      <c r="R63" s="105">
        <f t="shared" si="4"/>
        <v>69.73684210526315</v>
      </c>
      <c r="S63" s="135"/>
    </row>
    <row r="64" spans="1:19" ht="10" customHeight="1">
      <c r="B64" s="138"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38">
        <f t="shared" si="5"/>
        <v>660</v>
      </c>
      <c r="C65" s="139">
        <f t="shared" si="6"/>
        <v>15.22140221402214</v>
      </c>
      <c r="E65" s="140">
        <f>SUM(E66:E70)</f>
        <v>53</v>
      </c>
      <c r="F65" s="105">
        <f t="shared" si="0"/>
        <v>8.0303030303030312</v>
      </c>
      <c r="H65" s="140">
        <f>SUM(H66:H70)</f>
        <v>13</v>
      </c>
      <c r="I65" s="105">
        <f t="shared" si="1"/>
        <v>1.9696969696969695</v>
      </c>
      <c r="K65" s="140">
        <f>SUM(K66:K70)</f>
        <v>31</v>
      </c>
      <c r="L65" s="105">
        <f t="shared" si="2"/>
        <v>4.6969696969696964</v>
      </c>
      <c r="M65" s="116"/>
      <c r="N65" s="140">
        <f>SUM(N66:N70)</f>
        <v>130</v>
      </c>
      <c r="O65" s="105">
        <f t="shared" si="3"/>
        <v>19.696969696969695</v>
      </c>
      <c r="P65" s="135"/>
      <c r="Q65" s="140">
        <f>SUM(Q66:Q70)</f>
        <v>433</v>
      </c>
      <c r="R65" s="105">
        <f t="shared" si="4"/>
        <v>65.606060606060595</v>
      </c>
      <c r="S65" s="135"/>
    </row>
    <row r="66" spans="1:19" ht="13.25" customHeight="1">
      <c r="A66" s="95" t="s">
        <v>482</v>
      </c>
      <c r="B66" s="138">
        <f t="shared" si="5"/>
        <v>401</v>
      </c>
      <c r="C66" s="139">
        <f t="shared" si="6"/>
        <v>9.2481549815498152</v>
      </c>
      <c r="E66" s="769">
        <v>21</v>
      </c>
      <c r="F66" s="105">
        <f t="shared" si="0"/>
        <v>5.2369077306733169</v>
      </c>
      <c r="G66" s="769"/>
      <c r="H66" s="769">
        <v>3</v>
      </c>
      <c r="I66" s="105">
        <f t="shared" si="1"/>
        <v>0.74812967581047385</v>
      </c>
      <c r="J66" s="769"/>
      <c r="K66" s="769">
        <v>11</v>
      </c>
      <c r="L66" s="105">
        <f t="shared" si="2"/>
        <v>2.7431421446384037</v>
      </c>
      <c r="M66" s="769"/>
      <c r="N66" s="769">
        <v>42</v>
      </c>
      <c r="O66" s="105">
        <f t="shared" si="3"/>
        <v>10.473815461346634</v>
      </c>
      <c r="P66" s="769"/>
      <c r="Q66" s="769">
        <v>324</v>
      </c>
      <c r="R66" s="105">
        <f t="shared" si="4"/>
        <v>80.798004987531172</v>
      </c>
      <c r="S66" s="135"/>
    </row>
    <row r="67" spans="1:19" ht="13.25" customHeight="1">
      <c r="A67" s="95" t="s">
        <v>204</v>
      </c>
      <c r="B67" s="138">
        <f t="shared" si="5"/>
        <v>31</v>
      </c>
      <c r="C67" s="139">
        <f t="shared" si="6"/>
        <v>0.7149446494464945</v>
      </c>
      <c r="E67" s="769">
        <v>12</v>
      </c>
      <c r="F67" s="105">
        <f t="shared" si="0"/>
        <v>38.70967741935484</v>
      </c>
      <c r="G67" s="769"/>
      <c r="H67" s="769">
        <v>0</v>
      </c>
      <c r="I67" s="105">
        <f t="shared" si="1"/>
        <v>0</v>
      </c>
      <c r="J67" s="769"/>
      <c r="K67" s="769">
        <v>10</v>
      </c>
      <c r="L67" s="105">
        <f t="shared" si="2"/>
        <v>32.258064516129032</v>
      </c>
      <c r="M67" s="769"/>
      <c r="N67" s="769">
        <v>6</v>
      </c>
      <c r="O67" s="105">
        <f t="shared" si="3"/>
        <v>19.35483870967742</v>
      </c>
      <c r="P67" s="769"/>
      <c r="Q67" s="769">
        <v>3</v>
      </c>
      <c r="R67" s="105">
        <f t="shared" si="4"/>
        <v>9.67741935483871</v>
      </c>
      <c r="S67" s="135"/>
    </row>
    <row r="68" spans="1:19" ht="13.25" customHeight="1">
      <c r="A68" s="95" t="s">
        <v>206</v>
      </c>
      <c r="B68" s="138">
        <f t="shared" si="5"/>
        <v>39</v>
      </c>
      <c r="C68" s="139">
        <f t="shared" si="6"/>
        <v>0.89944649446494462</v>
      </c>
      <c r="E68" s="769">
        <v>7</v>
      </c>
      <c r="F68" s="105">
        <f t="shared" si="0"/>
        <v>17.948717948717949</v>
      </c>
      <c r="G68" s="769"/>
      <c r="H68" s="769">
        <v>3</v>
      </c>
      <c r="I68" s="105">
        <f t="shared" si="1"/>
        <v>7.6923076923076925</v>
      </c>
      <c r="J68" s="769"/>
      <c r="K68" s="769">
        <v>1</v>
      </c>
      <c r="L68" s="105">
        <f t="shared" si="2"/>
        <v>2.5641025641025639</v>
      </c>
      <c r="M68" s="769"/>
      <c r="N68" s="769">
        <v>4</v>
      </c>
      <c r="O68" s="105">
        <f t="shared" si="3"/>
        <v>10.256410256410255</v>
      </c>
      <c r="P68" s="769"/>
      <c r="Q68" s="769">
        <v>24</v>
      </c>
      <c r="R68" s="105">
        <f t="shared" si="4"/>
        <v>61.53846153846154</v>
      </c>
      <c r="S68" s="135"/>
    </row>
    <row r="69" spans="1:19" ht="12" customHeight="1">
      <c r="A69" s="95" t="s">
        <v>205</v>
      </c>
      <c r="B69" s="138">
        <f t="shared" si="5"/>
        <v>31</v>
      </c>
      <c r="C69" s="139">
        <f t="shared" si="6"/>
        <v>0.7149446494464945</v>
      </c>
      <c r="E69" s="769">
        <v>6</v>
      </c>
      <c r="F69" s="105">
        <f t="shared" si="0"/>
        <v>19.35483870967742</v>
      </c>
      <c r="G69" s="769"/>
      <c r="H69" s="769">
        <v>2</v>
      </c>
      <c r="I69" s="105">
        <f t="shared" si="1"/>
        <v>6.4516129032258061</v>
      </c>
      <c r="J69" s="769"/>
      <c r="K69" s="769">
        <v>1</v>
      </c>
      <c r="L69" s="105">
        <f t="shared" si="2"/>
        <v>3.225806451612903</v>
      </c>
      <c r="M69" s="769"/>
      <c r="N69" s="769">
        <v>15</v>
      </c>
      <c r="O69" s="105">
        <f t="shared" si="3"/>
        <v>48.387096774193552</v>
      </c>
      <c r="P69" s="769"/>
      <c r="Q69" s="769">
        <v>7</v>
      </c>
      <c r="R69" s="105">
        <f t="shared" si="4"/>
        <v>22.58064516129032</v>
      </c>
    </row>
    <row r="70" spans="1:19" ht="13.25" customHeight="1">
      <c r="A70" s="95" t="s">
        <v>207</v>
      </c>
      <c r="B70" s="138">
        <f t="shared" si="5"/>
        <v>158</v>
      </c>
      <c r="C70" s="139">
        <f t="shared" si="6"/>
        <v>3.6439114391143912</v>
      </c>
      <c r="E70" s="769">
        <v>7</v>
      </c>
      <c r="F70" s="105">
        <f t="shared" si="0"/>
        <v>4.4303797468354427</v>
      </c>
      <c r="G70" s="769"/>
      <c r="H70" s="769">
        <v>5</v>
      </c>
      <c r="I70" s="105">
        <f t="shared" si="1"/>
        <v>3.1645569620253164</v>
      </c>
      <c r="J70" s="769"/>
      <c r="K70" s="769">
        <v>8</v>
      </c>
      <c r="L70" s="105">
        <f t="shared" si="2"/>
        <v>5.0632911392405067</v>
      </c>
      <c r="M70" s="769"/>
      <c r="N70" s="769">
        <v>63</v>
      </c>
      <c r="O70" s="105">
        <f t="shared" si="3"/>
        <v>39.87341772151899</v>
      </c>
      <c r="P70" s="769"/>
      <c r="Q70" s="769">
        <v>75</v>
      </c>
      <c r="R70" s="105">
        <f t="shared" si="4"/>
        <v>47.468354430379748</v>
      </c>
      <c r="S70" s="135"/>
    </row>
    <row r="71" spans="1:19" ht="10" customHeight="1">
      <c r="B71" s="138" t="str">
        <f t="shared" si="5"/>
        <v/>
      </c>
      <c r="C71" s="139" t="str">
        <f t="shared" si="6"/>
        <v/>
      </c>
      <c r="E71" s="116"/>
      <c r="F71" s="105" t="str">
        <f t="shared" si="0"/>
        <v/>
      </c>
      <c r="G71" s="116"/>
      <c r="H71" s="116"/>
      <c r="I71" s="105" t="str">
        <f t="shared" si="1"/>
        <v/>
      </c>
      <c r="J71" s="116"/>
      <c r="K71" s="116"/>
      <c r="L71" s="105" t="str">
        <f t="shared" si="2"/>
        <v/>
      </c>
      <c r="M71" s="116"/>
      <c r="N71" s="116"/>
      <c r="O71" s="105" t="str">
        <f t="shared" si="3"/>
        <v/>
      </c>
      <c r="P71" s="116"/>
      <c r="Q71" s="116"/>
      <c r="R71" s="105" t="str">
        <f t="shared" si="4"/>
        <v/>
      </c>
      <c r="S71" s="135"/>
    </row>
    <row r="72" spans="1:19" ht="13.25" customHeight="1">
      <c r="A72" s="95" t="s">
        <v>208</v>
      </c>
      <c r="B72" s="138">
        <f t="shared" si="5"/>
        <v>66</v>
      </c>
      <c r="C72" s="139">
        <f t="shared" si="6"/>
        <v>1.5221402214022139</v>
      </c>
      <c r="E72" s="769">
        <v>17</v>
      </c>
      <c r="F72" s="105">
        <f t="shared" si="0"/>
        <v>25.757575757575758</v>
      </c>
      <c r="G72" s="769"/>
      <c r="H72" s="769">
        <v>1</v>
      </c>
      <c r="I72" s="105">
        <f t="shared" si="1"/>
        <v>1.5151515151515151</v>
      </c>
      <c r="J72" s="769"/>
      <c r="K72" s="769">
        <v>5</v>
      </c>
      <c r="L72" s="105">
        <f t="shared" si="2"/>
        <v>7.5757575757575761</v>
      </c>
      <c r="M72" s="769"/>
      <c r="N72" s="769">
        <v>7</v>
      </c>
      <c r="O72" s="105">
        <f t="shared" si="3"/>
        <v>10.606060606060606</v>
      </c>
      <c r="P72" s="769"/>
      <c r="Q72" s="769">
        <v>36</v>
      </c>
      <c r="R72" s="105">
        <f t="shared" si="4"/>
        <v>54.54545454545454</v>
      </c>
      <c r="S72" s="135"/>
    </row>
    <row r="73" spans="1:19" ht="10" customHeight="1">
      <c r="B73" s="138" t="str">
        <f t="shared" si="5"/>
        <v/>
      </c>
      <c r="C73" s="139" t="str">
        <f t="shared" si="6"/>
        <v/>
      </c>
      <c r="E73" s="116"/>
      <c r="F73" s="105" t="str">
        <f t="shared" si="0"/>
        <v/>
      </c>
      <c r="G73" s="116"/>
      <c r="H73" s="116"/>
      <c r="I73" s="105" t="str">
        <f t="shared" si="1"/>
        <v/>
      </c>
      <c r="J73" s="116"/>
      <c r="K73" s="116"/>
      <c r="L73" s="105" t="str">
        <f t="shared" si="2"/>
        <v/>
      </c>
      <c r="M73" s="116"/>
      <c r="N73" s="116"/>
      <c r="O73" s="105" t="str">
        <f t="shared" si="3"/>
        <v/>
      </c>
      <c r="P73" s="116"/>
      <c r="Q73" s="116"/>
      <c r="R73" s="105" t="str">
        <f t="shared" si="4"/>
        <v/>
      </c>
      <c r="S73" s="135"/>
    </row>
    <row r="74" spans="1:19" ht="13.25" customHeight="1">
      <c r="A74" s="95" t="s">
        <v>209</v>
      </c>
      <c r="B74" s="138">
        <f t="shared" si="5"/>
        <v>120</v>
      </c>
      <c r="C74" s="139">
        <f t="shared" si="6"/>
        <v>2.7675276752767526</v>
      </c>
      <c r="E74" s="769">
        <v>8</v>
      </c>
      <c r="F74" s="105">
        <f t="shared" si="0"/>
        <v>6.666666666666667</v>
      </c>
      <c r="G74" s="769"/>
      <c r="H74" s="769">
        <v>8</v>
      </c>
      <c r="I74" s="105">
        <f t="shared" si="1"/>
        <v>6.666666666666667</v>
      </c>
      <c r="J74" s="769"/>
      <c r="K74" s="769">
        <v>13</v>
      </c>
      <c r="L74" s="105">
        <f t="shared" si="2"/>
        <v>10.833333333333334</v>
      </c>
      <c r="M74" s="769"/>
      <c r="N74" s="769">
        <v>14</v>
      </c>
      <c r="O74" s="105">
        <f t="shared" si="3"/>
        <v>11.666666666666666</v>
      </c>
      <c r="P74" s="769"/>
      <c r="Q74" s="769">
        <v>77</v>
      </c>
      <c r="R74" s="105">
        <f t="shared" si="4"/>
        <v>64.166666666666671</v>
      </c>
      <c r="S74" s="135"/>
    </row>
    <row r="75" spans="1:19" ht="10" customHeight="1">
      <c r="B75" s="138"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38">
        <f t="shared" si="5"/>
        <v>54</v>
      </c>
      <c r="C76" s="139">
        <f t="shared" si="6"/>
        <v>1.2453874538745386</v>
      </c>
      <c r="E76" s="140">
        <f>E77</f>
        <v>16</v>
      </c>
      <c r="F76" s="105">
        <f t="shared" ref="F76:F112" si="7">IF($A76&lt;&gt;0,E76/$B76*100,"")</f>
        <v>29.629629629629626</v>
      </c>
      <c r="H76" s="140">
        <f>H77</f>
        <v>2</v>
      </c>
      <c r="I76" s="105">
        <f t="shared" si="1"/>
        <v>3.7037037037037033</v>
      </c>
      <c r="K76" s="140">
        <f>K77</f>
        <v>13</v>
      </c>
      <c r="L76" s="105">
        <f t="shared" si="2"/>
        <v>24.074074074074073</v>
      </c>
      <c r="M76" s="116"/>
      <c r="N76" s="140">
        <f>N77</f>
        <v>10</v>
      </c>
      <c r="O76" s="105">
        <f t="shared" ref="O76:O112" si="8">IF($A76&lt;&gt;0,N76/$B76*100,"")</f>
        <v>18.518518518518519</v>
      </c>
      <c r="P76" s="135"/>
      <c r="Q76" s="140">
        <f>Q77</f>
        <v>13</v>
      </c>
      <c r="R76" s="105">
        <f t="shared" si="4"/>
        <v>24.074074074074073</v>
      </c>
      <c r="S76" s="135"/>
    </row>
    <row r="77" spans="1:19" ht="13.25" customHeight="1">
      <c r="A77" s="95" t="s">
        <v>414</v>
      </c>
      <c r="B77" s="138">
        <f t="shared" si="5"/>
        <v>54</v>
      </c>
      <c r="C77" s="139">
        <f t="shared" si="6"/>
        <v>1.2453874538745386</v>
      </c>
      <c r="E77" s="140">
        <f>SUM(E78:E81)</f>
        <v>16</v>
      </c>
      <c r="F77" s="105">
        <f t="shared" si="7"/>
        <v>29.629629629629626</v>
      </c>
      <c r="H77" s="140">
        <f>SUM(H78:H81)</f>
        <v>2</v>
      </c>
      <c r="I77" s="105">
        <f t="shared" si="1"/>
        <v>3.7037037037037033</v>
      </c>
      <c r="K77" s="140">
        <f>SUM(K78:K81)</f>
        <v>13</v>
      </c>
      <c r="L77" s="105">
        <f t="shared" si="2"/>
        <v>24.074074074074073</v>
      </c>
      <c r="M77" s="116"/>
      <c r="N77" s="140">
        <f>SUM(N78:N81)</f>
        <v>10</v>
      </c>
      <c r="O77" s="105">
        <f t="shared" si="8"/>
        <v>18.518518518518519</v>
      </c>
      <c r="P77" s="135"/>
      <c r="Q77" s="140">
        <f>SUM(Q78:Q81)</f>
        <v>13</v>
      </c>
      <c r="R77" s="105">
        <f t="shared" si="4"/>
        <v>24.074074074074073</v>
      </c>
      <c r="S77" s="135"/>
    </row>
    <row r="78" spans="1:19" ht="13.25" customHeight="1">
      <c r="A78" s="95" t="s">
        <v>212</v>
      </c>
      <c r="B78" s="138">
        <f t="shared" si="5"/>
        <v>21</v>
      </c>
      <c r="C78" s="139">
        <f t="shared" si="6"/>
        <v>0.48431734317343178</v>
      </c>
      <c r="E78" s="769">
        <v>1</v>
      </c>
      <c r="F78" s="105">
        <f t="shared" si="7"/>
        <v>4.7619047619047619</v>
      </c>
      <c r="G78" s="769"/>
      <c r="H78" s="769">
        <v>2</v>
      </c>
      <c r="I78" s="105">
        <f t="shared" ref="I78:I112" si="9">IF($A78&lt;&gt;0,H78/$B78*100,"")</f>
        <v>9.5238095238095237</v>
      </c>
      <c r="J78" s="769"/>
      <c r="K78" s="769">
        <v>5</v>
      </c>
      <c r="L78" s="105">
        <f t="shared" ref="L78:L112" si="10">IF($A78&lt;&gt;0,K78/$B78*100,"")</f>
        <v>23.809523809523807</v>
      </c>
      <c r="M78" s="769"/>
      <c r="N78" s="769">
        <v>1</v>
      </c>
      <c r="O78" s="105">
        <f t="shared" si="8"/>
        <v>4.7619047619047619</v>
      </c>
      <c r="P78" s="769"/>
      <c r="Q78" s="769">
        <v>12</v>
      </c>
      <c r="R78" s="105">
        <f t="shared" si="4"/>
        <v>57.142857142857139</v>
      </c>
      <c r="S78" s="135"/>
    </row>
    <row r="79" spans="1:19" ht="13.25" customHeight="1">
      <c r="A79" s="95" t="s">
        <v>213</v>
      </c>
      <c r="B79" s="138">
        <f t="shared" si="5"/>
        <v>13</v>
      </c>
      <c r="C79" s="139">
        <f t="shared" si="6"/>
        <v>0.29981549815498154</v>
      </c>
      <c r="E79" s="769">
        <v>7</v>
      </c>
      <c r="F79" s="105">
        <f t="shared" si="7"/>
        <v>53.846153846153847</v>
      </c>
      <c r="G79" s="769"/>
      <c r="H79" s="769">
        <v>0</v>
      </c>
      <c r="I79" s="105">
        <f t="shared" si="9"/>
        <v>0</v>
      </c>
      <c r="J79" s="769"/>
      <c r="K79" s="769">
        <v>4</v>
      </c>
      <c r="L79" s="105">
        <f t="shared" si="10"/>
        <v>30.76923076923077</v>
      </c>
      <c r="M79" s="769"/>
      <c r="N79" s="769">
        <v>1</v>
      </c>
      <c r="O79" s="105">
        <f t="shared" si="8"/>
        <v>7.6923076923076925</v>
      </c>
      <c r="P79" s="769"/>
      <c r="Q79" s="769">
        <v>1</v>
      </c>
      <c r="R79" s="105">
        <f t="shared" ref="R79:R112" si="11">IF($A79&lt;&gt;0,Q79/$B79*100,"")</f>
        <v>7.6923076923076925</v>
      </c>
      <c r="S79" s="135"/>
    </row>
    <row r="80" spans="1:19" ht="12" customHeight="1">
      <c r="A80" s="95" t="s">
        <v>214</v>
      </c>
      <c r="B80" s="138">
        <f t="shared" ref="B80:B101" si="12">IF($A80&lt;&gt;"",E80+H80+K80+N80+Q80,"")</f>
        <v>9</v>
      </c>
      <c r="C80" s="139">
        <f t="shared" si="6"/>
        <v>0.20756457564575648</v>
      </c>
      <c r="E80" s="769">
        <v>5</v>
      </c>
      <c r="F80" s="105">
        <f t="shared" si="7"/>
        <v>55.555555555555557</v>
      </c>
      <c r="G80" s="769"/>
      <c r="H80" s="769">
        <v>0</v>
      </c>
      <c r="I80" s="105">
        <f t="shared" si="9"/>
        <v>0</v>
      </c>
      <c r="J80" s="769"/>
      <c r="K80" s="769">
        <v>0</v>
      </c>
      <c r="L80" s="105">
        <f t="shared" si="10"/>
        <v>0</v>
      </c>
      <c r="M80" s="769"/>
      <c r="N80" s="769">
        <v>4</v>
      </c>
      <c r="O80" s="105">
        <f t="shared" si="8"/>
        <v>44.444444444444443</v>
      </c>
      <c r="P80" s="769"/>
      <c r="Q80" s="769">
        <v>0</v>
      </c>
      <c r="R80" s="105">
        <f t="shared" si="11"/>
        <v>0</v>
      </c>
      <c r="S80" s="135"/>
    </row>
    <row r="81" spans="1:19" ht="13.25" customHeight="1">
      <c r="A81" s="95" t="s">
        <v>215</v>
      </c>
      <c r="B81" s="138">
        <f t="shared" si="12"/>
        <v>11</v>
      </c>
      <c r="C81" s="139">
        <f t="shared" si="6"/>
        <v>0.25369003690036901</v>
      </c>
      <c r="E81" s="769">
        <v>3</v>
      </c>
      <c r="F81" s="105">
        <f t="shared" si="7"/>
        <v>27.27272727272727</v>
      </c>
      <c r="G81" s="769"/>
      <c r="H81" s="769">
        <v>0</v>
      </c>
      <c r="I81" s="105">
        <f t="shared" si="9"/>
        <v>0</v>
      </c>
      <c r="J81" s="769"/>
      <c r="K81" s="769">
        <v>4</v>
      </c>
      <c r="L81" s="105">
        <f t="shared" si="10"/>
        <v>36.363636363636367</v>
      </c>
      <c r="M81" s="769"/>
      <c r="N81" s="769">
        <v>4</v>
      </c>
      <c r="O81" s="105">
        <f t="shared" si="8"/>
        <v>36.363636363636367</v>
      </c>
      <c r="P81" s="769"/>
      <c r="Q81" s="769">
        <v>0</v>
      </c>
      <c r="R81" s="105">
        <f t="shared" si="11"/>
        <v>0</v>
      </c>
      <c r="S81" s="135"/>
    </row>
    <row r="82" spans="1:19" ht="12.75" customHeight="1">
      <c r="B82" s="138" t="str">
        <f t="shared" si="12"/>
        <v/>
      </c>
      <c r="C82" s="139" t="str">
        <f t="shared" ref="C82:C105" si="13">IF(A82&lt;&gt;0,B82/$B$11*100,"")</f>
        <v/>
      </c>
      <c r="F82" s="105" t="str">
        <f t="shared" si="7"/>
        <v/>
      </c>
      <c r="I82" s="105" t="str">
        <f t="shared" si="9"/>
        <v/>
      </c>
      <c r="L82" s="105" t="str">
        <f t="shared" si="10"/>
        <v/>
      </c>
      <c r="M82" s="116"/>
      <c r="O82" s="105" t="str">
        <f t="shared" si="8"/>
        <v/>
      </c>
      <c r="P82" s="135"/>
      <c r="Q82" s="140"/>
      <c r="R82" s="105" t="str">
        <f t="shared" si="11"/>
        <v/>
      </c>
      <c r="S82" s="135"/>
    </row>
    <row r="83" spans="1:19" s="55" customFormat="1" ht="12.75" customHeight="1">
      <c r="A83" s="55" t="s">
        <v>483</v>
      </c>
      <c r="B83" s="138">
        <f t="shared" si="12"/>
        <v>311</v>
      </c>
      <c r="C83" s="139">
        <f t="shared" si="13"/>
        <v>7.1725092250922513</v>
      </c>
      <c r="E83" s="72">
        <f>SUM(E84)</f>
        <v>63</v>
      </c>
      <c r="F83" s="105">
        <f t="shared" si="7"/>
        <v>20.257234726688104</v>
      </c>
      <c r="G83" s="33"/>
      <c r="H83" s="72">
        <f>SUM(H84)</f>
        <v>19</v>
      </c>
      <c r="I83" s="105">
        <f t="shared" si="9"/>
        <v>6.109324758842444</v>
      </c>
      <c r="J83" s="73"/>
      <c r="K83" s="72">
        <f>SUM(K84)</f>
        <v>48</v>
      </c>
      <c r="L83" s="105">
        <f t="shared" si="10"/>
        <v>15.434083601286176</v>
      </c>
      <c r="M83" s="57"/>
      <c r="N83" s="72">
        <f>SUM(N84)</f>
        <v>123</v>
      </c>
      <c r="O83" s="105">
        <f t="shared" si="8"/>
        <v>39.549839228295816</v>
      </c>
      <c r="P83" s="74"/>
      <c r="Q83" s="72">
        <f>SUM(Q84)</f>
        <v>58</v>
      </c>
      <c r="R83" s="105">
        <f t="shared" si="11"/>
        <v>18.64951768488746</v>
      </c>
      <c r="S83" s="74"/>
    </row>
    <row r="84" spans="1:19" ht="13.25" customHeight="1">
      <c r="A84" s="95" t="s">
        <v>217</v>
      </c>
      <c r="B84" s="138">
        <f t="shared" si="12"/>
        <v>311</v>
      </c>
      <c r="C84" s="139">
        <f t="shared" si="13"/>
        <v>7.1725092250922513</v>
      </c>
      <c r="E84" s="140">
        <f>SUM(E85:E93)</f>
        <v>63</v>
      </c>
      <c r="F84" s="105">
        <f t="shared" si="7"/>
        <v>20.257234726688104</v>
      </c>
      <c r="H84" s="140">
        <f>SUM(H85:H93)</f>
        <v>19</v>
      </c>
      <c r="I84" s="105">
        <f t="shared" si="9"/>
        <v>6.109324758842444</v>
      </c>
      <c r="K84" s="140">
        <f>SUM(K85:K93)</f>
        <v>48</v>
      </c>
      <c r="L84" s="105">
        <f t="shared" si="10"/>
        <v>15.434083601286176</v>
      </c>
      <c r="M84" s="116"/>
      <c r="N84" s="140">
        <f>SUM(N85:N93)</f>
        <v>123</v>
      </c>
      <c r="O84" s="105">
        <f t="shared" si="8"/>
        <v>39.549839228295816</v>
      </c>
      <c r="P84" s="135"/>
      <c r="Q84" s="140">
        <f>SUM(Q85:Q93)</f>
        <v>58</v>
      </c>
      <c r="R84" s="105">
        <f t="shared" si="11"/>
        <v>18.64951768488746</v>
      </c>
      <c r="S84" s="135"/>
    </row>
    <row r="85" spans="1:19" ht="13.25" customHeight="1">
      <c r="A85" s="95" t="s">
        <v>415</v>
      </c>
      <c r="B85" s="138">
        <f t="shared" si="12"/>
        <v>15</v>
      </c>
      <c r="C85" s="139">
        <f t="shared" si="13"/>
        <v>0.34594095940959407</v>
      </c>
      <c r="E85" s="769">
        <v>4</v>
      </c>
      <c r="F85" s="105">
        <f t="shared" si="7"/>
        <v>26.666666666666668</v>
      </c>
      <c r="G85" s="769"/>
      <c r="H85" s="769">
        <v>1</v>
      </c>
      <c r="I85" s="105">
        <f t="shared" si="9"/>
        <v>6.666666666666667</v>
      </c>
      <c r="J85" s="769"/>
      <c r="K85" s="769">
        <v>4</v>
      </c>
      <c r="L85" s="105">
        <f t="shared" si="10"/>
        <v>26.666666666666668</v>
      </c>
      <c r="M85" s="769"/>
      <c r="N85" s="769">
        <v>2</v>
      </c>
      <c r="O85" s="105">
        <f t="shared" si="8"/>
        <v>13.333333333333334</v>
      </c>
      <c r="P85" s="769"/>
      <c r="Q85" s="769">
        <v>4</v>
      </c>
      <c r="R85" s="105">
        <f t="shared" si="11"/>
        <v>26.666666666666668</v>
      </c>
      <c r="S85" s="135"/>
    </row>
    <row r="86" spans="1:19" ht="13.25" customHeight="1">
      <c r="A86" s="95" t="s">
        <v>218</v>
      </c>
      <c r="B86" s="138">
        <f t="shared" si="12"/>
        <v>50</v>
      </c>
      <c r="C86" s="139">
        <f t="shared" si="13"/>
        <v>1.1531365313653137</v>
      </c>
      <c r="E86" s="769">
        <v>4</v>
      </c>
      <c r="F86" s="105">
        <f t="shared" si="7"/>
        <v>8</v>
      </c>
      <c r="G86" s="769"/>
      <c r="H86" s="769">
        <v>1</v>
      </c>
      <c r="I86" s="105">
        <f t="shared" si="9"/>
        <v>2</v>
      </c>
      <c r="J86" s="769"/>
      <c r="K86" s="769">
        <v>6</v>
      </c>
      <c r="L86" s="105">
        <f t="shared" si="10"/>
        <v>12</v>
      </c>
      <c r="M86" s="769"/>
      <c r="N86" s="769">
        <v>37</v>
      </c>
      <c r="O86" s="105">
        <f t="shared" si="8"/>
        <v>74</v>
      </c>
      <c r="P86" s="769"/>
      <c r="Q86" s="769">
        <v>2</v>
      </c>
      <c r="R86" s="105">
        <f t="shared" si="11"/>
        <v>4</v>
      </c>
      <c r="S86" s="135"/>
    </row>
    <row r="87" spans="1:19" ht="13.25" customHeight="1">
      <c r="A87" s="95" t="s">
        <v>220</v>
      </c>
      <c r="B87" s="138">
        <f t="shared" si="12"/>
        <v>37</v>
      </c>
      <c r="C87" s="139">
        <f t="shared" si="13"/>
        <v>0.85332103321033215</v>
      </c>
      <c r="E87" s="769">
        <v>10</v>
      </c>
      <c r="F87" s="105">
        <f t="shared" si="7"/>
        <v>27.027027027027028</v>
      </c>
      <c r="G87" s="769"/>
      <c r="H87" s="769">
        <v>2</v>
      </c>
      <c r="I87" s="105">
        <f t="shared" si="9"/>
        <v>5.4054054054054053</v>
      </c>
      <c r="J87" s="769"/>
      <c r="K87" s="769">
        <v>1</v>
      </c>
      <c r="L87" s="105">
        <f t="shared" si="10"/>
        <v>2.7027027027027026</v>
      </c>
      <c r="M87" s="769"/>
      <c r="N87" s="769">
        <v>18</v>
      </c>
      <c r="O87" s="105">
        <f t="shared" si="8"/>
        <v>48.648648648648653</v>
      </c>
      <c r="P87" s="769"/>
      <c r="Q87" s="769">
        <v>6</v>
      </c>
      <c r="R87" s="105">
        <f t="shared" si="11"/>
        <v>16.216216216216218</v>
      </c>
      <c r="S87" s="135"/>
    </row>
    <row r="88" spans="1:19" ht="13.25" customHeight="1">
      <c r="A88" s="95" t="s">
        <v>222</v>
      </c>
      <c r="B88" s="138">
        <f t="shared" si="12"/>
        <v>39</v>
      </c>
      <c r="C88" s="139">
        <f t="shared" si="13"/>
        <v>0.89944649446494462</v>
      </c>
      <c r="E88" s="769">
        <v>8</v>
      </c>
      <c r="F88" s="105">
        <f t="shared" si="7"/>
        <v>20.512820512820511</v>
      </c>
      <c r="G88" s="769"/>
      <c r="H88" s="769">
        <v>4</v>
      </c>
      <c r="I88" s="105">
        <f t="shared" si="9"/>
        <v>10.256410256410255</v>
      </c>
      <c r="J88" s="769"/>
      <c r="K88" s="769">
        <v>7</v>
      </c>
      <c r="L88" s="105">
        <f t="shared" si="10"/>
        <v>17.948717948717949</v>
      </c>
      <c r="M88" s="769"/>
      <c r="N88" s="769">
        <v>14</v>
      </c>
      <c r="O88" s="105">
        <f t="shared" si="8"/>
        <v>35.897435897435898</v>
      </c>
      <c r="P88" s="769"/>
      <c r="Q88" s="769">
        <v>6</v>
      </c>
      <c r="R88" s="105">
        <f t="shared" si="11"/>
        <v>15.384615384615385</v>
      </c>
      <c r="S88" s="135"/>
    </row>
    <row r="89" spans="1:19" ht="13.25" customHeight="1">
      <c r="A89" s="95" t="s">
        <v>221</v>
      </c>
      <c r="B89" s="138">
        <f t="shared" si="12"/>
        <v>30</v>
      </c>
      <c r="C89" s="139">
        <f t="shared" si="13"/>
        <v>0.69188191881918815</v>
      </c>
      <c r="E89" s="769">
        <v>7</v>
      </c>
      <c r="F89" s="105">
        <f t="shared" si="7"/>
        <v>23.333333333333332</v>
      </c>
      <c r="G89" s="769"/>
      <c r="H89" s="769">
        <v>2</v>
      </c>
      <c r="I89" s="105">
        <f t="shared" si="9"/>
        <v>6.666666666666667</v>
      </c>
      <c r="J89" s="769"/>
      <c r="K89" s="769">
        <v>2</v>
      </c>
      <c r="L89" s="105">
        <f t="shared" si="10"/>
        <v>6.666666666666667</v>
      </c>
      <c r="M89" s="769"/>
      <c r="N89" s="769">
        <v>13</v>
      </c>
      <c r="O89" s="105">
        <f t="shared" si="8"/>
        <v>43.333333333333336</v>
      </c>
      <c r="P89" s="769"/>
      <c r="Q89" s="769">
        <v>6</v>
      </c>
      <c r="R89" s="105">
        <f t="shared" si="11"/>
        <v>20</v>
      </c>
      <c r="S89" s="135"/>
    </row>
    <row r="90" spans="1:19" ht="13.25" customHeight="1">
      <c r="A90" s="95" t="s">
        <v>219</v>
      </c>
      <c r="B90" s="138">
        <f t="shared" si="12"/>
        <v>29</v>
      </c>
      <c r="C90" s="139">
        <f t="shared" si="13"/>
        <v>0.66881918819188191</v>
      </c>
      <c r="E90" s="769">
        <v>8</v>
      </c>
      <c r="F90" s="105">
        <f t="shared" si="7"/>
        <v>27.586206896551722</v>
      </c>
      <c r="G90" s="769"/>
      <c r="H90" s="769">
        <v>2</v>
      </c>
      <c r="I90" s="105">
        <f t="shared" si="9"/>
        <v>6.8965517241379306</v>
      </c>
      <c r="J90" s="769"/>
      <c r="K90" s="769">
        <v>4</v>
      </c>
      <c r="L90" s="105">
        <f t="shared" si="10"/>
        <v>13.793103448275861</v>
      </c>
      <c r="M90" s="769"/>
      <c r="N90" s="769">
        <v>13</v>
      </c>
      <c r="O90" s="105">
        <f t="shared" si="8"/>
        <v>44.827586206896555</v>
      </c>
      <c r="P90" s="769"/>
      <c r="Q90" s="769">
        <v>2</v>
      </c>
      <c r="R90" s="105">
        <f t="shared" si="11"/>
        <v>6.8965517241379306</v>
      </c>
      <c r="S90" s="135"/>
    </row>
    <row r="91" spans="1:19" ht="13.25" customHeight="1">
      <c r="A91" s="95" t="s">
        <v>223</v>
      </c>
      <c r="B91" s="138">
        <f t="shared" si="12"/>
        <v>60</v>
      </c>
      <c r="C91" s="139">
        <f t="shared" si="13"/>
        <v>1.3837638376383763</v>
      </c>
      <c r="E91" s="769">
        <v>8</v>
      </c>
      <c r="F91" s="105">
        <f t="shared" si="7"/>
        <v>13.333333333333334</v>
      </c>
      <c r="G91" s="769"/>
      <c r="H91" s="769">
        <v>3</v>
      </c>
      <c r="I91" s="105">
        <f t="shared" si="9"/>
        <v>5</v>
      </c>
      <c r="J91" s="769"/>
      <c r="K91" s="769">
        <v>16</v>
      </c>
      <c r="L91" s="105">
        <f t="shared" si="10"/>
        <v>26.666666666666668</v>
      </c>
      <c r="M91" s="769"/>
      <c r="N91" s="769">
        <v>11</v>
      </c>
      <c r="O91" s="105">
        <f t="shared" si="8"/>
        <v>18.333333333333332</v>
      </c>
      <c r="P91" s="769"/>
      <c r="Q91" s="769">
        <v>22</v>
      </c>
      <c r="R91" s="105">
        <f t="shared" si="11"/>
        <v>36.666666666666664</v>
      </c>
      <c r="S91" s="135"/>
    </row>
    <row r="92" spans="1:19" ht="12" customHeight="1">
      <c r="A92" s="95" t="s">
        <v>226</v>
      </c>
      <c r="B92" s="138">
        <f t="shared" si="12"/>
        <v>30</v>
      </c>
      <c r="C92" s="139">
        <f t="shared" si="13"/>
        <v>0.69188191881918815</v>
      </c>
      <c r="E92" s="769">
        <v>4</v>
      </c>
      <c r="F92" s="105">
        <f t="shared" si="7"/>
        <v>13.333333333333334</v>
      </c>
      <c r="G92" s="769"/>
      <c r="H92" s="769">
        <v>1</v>
      </c>
      <c r="I92" s="105">
        <f t="shared" si="9"/>
        <v>3.3333333333333335</v>
      </c>
      <c r="J92" s="769"/>
      <c r="K92" s="769">
        <v>6</v>
      </c>
      <c r="L92" s="105">
        <f t="shared" si="10"/>
        <v>20</v>
      </c>
      <c r="M92" s="769"/>
      <c r="N92" s="769">
        <v>12</v>
      </c>
      <c r="O92" s="105">
        <f t="shared" si="8"/>
        <v>40</v>
      </c>
      <c r="P92" s="769"/>
      <c r="Q92" s="769">
        <v>7</v>
      </c>
      <c r="R92" s="105">
        <f t="shared" si="11"/>
        <v>23.333333333333332</v>
      </c>
      <c r="S92" s="135"/>
    </row>
    <row r="93" spans="1:19" ht="13.25" customHeight="1">
      <c r="A93" s="95" t="s">
        <v>416</v>
      </c>
      <c r="B93" s="138">
        <f t="shared" si="12"/>
        <v>21</v>
      </c>
      <c r="C93" s="139">
        <f t="shared" si="13"/>
        <v>0.48431734317343178</v>
      </c>
      <c r="E93" s="769">
        <v>10</v>
      </c>
      <c r="F93" s="105">
        <f t="shared" si="7"/>
        <v>47.619047619047613</v>
      </c>
      <c r="G93" s="769"/>
      <c r="H93" s="769">
        <v>3</v>
      </c>
      <c r="I93" s="105">
        <f t="shared" si="9"/>
        <v>14.285714285714285</v>
      </c>
      <c r="J93" s="769"/>
      <c r="K93" s="769">
        <v>2</v>
      </c>
      <c r="L93" s="105">
        <f t="shared" si="10"/>
        <v>9.5238095238095237</v>
      </c>
      <c r="M93" s="769"/>
      <c r="N93" s="769">
        <v>3</v>
      </c>
      <c r="O93" s="105">
        <f t="shared" si="8"/>
        <v>14.285714285714285</v>
      </c>
      <c r="P93" s="769"/>
      <c r="Q93" s="769">
        <v>3</v>
      </c>
      <c r="R93" s="105">
        <f t="shared" si="11"/>
        <v>14.285714285714285</v>
      </c>
      <c r="S93" s="135"/>
    </row>
    <row r="94" spans="1:19" ht="10" customHeight="1">
      <c r="B94" s="138" t="str">
        <f t="shared" si="12"/>
        <v/>
      </c>
      <c r="C94" s="139" t="str">
        <f t="shared" si="13"/>
        <v/>
      </c>
      <c r="E94" s="116"/>
      <c r="F94" s="105" t="str">
        <f t="shared" si="7"/>
        <v/>
      </c>
      <c r="G94" s="116"/>
      <c r="H94" s="116"/>
      <c r="I94" s="105" t="str">
        <f t="shared" si="9"/>
        <v/>
      </c>
      <c r="J94" s="116"/>
      <c r="K94" s="116"/>
      <c r="L94" s="105" t="str">
        <f t="shared" si="10"/>
        <v/>
      </c>
      <c r="M94" s="116"/>
      <c r="N94" s="116"/>
      <c r="O94" s="105" t="str">
        <f t="shared" si="8"/>
        <v/>
      </c>
      <c r="P94" s="116"/>
      <c r="Q94" s="116"/>
      <c r="R94" s="105" t="str">
        <f t="shared" si="11"/>
        <v/>
      </c>
      <c r="S94" s="135"/>
    </row>
    <row r="95" spans="1:19" ht="12" customHeight="1">
      <c r="A95" s="95" t="s">
        <v>227</v>
      </c>
      <c r="B95" s="138">
        <f t="shared" si="12"/>
        <v>99</v>
      </c>
      <c r="C95" s="139">
        <f t="shared" si="13"/>
        <v>2.2832103321033208</v>
      </c>
      <c r="E95" s="769">
        <v>27</v>
      </c>
      <c r="F95" s="105">
        <f t="shared" si="7"/>
        <v>27.27272727272727</v>
      </c>
      <c r="G95" s="769"/>
      <c r="H95" s="769">
        <v>8</v>
      </c>
      <c r="I95" s="105">
        <f t="shared" si="9"/>
        <v>8.0808080808080813</v>
      </c>
      <c r="J95" s="769"/>
      <c r="K95" s="769">
        <v>34</v>
      </c>
      <c r="L95" s="105">
        <f t="shared" si="10"/>
        <v>34.343434343434339</v>
      </c>
      <c r="M95" s="769"/>
      <c r="N95" s="769">
        <v>30</v>
      </c>
      <c r="O95" s="105">
        <f t="shared" si="8"/>
        <v>30.303030303030305</v>
      </c>
      <c r="P95" s="769"/>
      <c r="Q95" s="769">
        <v>0</v>
      </c>
      <c r="R95" s="105">
        <f t="shared" si="11"/>
        <v>0</v>
      </c>
      <c r="S95" s="135"/>
    </row>
    <row r="96" spans="1:19" ht="11.25" customHeight="1">
      <c r="A96" s="95" t="s">
        <v>417</v>
      </c>
      <c r="B96" s="138">
        <f t="shared" si="12"/>
        <v>64</v>
      </c>
      <c r="C96" s="139">
        <f t="shared" si="13"/>
        <v>1.4760147601476015</v>
      </c>
      <c r="E96" s="769">
        <v>23</v>
      </c>
      <c r="F96" s="105">
        <f t="shared" si="7"/>
        <v>35.9375</v>
      </c>
      <c r="G96" s="769"/>
      <c r="H96" s="769">
        <v>5</v>
      </c>
      <c r="I96" s="105">
        <f t="shared" si="9"/>
        <v>7.8125</v>
      </c>
      <c r="J96" s="769"/>
      <c r="K96" s="769">
        <v>5</v>
      </c>
      <c r="L96" s="105">
        <f t="shared" si="10"/>
        <v>7.8125</v>
      </c>
      <c r="M96" s="769"/>
      <c r="N96" s="769">
        <v>20</v>
      </c>
      <c r="O96" s="105">
        <f t="shared" si="8"/>
        <v>31.25</v>
      </c>
      <c r="P96" s="769"/>
      <c r="Q96" s="769">
        <v>11</v>
      </c>
      <c r="R96" s="105">
        <f t="shared" si="11"/>
        <v>17.1875</v>
      </c>
      <c r="S96" s="135"/>
    </row>
    <row r="97" spans="1:19" ht="11.25" customHeight="1">
      <c r="A97" s="95" t="s">
        <v>495</v>
      </c>
      <c r="B97" s="138">
        <f t="shared" si="12"/>
        <v>120</v>
      </c>
      <c r="C97" s="139">
        <f t="shared" si="13"/>
        <v>2.7675276752767526</v>
      </c>
      <c r="E97" s="769">
        <v>21</v>
      </c>
      <c r="F97" s="105">
        <f t="shared" si="7"/>
        <v>17.5</v>
      </c>
      <c r="G97" s="769"/>
      <c r="H97" s="769">
        <v>6</v>
      </c>
      <c r="I97" s="105">
        <f t="shared" si="9"/>
        <v>5</v>
      </c>
      <c r="J97" s="769"/>
      <c r="K97" s="769">
        <v>21</v>
      </c>
      <c r="L97" s="105">
        <f t="shared" si="10"/>
        <v>17.5</v>
      </c>
      <c r="M97" s="769"/>
      <c r="N97" s="769">
        <v>34</v>
      </c>
      <c r="O97" s="105">
        <f t="shared" si="8"/>
        <v>28.333333333333332</v>
      </c>
      <c r="P97" s="769"/>
      <c r="Q97" s="769">
        <v>38</v>
      </c>
      <c r="R97" s="105">
        <f t="shared" si="11"/>
        <v>31.666666666666664</v>
      </c>
      <c r="S97" s="135"/>
    </row>
    <row r="98" spans="1:19" ht="12" customHeight="1">
      <c r="B98" s="138" t="str">
        <f t="shared" si="12"/>
        <v/>
      </c>
      <c r="C98" s="139" t="str">
        <f t="shared" si="13"/>
        <v/>
      </c>
      <c r="F98" s="105" t="str">
        <f t="shared" si="7"/>
        <v/>
      </c>
      <c r="I98" s="105" t="str">
        <f t="shared" si="9"/>
        <v/>
      </c>
      <c r="L98" s="105" t="str">
        <f t="shared" si="10"/>
        <v/>
      </c>
      <c r="M98" s="116"/>
      <c r="O98" s="105" t="str">
        <f t="shared" si="8"/>
        <v/>
      </c>
      <c r="P98" s="135"/>
      <c r="Q98" s="140"/>
      <c r="R98" s="105" t="str">
        <f t="shared" si="11"/>
        <v/>
      </c>
      <c r="S98" s="135"/>
    </row>
    <row r="99" spans="1:19" ht="12" customHeight="1">
      <c r="A99" s="55" t="s">
        <v>84</v>
      </c>
      <c r="B99" s="138">
        <f t="shared" si="12"/>
        <v>493</v>
      </c>
      <c r="C99" s="139">
        <f t="shared" si="13"/>
        <v>11.369926199261993</v>
      </c>
      <c r="E99" s="155">
        <f>SUM(E101+E102+E103+E105)</f>
        <v>50</v>
      </c>
      <c r="F99" s="105">
        <f t="shared" si="7"/>
        <v>10.141987829614605</v>
      </c>
      <c r="G99" s="111"/>
      <c r="H99" s="155">
        <f>SUM(H101+H102+H103+H105)</f>
        <v>18</v>
      </c>
      <c r="I99" s="105">
        <f t="shared" si="9"/>
        <v>3.6511156186612577</v>
      </c>
      <c r="J99" s="139"/>
      <c r="K99" s="155">
        <f>SUM(K101+K102+K103+K105)</f>
        <v>88</v>
      </c>
      <c r="L99" s="105">
        <f t="shared" si="10"/>
        <v>17.849898580121703</v>
      </c>
      <c r="M99" s="121"/>
      <c r="N99" s="155">
        <f>SUM(N101+N102+N103+N105)</f>
        <v>250</v>
      </c>
      <c r="O99" s="105">
        <f t="shared" si="8"/>
        <v>50.709939148073026</v>
      </c>
      <c r="P99" s="146"/>
      <c r="Q99" s="155">
        <f>SUM(Q101+Q102+Q103+Q105)</f>
        <v>87</v>
      </c>
      <c r="R99" s="105">
        <f t="shared" si="11"/>
        <v>17.647058823529413</v>
      </c>
      <c r="S99" s="135"/>
    </row>
    <row r="100" spans="1:19" ht="9" customHeight="1">
      <c r="B100" s="138" t="str">
        <f t="shared" si="12"/>
        <v/>
      </c>
      <c r="C100" s="139" t="str">
        <f t="shared" si="13"/>
        <v/>
      </c>
      <c r="E100" s="155"/>
      <c r="F100" s="105" t="str">
        <f t="shared" si="7"/>
        <v/>
      </c>
      <c r="G100" s="111"/>
      <c r="H100" s="155"/>
      <c r="I100" s="105" t="str">
        <f t="shared" si="9"/>
        <v/>
      </c>
      <c r="J100" s="139"/>
      <c r="K100" s="155"/>
      <c r="L100" s="105" t="str">
        <f t="shared" si="10"/>
        <v/>
      </c>
      <c r="M100" s="121"/>
      <c r="N100" s="155"/>
      <c r="O100" s="105" t="str">
        <f t="shared" si="8"/>
        <v/>
      </c>
      <c r="P100" s="146"/>
      <c r="Q100" s="155"/>
      <c r="R100" s="105" t="str">
        <f t="shared" si="11"/>
        <v/>
      </c>
      <c r="S100" s="135"/>
    </row>
    <row r="101" spans="1:19" ht="12" customHeight="1">
      <c r="A101" s="95" t="s">
        <v>485</v>
      </c>
      <c r="B101" s="138">
        <f t="shared" si="12"/>
        <v>130</v>
      </c>
      <c r="C101" s="139">
        <f t="shared" si="13"/>
        <v>2.9981549815498156</v>
      </c>
      <c r="E101" s="769">
        <v>10</v>
      </c>
      <c r="F101" s="105">
        <f t="shared" si="7"/>
        <v>7.6923076923076925</v>
      </c>
      <c r="G101" s="769"/>
      <c r="H101" s="769">
        <v>6</v>
      </c>
      <c r="I101" s="105">
        <f t="shared" si="9"/>
        <v>4.6153846153846159</v>
      </c>
      <c r="J101" s="769"/>
      <c r="K101" s="769">
        <v>37</v>
      </c>
      <c r="L101" s="105">
        <f t="shared" si="10"/>
        <v>28.46153846153846</v>
      </c>
      <c r="M101" s="769"/>
      <c r="N101" s="769">
        <v>61</v>
      </c>
      <c r="O101" s="105">
        <f t="shared" si="8"/>
        <v>46.92307692307692</v>
      </c>
      <c r="P101" s="769"/>
      <c r="Q101" s="769">
        <v>16</v>
      </c>
      <c r="R101" s="105">
        <f t="shared" si="11"/>
        <v>12.307692307692308</v>
      </c>
      <c r="S101" s="135"/>
    </row>
    <row r="102" spans="1:19" ht="12" customHeight="1">
      <c r="A102" s="95" t="s">
        <v>486</v>
      </c>
      <c r="B102" s="138">
        <f>IF($A102&lt;&gt;"",E102+H102+K102+N102+Q102,"")</f>
        <v>178</v>
      </c>
      <c r="C102" s="139">
        <f t="shared" si="13"/>
        <v>4.1051660516605164</v>
      </c>
      <c r="E102" s="769">
        <v>30</v>
      </c>
      <c r="F102" s="105">
        <f t="shared" si="7"/>
        <v>16.853932584269664</v>
      </c>
      <c r="G102" s="769"/>
      <c r="H102" s="769">
        <v>11</v>
      </c>
      <c r="I102" s="105">
        <f t="shared" si="9"/>
        <v>6.179775280898876</v>
      </c>
      <c r="J102" s="769"/>
      <c r="K102" s="769">
        <v>39</v>
      </c>
      <c r="L102" s="105">
        <f t="shared" si="10"/>
        <v>21.910112359550563</v>
      </c>
      <c r="M102" s="769"/>
      <c r="N102" s="769">
        <v>85</v>
      </c>
      <c r="O102" s="105">
        <f t="shared" si="8"/>
        <v>47.752808988764045</v>
      </c>
      <c r="P102" s="769"/>
      <c r="Q102" s="769">
        <v>13</v>
      </c>
      <c r="R102" s="105">
        <f t="shared" si="11"/>
        <v>7.3033707865168536</v>
      </c>
      <c r="S102" s="135"/>
    </row>
    <row r="103" spans="1:19" ht="12" customHeight="1">
      <c r="A103" s="95" t="s">
        <v>487</v>
      </c>
      <c r="B103" s="138">
        <f>IF($A103&lt;&gt;"",E103+H103+K103+N103+Q103,"")</f>
        <v>16</v>
      </c>
      <c r="C103" s="139">
        <f t="shared" si="13"/>
        <v>0.36900369003690037</v>
      </c>
      <c r="E103" s="769">
        <v>8</v>
      </c>
      <c r="F103" s="105">
        <f t="shared" si="7"/>
        <v>50</v>
      </c>
      <c r="G103" s="769"/>
      <c r="H103" s="769">
        <v>0</v>
      </c>
      <c r="I103" s="105">
        <f t="shared" si="9"/>
        <v>0</v>
      </c>
      <c r="J103" s="769"/>
      <c r="K103" s="769">
        <v>2</v>
      </c>
      <c r="L103" s="105">
        <f t="shared" si="10"/>
        <v>12.5</v>
      </c>
      <c r="M103" s="769"/>
      <c r="N103" s="769">
        <v>5</v>
      </c>
      <c r="O103" s="105">
        <f t="shared" si="8"/>
        <v>31.25</v>
      </c>
      <c r="P103" s="769"/>
      <c r="Q103" s="769">
        <v>1</v>
      </c>
      <c r="R103" s="105">
        <f t="shared" si="11"/>
        <v>6.25</v>
      </c>
      <c r="S103" s="135"/>
    </row>
    <row r="104" spans="1:19" ht="12" customHeight="1">
      <c r="B104" s="138" t="str">
        <f>IF($A104&lt;&gt;"",E104+H104+K104+N104+Q104,"")</f>
        <v/>
      </c>
      <c r="C104" s="139" t="str">
        <f t="shared" si="13"/>
        <v/>
      </c>
      <c r="E104" s="769"/>
      <c r="F104" s="105" t="str">
        <f t="shared" si="7"/>
        <v/>
      </c>
      <c r="G104" s="769"/>
      <c r="H104" s="769"/>
      <c r="I104" s="105" t="str">
        <f t="shared" si="9"/>
        <v/>
      </c>
      <c r="J104" s="769"/>
      <c r="K104" s="769"/>
      <c r="L104" s="105" t="str">
        <f t="shared" si="10"/>
        <v/>
      </c>
      <c r="M104" s="769"/>
      <c r="N104" s="769"/>
      <c r="O104" s="105" t="str">
        <f t="shared" si="8"/>
        <v/>
      </c>
      <c r="P104" s="769"/>
      <c r="Q104" s="769"/>
      <c r="R104" s="105" t="str">
        <f t="shared" si="11"/>
        <v/>
      </c>
      <c r="S104" s="135"/>
    </row>
    <row r="105" spans="1:19" ht="12" customHeight="1">
      <c r="A105" s="95" t="s">
        <v>503</v>
      </c>
      <c r="B105" s="138">
        <f>IF($A105&lt;&gt;"",E105+H105+K105+N105+Q105,"")</f>
        <v>169</v>
      </c>
      <c r="C105" s="139">
        <f t="shared" si="13"/>
        <v>3.8976014760147599</v>
      </c>
      <c r="E105" s="769">
        <v>2</v>
      </c>
      <c r="F105" s="105">
        <f t="shared" si="7"/>
        <v>1.1834319526627219</v>
      </c>
      <c r="G105" s="769"/>
      <c r="H105" s="769">
        <v>1</v>
      </c>
      <c r="I105" s="105">
        <f t="shared" si="9"/>
        <v>0.59171597633136097</v>
      </c>
      <c r="J105" s="769"/>
      <c r="K105" s="769">
        <v>10</v>
      </c>
      <c r="L105" s="105">
        <f t="shared" si="10"/>
        <v>5.9171597633136095</v>
      </c>
      <c r="M105" s="769"/>
      <c r="N105" s="769">
        <v>99</v>
      </c>
      <c r="O105" s="105">
        <f t="shared" si="8"/>
        <v>58.57988165680473</v>
      </c>
      <c r="P105" s="769"/>
      <c r="Q105" s="769">
        <v>57</v>
      </c>
      <c r="R105" s="105">
        <f t="shared" si="11"/>
        <v>33.727810650887577</v>
      </c>
      <c r="S105" s="135"/>
    </row>
    <row r="106" spans="1:19" ht="12" customHeight="1">
      <c r="B106" s="138" t="str">
        <f>IF($A106&lt;&gt;"",E106+H106+K106+N106+Q106,"")</f>
        <v/>
      </c>
      <c r="F106" s="105" t="str">
        <f t="shared" si="7"/>
        <v/>
      </c>
      <c r="I106" s="105" t="str">
        <f t="shared" si="9"/>
        <v/>
      </c>
      <c r="L106" s="105" t="str">
        <f t="shared" si="10"/>
        <v/>
      </c>
      <c r="M106" s="116"/>
      <c r="O106" s="105" t="str">
        <f t="shared" si="8"/>
        <v/>
      </c>
      <c r="P106" s="135"/>
      <c r="Q106" s="140"/>
      <c r="R106" s="105" t="str">
        <f t="shared" si="11"/>
        <v/>
      </c>
      <c r="S106" s="135"/>
    </row>
    <row r="107" spans="1:19" ht="12" customHeight="1">
      <c r="A107" s="55" t="s">
        <v>423</v>
      </c>
      <c r="B107" s="138">
        <f t="shared" ref="B107:B112" si="14">IF($A107&lt;&gt;"",E107+H107+K107+N107+Q107,"")</f>
        <v>995</v>
      </c>
      <c r="C107" s="139">
        <f t="shared" ref="C107:C112" si="15">IF(A107&lt;&gt;0,B107/$B$11*100,"")</f>
        <v>22.947416974169741</v>
      </c>
      <c r="E107" s="140">
        <f>SUM(E108:E112)</f>
        <v>200</v>
      </c>
      <c r="F107" s="105">
        <f t="shared" si="7"/>
        <v>20.100502512562816</v>
      </c>
      <c r="H107" s="140">
        <f>SUM(H108:H112)</f>
        <v>77</v>
      </c>
      <c r="I107" s="105">
        <f t="shared" si="9"/>
        <v>7.7386934673366836</v>
      </c>
      <c r="K107" s="140">
        <f>SUM(K108:K112)</f>
        <v>219</v>
      </c>
      <c r="L107" s="105">
        <f t="shared" si="10"/>
        <v>22.010050251256281</v>
      </c>
      <c r="M107" s="116"/>
      <c r="N107" s="140">
        <f>SUM(N108:N112)</f>
        <v>318</v>
      </c>
      <c r="O107" s="105">
        <f t="shared" si="8"/>
        <v>31.959798994974875</v>
      </c>
      <c r="P107" s="135"/>
      <c r="Q107" s="140">
        <f>SUM(Q108:Q112)</f>
        <v>181</v>
      </c>
      <c r="R107" s="105">
        <f t="shared" si="11"/>
        <v>18.190954773869347</v>
      </c>
      <c r="S107" s="135"/>
    </row>
    <row r="108" spans="1:19" ht="12" customHeight="1">
      <c r="A108" s="95" t="s">
        <v>424</v>
      </c>
      <c r="B108" s="138">
        <f t="shared" si="14"/>
        <v>261</v>
      </c>
      <c r="C108" s="139">
        <f t="shared" si="15"/>
        <v>6.019372693726937</v>
      </c>
      <c r="E108" s="769">
        <v>71</v>
      </c>
      <c r="F108" s="105">
        <f t="shared" si="7"/>
        <v>27.203065134099617</v>
      </c>
      <c r="G108" s="769"/>
      <c r="H108" s="769">
        <v>27</v>
      </c>
      <c r="I108" s="105">
        <f t="shared" si="9"/>
        <v>10.344827586206897</v>
      </c>
      <c r="J108" s="769"/>
      <c r="K108" s="769">
        <v>49</v>
      </c>
      <c r="L108" s="105">
        <f t="shared" si="10"/>
        <v>18.773946360153257</v>
      </c>
      <c r="M108" s="769"/>
      <c r="N108" s="769">
        <v>79</v>
      </c>
      <c r="O108" s="105">
        <f t="shared" si="8"/>
        <v>30.268199233716476</v>
      </c>
      <c r="P108" s="769"/>
      <c r="Q108" s="769">
        <v>35</v>
      </c>
      <c r="R108" s="105">
        <f t="shared" si="11"/>
        <v>13.409961685823754</v>
      </c>
      <c r="S108" s="135"/>
    </row>
    <row r="109" spans="1:19" ht="12" customHeight="1">
      <c r="A109" s="95" t="s">
        <v>425</v>
      </c>
      <c r="B109" s="138">
        <f t="shared" si="14"/>
        <v>266</v>
      </c>
      <c r="C109" s="139">
        <f t="shared" si="15"/>
        <v>6.1346863468634689</v>
      </c>
      <c r="E109" s="769">
        <v>36</v>
      </c>
      <c r="F109" s="105">
        <f t="shared" si="7"/>
        <v>13.533834586466165</v>
      </c>
      <c r="G109" s="769"/>
      <c r="H109" s="769">
        <v>19</v>
      </c>
      <c r="I109" s="105">
        <f t="shared" si="9"/>
        <v>7.1428571428571423</v>
      </c>
      <c r="J109" s="769"/>
      <c r="K109" s="769">
        <v>55</v>
      </c>
      <c r="L109" s="105">
        <f t="shared" si="10"/>
        <v>20.676691729323306</v>
      </c>
      <c r="M109" s="769"/>
      <c r="N109" s="769">
        <v>96</v>
      </c>
      <c r="O109" s="105">
        <f t="shared" si="8"/>
        <v>36.090225563909769</v>
      </c>
      <c r="P109" s="769"/>
      <c r="Q109" s="769">
        <v>60</v>
      </c>
      <c r="R109" s="105">
        <f t="shared" si="11"/>
        <v>22.556390977443609</v>
      </c>
      <c r="S109" s="135"/>
    </row>
    <row r="110" spans="1:19" ht="12" customHeight="1">
      <c r="A110" s="95" t="s">
        <v>426</v>
      </c>
      <c r="B110" s="138">
        <f t="shared" si="14"/>
        <v>226</v>
      </c>
      <c r="C110" s="139">
        <f t="shared" si="15"/>
        <v>5.2121771217712176</v>
      </c>
      <c r="E110" s="769">
        <v>39</v>
      </c>
      <c r="F110" s="105">
        <f t="shared" si="7"/>
        <v>17.256637168141591</v>
      </c>
      <c r="G110" s="769"/>
      <c r="H110" s="769">
        <v>10</v>
      </c>
      <c r="I110" s="105">
        <f t="shared" si="9"/>
        <v>4.4247787610619467</v>
      </c>
      <c r="J110" s="769"/>
      <c r="K110" s="769">
        <v>48</v>
      </c>
      <c r="L110" s="105">
        <f t="shared" si="10"/>
        <v>21.238938053097346</v>
      </c>
      <c r="M110" s="769"/>
      <c r="N110" s="769">
        <v>83</v>
      </c>
      <c r="O110" s="105">
        <f t="shared" si="8"/>
        <v>36.725663716814161</v>
      </c>
      <c r="P110" s="769"/>
      <c r="Q110" s="769">
        <v>46</v>
      </c>
      <c r="R110" s="105">
        <f t="shared" si="11"/>
        <v>20.353982300884958</v>
      </c>
      <c r="S110" s="135"/>
    </row>
    <row r="111" spans="1:19" ht="12" customHeight="1">
      <c r="A111" s="95" t="s">
        <v>522</v>
      </c>
      <c r="B111" s="138">
        <f t="shared" si="14"/>
        <v>140</v>
      </c>
      <c r="C111" s="139">
        <f t="shared" si="15"/>
        <v>3.2287822878228782</v>
      </c>
      <c r="E111" s="769">
        <v>24</v>
      </c>
      <c r="F111" s="105">
        <f t="shared" si="7"/>
        <v>17.142857142857142</v>
      </c>
      <c r="G111" s="769"/>
      <c r="H111" s="769">
        <v>17</v>
      </c>
      <c r="I111" s="105">
        <f t="shared" si="9"/>
        <v>12.142857142857142</v>
      </c>
      <c r="J111" s="769"/>
      <c r="K111" s="769">
        <v>45</v>
      </c>
      <c r="L111" s="105">
        <f t="shared" si="10"/>
        <v>32.142857142857146</v>
      </c>
      <c r="M111" s="769"/>
      <c r="N111" s="769">
        <v>28</v>
      </c>
      <c r="O111" s="105">
        <f t="shared" si="8"/>
        <v>20</v>
      </c>
      <c r="P111" s="769"/>
      <c r="Q111" s="769">
        <v>26</v>
      </c>
      <c r="R111" s="105">
        <f t="shared" si="11"/>
        <v>18.571428571428573</v>
      </c>
      <c r="S111" s="135"/>
    </row>
    <row r="112" spans="1:19" ht="12" customHeight="1">
      <c r="A112" s="95" t="s">
        <v>428</v>
      </c>
      <c r="B112" s="138">
        <f t="shared" si="14"/>
        <v>102</v>
      </c>
      <c r="C112" s="139">
        <f t="shared" si="15"/>
        <v>2.3523985239852401</v>
      </c>
      <c r="E112" s="769">
        <v>30</v>
      </c>
      <c r="F112" s="105">
        <f t="shared" si="7"/>
        <v>29.411764705882355</v>
      </c>
      <c r="G112" s="769"/>
      <c r="H112" s="769">
        <v>4</v>
      </c>
      <c r="I112" s="105">
        <f t="shared" si="9"/>
        <v>3.9215686274509802</v>
      </c>
      <c r="J112" s="769"/>
      <c r="K112" s="769">
        <v>22</v>
      </c>
      <c r="L112" s="105">
        <f t="shared" si="10"/>
        <v>21.568627450980394</v>
      </c>
      <c r="M112" s="769"/>
      <c r="N112" s="769">
        <v>32</v>
      </c>
      <c r="O112" s="105">
        <f t="shared" si="8"/>
        <v>31.372549019607842</v>
      </c>
      <c r="P112" s="769"/>
      <c r="Q112" s="769">
        <v>14</v>
      </c>
      <c r="R112" s="105">
        <f t="shared" si="11"/>
        <v>13.725490196078432</v>
      </c>
      <c r="S112" s="135"/>
    </row>
    <row r="113" spans="1:19" ht="10" customHeight="1" thickBot="1">
      <c r="O113" s="105"/>
      <c r="P113" s="105"/>
      <c r="Q113" s="140"/>
      <c r="R113" s="105"/>
      <c r="S113" s="105"/>
    </row>
    <row r="114" spans="1:19" ht="10" customHeight="1">
      <c r="A114" s="97"/>
      <c r="B114" s="142"/>
      <c r="C114" s="143"/>
      <c r="D114" s="97"/>
      <c r="E114" s="144"/>
      <c r="F114" s="99"/>
      <c r="G114" s="97"/>
      <c r="H114" s="144"/>
      <c r="I114" s="99"/>
      <c r="J114" s="99"/>
      <c r="K114" s="144"/>
      <c r="L114" s="99"/>
      <c r="M114" s="97"/>
      <c r="N114" s="144"/>
      <c r="O114" s="99"/>
      <c r="P114" s="99"/>
      <c r="Q114" s="144"/>
      <c r="R114" s="99"/>
      <c r="S114" s="99"/>
    </row>
    <row r="115" spans="1:19" ht="12" customHeight="1">
      <c r="A115" s="121" t="s">
        <v>1858</v>
      </c>
      <c r="B115" s="145"/>
      <c r="C115" s="146"/>
      <c r="D115" s="116"/>
      <c r="E115" s="154"/>
      <c r="F115" s="135"/>
      <c r="G115" s="116"/>
      <c r="H115" s="154"/>
      <c r="I115" s="135"/>
      <c r="J115" s="135"/>
      <c r="K115" s="154"/>
      <c r="L115" s="135"/>
      <c r="M115" s="116"/>
      <c r="N115" s="154"/>
      <c r="O115" s="135"/>
      <c r="P115" s="135"/>
      <c r="Q115" s="154"/>
      <c r="R115" s="135"/>
      <c r="S115" s="135"/>
    </row>
    <row r="116" spans="1:19" ht="12" customHeight="1">
      <c r="A116" s="121" t="s">
        <v>519</v>
      </c>
      <c r="B116" s="145"/>
      <c r="C116" s="146"/>
      <c r="D116" s="116"/>
      <c r="E116" s="154"/>
      <c r="F116" s="135"/>
      <c r="G116" s="116"/>
      <c r="H116" s="154"/>
      <c r="I116" s="135"/>
      <c r="J116" s="135"/>
      <c r="K116" s="154"/>
      <c r="L116" s="135"/>
      <c r="M116" s="116"/>
      <c r="N116" s="154"/>
      <c r="O116" s="135"/>
      <c r="P116" s="135"/>
      <c r="Q116" s="154"/>
      <c r="R116" s="135"/>
      <c r="S116" s="135"/>
    </row>
    <row r="117" spans="1:19" ht="12" customHeight="1">
      <c r="A117" s="116"/>
      <c r="B117" s="145"/>
      <c r="C117" s="146"/>
      <c r="D117" s="116"/>
      <c r="E117" s="154"/>
      <c r="F117" s="135"/>
      <c r="G117" s="116"/>
      <c r="H117" s="154"/>
      <c r="I117" s="135"/>
      <c r="J117" s="135"/>
      <c r="K117" s="154"/>
      <c r="L117" s="135"/>
      <c r="M117" s="116"/>
      <c r="N117" s="154"/>
      <c r="O117" s="135"/>
      <c r="P117" s="135"/>
      <c r="Q117" s="154"/>
      <c r="R117" s="135"/>
      <c r="S117" s="135"/>
    </row>
    <row r="118" spans="1:19" ht="15">
      <c r="A118" s="59" t="s">
        <v>648</v>
      </c>
      <c r="B118" s="145"/>
      <c r="C118" s="146"/>
      <c r="D118" s="116"/>
      <c r="E118" s="154"/>
      <c r="F118" s="135"/>
      <c r="G118" s="116"/>
      <c r="H118" s="154"/>
      <c r="I118" s="135"/>
      <c r="J118" s="135"/>
      <c r="K118" s="154"/>
      <c r="L118" s="135"/>
      <c r="M118" s="116"/>
      <c r="N118" s="154"/>
      <c r="O118" s="135"/>
      <c r="P118" s="135"/>
      <c r="Q118" s="154"/>
      <c r="R118" s="135"/>
      <c r="S118" s="135"/>
    </row>
    <row r="119" spans="1:19" ht="10"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c r="A120" s="95" t="s">
        <v>491</v>
      </c>
      <c r="Q120" s="140"/>
    </row>
    <row r="121" spans="1:19">
      <c r="A121" s="95" t="s">
        <v>471</v>
      </c>
      <c r="Q121" s="140"/>
    </row>
  </sheetData>
  <mergeCells count="4">
    <mergeCell ref="H7:I7"/>
    <mergeCell ref="K7:L7"/>
    <mergeCell ref="N7:O7"/>
    <mergeCell ref="Q7:R7"/>
  </mergeCells>
  <pageMargins left="0.70866141732283472" right="0.70866141732283472" top="0.74803149606299213" bottom="0.74803149606299213" header="0.31496062992125984" footer="0.31496062992125984"/>
  <pageSetup scale="6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S123"/>
  <sheetViews>
    <sheetView topLeftCell="A61" workbookViewId="0">
      <selection activeCell="A4" sqref="A4"/>
    </sheetView>
  </sheetViews>
  <sheetFormatPr baseColWidth="10" defaultColWidth="9.1640625" defaultRowHeight="13"/>
  <cols>
    <col min="1" max="1" width="36" style="95" customWidth="1"/>
    <col min="2" max="2" width="8.5" style="138" customWidth="1"/>
    <col min="3" max="3" width="8.33203125" style="139" customWidth="1"/>
    <col min="4" max="4" width="2.5" style="95" customWidth="1"/>
    <col min="5" max="5" width="7.5" style="140" customWidth="1"/>
    <col min="6" max="6" width="7.6640625" style="105" customWidth="1"/>
    <col min="7" max="7" width="2.33203125" style="95" customWidth="1"/>
    <col min="8" max="8" width="8.33203125" style="140" customWidth="1"/>
    <col min="9" max="9" width="8.5" style="105" customWidth="1"/>
    <col min="10" max="10" width="2.5" style="105" customWidth="1"/>
    <col min="11" max="11" width="7.6640625" style="140" customWidth="1"/>
    <col min="12" max="12" width="7.83203125" style="105" customWidth="1"/>
    <col min="13" max="13" width="2.5" style="95" customWidth="1"/>
    <col min="14" max="14" width="7.83203125" style="140" customWidth="1"/>
    <col min="15" max="15" width="7.83203125" style="95" customWidth="1"/>
    <col min="16" max="16" width="2.6640625" style="95" customWidth="1"/>
    <col min="17" max="18" width="7.6640625" style="95" customWidth="1"/>
    <col min="19" max="19" width="2.5" style="95" customWidth="1"/>
    <col min="20" max="256" width="9.1640625" style="95"/>
    <col min="257" max="257" width="36" style="95" customWidth="1"/>
    <col min="258" max="258" width="8.5" style="95" customWidth="1"/>
    <col min="259" max="259" width="8.33203125" style="95" customWidth="1"/>
    <col min="260" max="260" width="2.5" style="95" customWidth="1"/>
    <col min="261" max="261" width="7.5" style="95" customWidth="1"/>
    <col min="262" max="262" width="7.6640625" style="95" customWidth="1"/>
    <col min="263" max="263" width="2.33203125" style="95" customWidth="1"/>
    <col min="264" max="264" width="8.33203125" style="95" customWidth="1"/>
    <col min="265" max="265" width="8.5" style="95" customWidth="1"/>
    <col min="266" max="266" width="2.5" style="95" customWidth="1"/>
    <col min="267" max="267" width="7.6640625" style="95" customWidth="1"/>
    <col min="268" max="268" width="7.83203125" style="95" customWidth="1"/>
    <col min="269" max="269" width="2.5" style="95" customWidth="1"/>
    <col min="270" max="271" width="7.83203125" style="95" customWidth="1"/>
    <col min="272" max="272" width="2.6640625" style="95" customWidth="1"/>
    <col min="273" max="274" width="7.6640625" style="95" customWidth="1"/>
    <col min="275" max="275" width="2.5" style="95" customWidth="1"/>
    <col min="276" max="512" width="9.1640625" style="95"/>
    <col min="513" max="513" width="36" style="95" customWidth="1"/>
    <col min="514" max="514" width="8.5" style="95" customWidth="1"/>
    <col min="515" max="515" width="8.33203125" style="95" customWidth="1"/>
    <col min="516" max="516" width="2.5" style="95" customWidth="1"/>
    <col min="517" max="517" width="7.5" style="95" customWidth="1"/>
    <col min="518" max="518" width="7.6640625" style="95" customWidth="1"/>
    <col min="519" max="519" width="2.33203125" style="95" customWidth="1"/>
    <col min="520" max="520" width="8.33203125" style="95" customWidth="1"/>
    <col min="521" max="521" width="8.5" style="95" customWidth="1"/>
    <col min="522" max="522" width="2.5" style="95" customWidth="1"/>
    <col min="523" max="523" width="7.6640625" style="95" customWidth="1"/>
    <col min="524" max="524" width="7.83203125" style="95" customWidth="1"/>
    <col min="525" max="525" width="2.5" style="95" customWidth="1"/>
    <col min="526" max="527" width="7.83203125" style="95" customWidth="1"/>
    <col min="528" max="528" width="2.6640625" style="95" customWidth="1"/>
    <col min="529" max="530" width="7.6640625" style="95" customWidth="1"/>
    <col min="531" max="531" width="2.5" style="95" customWidth="1"/>
    <col min="532" max="768" width="9.1640625" style="95"/>
    <col min="769" max="769" width="36" style="95" customWidth="1"/>
    <col min="770" max="770" width="8.5" style="95" customWidth="1"/>
    <col min="771" max="771" width="8.33203125" style="95" customWidth="1"/>
    <col min="772" max="772" width="2.5" style="95" customWidth="1"/>
    <col min="773" max="773" width="7.5" style="95" customWidth="1"/>
    <col min="774" max="774" width="7.6640625" style="95" customWidth="1"/>
    <col min="775" max="775" width="2.33203125" style="95" customWidth="1"/>
    <col min="776" max="776" width="8.33203125" style="95" customWidth="1"/>
    <col min="777" max="777" width="8.5" style="95" customWidth="1"/>
    <col min="778" max="778" width="2.5" style="95" customWidth="1"/>
    <col min="779" max="779" width="7.6640625" style="95" customWidth="1"/>
    <col min="780" max="780" width="7.83203125" style="95" customWidth="1"/>
    <col min="781" max="781" width="2.5" style="95" customWidth="1"/>
    <col min="782" max="783" width="7.83203125" style="95" customWidth="1"/>
    <col min="784" max="784" width="2.6640625" style="95" customWidth="1"/>
    <col min="785" max="786" width="7.6640625" style="95" customWidth="1"/>
    <col min="787" max="787" width="2.5" style="95" customWidth="1"/>
    <col min="788" max="1024" width="9.1640625" style="95"/>
    <col min="1025" max="1025" width="36" style="95" customWidth="1"/>
    <col min="1026" max="1026" width="8.5" style="95" customWidth="1"/>
    <col min="1027" max="1027" width="8.33203125" style="95" customWidth="1"/>
    <col min="1028" max="1028" width="2.5" style="95" customWidth="1"/>
    <col min="1029" max="1029" width="7.5" style="95" customWidth="1"/>
    <col min="1030" max="1030" width="7.6640625" style="95" customWidth="1"/>
    <col min="1031" max="1031" width="2.33203125" style="95" customWidth="1"/>
    <col min="1032" max="1032" width="8.33203125" style="95" customWidth="1"/>
    <col min="1033" max="1033" width="8.5" style="95" customWidth="1"/>
    <col min="1034" max="1034" width="2.5" style="95" customWidth="1"/>
    <col min="1035" max="1035" width="7.6640625" style="95" customWidth="1"/>
    <col min="1036" max="1036" width="7.83203125" style="95" customWidth="1"/>
    <col min="1037" max="1037" width="2.5" style="95" customWidth="1"/>
    <col min="1038" max="1039" width="7.83203125" style="95" customWidth="1"/>
    <col min="1040" max="1040" width="2.6640625" style="95" customWidth="1"/>
    <col min="1041" max="1042" width="7.6640625" style="95" customWidth="1"/>
    <col min="1043" max="1043" width="2.5" style="95" customWidth="1"/>
    <col min="1044" max="1280" width="9.1640625" style="95"/>
    <col min="1281" max="1281" width="36" style="95" customWidth="1"/>
    <col min="1282" max="1282" width="8.5" style="95" customWidth="1"/>
    <col min="1283" max="1283" width="8.33203125" style="95" customWidth="1"/>
    <col min="1284" max="1284" width="2.5" style="95" customWidth="1"/>
    <col min="1285" max="1285" width="7.5" style="95" customWidth="1"/>
    <col min="1286" max="1286" width="7.6640625" style="95" customWidth="1"/>
    <col min="1287" max="1287" width="2.33203125" style="95" customWidth="1"/>
    <col min="1288" max="1288" width="8.33203125" style="95" customWidth="1"/>
    <col min="1289" max="1289" width="8.5" style="95" customWidth="1"/>
    <col min="1290" max="1290" width="2.5" style="95" customWidth="1"/>
    <col min="1291" max="1291" width="7.6640625" style="95" customWidth="1"/>
    <col min="1292" max="1292" width="7.83203125" style="95" customWidth="1"/>
    <col min="1293" max="1293" width="2.5" style="95" customWidth="1"/>
    <col min="1294" max="1295" width="7.83203125" style="95" customWidth="1"/>
    <col min="1296" max="1296" width="2.6640625" style="95" customWidth="1"/>
    <col min="1297" max="1298" width="7.6640625" style="95" customWidth="1"/>
    <col min="1299" max="1299" width="2.5" style="95" customWidth="1"/>
    <col min="1300" max="1536" width="9.1640625" style="95"/>
    <col min="1537" max="1537" width="36" style="95" customWidth="1"/>
    <col min="1538" max="1538" width="8.5" style="95" customWidth="1"/>
    <col min="1539" max="1539" width="8.33203125" style="95" customWidth="1"/>
    <col min="1540" max="1540" width="2.5" style="95" customWidth="1"/>
    <col min="1541" max="1541" width="7.5" style="95" customWidth="1"/>
    <col min="1542" max="1542" width="7.6640625" style="95" customWidth="1"/>
    <col min="1543" max="1543" width="2.33203125" style="95" customWidth="1"/>
    <col min="1544" max="1544" width="8.33203125" style="95" customWidth="1"/>
    <col min="1545" max="1545" width="8.5" style="95" customWidth="1"/>
    <col min="1546" max="1546" width="2.5" style="95" customWidth="1"/>
    <col min="1547" max="1547" width="7.6640625" style="95" customWidth="1"/>
    <col min="1548" max="1548" width="7.83203125" style="95" customWidth="1"/>
    <col min="1549" max="1549" width="2.5" style="95" customWidth="1"/>
    <col min="1550" max="1551" width="7.83203125" style="95" customWidth="1"/>
    <col min="1552" max="1552" width="2.6640625" style="95" customWidth="1"/>
    <col min="1553" max="1554" width="7.6640625" style="95" customWidth="1"/>
    <col min="1555" max="1555" width="2.5" style="95" customWidth="1"/>
    <col min="1556" max="1792" width="9.1640625" style="95"/>
    <col min="1793" max="1793" width="36" style="95" customWidth="1"/>
    <col min="1794" max="1794" width="8.5" style="95" customWidth="1"/>
    <col min="1795" max="1795" width="8.33203125" style="95" customWidth="1"/>
    <col min="1796" max="1796" width="2.5" style="95" customWidth="1"/>
    <col min="1797" max="1797" width="7.5" style="95" customWidth="1"/>
    <col min="1798" max="1798" width="7.6640625" style="95" customWidth="1"/>
    <col min="1799" max="1799" width="2.33203125" style="95" customWidth="1"/>
    <col min="1800" max="1800" width="8.33203125" style="95" customWidth="1"/>
    <col min="1801" max="1801" width="8.5" style="95" customWidth="1"/>
    <col min="1802" max="1802" width="2.5" style="95" customWidth="1"/>
    <col min="1803" max="1803" width="7.6640625" style="95" customWidth="1"/>
    <col min="1804" max="1804" width="7.83203125" style="95" customWidth="1"/>
    <col min="1805" max="1805" width="2.5" style="95" customWidth="1"/>
    <col min="1806" max="1807" width="7.83203125" style="95" customWidth="1"/>
    <col min="1808" max="1808" width="2.6640625" style="95" customWidth="1"/>
    <col min="1809" max="1810" width="7.6640625" style="95" customWidth="1"/>
    <col min="1811" max="1811" width="2.5" style="95" customWidth="1"/>
    <col min="1812" max="2048" width="9.1640625" style="95"/>
    <col min="2049" max="2049" width="36" style="95" customWidth="1"/>
    <col min="2050" max="2050" width="8.5" style="95" customWidth="1"/>
    <col min="2051" max="2051" width="8.33203125" style="95" customWidth="1"/>
    <col min="2052" max="2052" width="2.5" style="95" customWidth="1"/>
    <col min="2053" max="2053" width="7.5" style="95" customWidth="1"/>
    <col min="2054" max="2054" width="7.6640625" style="95" customWidth="1"/>
    <col min="2055" max="2055" width="2.33203125" style="95" customWidth="1"/>
    <col min="2056" max="2056" width="8.33203125" style="95" customWidth="1"/>
    <col min="2057" max="2057" width="8.5" style="95" customWidth="1"/>
    <col min="2058" max="2058" width="2.5" style="95" customWidth="1"/>
    <col min="2059" max="2059" width="7.6640625" style="95" customWidth="1"/>
    <col min="2060" max="2060" width="7.83203125" style="95" customWidth="1"/>
    <col min="2061" max="2061" width="2.5" style="95" customWidth="1"/>
    <col min="2062" max="2063" width="7.83203125" style="95" customWidth="1"/>
    <col min="2064" max="2064" width="2.6640625" style="95" customWidth="1"/>
    <col min="2065" max="2066" width="7.6640625" style="95" customWidth="1"/>
    <col min="2067" max="2067" width="2.5" style="95" customWidth="1"/>
    <col min="2068" max="2304" width="9.1640625" style="95"/>
    <col min="2305" max="2305" width="36" style="95" customWidth="1"/>
    <col min="2306" max="2306" width="8.5" style="95" customWidth="1"/>
    <col min="2307" max="2307" width="8.33203125" style="95" customWidth="1"/>
    <col min="2308" max="2308" width="2.5" style="95" customWidth="1"/>
    <col min="2309" max="2309" width="7.5" style="95" customWidth="1"/>
    <col min="2310" max="2310" width="7.6640625" style="95" customWidth="1"/>
    <col min="2311" max="2311" width="2.33203125" style="95" customWidth="1"/>
    <col min="2312" max="2312" width="8.33203125" style="95" customWidth="1"/>
    <col min="2313" max="2313" width="8.5" style="95" customWidth="1"/>
    <col min="2314" max="2314" width="2.5" style="95" customWidth="1"/>
    <col min="2315" max="2315" width="7.6640625" style="95" customWidth="1"/>
    <col min="2316" max="2316" width="7.83203125" style="95" customWidth="1"/>
    <col min="2317" max="2317" width="2.5" style="95" customWidth="1"/>
    <col min="2318" max="2319" width="7.83203125" style="95" customWidth="1"/>
    <col min="2320" max="2320" width="2.6640625" style="95" customWidth="1"/>
    <col min="2321" max="2322" width="7.6640625" style="95" customWidth="1"/>
    <col min="2323" max="2323" width="2.5" style="95" customWidth="1"/>
    <col min="2324" max="2560" width="9.1640625" style="95"/>
    <col min="2561" max="2561" width="36" style="95" customWidth="1"/>
    <col min="2562" max="2562" width="8.5" style="95" customWidth="1"/>
    <col min="2563" max="2563" width="8.33203125" style="95" customWidth="1"/>
    <col min="2564" max="2564" width="2.5" style="95" customWidth="1"/>
    <col min="2565" max="2565" width="7.5" style="95" customWidth="1"/>
    <col min="2566" max="2566" width="7.6640625" style="95" customWidth="1"/>
    <col min="2567" max="2567" width="2.33203125" style="95" customWidth="1"/>
    <col min="2568" max="2568" width="8.33203125" style="95" customWidth="1"/>
    <col min="2569" max="2569" width="8.5" style="95" customWidth="1"/>
    <col min="2570" max="2570" width="2.5" style="95" customWidth="1"/>
    <col min="2571" max="2571" width="7.6640625" style="95" customWidth="1"/>
    <col min="2572" max="2572" width="7.83203125" style="95" customWidth="1"/>
    <col min="2573" max="2573" width="2.5" style="95" customWidth="1"/>
    <col min="2574" max="2575" width="7.83203125" style="95" customWidth="1"/>
    <col min="2576" max="2576" width="2.6640625" style="95" customWidth="1"/>
    <col min="2577" max="2578" width="7.6640625" style="95" customWidth="1"/>
    <col min="2579" max="2579" width="2.5" style="95" customWidth="1"/>
    <col min="2580" max="2816" width="9.1640625" style="95"/>
    <col min="2817" max="2817" width="36" style="95" customWidth="1"/>
    <col min="2818" max="2818" width="8.5" style="95" customWidth="1"/>
    <col min="2819" max="2819" width="8.33203125" style="95" customWidth="1"/>
    <col min="2820" max="2820" width="2.5" style="95" customWidth="1"/>
    <col min="2821" max="2821" width="7.5" style="95" customWidth="1"/>
    <col min="2822" max="2822" width="7.6640625" style="95" customWidth="1"/>
    <col min="2823" max="2823" width="2.33203125" style="95" customWidth="1"/>
    <col min="2824" max="2824" width="8.33203125" style="95" customWidth="1"/>
    <col min="2825" max="2825" width="8.5" style="95" customWidth="1"/>
    <col min="2826" max="2826" width="2.5" style="95" customWidth="1"/>
    <col min="2827" max="2827" width="7.6640625" style="95" customWidth="1"/>
    <col min="2828" max="2828" width="7.83203125" style="95" customWidth="1"/>
    <col min="2829" max="2829" width="2.5" style="95" customWidth="1"/>
    <col min="2830" max="2831" width="7.83203125" style="95" customWidth="1"/>
    <col min="2832" max="2832" width="2.6640625" style="95" customWidth="1"/>
    <col min="2833" max="2834" width="7.6640625" style="95" customWidth="1"/>
    <col min="2835" max="2835" width="2.5" style="95" customWidth="1"/>
    <col min="2836" max="3072" width="9.1640625" style="95"/>
    <col min="3073" max="3073" width="36" style="95" customWidth="1"/>
    <col min="3074" max="3074" width="8.5" style="95" customWidth="1"/>
    <col min="3075" max="3075" width="8.33203125" style="95" customWidth="1"/>
    <col min="3076" max="3076" width="2.5" style="95" customWidth="1"/>
    <col min="3077" max="3077" width="7.5" style="95" customWidth="1"/>
    <col min="3078" max="3078" width="7.6640625" style="95" customWidth="1"/>
    <col min="3079" max="3079" width="2.33203125" style="95" customWidth="1"/>
    <col min="3080" max="3080" width="8.33203125" style="95" customWidth="1"/>
    <col min="3081" max="3081" width="8.5" style="95" customWidth="1"/>
    <col min="3082" max="3082" width="2.5" style="95" customWidth="1"/>
    <col min="3083" max="3083" width="7.6640625" style="95" customWidth="1"/>
    <col min="3084" max="3084" width="7.83203125" style="95" customWidth="1"/>
    <col min="3085" max="3085" width="2.5" style="95" customWidth="1"/>
    <col min="3086" max="3087" width="7.83203125" style="95" customWidth="1"/>
    <col min="3088" max="3088" width="2.6640625" style="95" customWidth="1"/>
    <col min="3089" max="3090" width="7.6640625" style="95" customWidth="1"/>
    <col min="3091" max="3091" width="2.5" style="95" customWidth="1"/>
    <col min="3092" max="3328" width="9.1640625" style="95"/>
    <col min="3329" max="3329" width="36" style="95" customWidth="1"/>
    <col min="3330" max="3330" width="8.5" style="95" customWidth="1"/>
    <col min="3331" max="3331" width="8.33203125" style="95" customWidth="1"/>
    <col min="3332" max="3332" width="2.5" style="95" customWidth="1"/>
    <col min="3333" max="3333" width="7.5" style="95" customWidth="1"/>
    <col min="3334" max="3334" width="7.6640625" style="95" customWidth="1"/>
    <col min="3335" max="3335" width="2.33203125" style="95" customWidth="1"/>
    <col min="3336" max="3336" width="8.33203125" style="95" customWidth="1"/>
    <col min="3337" max="3337" width="8.5" style="95" customWidth="1"/>
    <col min="3338" max="3338" width="2.5" style="95" customWidth="1"/>
    <col min="3339" max="3339" width="7.6640625" style="95" customWidth="1"/>
    <col min="3340" max="3340" width="7.83203125" style="95" customWidth="1"/>
    <col min="3341" max="3341" width="2.5" style="95" customWidth="1"/>
    <col min="3342" max="3343" width="7.83203125" style="95" customWidth="1"/>
    <col min="3344" max="3344" width="2.6640625" style="95" customWidth="1"/>
    <col min="3345" max="3346" width="7.6640625" style="95" customWidth="1"/>
    <col min="3347" max="3347" width="2.5" style="95" customWidth="1"/>
    <col min="3348" max="3584" width="9.1640625" style="95"/>
    <col min="3585" max="3585" width="36" style="95" customWidth="1"/>
    <col min="3586" max="3586" width="8.5" style="95" customWidth="1"/>
    <col min="3587" max="3587" width="8.33203125" style="95" customWidth="1"/>
    <col min="3588" max="3588" width="2.5" style="95" customWidth="1"/>
    <col min="3589" max="3589" width="7.5" style="95" customWidth="1"/>
    <col min="3590" max="3590" width="7.6640625" style="95" customWidth="1"/>
    <col min="3591" max="3591" width="2.33203125" style="95" customWidth="1"/>
    <col min="3592" max="3592" width="8.33203125" style="95" customWidth="1"/>
    <col min="3593" max="3593" width="8.5" style="95" customWidth="1"/>
    <col min="3594" max="3594" width="2.5" style="95" customWidth="1"/>
    <col min="3595" max="3595" width="7.6640625" style="95" customWidth="1"/>
    <col min="3596" max="3596" width="7.83203125" style="95" customWidth="1"/>
    <col min="3597" max="3597" width="2.5" style="95" customWidth="1"/>
    <col min="3598" max="3599" width="7.83203125" style="95" customWidth="1"/>
    <col min="3600" max="3600" width="2.6640625" style="95" customWidth="1"/>
    <col min="3601" max="3602" width="7.6640625" style="95" customWidth="1"/>
    <col min="3603" max="3603" width="2.5" style="95" customWidth="1"/>
    <col min="3604" max="3840" width="9.1640625" style="95"/>
    <col min="3841" max="3841" width="36" style="95" customWidth="1"/>
    <col min="3842" max="3842" width="8.5" style="95" customWidth="1"/>
    <col min="3843" max="3843" width="8.33203125" style="95" customWidth="1"/>
    <col min="3844" max="3844" width="2.5" style="95" customWidth="1"/>
    <col min="3845" max="3845" width="7.5" style="95" customWidth="1"/>
    <col min="3846" max="3846" width="7.6640625" style="95" customWidth="1"/>
    <col min="3847" max="3847" width="2.33203125" style="95" customWidth="1"/>
    <col min="3848" max="3848" width="8.33203125" style="95" customWidth="1"/>
    <col min="3849" max="3849" width="8.5" style="95" customWidth="1"/>
    <col min="3850" max="3850" width="2.5" style="95" customWidth="1"/>
    <col min="3851" max="3851" width="7.6640625" style="95" customWidth="1"/>
    <col min="3852" max="3852" width="7.83203125" style="95" customWidth="1"/>
    <col min="3853" max="3853" width="2.5" style="95" customWidth="1"/>
    <col min="3854" max="3855" width="7.83203125" style="95" customWidth="1"/>
    <col min="3856" max="3856" width="2.6640625" style="95" customWidth="1"/>
    <col min="3857" max="3858" width="7.6640625" style="95" customWidth="1"/>
    <col min="3859" max="3859" width="2.5" style="95" customWidth="1"/>
    <col min="3860" max="4096" width="9.1640625" style="95"/>
    <col min="4097" max="4097" width="36" style="95" customWidth="1"/>
    <col min="4098" max="4098" width="8.5" style="95" customWidth="1"/>
    <col min="4099" max="4099" width="8.33203125" style="95" customWidth="1"/>
    <col min="4100" max="4100" width="2.5" style="95" customWidth="1"/>
    <col min="4101" max="4101" width="7.5" style="95" customWidth="1"/>
    <col min="4102" max="4102" width="7.6640625" style="95" customWidth="1"/>
    <col min="4103" max="4103" width="2.33203125" style="95" customWidth="1"/>
    <col min="4104" max="4104" width="8.33203125" style="95" customWidth="1"/>
    <col min="4105" max="4105" width="8.5" style="95" customWidth="1"/>
    <col min="4106" max="4106" width="2.5" style="95" customWidth="1"/>
    <col min="4107" max="4107" width="7.6640625" style="95" customWidth="1"/>
    <col min="4108" max="4108" width="7.83203125" style="95" customWidth="1"/>
    <col min="4109" max="4109" width="2.5" style="95" customWidth="1"/>
    <col min="4110" max="4111" width="7.83203125" style="95" customWidth="1"/>
    <col min="4112" max="4112" width="2.6640625" style="95" customWidth="1"/>
    <col min="4113" max="4114" width="7.6640625" style="95" customWidth="1"/>
    <col min="4115" max="4115" width="2.5" style="95" customWidth="1"/>
    <col min="4116" max="4352" width="9.1640625" style="95"/>
    <col min="4353" max="4353" width="36" style="95" customWidth="1"/>
    <col min="4354" max="4354" width="8.5" style="95" customWidth="1"/>
    <col min="4355" max="4355" width="8.33203125" style="95" customWidth="1"/>
    <col min="4356" max="4356" width="2.5" style="95" customWidth="1"/>
    <col min="4357" max="4357" width="7.5" style="95" customWidth="1"/>
    <col min="4358" max="4358" width="7.6640625" style="95" customWidth="1"/>
    <col min="4359" max="4359" width="2.33203125" style="95" customWidth="1"/>
    <col min="4360" max="4360" width="8.33203125" style="95" customWidth="1"/>
    <col min="4361" max="4361" width="8.5" style="95" customWidth="1"/>
    <col min="4362" max="4362" width="2.5" style="95" customWidth="1"/>
    <col min="4363" max="4363" width="7.6640625" style="95" customWidth="1"/>
    <col min="4364" max="4364" width="7.83203125" style="95" customWidth="1"/>
    <col min="4365" max="4365" width="2.5" style="95" customWidth="1"/>
    <col min="4366" max="4367" width="7.83203125" style="95" customWidth="1"/>
    <col min="4368" max="4368" width="2.6640625" style="95" customWidth="1"/>
    <col min="4369" max="4370" width="7.6640625" style="95" customWidth="1"/>
    <col min="4371" max="4371" width="2.5" style="95" customWidth="1"/>
    <col min="4372" max="4608" width="9.1640625" style="95"/>
    <col min="4609" max="4609" width="36" style="95" customWidth="1"/>
    <col min="4610" max="4610" width="8.5" style="95" customWidth="1"/>
    <col min="4611" max="4611" width="8.33203125" style="95" customWidth="1"/>
    <col min="4612" max="4612" width="2.5" style="95" customWidth="1"/>
    <col min="4613" max="4613" width="7.5" style="95" customWidth="1"/>
    <col min="4614" max="4614" width="7.6640625" style="95" customWidth="1"/>
    <col min="4615" max="4615" width="2.33203125" style="95" customWidth="1"/>
    <col min="4616" max="4616" width="8.33203125" style="95" customWidth="1"/>
    <col min="4617" max="4617" width="8.5" style="95" customWidth="1"/>
    <col min="4618" max="4618" width="2.5" style="95" customWidth="1"/>
    <col min="4619" max="4619" width="7.6640625" style="95" customWidth="1"/>
    <col min="4620" max="4620" width="7.83203125" style="95" customWidth="1"/>
    <col min="4621" max="4621" width="2.5" style="95" customWidth="1"/>
    <col min="4622" max="4623" width="7.83203125" style="95" customWidth="1"/>
    <col min="4624" max="4624" width="2.6640625" style="95" customWidth="1"/>
    <col min="4625" max="4626" width="7.6640625" style="95" customWidth="1"/>
    <col min="4627" max="4627" width="2.5" style="95" customWidth="1"/>
    <col min="4628" max="4864" width="9.1640625" style="95"/>
    <col min="4865" max="4865" width="36" style="95" customWidth="1"/>
    <col min="4866" max="4866" width="8.5" style="95" customWidth="1"/>
    <col min="4867" max="4867" width="8.33203125" style="95" customWidth="1"/>
    <col min="4868" max="4868" width="2.5" style="95" customWidth="1"/>
    <col min="4869" max="4869" width="7.5" style="95" customWidth="1"/>
    <col min="4870" max="4870" width="7.6640625" style="95" customWidth="1"/>
    <col min="4871" max="4871" width="2.33203125" style="95" customWidth="1"/>
    <col min="4872" max="4872" width="8.33203125" style="95" customWidth="1"/>
    <col min="4873" max="4873" width="8.5" style="95" customWidth="1"/>
    <col min="4874" max="4874" width="2.5" style="95" customWidth="1"/>
    <col min="4875" max="4875" width="7.6640625" style="95" customWidth="1"/>
    <col min="4876" max="4876" width="7.83203125" style="95" customWidth="1"/>
    <col min="4877" max="4877" width="2.5" style="95" customWidth="1"/>
    <col min="4878" max="4879" width="7.83203125" style="95" customWidth="1"/>
    <col min="4880" max="4880" width="2.6640625" style="95" customWidth="1"/>
    <col min="4881" max="4882" width="7.6640625" style="95" customWidth="1"/>
    <col min="4883" max="4883" width="2.5" style="95" customWidth="1"/>
    <col min="4884" max="5120" width="9.1640625" style="95"/>
    <col min="5121" max="5121" width="36" style="95" customWidth="1"/>
    <col min="5122" max="5122" width="8.5" style="95" customWidth="1"/>
    <col min="5123" max="5123" width="8.33203125" style="95" customWidth="1"/>
    <col min="5124" max="5124" width="2.5" style="95" customWidth="1"/>
    <col min="5125" max="5125" width="7.5" style="95" customWidth="1"/>
    <col min="5126" max="5126" width="7.6640625" style="95" customWidth="1"/>
    <col min="5127" max="5127" width="2.33203125" style="95" customWidth="1"/>
    <col min="5128" max="5128" width="8.33203125" style="95" customWidth="1"/>
    <col min="5129" max="5129" width="8.5" style="95" customWidth="1"/>
    <col min="5130" max="5130" width="2.5" style="95" customWidth="1"/>
    <col min="5131" max="5131" width="7.6640625" style="95" customWidth="1"/>
    <col min="5132" max="5132" width="7.83203125" style="95" customWidth="1"/>
    <col min="5133" max="5133" width="2.5" style="95" customWidth="1"/>
    <col min="5134" max="5135" width="7.83203125" style="95" customWidth="1"/>
    <col min="5136" max="5136" width="2.6640625" style="95" customWidth="1"/>
    <col min="5137" max="5138" width="7.6640625" style="95" customWidth="1"/>
    <col min="5139" max="5139" width="2.5" style="95" customWidth="1"/>
    <col min="5140" max="5376" width="9.1640625" style="95"/>
    <col min="5377" max="5377" width="36" style="95" customWidth="1"/>
    <col min="5378" max="5378" width="8.5" style="95" customWidth="1"/>
    <col min="5379" max="5379" width="8.33203125" style="95" customWidth="1"/>
    <col min="5380" max="5380" width="2.5" style="95" customWidth="1"/>
    <col min="5381" max="5381" width="7.5" style="95" customWidth="1"/>
    <col min="5382" max="5382" width="7.6640625" style="95" customWidth="1"/>
    <col min="5383" max="5383" width="2.33203125" style="95" customWidth="1"/>
    <col min="5384" max="5384" width="8.33203125" style="95" customWidth="1"/>
    <col min="5385" max="5385" width="8.5" style="95" customWidth="1"/>
    <col min="5386" max="5386" width="2.5" style="95" customWidth="1"/>
    <col min="5387" max="5387" width="7.6640625" style="95" customWidth="1"/>
    <col min="5388" max="5388" width="7.83203125" style="95" customWidth="1"/>
    <col min="5389" max="5389" width="2.5" style="95" customWidth="1"/>
    <col min="5390" max="5391" width="7.83203125" style="95" customWidth="1"/>
    <col min="5392" max="5392" width="2.6640625" style="95" customWidth="1"/>
    <col min="5393" max="5394" width="7.6640625" style="95" customWidth="1"/>
    <col min="5395" max="5395" width="2.5" style="95" customWidth="1"/>
    <col min="5396" max="5632" width="9.1640625" style="95"/>
    <col min="5633" max="5633" width="36" style="95" customWidth="1"/>
    <col min="5634" max="5634" width="8.5" style="95" customWidth="1"/>
    <col min="5635" max="5635" width="8.33203125" style="95" customWidth="1"/>
    <col min="5636" max="5636" width="2.5" style="95" customWidth="1"/>
    <col min="5637" max="5637" width="7.5" style="95" customWidth="1"/>
    <col min="5638" max="5638" width="7.6640625" style="95" customWidth="1"/>
    <col min="5639" max="5639" width="2.33203125" style="95" customWidth="1"/>
    <col min="5640" max="5640" width="8.33203125" style="95" customWidth="1"/>
    <col min="5641" max="5641" width="8.5" style="95" customWidth="1"/>
    <col min="5642" max="5642" width="2.5" style="95" customWidth="1"/>
    <col min="5643" max="5643" width="7.6640625" style="95" customWidth="1"/>
    <col min="5644" max="5644" width="7.83203125" style="95" customWidth="1"/>
    <col min="5645" max="5645" width="2.5" style="95" customWidth="1"/>
    <col min="5646" max="5647" width="7.83203125" style="95" customWidth="1"/>
    <col min="5648" max="5648" width="2.6640625" style="95" customWidth="1"/>
    <col min="5649" max="5650" width="7.6640625" style="95" customWidth="1"/>
    <col min="5651" max="5651" width="2.5" style="95" customWidth="1"/>
    <col min="5652" max="5888" width="9.1640625" style="95"/>
    <col min="5889" max="5889" width="36" style="95" customWidth="1"/>
    <col min="5890" max="5890" width="8.5" style="95" customWidth="1"/>
    <col min="5891" max="5891" width="8.33203125" style="95" customWidth="1"/>
    <col min="5892" max="5892" width="2.5" style="95" customWidth="1"/>
    <col min="5893" max="5893" width="7.5" style="95" customWidth="1"/>
    <col min="5894" max="5894" width="7.6640625" style="95" customWidth="1"/>
    <col min="5895" max="5895" width="2.33203125" style="95" customWidth="1"/>
    <col min="5896" max="5896" width="8.33203125" style="95" customWidth="1"/>
    <col min="5897" max="5897" width="8.5" style="95" customWidth="1"/>
    <col min="5898" max="5898" width="2.5" style="95" customWidth="1"/>
    <col min="5899" max="5899" width="7.6640625" style="95" customWidth="1"/>
    <col min="5900" max="5900" width="7.83203125" style="95" customWidth="1"/>
    <col min="5901" max="5901" width="2.5" style="95" customWidth="1"/>
    <col min="5902" max="5903" width="7.83203125" style="95" customWidth="1"/>
    <col min="5904" max="5904" width="2.6640625" style="95" customWidth="1"/>
    <col min="5905" max="5906" width="7.6640625" style="95" customWidth="1"/>
    <col min="5907" max="5907" width="2.5" style="95" customWidth="1"/>
    <col min="5908" max="6144" width="9.1640625" style="95"/>
    <col min="6145" max="6145" width="36" style="95" customWidth="1"/>
    <col min="6146" max="6146" width="8.5" style="95" customWidth="1"/>
    <col min="6147" max="6147" width="8.33203125" style="95" customWidth="1"/>
    <col min="6148" max="6148" width="2.5" style="95" customWidth="1"/>
    <col min="6149" max="6149" width="7.5" style="95" customWidth="1"/>
    <col min="6150" max="6150" width="7.6640625" style="95" customWidth="1"/>
    <col min="6151" max="6151" width="2.33203125" style="95" customWidth="1"/>
    <col min="6152" max="6152" width="8.33203125" style="95" customWidth="1"/>
    <col min="6153" max="6153" width="8.5" style="95" customWidth="1"/>
    <col min="6154" max="6154" width="2.5" style="95" customWidth="1"/>
    <col min="6155" max="6155" width="7.6640625" style="95" customWidth="1"/>
    <col min="6156" max="6156" width="7.83203125" style="95" customWidth="1"/>
    <col min="6157" max="6157" width="2.5" style="95" customWidth="1"/>
    <col min="6158" max="6159" width="7.83203125" style="95" customWidth="1"/>
    <col min="6160" max="6160" width="2.6640625" style="95" customWidth="1"/>
    <col min="6161" max="6162" width="7.6640625" style="95" customWidth="1"/>
    <col min="6163" max="6163" width="2.5" style="95" customWidth="1"/>
    <col min="6164" max="6400" width="9.1640625" style="95"/>
    <col min="6401" max="6401" width="36" style="95" customWidth="1"/>
    <col min="6402" max="6402" width="8.5" style="95" customWidth="1"/>
    <col min="6403" max="6403" width="8.33203125" style="95" customWidth="1"/>
    <col min="6404" max="6404" width="2.5" style="95" customWidth="1"/>
    <col min="6405" max="6405" width="7.5" style="95" customWidth="1"/>
    <col min="6406" max="6406" width="7.6640625" style="95" customWidth="1"/>
    <col min="6407" max="6407" width="2.33203125" style="95" customWidth="1"/>
    <col min="6408" max="6408" width="8.33203125" style="95" customWidth="1"/>
    <col min="6409" max="6409" width="8.5" style="95" customWidth="1"/>
    <col min="6410" max="6410" width="2.5" style="95" customWidth="1"/>
    <col min="6411" max="6411" width="7.6640625" style="95" customWidth="1"/>
    <col min="6412" max="6412" width="7.83203125" style="95" customWidth="1"/>
    <col min="6413" max="6413" width="2.5" style="95" customWidth="1"/>
    <col min="6414" max="6415" width="7.83203125" style="95" customWidth="1"/>
    <col min="6416" max="6416" width="2.6640625" style="95" customWidth="1"/>
    <col min="6417" max="6418" width="7.6640625" style="95" customWidth="1"/>
    <col min="6419" max="6419" width="2.5" style="95" customWidth="1"/>
    <col min="6420" max="6656" width="9.1640625" style="95"/>
    <col min="6657" max="6657" width="36" style="95" customWidth="1"/>
    <col min="6658" max="6658" width="8.5" style="95" customWidth="1"/>
    <col min="6659" max="6659" width="8.33203125" style="95" customWidth="1"/>
    <col min="6660" max="6660" width="2.5" style="95" customWidth="1"/>
    <col min="6661" max="6661" width="7.5" style="95" customWidth="1"/>
    <col min="6662" max="6662" width="7.6640625" style="95" customWidth="1"/>
    <col min="6663" max="6663" width="2.33203125" style="95" customWidth="1"/>
    <col min="6664" max="6664" width="8.33203125" style="95" customWidth="1"/>
    <col min="6665" max="6665" width="8.5" style="95" customWidth="1"/>
    <col min="6666" max="6666" width="2.5" style="95" customWidth="1"/>
    <col min="6667" max="6667" width="7.6640625" style="95" customWidth="1"/>
    <col min="6668" max="6668" width="7.83203125" style="95" customWidth="1"/>
    <col min="6669" max="6669" width="2.5" style="95" customWidth="1"/>
    <col min="6670" max="6671" width="7.83203125" style="95" customWidth="1"/>
    <col min="6672" max="6672" width="2.6640625" style="95" customWidth="1"/>
    <col min="6673" max="6674" width="7.6640625" style="95" customWidth="1"/>
    <col min="6675" max="6675" width="2.5" style="95" customWidth="1"/>
    <col min="6676" max="6912" width="9.1640625" style="95"/>
    <col min="6913" max="6913" width="36" style="95" customWidth="1"/>
    <col min="6914" max="6914" width="8.5" style="95" customWidth="1"/>
    <col min="6915" max="6915" width="8.33203125" style="95" customWidth="1"/>
    <col min="6916" max="6916" width="2.5" style="95" customWidth="1"/>
    <col min="6917" max="6917" width="7.5" style="95" customWidth="1"/>
    <col min="6918" max="6918" width="7.6640625" style="95" customWidth="1"/>
    <col min="6919" max="6919" width="2.33203125" style="95" customWidth="1"/>
    <col min="6920" max="6920" width="8.33203125" style="95" customWidth="1"/>
    <col min="6921" max="6921" width="8.5" style="95" customWidth="1"/>
    <col min="6922" max="6922" width="2.5" style="95" customWidth="1"/>
    <col min="6923" max="6923" width="7.6640625" style="95" customWidth="1"/>
    <col min="6924" max="6924" width="7.83203125" style="95" customWidth="1"/>
    <col min="6925" max="6925" width="2.5" style="95" customWidth="1"/>
    <col min="6926" max="6927" width="7.83203125" style="95" customWidth="1"/>
    <col min="6928" max="6928" width="2.6640625" style="95" customWidth="1"/>
    <col min="6929" max="6930" width="7.6640625" style="95" customWidth="1"/>
    <col min="6931" max="6931" width="2.5" style="95" customWidth="1"/>
    <col min="6932" max="7168" width="9.1640625" style="95"/>
    <col min="7169" max="7169" width="36" style="95" customWidth="1"/>
    <col min="7170" max="7170" width="8.5" style="95" customWidth="1"/>
    <col min="7171" max="7171" width="8.33203125" style="95" customWidth="1"/>
    <col min="7172" max="7172" width="2.5" style="95" customWidth="1"/>
    <col min="7173" max="7173" width="7.5" style="95" customWidth="1"/>
    <col min="7174" max="7174" width="7.6640625" style="95" customWidth="1"/>
    <col min="7175" max="7175" width="2.33203125" style="95" customWidth="1"/>
    <col min="7176" max="7176" width="8.33203125" style="95" customWidth="1"/>
    <col min="7177" max="7177" width="8.5" style="95" customWidth="1"/>
    <col min="7178" max="7178" width="2.5" style="95" customWidth="1"/>
    <col min="7179" max="7179" width="7.6640625" style="95" customWidth="1"/>
    <col min="7180" max="7180" width="7.83203125" style="95" customWidth="1"/>
    <col min="7181" max="7181" width="2.5" style="95" customWidth="1"/>
    <col min="7182" max="7183" width="7.83203125" style="95" customWidth="1"/>
    <col min="7184" max="7184" width="2.6640625" style="95" customWidth="1"/>
    <col min="7185" max="7186" width="7.6640625" style="95" customWidth="1"/>
    <col min="7187" max="7187" width="2.5" style="95" customWidth="1"/>
    <col min="7188" max="7424" width="9.1640625" style="95"/>
    <col min="7425" max="7425" width="36" style="95" customWidth="1"/>
    <col min="7426" max="7426" width="8.5" style="95" customWidth="1"/>
    <col min="7427" max="7427" width="8.33203125" style="95" customWidth="1"/>
    <col min="7428" max="7428" width="2.5" style="95" customWidth="1"/>
    <col min="7429" max="7429" width="7.5" style="95" customWidth="1"/>
    <col min="7430" max="7430" width="7.6640625" style="95" customWidth="1"/>
    <col min="7431" max="7431" width="2.33203125" style="95" customWidth="1"/>
    <col min="7432" max="7432" width="8.33203125" style="95" customWidth="1"/>
    <col min="7433" max="7433" width="8.5" style="95" customWidth="1"/>
    <col min="7434" max="7434" width="2.5" style="95" customWidth="1"/>
    <col min="7435" max="7435" width="7.6640625" style="95" customWidth="1"/>
    <col min="7436" max="7436" width="7.83203125" style="95" customWidth="1"/>
    <col min="7437" max="7437" width="2.5" style="95" customWidth="1"/>
    <col min="7438" max="7439" width="7.83203125" style="95" customWidth="1"/>
    <col min="7440" max="7440" width="2.6640625" style="95" customWidth="1"/>
    <col min="7441" max="7442" width="7.6640625" style="95" customWidth="1"/>
    <col min="7443" max="7443" width="2.5" style="95" customWidth="1"/>
    <col min="7444" max="7680" width="9.1640625" style="95"/>
    <col min="7681" max="7681" width="36" style="95" customWidth="1"/>
    <col min="7682" max="7682" width="8.5" style="95" customWidth="1"/>
    <col min="7683" max="7683" width="8.33203125" style="95" customWidth="1"/>
    <col min="7684" max="7684" width="2.5" style="95" customWidth="1"/>
    <col min="7685" max="7685" width="7.5" style="95" customWidth="1"/>
    <col min="7686" max="7686" width="7.6640625" style="95" customWidth="1"/>
    <col min="7687" max="7687" width="2.33203125" style="95" customWidth="1"/>
    <col min="7688" max="7688" width="8.33203125" style="95" customWidth="1"/>
    <col min="7689" max="7689" width="8.5" style="95" customWidth="1"/>
    <col min="7690" max="7690" width="2.5" style="95" customWidth="1"/>
    <col min="7691" max="7691" width="7.6640625" style="95" customWidth="1"/>
    <col min="7692" max="7692" width="7.83203125" style="95" customWidth="1"/>
    <col min="7693" max="7693" width="2.5" style="95" customWidth="1"/>
    <col min="7694" max="7695" width="7.83203125" style="95" customWidth="1"/>
    <col min="7696" max="7696" width="2.6640625" style="95" customWidth="1"/>
    <col min="7697" max="7698" width="7.6640625" style="95" customWidth="1"/>
    <col min="7699" max="7699" width="2.5" style="95" customWidth="1"/>
    <col min="7700" max="7936" width="9.1640625" style="95"/>
    <col min="7937" max="7937" width="36" style="95" customWidth="1"/>
    <col min="7938" max="7938" width="8.5" style="95" customWidth="1"/>
    <col min="7939" max="7939" width="8.33203125" style="95" customWidth="1"/>
    <col min="7940" max="7940" width="2.5" style="95" customWidth="1"/>
    <col min="7941" max="7941" width="7.5" style="95" customWidth="1"/>
    <col min="7942" max="7942" width="7.6640625" style="95" customWidth="1"/>
    <col min="7943" max="7943" width="2.33203125" style="95" customWidth="1"/>
    <col min="7944" max="7944" width="8.33203125" style="95" customWidth="1"/>
    <col min="7945" max="7945" width="8.5" style="95" customWidth="1"/>
    <col min="7946" max="7946" width="2.5" style="95" customWidth="1"/>
    <col min="7947" max="7947" width="7.6640625" style="95" customWidth="1"/>
    <col min="7948" max="7948" width="7.83203125" style="95" customWidth="1"/>
    <col min="7949" max="7949" width="2.5" style="95" customWidth="1"/>
    <col min="7950" max="7951" width="7.83203125" style="95" customWidth="1"/>
    <col min="7952" max="7952" width="2.6640625" style="95" customWidth="1"/>
    <col min="7953" max="7954" width="7.6640625" style="95" customWidth="1"/>
    <col min="7955" max="7955" width="2.5" style="95" customWidth="1"/>
    <col min="7956" max="8192" width="9.1640625" style="95"/>
    <col min="8193" max="8193" width="36" style="95" customWidth="1"/>
    <col min="8194" max="8194" width="8.5" style="95" customWidth="1"/>
    <col min="8195" max="8195" width="8.33203125" style="95" customWidth="1"/>
    <col min="8196" max="8196" width="2.5" style="95" customWidth="1"/>
    <col min="8197" max="8197" width="7.5" style="95" customWidth="1"/>
    <col min="8198" max="8198" width="7.6640625" style="95" customWidth="1"/>
    <col min="8199" max="8199" width="2.33203125" style="95" customWidth="1"/>
    <col min="8200" max="8200" width="8.33203125" style="95" customWidth="1"/>
    <col min="8201" max="8201" width="8.5" style="95" customWidth="1"/>
    <col min="8202" max="8202" width="2.5" style="95" customWidth="1"/>
    <col min="8203" max="8203" width="7.6640625" style="95" customWidth="1"/>
    <col min="8204" max="8204" width="7.83203125" style="95" customWidth="1"/>
    <col min="8205" max="8205" width="2.5" style="95" customWidth="1"/>
    <col min="8206" max="8207" width="7.83203125" style="95" customWidth="1"/>
    <col min="8208" max="8208" width="2.6640625" style="95" customWidth="1"/>
    <col min="8209" max="8210" width="7.6640625" style="95" customWidth="1"/>
    <col min="8211" max="8211" width="2.5" style="95" customWidth="1"/>
    <col min="8212" max="8448" width="9.1640625" style="95"/>
    <col min="8449" max="8449" width="36" style="95" customWidth="1"/>
    <col min="8450" max="8450" width="8.5" style="95" customWidth="1"/>
    <col min="8451" max="8451" width="8.33203125" style="95" customWidth="1"/>
    <col min="8452" max="8452" width="2.5" style="95" customWidth="1"/>
    <col min="8453" max="8453" width="7.5" style="95" customWidth="1"/>
    <col min="8454" max="8454" width="7.6640625" style="95" customWidth="1"/>
    <col min="8455" max="8455" width="2.33203125" style="95" customWidth="1"/>
    <col min="8456" max="8456" width="8.33203125" style="95" customWidth="1"/>
    <col min="8457" max="8457" width="8.5" style="95" customWidth="1"/>
    <col min="8458" max="8458" width="2.5" style="95" customWidth="1"/>
    <col min="8459" max="8459" width="7.6640625" style="95" customWidth="1"/>
    <col min="8460" max="8460" width="7.83203125" style="95" customWidth="1"/>
    <col min="8461" max="8461" width="2.5" style="95" customWidth="1"/>
    <col min="8462" max="8463" width="7.83203125" style="95" customWidth="1"/>
    <col min="8464" max="8464" width="2.6640625" style="95" customWidth="1"/>
    <col min="8465" max="8466" width="7.6640625" style="95" customWidth="1"/>
    <col min="8467" max="8467" width="2.5" style="95" customWidth="1"/>
    <col min="8468" max="8704" width="9.1640625" style="95"/>
    <col min="8705" max="8705" width="36" style="95" customWidth="1"/>
    <col min="8706" max="8706" width="8.5" style="95" customWidth="1"/>
    <col min="8707" max="8707" width="8.33203125" style="95" customWidth="1"/>
    <col min="8708" max="8708" width="2.5" style="95" customWidth="1"/>
    <col min="8709" max="8709" width="7.5" style="95" customWidth="1"/>
    <col min="8710" max="8710" width="7.6640625" style="95" customWidth="1"/>
    <col min="8711" max="8711" width="2.33203125" style="95" customWidth="1"/>
    <col min="8712" max="8712" width="8.33203125" style="95" customWidth="1"/>
    <col min="8713" max="8713" width="8.5" style="95" customWidth="1"/>
    <col min="8714" max="8714" width="2.5" style="95" customWidth="1"/>
    <col min="8715" max="8715" width="7.6640625" style="95" customWidth="1"/>
    <col min="8716" max="8716" width="7.83203125" style="95" customWidth="1"/>
    <col min="8717" max="8717" width="2.5" style="95" customWidth="1"/>
    <col min="8718" max="8719" width="7.83203125" style="95" customWidth="1"/>
    <col min="8720" max="8720" width="2.6640625" style="95" customWidth="1"/>
    <col min="8721" max="8722" width="7.6640625" style="95" customWidth="1"/>
    <col min="8723" max="8723" width="2.5" style="95" customWidth="1"/>
    <col min="8724" max="8960" width="9.1640625" style="95"/>
    <col min="8961" max="8961" width="36" style="95" customWidth="1"/>
    <col min="8962" max="8962" width="8.5" style="95" customWidth="1"/>
    <col min="8963" max="8963" width="8.33203125" style="95" customWidth="1"/>
    <col min="8964" max="8964" width="2.5" style="95" customWidth="1"/>
    <col min="8965" max="8965" width="7.5" style="95" customWidth="1"/>
    <col min="8966" max="8966" width="7.6640625" style="95" customWidth="1"/>
    <col min="8967" max="8967" width="2.33203125" style="95" customWidth="1"/>
    <col min="8968" max="8968" width="8.33203125" style="95" customWidth="1"/>
    <col min="8969" max="8969" width="8.5" style="95" customWidth="1"/>
    <col min="8970" max="8970" width="2.5" style="95" customWidth="1"/>
    <col min="8971" max="8971" width="7.6640625" style="95" customWidth="1"/>
    <col min="8972" max="8972" width="7.83203125" style="95" customWidth="1"/>
    <col min="8973" max="8973" width="2.5" style="95" customWidth="1"/>
    <col min="8974" max="8975" width="7.83203125" style="95" customWidth="1"/>
    <col min="8976" max="8976" width="2.6640625" style="95" customWidth="1"/>
    <col min="8977" max="8978" width="7.6640625" style="95" customWidth="1"/>
    <col min="8979" max="8979" width="2.5" style="95" customWidth="1"/>
    <col min="8980" max="9216" width="9.1640625" style="95"/>
    <col min="9217" max="9217" width="36" style="95" customWidth="1"/>
    <col min="9218" max="9218" width="8.5" style="95" customWidth="1"/>
    <col min="9219" max="9219" width="8.33203125" style="95" customWidth="1"/>
    <col min="9220" max="9220" width="2.5" style="95" customWidth="1"/>
    <col min="9221" max="9221" width="7.5" style="95" customWidth="1"/>
    <col min="9222" max="9222" width="7.6640625" style="95" customWidth="1"/>
    <col min="9223" max="9223" width="2.33203125" style="95" customWidth="1"/>
    <col min="9224" max="9224" width="8.33203125" style="95" customWidth="1"/>
    <col min="9225" max="9225" width="8.5" style="95" customWidth="1"/>
    <col min="9226" max="9226" width="2.5" style="95" customWidth="1"/>
    <col min="9227" max="9227" width="7.6640625" style="95" customWidth="1"/>
    <col min="9228" max="9228" width="7.83203125" style="95" customWidth="1"/>
    <col min="9229" max="9229" width="2.5" style="95" customWidth="1"/>
    <col min="9230" max="9231" width="7.83203125" style="95" customWidth="1"/>
    <col min="9232" max="9232" width="2.6640625" style="95" customWidth="1"/>
    <col min="9233" max="9234" width="7.6640625" style="95" customWidth="1"/>
    <col min="9235" max="9235" width="2.5" style="95" customWidth="1"/>
    <col min="9236" max="9472" width="9.1640625" style="95"/>
    <col min="9473" max="9473" width="36" style="95" customWidth="1"/>
    <col min="9474" max="9474" width="8.5" style="95" customWidth="1"/>
    <col min="9475" max="9475" width="8.33203125" style="95" customWidth="1"/>
    <col min="9476" max="9476" width="2.5" style="95" customWidth="1"/>
    <col min="9477" max="9477" width="7.5" style="95" customWidth="1"/>
    <col min="9478" max="9478" width="7.6640625" style="95" customWidth="1"/>
    <col min="9479" max="9479" width="2.33203125" style="95" customWidth="1"/>
    <col min="9480" max="9480" width="8.33203125" style="95" customWidth="1"/>
    <col min="9481" max="9481" width="8.5" style="95" customWidth="1"/>
    <col min="9482" max="9482" width="2.5" style="95" customWidth="1"/>
    <col min="9483" max="9483" width="7.6640625" style="95" customWidth="1"/>
    <col min="9484" max="9484" width="7.83203125" style="95" customWidth="1"/>
    <col min="9485" max="9485" width="2.5" style="95" customWidth="1"/>
    <col min="9486" max="9487" width="7.83203125" style="95" customWidth="1"/>
    <col min="9488" max="9488" width="2.6640625" style="95" customWidth="1"/>
    <col min="9489" max="9490" width="7.6640625" style="95" customWidth="1"/>
    <col min="9491" max="9491" width="2.5" style="95" customWidth="1"/>
    <col min="9492" max="9728" width="9.1640625" style="95"/>
    <col min="9729" max="9729" width="36" style="95" customWidth="1"/>
    <col min="9730" max="9730" width="8.5" style="95" customWidth="1"/>
    <col min="9731" max="9731" width="8.33203125" style="95" customWidth="1"/>
    <col min="9732" max="9732" width="2.5" style="95" customWidth="1"/>
    <col min="9733" max="9733" width="7.5" style="95" customWidth="1"/>
    <col min="9734" max="9734" width="7.6640625" style="95" customWidth="1"/>
    <col min="9735" max="9735" width="2.33203125" style="95" customWidth="1"/>
    <col min="9736" max="9736" width="8.33203125" style="95" customWidth="1"/>
    <col min="9737" max="9737" width="8.5" style="95" customWidth="1"/>
    <col min="9738" max="9738" width="2.5" style="95" customWidth="1"/>
    <col min="9739" max="9739" width="7.6640625" style="95" customWidth="1"/>
    <col min="9740" max="9740" width="7.83203125" style="95" customWidth="1"/>
    <col min="9741" max="9741" width="2.5" style="95" customWidth="1"/>
    <col min="9742" max="9743" width="7.83203125" style="95" customWidth="1"/>
    <col min="9744" max="9744" width="2.6640625" style="95" customWidth="1"/>
    <col min="9745" max="9746" width="7.6640625" style="95" customWidth="1"/>
    <col min="9747" max="9747" width="2.5" style="95" customWidth="1"/>
    <col min="9748" max="9984" width="9.1640625" style="95"/>
    <col min="9985" max="9985" width="36" style="95" customWidth="1"/>
    <col min="9986" max="9986" width="8.5" style="95" customWidth="1"/>
    <col min="9987" max="9987" width="8.33203125" style="95" customWidth="1"/>
    <col min="9988" max="9988" width="2.5" style="95" customWidth="1"/>
    <col min="9989" max="9989" width="7.5" style="95" customWidth="1"/>
    <col min="9990" max="9990" width="7.6640625" style="95" customWidth="1"/>
    <col min="9991" max="9991" width="2.33203125" style="95" customWidth="1"/>
    <col min="9992" max="9992" width="8.33203125" style="95" customWidth="1"/>
    <col min="9993" max="9993" width="8.5" style="95" customWidth="1"/>
    <col min="9994" max="9994" width="2.5" style="95" customWidth="1"/>
    <col min="9995" max="9995" width="7.6640625" style="95" customWidth="1"/>
    <col min="9996" max="9996" width="7.83203125" style="95" customWidth="1"/>
    <col min="9997" max="9997" width="2.5" style="95" customWidth="1"/>
    <col min="9998" max="9999" width="7.83203125" style="95" customWidth="1"/>
    <col min="10000" max="10000" width="2.6640625" style="95" customWidth="1"/>
    <col min="10001" max="10002" width="7.6640625" style="95" customWidth="1"/>
    <col min="10003" max="10003" width="2.5" style="95" customWidth="1"/>
    <col min="10004" max="10240" width="9.1640625" style="95"/>
    <col min="10241" max="10241" width="36" style="95" customWidth="1"/>
    <col min="10242" max="10242" width="8.5" style="95" customWidth="1"/>
    <col min="10243" max="10243" width="8.33203125" style="95" customWidth="1"/>
    <col min="10244" max="10244" width="2.5" style="95" customWidth="1"/>
    <col min="10245" max="10245" width="7.5" style="95" customWidth="1"/>
    <col min="10246" max="10246" width="7.6640625" style="95" customWidth="1"/>
    <col min="10247" max="10247" width="2.33203125" style="95" customWidth="1"/>
    <col min="10248" max="10248" width="8.33203125" style="95" customWidth="1"/>
    <col min="10249" max="10249" width="8.5" style="95" customWidth="1"/>
    <col min="10250" max="10250" width="2.5" style="95" customWidth="1"/>
    <col min="10251" max="10251" width="7.6640625" style="95" customWidth="1"/>
    <col min="10252" max="10252" width="7.83203125" style="95" customWidth="1"/>
    <col min="10253" max="10253" width="2.5" style="95" customWidth="1"/>
    <col min="10254" max="10255" width="7.83203125" style="95" customWidth="1"/>
    <col min="10256" max="10256" width="2.6640625" style="95" customWidth="1"/>
    <col min="10257" max="10258" width="7.6640625" style="95" customWidth="1"/>
    <col min="10259" max="10259" width="2.5" style="95" customWidth="1"/>
    <col min="10260" max="10496" width="9.1640625" style="95"/>
    <col min="10497" max="10497" width="36" style="95" customWidth="1"/>
    <col min="10498" max="10498" width="8.5" style="95" customWidth="1"/>
    <col min="10499" max="10499" width="8.33203125" style="95" customWidth="1"/>
    <col min="10500" max="10500" width="2.5" style="95" customWidth="1"/>
    <col min="10501" max="10501" width="7.5" style="95" customWidth="1"/>
    <col min="10502" max="10502" width="7.6640625" style="95" customWidth="1"/>
    <col min="10503" max="10503" width="2.33203125" style="95" customWidth="1"/>
    <col min="10504" max="10504" width="8.33203125" style="95" customWidth="1"/>
    <col min="10505" max="10505" width="8.5" style="95" customWidth="1"/>
    <col min="10506" max="10506" width="2.5" style="95" customWidth="1"/>
    <col min="10507" max="10507" width="7.6640625" style="95" customWidth="1"/>
    <col min="10508" max="10508" width="7.83203125" style="95" customWidth="1"/>
    <col min="10509" max="10509" width="2.5" style="95" customWidth="1"/>
    <col min="10510" max="10511" width="7.83203125" style="95" customWidth="1"/>
    <col min="10512" max="10512" width="2.6640625" style="95" customWidth="1"/>
    <col min="10513" max="10514" width="7.6640625" style="95" customWidth="1"/>
    <col min="10515" max="10515" width="2.5" style="95" customWidth="1"/>
    <col min="10516" max="10752" width="9.1640625" style="95"/>
    <col min="10753" max="10753" width="36" style="95" customWidth="1"/>
    <col min="10754" max="10754" width="8.5" style="95" customWidth="1"/>
    <col min="10755" max="10755" width="8.33203125" style="95" customWidth="1"/>
    <col min="10756" max="10756" width="2.5" style="95" customWidth="1"/>
    <col min="10757" max="10757" width="7.5" style="95" customWidth="1"/>
    <col min="10758" max="10758" width="7.6640625" style="95" customWidth="1"/>
    <col min="10759" max="10759" width="2.33203125" style="95" customWidth="1"/>
    <col min="10760" max="10760" width="8.33203125" style="95" customWidth="1"/>
    <col min="10761" max="10761" width="8.5" style="95" customWidth="1"/>
    <col min="10762" max="10762" width="2.5" style="95" customWidth="1"/>
    <col min="10763" max="10763" width="7.6640625" style="95" customWidth="1"/>
    <col min="10764" max="10764" width="7.83203125" style="95" customWidth="1"/>
    <col min="10765" max="10765" width="2.5" style="95" customWidth="1"/>
    <col min="10766" max="10767" width="7.83203125" style="95" customWidth="1"/>
    <col min="10768" max="10768" width="2.6640625" style="95" customWidth="1"/>
    <col min="10769" max="10770" width="7.6640625" style="95" customWidth="1"/>
    <col min="10771" max="10771" width="2.5" style="95" customWidth="1"/>
    <col min="10772" max="11008" width="9.1640625" style="95"/>
    <col min="11009" max="11009" width="36" style="95" customWidth="1"/>
    <col min="11010" max="11010" width="8.5" style="95" customWidth="1"/>
    <col min="11011" max="11011" width="8.33203125" style="95" customWidth="1"/>
    <col min="11012" max="11012" width="2.5" style="95" customWidth="1"/>
    <col min="11013" max="11013" width="7.5" style="95" customWidth="1"/>
    <col min="11014" max="11014" width="7.6640625" style="95" customWidth="1"/>
    <col min="11015" max="11015" width="2.33203125" style="95" customWidth="1"/>
    <col min="11016" max="11016" width="8.33203125" style="95" customWidth="1"/>
    <col min="11017" max="11017" width="8.5" style="95" customWidth="1"/>
    <col min="11018" max="11018" width="2.5" style="95" customWidth="1"/>
    <col min="11019" max="11019" width="7.6640625" style="95" customWidth="1"/>
    <col min="11020" max="11020" width="7.83203125" style="95" customWidth="1"/>
    <col min="11021" max="11021" width="2.5" style="95" customWidth="1"/>
    <col min="11022" max="11023" width="7.83203125" style="95" customWidth="1"/>
    <col min="11024" max="11024" width="2.6640625" style="95" customWidth="1"/>
    <col min="11025" max="11026" width="7.6640625" style="95" customWidth="1"/>
    <col min="11027" max="11027" width="2.5" style="95" customWidth="1"/>
    <col min="11028" max="11264" width="9.1640625" style="95"/>
    <col min="11265" max="11265" width="36" style="95" customWidth="1"/>
    <col min="11266" max="11266" width="8.5" style="95" customWidth="1"/>
    <col min="11267" max="11267" width="8.33203125" style="95" customWidth="1"/>
    <col min="11268" max="11268" width="2.5" style="95" customWidth="1"/>
    <col min="11269" max="11269" width="7.5" style="95" customWidth="1"/>
    <col min="11270" max="11270" width="7.6640625" style="95" customWidth="1"/>
    <col min="11271" max="11271" width="2.33203125" style="95" customWidth="1"/>
    <col min="11272" max="11272" width="8.33203125" style="95" customWidth="1"/>
    <col min="11273" max="11273" width="8.5" style="95" customWidth="1"/>
    <col min="11274" max="11274" width="2.5" style="95" customWidth="1"/>
    <col min="11275" max="11275" width="7.6640625" style="95" customWidth="1"/>
    <col min="11276" max="11276" width="7.83203125" style="95" customWidth="1"/>
    <col min="11277" max="11277" width="2.5" style="95" customWidth="1"/>
    <col min="11278" max="11279" width="7.83203125" style="95" customWidth="1"/>
    <col min="11280" max="11280" width="2.6640625" style="95" customWidth="1"/>
    <col min="11281" max="11282" width="7.6640625" style="95" customWidth="1"/>
    <col min="11283" max="11283" width="2.5" style="95" customWidth="1"/>
    <col min="11284" max="11520" width="9.1640625" style="95"/>
    <col min="11521" max="11521" width="36" style="95" customWidth="1"/>
    <col min="11522" max="11522" width="8.5" style="95" customWidth="1"/>
    <col min="11523" max="11523" width="8.33203125" style="95" customWidth="1"/>
    <col min="11524" max="11524" width="2.5" style="95" customWidth="1"/>
    <col min="11525" max="11525" width="7.5" style="95" customWidth="1"/>
    <col min="11526" max="11526" width="7.6640625" style="95" customWidth="1"/>
    <col min="11527" max="11527" width="2.33203125" style="95" customWidth="1"/>
    <col min="11528" max="11528" width="8.33203125" style="95" customWidth="1"/>
    <col min="11529" max="11529" width="8.5" style="95" customWidth="1"/>
    <col min="11530" max="11530" width="2.5" style="95" customWidth="1"/>
    <col min="11531" max="11531" width="7.6640625" style="95" customWidth="1"/>
    <col min="11532" max="11532" width="7.83203125" style="95" customWidth="1"/>
    <col min="11533" max="11533" width="2.5" style="95" customWidth="1"/>
    <col min="11534" max="11535" width="7.83203125" style="95" customWidth="1"/>
    <col min="11536" max="11536" width="2.6640625" style="95" customWidth="1"/>
    <col min="11537" max="11538" width="7.6640625" style="95" customWidth="1"/>
    <col min="11539" max="11539" width="2.5" style="95" customWidth="1"/>
    <col min="11540" max="11776" width="9.1640625" style="95"/>
    <col min="11777" max="11777" width="36" style="95" customWidth="1"/>
    <col min="11778" max="11778" width="8.5" style="95" customWidth="1"/>
    <col min="11779" max="11779" width="8.33203125" style="95" customWidth="1"/>
    <col min="11780" max="11780" width="2.5" style="95" customWidth="1"/>
    <col min="11781" max="11781" width="7.5" style="95" customWidth="1"/>
    <col min="11782" max="11782" width="7.6640625" style="95" customWidth="1"/>
    <col min="11783" max="11783" width="2.33203125" style="95" customWidth="1"/>
    <col min="11784" max="11784" width="8.33203125" style="95" customWidth="1"/>
    <col min="11785" max="11785" width="8.5" style="95" customWidth="1"/>
    <col min="11786" max="11786" width="2.5" style="95" customWidth="1"/>
    <col min="11787" max="11787" width="7.6640625" style="95" customWidth="1"/>
    <col min="11788" max="11788" width="7.83203125" style="95" customWidth="1"/>
    <col min="11789" max="11789" width="2.5" style="95" customWidth="1"/>
    <col min="11790" max="11791" width="7.83203125" style="95" customWidth="1"/>
    <col min="11792" max="11792" width="2.6640625" style="95" customWidth="1"/>
    <col min="11793" max="11794" width="7.6640625" style="95" customWidth="1"/>
    <col min="11795" max="11795" width="2.5" style="95" customWidth="1"/>
    <col min="11796" max="12032" width="9.1640625" style="95"/>
    <col min="12033" max="12033" width="36" style="95" customWidth="1"/>
    <col min="12034" max="12034" width="8.5" style="95" customWidth="1"/>
    <col min="12035" max="12035" width="8.33203125" style="95" customWidth="1"/>
    <col min="12036" max="12036" width="2.5" style="95" customWidth="1"/>
    <col min="12037" max="12037" width="7.5" style="95" customWidth="1"/>
    <col min="12038" max="12038" width="7.6640625" style="95" customWidth="1"/>
    <col min="12039" max="12039" width="2.33203125" style="95" customWidth="1"/>
    <col min="12040" max="12040" width="8.33203125" style="95" customWidth="1"/>
    <col min="12041" max="12041" width="8.5" style="95" customWidth="1"/>
    <col min="12042" max="12042" width="2.5" style="95" customWidth="1"/>
    <col min="12043" max="12043" width="7.6640625" style="95" customWidth="1"/>
    <col min="12044" max="12044" width="7.83203125" style="95" customWidth="1"/>
    <col min="12045" max="12045" width="2.5" style="95" customWidth="1"/>
    <col min="12046" max="12047" width="7.83203125" style="95" customWidth="1"/>
    <col min="12048" max="12048" width="2.6640625" style="95" customWidth="1"/>
    <col min="12049" max="12050" width="7.6640625" style="95" customWidth="1"/>
    <col min="12051" max="12051" width="2.5" style="95" customWidth="1"/>
    <col min="12052" max="12288" width="9.1640625" style="95"/>
    <col min="12289" max="12289" width="36" style="95" customWidth="1"/>
    <col min="12290" max="12290" width="8.5" style="95" customWidth="1"/>
    <col min="12291" max="12291" width="8.33203125" style="95" customWidth="1"/>
    <col min="12292" max="12292" width="2.5" style="95" customWidth="1"/>
    <col min="12293" max="12293" width="7.5" style="95" customWidth="1"/>
    <col min="12294" max="12294" width="7.6640625" style="95" customWidth="1"/>
    <col min="12295" max="12295" width="2.33203125" style="95" customWidth="1"/>
    <col min="12296" max="12296" width="8.33203125" style="95" customWidth="1"/>
    <col min="12297" max="12297" width="8.5" style="95" customWidth="1"/>
    <col min="12298" max="12298" width="2.5" style="95" customWidth="1"/>
    <col min="12299" max="12299" width="7.6640625" style="95" customWidth="1"/>
    <col min="12300" max="12300" width="7.83203125" style="95" customWidth="1"/>
    <col min="12301" max="12301" width="2.5" style="95" customWidth="1"/>
    <col min="12302" max="12303" width="7.83203125" style="95" customWidth="1"/>
    <col min="12304" max="12304" width="2.6640625" style="95" customWidth="1"/>
    <col min="12305" max="12306" width="7.6640625" style="95" customWidth="1"/>
    <col min="12307" max="12307" width="2.5" style="95" customWidth="1"/>
    <col min="12308" max="12544" width="9.1640625" style="95"/>
    <col min="12545" max="12545" width="36" style="95" customWidth="1"/>
    <col min="12546" max="12546" width="8.5" style="95" customWidth="1"/>
    <col min="12547" max="12547" width="8.33203125" style="95" customWidth="1"/>
    <col min="12548" max="12548" width="2.5" style="95" customWidth="1"/>
    <col min="12549" max="12549" width="7.5" style="95" customWidth="1"/>
    <col min="12550" max="12550" width="7.6640625" style="95" customWidth="1"/>
    <col min="12551" max="12551" width="2.33203125" style="95" customWidth="1"/>
    <col min="12552" max="12552" width="8.33203125" style="95" customWidth="1"/>
    <col min="12553" max="12553" width="8.5" style="95" customWidth="1"/>
    <col min="12554" max="12554" width="2.5" style="95" customWidth="1"/>
    <col min="12555" max="12555" width="7.6640625" style="95" customWidth="1"/>
    <col min="12556" max="12556" width="7.83203125" style="95" customWidth="1"/>
    <col min="12557" max="12557" width="2.5" style="95" customWidth="1"/>
    <col min="12558" max="12559" width="7.83203125" style="95" customWidth="1"/>
    <col min="12560" max="12560" width="2.6640625" style="95" customWidth="1"/>
    <col min="12561" max="12562" width="7.6640625" style="95" customWidth="1"/>
    <col min="12563" max="12563" width="2.5" style="95" customWidth="1"/>
    <col min="12564" max="12800" width="9.1640625" style="95"/>
    <col min="12801" max="12801" width="36" style="95" customWidth="1"/>
    <col min="12802" max="12802" width="8.5" style="95" customWidth="1"/>
    <col min="12803" max="12803" width="8.33203125" style="95" customWidth="1"/>
    <col min="12804" max="12804" width="2.5" style="95" customWidth="1"/>
    <col min="12805" max="12805" width="7.5" style="95" customWidth="1"/>
    <col min="12806" max="12806" width="7.6640625" style="95" customWidth="1"/>
    <col min="12807" max="12807" width="2.33203125" style="95" customWidth="1"/>
    <col min="12808" max="12808" width="8.33203125" style="95" customWidth="1"/>
    <col min="12809" max="12809" width="8.5" style="95" customWidth="1"/>
    <col min="12810" max="12810" width="2.5" style="95" customWidth="1"/>
    <col min="12811" max="12811" width="7.6640625" style="95" customWidth="1"/>
    <col min="12812" max="12812" width="7.83203125" style="95" customWidth="1"/>
    <col min="12813" max="12813" width="2.5" style="95" customWidth="1"/>
    <col min="12814" max="12815" width="7.83203125" style="95" customWidth="1"/>
    <col min="12816" max="12816" width="2.6640625" style="95" customWidth="1"/>
    <col min="12817" max="12818" width="7.6640625" style="95" customWidth="1"/>
    <col min="12819" max="12819" width="2.5" style="95" customWidth="1"/>
    <col min="12820" max="13056" width="9.1640625" style="95"/>
    <col min="13057" max="13057" width="36" style="95" customWidth="1"/>
    <col min="13058" max="13058" width="8.5" style="95" customWidth="1"/>
    <col min="13059" max="13059" width="8.33203125" style="95" customWidth="1"/>
    <col min="13060" max="13060" width="2.5" style="95" customWidth="1"/>
    <col min="13061" max="13061" width="7.5" style="95" customWidth="1"/>
    <col min="13062" max="13062" width="7.6640625" style="95" customWidth="1"/>
    <col min="13063" max="13063" width="2.33203125" style="95" customWidth="1"/>
    <col min="13064" max="13064" width="8.33203125" style="95" customWidth="1"/>
    <col min="13065" max="13065" width="8.5" style="95" customWidth="1"/>
    <col min="13066" max="13066" width="2.5" style="95" customWidth="1"/>
    <col min="13067" max="13067" width="7.6640625" style="95" customWidth="1"/>
    <col min="13068" max="13068" width="7.83203125" style="95" customWidth="1"/>
    <col min="13069" max="13069" width="2.5" style="95" customWidth="1"/>
    <col min="13070" max="13071" width="7.83203125" style="95" customWidth="1"/>
    <col min="13072" max="13072" width="2.6640625" style="95" customWidth="1"/>
    <col min="13073" max="13074" width="7.6640625" style="95" customWidth="1"/>
    <col min="13075" max="13075" width="2.5" style="95" customWidth="1"/>
    <col min="13076" max="13312" width="9.1640625" style="95"/>
    <col min="13313" max="13313" width="36" style="95" customWidth="1"/>
    <col min="13314" max="13314" width="8.5" style="95" customWidth="1"/>
    <col min="13315" max="13315" width="8.33203125" style="95" customWidth="1"/>
    <col min="13316" max="13316" width="2.5" style="95" customWidth="1"/>
    <col min="13317" max="13317" width="7.5" style="95" customWidth="1"/>
    <col min="13318" max="13318" width="7.6640625" style="95" customWidth="1"/>
    <col min="13319" max="13319" width="2.33203125" style="95" customWidth="1"/>
    <col min="13320" max="13320" width="8.33203125" style="95" customWidth="1"/>
    <col min="13321" max="13321" width="8.5" style="95" customWidth="1"/>
    <col min="13322" max="13322" width="2.5" style="95" customWidth="1"/>
    <col min="13323" max="13323" width="7.6640625" style="95" customWidth="1"/>
    <col min="13324" max="13324" width="7.83203125" style="95" customWidth="1"/>
    <col min="13325" max="13325" width="2.5" style="95" customWidth="1"/>
    <col min="13326" max="13327" width="7.83203125" style="95" customWidth="1"/>
    <col min="13328" max="13328" width="2.6640625" style="95" customWidth="1"/>
    <col min="13329" max="13330" width="7.6640625" style="95" customWidth="1"/>
    <col min="13331" max="13331" width="2.5" style="95" customWidth="1"/>
    <col min="13332" max="13568" width="9.1640625" style="95"/>
    <col min="13569" max="13569" width="36" style="95" customWidth="1"/>
    <col min="13570" max="13570" width="8.5" style="95" customWidth="1"/>
    <col min="13571" max="13571" width="8.33203125" style="95" customWidth="1"/>
    <col min="13572" max="13572" width="2.5" style="95" customWidth="1"/>
    <col min="13573" max="13573" width="7.5" style="95" customWidth="1"/>
    <col min="13574" max="13574" width="7.6640625" style="95" customWidth="1"/>
    <col min="13575" max="13575" width="2.33203125" style="95" customWidth="1"/>
    <col min="13576" max="13576" width="8.33203125" style="95" customWidth="1"/>
    <col min="13577" max="13577" width="8.5" style="95" customWidth="1"/>
    <col min="13578" max="13578" width="2.5" style="95" customWidth="1"/>
    <col min="13579" max="13579" width="7.6640625" style="95" customWidth="1"/>
    <col min="13580" max="13580" width="7.83203125" style="95" customWidth="1"/>
    <col min="13581" max="13581" width="2.5" style="95" customWidth="1"/>
    <col min="13582" max="13583" width="7.83203125" style="95" customWidth="1"/>
    <col min="13584" max="13584" width="2.6640625" style="95" customWidth="1"/>
    <col min="13585" max="13586" width="7.6640625" style="95" customWidth="1"/>
    <col min="13587" max="13587" width="2.5" style="95" customWidth="1"/>
    <col min="13588" max="13824" width="9.1640625" style="95"/>
    <col min="13825" max="13825" width="36" style="95" customWidth="1"/>
    <col min="13826" max="13826" width="8.5" style="95" customWidth="1"/>
    <col min="13827" max="13827" width="8.33203125" style="95" customWidth="1"/>
    <col min="13828" max="13828" width="2.5" style="95" customWidth="1"/>
    <col min="13829" max="13829" width="7.5" style="95" customWidth="1"/>
    <col min="13830" max="13830" width="7.6640625" style="95" customWidth="1"/>
    <col min="13831" max="13831" width="2.33203125" style="95" customWidth="1"/>
    <col min="13832" max="13832" width="8.33203125" style="95" customWidth="1"/>
    <col min="13833" max="13833" width="8.5" style="95" customWidth="1"/>
    <col min="13834" max="13834" width="2.5" style="95" customWidth="1"/>
    <col min="13835" max="13835" width="7.6640625" style="95" customWidth="1"/>
    <col min="13836" max="13836" width="7.83203125" style="95" customWidth="1"/>
    <col min="13837" max="13837" width="2.5" style="95" customWidth="1"/>
    <col min="13838" max="13839" width="7.83203125" style="95" customWidth="1"/>
    <col min="13840" max="13840" width="2.6640625" style="95" customWidth="1"/>
    <col min="13841" max="13842" width="7.6640625" style="95" customWidth="1"/>
    <col min="13843" max="13843" width="2.5" style="95" customWidth="1"/>
    <col min="13844" max="14080" width="9.1640625" style="95"/>
    <col min="14081" max="14081" width="36" style="95" customWidth="1"/>
    <col min="14082" max="14082" width="8.5" style="95" customWidth="1"/>
    <col min="14083" max="14083" width="8.33203125" style="95" customWidth="1"/>
    <col min="14084" max="14084" width="2.5" style="95" customWidth="1"/>
    <col min="14085" max="14085" width="7.5" style="95" customWidth="1"/>
    <col min="14086" max="14086" width="7.6640625" style="95" customWidth="1"/>
    <col min="14087" max="14087" width="2.33203125" style="95" customWidth="1"/>
    <col min="14088" max="14088" width="8.33203125" style="95" customWidth="1"/>
    <col min="14089" max="14089" width="8.5" style="95" customWidth="1"/>
    <col min="14090" max="14090" width="2.5" style="95" customWidth="1"/>
    <col min="14091" max="14091" width="7.6640625" style="95" customWidth="1"/>
    <col min="14092" max="14092" width="7.83203125" style="95" customWidth="1"/>
    <col min="14093" max="14093" width="2.5" style="95" customWidth="1"/>
    <col min="14094" max="14095" width="7.83203125" style="95" customWidth="1"/>
    <col min="14096" max="14096" width="2.6640625" style="95" customWidth="1"/>
    <col min="14097" max="14098" width="7.6640625" style="95" customWidth="1"/>
    <col min="14099" max="14099" width="2.5" style="95" customWidth="1"/>
    <col min="14100" max="14336" width="9.1640625" style="95"/>
    <col min="14337" max="14337" width="36" style="95" customWidth="1"/>
    <col min="14338" max="14338" width="8.5" style="95" customWidth="1"/>
    <col min="14339" max="14339" width="8.33203125" style="95" customWidth="1"/>
    <col min="14340" max="14340" width="2.5" style="95" customWidth="1"/>
    <col min="14341" max="14341" width="7.5" style="95" customWidth="1"/>
    <col min="14342" max="14342" width="7.6640625" style="95" customWidth="1"/>
    <col min="14343" max="14343" width="2.33203125" style="95" customWidth="1"/>
    <col min="14344" max="14344" width="8.33203125" style="95" customWidth="1"/>
    <col min="14345" max="14345" width="8.5" style="95" customWidth="1"/>
    <col min="14346" max="14346" width="2.5" style="95" customWidth="1"/>
    <col min="14347" max="14347" width="7.6640625" style="95" customWidth="1"/>
    <col min="14348" max="14348" width="7.83203125" style="95" customWidth="1"/>
    <col min="14349" max="14349" width="2.5" style="95" customWidth="1"/>
    <col min="14350" max="14351" width="7.83203125" style="95" customWidth="1"/>
    <col min="14352" max="14352" width="2.6640625" style="95" customWidth="1"/>
    <col min="14353" max="14354" width="7.6640625" style="95" customWidth="1"/>
    <col min="14355" max="14355" width="2.5" style="95" customWidth="1"/>
    <col min="14356" max="14592" width="9.1640625" style="95"/>
    <col min="14593" max="14593" width="36" style="95" customWidth="1"/>
    <col min="14594" max="14594" width="8.5" style="95" customWidth="1"/>
    <col min="14595" max="14595" width="8.33203125" style="95" customWidth="1"/>
    <col min="14596" max="14596" width="2.5" style="95" customWidth="1"/>
    <col min="14597" max="14597" width="7.5" style="95" customWidth="1"/>
    <col min="14598" max="14598" width="7.6640625" style="95" customWidth="1"/>
    <col min="14599" max="14599" width="2.33203125" style="95" customWidth="1"/>
    <col min="14600" max="14600" width="8.33203125" style="95" customWidth="1"/>
    <col min="14601" max="14601" width="8.5" style="95" customWidth="1"/>
    <col min="14602" max="14602" width="2.5" style="95" customWidth="1"/>
    <col min="14603" max="14603" width="7.6640625" style="95" customWidth="1"/>
    <col min="14604" max="14604" width="7.83203125" style="95" customWidth="1"/>
    <col min="14605" max="14605" width="2.5" style="95" customWidth="1"/>
    <col min="14606" max="14607" width="7.83203125" style="95" customWidth="1"/>
    <col min="14608" max="14608" width="2.6640625" style="95" customWidth="1"/>
    <col min="14609" max="14610" width="7.6640625" style="95" customWidth="1"/>
    <col min="14611" max="14611" width="2.5" style="95" customWidth="1"/>
    <col min="14612" max="14848" width="9.1640625" style="95"/>
    <col min="14849" max="14849" width="36" style="95" customWidth="1"/>
    <col min="14850" max="14850" width="8.5" style="95" customWidth="1"/>
    <col min="14851" max="14851" width="8.33203125" style="95" customWidth="1"/>
    <col min="14852" max="14852" width="2.5" style="95" customWidth="1"/>
    <col min="14853" max="14853" width="7.5" style="95" customWidth="1"/>
    <col min="14854" max="14854" width="7.6640625" style="95" customWidth="1"/>
    <col min="14855" max="14855" width="2.33203125" style="95" customWidth="1"/>
    <col min="14856" max="14856" width="8.33203125" style="95" customWidth="1"/>
    <col min="14857" max="14857" width="8.5" style="95" customWidth="1"/>
    <col min="14858" max="14858" width="2.5" style="95" customWidth="1"/>
    <col min="14859" max="14859" width="7.6640625" style="95" customWidth="1"/>
    <col min="14860" max="14860" width="7.83203125" style="95" customWidth="1"/>
    <col min="14861" max="14861" width="2.5" style="95" customWidth="1"/>
    <col min="14862" max="14863" width="7.83203125" style="95" customWidth="1"/>
    <col min="14864" max="14864" width="2.6640625" style="95" customWidth="1"/>
    <col min="14865" max="14866" width="7.6640625" style="95" customWidth="1"/>
    <col min="14867" max="14867" width="2.5" style="95" customWidth="1"/>
    <col min="14868" max="15104" width="9.1640625" style="95"/>
    <col min="15105" max="15105" width="36" style="95" customWidth="1"/>
    <col min="15106" max="15106" width="8.5" style="95" customWidth="1"/>
    <col min="15107" max="15107" width="8.33203125" style="95" customWidth="1"/>
    <col min="15108" max="15108" width="2.5" style="95" customWidth="1"/>
    <col min="15109" max="15109" width="7.5" style="95" customWidth="1"/>
    <col min="15110" max="15110" width="7.6640625" style="95" customWidth="1"/>
    <col min="15111" max="15111" width="2.33203125" style="95" customWidth="1"/>
    <col min="15112" max="15112" width="8.33203125" style="95" customWidth="1"/>
    <col min="15113" max="15113" width="8.5" style="95" customWidth="1"/>
    <col min="15114" max="15114" width="2.5" style="95" customWidth="1"/>
    <col min="15115" max="15115" width="7.6640625" style="95" customWidth="1"/>
    <col min="15116" max="15116" width="7.83203125" style="95" customWidth="1"/>
    <col min="15117" max="15117" width="2.5" style="95" customWidth="1"/>
    <col min="15118" max="15119" width="7.83203125" style="95" customWidth="1"/>
    <col min="15120" max="15120" width="2.6640625" style="95" customWidth="1"/>
    <col min="15121" max="15122" width="7.6640625" style="95" customWidth="1"/>
    <col min="15123" max="15123" width="2.5" style="95" customWidth="1"/>
    <col min="15124" max="15360" width="9.1640625" style="95"/>
    <col min="15361" max="15361" width="36" style="95" customWidth="1"/>
    <col min="15362" max="15362" width="8.5" style="95" customWidth="1"/>
    <col min="15363" max="15363" width="8.33203125" style="95" customWidth="1"/>
    <col min="15364" max="15364" width="2.5" style="95" customWidth="1"/>
    <col min="15365" max="15365" width="7.5" style="95" customWidth="1"/>
    <col min="15366" max="15366" width="7.6640625" style="95" customWidth="1"/>
    <col min="15367" max="15367" width="2.33203125" style="95" customWidth="1"/>
    <col min="15368" max="15368" width="8.33203125" style="95" customWidth="1"/>
    <col min="15369" max="15369" width="8.5" style="95" customWidth="1"/>
    <col min="15370" max="15370" width="2.5" style="95" customWidth="1"/>
    <col min="15371" max="15371" width="7.6640625" style="95" customWidth="1"/>
    <col min="15372" max="15372" width="7.83203125" style="95" customWidth="1"/>
    <col min="15373" max="15373" width="2.5" style="95" customWidth="1"/>
    <col min="15374" max="15375" width="7.83203125" style="95" customWidth="1"/>
    <col min="15376" max="15376" width="2.6640625" style="95" customWidth="1"/>
    <col min="15377" max="15378" width="7.6640625" style="95" customWidth="1"/>
    <col min="15379" max="15379" width="2.5" style="95" customWidth="1"/>
    <col min="15380" max="15616" width="9.1640625" style="95"/>
    <col min="15617" max="15617" width="36" style="95" customWidth="1"/>
    <col min="15618" max="15618" width="8.5" style="95" customWidth="1"/>
    <col min="15619" max="15619" width="8.33203125" style="95" customWidth="1"/>
    <col min="15620" max="15620" width="2.5" style="95" customWidth="1"/>
    <col min="15621" max="15621" width="7.5" style="95" customWidth="1"/>
    <col min="15622" max="15622" width="7.6640625" style="95" customWidth="1"/>
    <col min="15623" max="15623" width="2.33203125" style="95" customWidth="1"/>
    <col min="15624" max="15624" width="8.33203125" style="95" customWidth="1"/>
    <col min="15625" max="15625" width="8.5" style="95" customWidth="1"/>
    <col min="15626" max="15626" width="2.5" style="95" customWidth="1"/>
    <col min="15627" max="15627" width="7.6640625" style="95" customWidth="1"/>
    <col min="15628" max="15628" width="7.83203125" style="95" customWidth="1"/>
    <col min="15629" max="15629" width="2.5" style="95" customWidth="1"/>
    <col min="15630" max="15631" width="7.83203125" style="95" customWidth="1"/>
    <col min="15632" max="15632" width="2.6640625" style="95" customWidth="1"/>
    <col min="15633" max="15634" width="7.6640625" style="95" customWidth="1"/>
    <col min="15635" max="15635" width="2.5" style="95" customWidth="1"/>
    <col min="15636" max="15872" width="9.1640625" style="95"/>
    <col min="15873" max="15873" width="36" style="95" customWidth="1"/>
    <col min="15874" max="15874" width="8.5" style="95" customWidth="1"/>
    <col min="15875" max="15875" width="8.33203125" style="95" customWidth="1"/>
    <col min="15876" max="15876" width="2.5" style="95" customWidth="1"/>
    <col min="15877" max="15877" width="7.5" style="95" customWidth="1"/>
    <col min="15878" max="15878" width="7.6640625" style="95" customWidth="1"/>
    <col min="15879" max="15879" width="2.33203125" style="95" customWidth="1"/>
    <col min="15880" max="15880" width="8.33203125" style="95" customWidth="1"/>
    <col min="15881" max="15881" width="8.5" style="95" customWidth="1"/>
    <col min="15882" max="15882" width="2.5" style="95" customWidth="1"/>
    <col min="15883" max="15883" width="7.6640625" style="95" customWidth="1"/>
    <col min="15884" max="15884" width="7.83203125" style="95" customWidth="1"/>
    <col min="15885" max="15885" width="2.5" style="95" customWidth="1"/>
    <col min="15886" max="15887" width="7.83203125" style="95" customWidth="1"/>
    <col min="15888" max="15888" width="2.6640625" style="95" customWidth="1"/>
    <col min="15889" max="15890" width="7.6640625" style="95" customWidth="1"/>
    <col min="15891" max="15891" width="2.5" style="95" customWidth="1"/>
    <col min="15892" max="16128" width="9.1640625" style="95"/>
    <col min="16129" max="16129" width="36" style="95" customWidth="1"/>
    <col min="16130" max="16130" width="8.5" style="95" customWidth="1"/>
    <col min="16131" max="16131" width="8.33203125" style="95" customWidth="1"/>
    <col min="16132" max="16132" width="2.5" style="95" customWidth="1"/>
    <col min="16133" max="16133" width="7.5" style="95" customWidth="1"/>
    <col min="16134" max="16134" width="7.6640625" style="95" customWidth="1"/>
    <col min="16135" max="16135" width="2.33203125" style="95" customWidth="1"/>
    <col min="16136" max="16136" width="8.33203125" style="95" customWidth="1"/>
    <col min="16137" max="16137" width="8.5" style="95" customWidth="1"/>
    <col min="16138" max="16138" width="2.5" style="95" customWidth="1"/>
    <col min="16139" max="16139" width="7.6640625" style="95" customWidth="1"/>
    <col min="16140" max="16140" width="7.83203125" style="95" customWidth="1"/>
    <col min="16141" max="16141" width="2.5" style="95" customWidth="1"/>
    <col min="16142" max="16143" width="7.83203125" style="95" customWidth="1"/>
    <col min="16144" max="16144" width="2.6640625" style="95" customWidth="1"/>
    <col min="16145" max="16146" width="7.6640625" style="95" customWidth="1"/>
    <col min="16147" max="16147" width="2.5" style="95" customWidth="1"/>
    <col min="16148" max="16384" width="9.1640625" style="95"/>
  </cols>
  <sheetData>
    <row r="1" spans="1:19">
      <c r="A1" s="95" t="s">
        <v>453</v>
      </c>
      <c r="Q1" s="140"/>
    </row>
    <row r="2" spans="1:19">
      <c r="A2" s="95" t="s">
        <v>454</v>
      </c>
      <c r="Q2" s="140"/>
    </row>
    <row r="3" spans="1:19" ht="10" customHeight="1">
      <c r="Q3" s="140"/>
    </row>
    <row r="4" spans="1:19">
      <c r="A4" s="14" t="s">
        <v>1861</v>
      </c>
      <c r="L4" s="141"/>
      <c r="O4" s="141"/>
      <c r="Q4" s="140"/>
    </row>
    <row r="5" spans="1:19" ht="10" customHeight="1" thickBot="1">
      <c r="O5" s="105"/>
      <c r="Q5" s="140"/>
      <c r="R5" s="105"/>
    </row>
    <row r="6" spans="1:19" ht="10" customHeight="1">
      <c r="A6" s="97" t="s">
        <v>472</v>
      </c>
      <c r="B6" s="142"/>
      <c r="C6" s="143"/>
      <c r="D6" s="97"/>
      <c r="E6" s="144"/>
      <c r="F6" s="99"/>
      <c r="G6" s="97"/>
      <c r="H6" s="144"/>
      <c r="I6" s="99"/>
      <c r="J6" s="99"/>
      <c r="K6" s="144"/>
      <c r="L6" s="99"/>
      <c r="M6" s="97"/>
      <c r="N6" s="144"/>
      <c r="O6" s="99"/>
      <c r="P6" s="99"/>
      <c r="Q6" s="144"/>
      <c r="R6" s="99"/>
      <c r="S6" s="99"/>
    </row>
    <row r="7" spans="1:19" ht="15" customHeight="1">
      <c r="A7" s="116" t="s">
        <v>511</v>
      </c>
      <c r="B7" s="145" t="s">
        <v>457</v>
      </c>
      <c r="C7" s="146"/>
      <c r="D7" s="116"/>
      <c r="E7" s="767" t="s">
        <v>512</v>
      </c>
      <c r="F7" s="135"/>
      <c r="G7" s="116"/>
      <c r="H7" s="1019" t="s">
        <v>513</v>
      </c>
      <c r="I7" s="1019"/>
      <c r="J7" s="135"/>
      <c r="K7" s="1019" t="s">
        <v>514</v>
      </c>
      <c r="L7" s="1019"/>
      <c r="M7" s="116"/>
      <c r="N7" s="1019" t="s">
        <v>515</v>
      </c>
      <c r="O7" s="1019"/>
      <c r="Q7" s="1019" t="s">
        <v>516</v>
      </c>
      <c r="R7" s="1019"/>
    </row>
    <row r="8" spans="1:19" ht="13.5" customHeight="1">
      <c r="A8" s="95" t="s">
        <v>517</v>
      </c>
      <c r="B8" s="147" t="s">
        <v>400</v>
      </c>
      <c r="C8" s="148" t="s">
        <v>401</v>
      </c>
      <c r="D8" s="116"/>
      <c r="E8" s="149" t="s">
        <v>400</v>
      </c>
      <c r="F8" s="101" t="s">
        <v>401</v>
      </c>
      <c r="G8" s="116"/>
      <c r="H8" s="149" t="s">
        <v>400</v>
      </c>
      <c r="I8" s="101" t="s">
        <v>401</v>
      </c>
      <c r="J8" s="150"/>
      <c r="K8" s="149" t="s">
        <v>400</v>
      </c>
      <c r="L8" s="101" t="s">
        <v>401</v>
      </c>
      <c r="M8" s="116"/>
      <c r="N8" s="149" t="s">
        <v>400</v>
      </c>
      <c r="O8" s="101" t="s">
        <v>401</v>
      </c>
      <c r="Q8" s="149" t="s">
        <v>400</v>
      </c>
      <c r="R8" s="101" t="s">
        <v>401</v>
      </c>
    </row>
    <row r="9" spans="1:19" ht="12.75" customHeight="1" thickBot="1">
      <c r="A9" s="102" t="s">
        <v>480</v>
      </c>
      <c r="B9" s="151"/>
      <c r="C9" s="152"/>
      <c r="D9" s="102"/>
      <c r="E9" s="153"/>
      <c r="F9" s="96"/>
      <c r="G9" s="102"/>
      <c r="H9" s="153"/>
      <c r="I9" s="96"/>
      <c r="J9" s="96"/>
      <c r="K9" s="153"/>
      <c r="L9" s="96"/>
      <c r="M9" s="102"/>
      <c r="N9" s="153"/>
      <c r="O9" s="96"/>
      <c r="P9" s="96"/>
      <c r="Q9" s="153"/>
      <c r="R9" s="96"/>
      <c r="S9" s="96"/>
    </row>
    <row r="10" spans="1:19" ht="10" customHeight="1">
      <c r="Q10" s="140"/>
    </row>
    <row r="11" spans="1:19" ht="14" customHeight="1">
      <c r="A11" s="68" t="s">
        <v>402</v>
      </c>
      <c r="B11" s="169">
        <f>IF($A11&lt;&gt;"",E11+H11+K11+N11+Q11,"")</f>
        <v>4443</v>
      </c>
      <c r="C11" s="139">
        <f>SUM(C13+C109)</f>
        <v>100</v>
      </c>
      <c r="E11" s="140">
        <f>E13+E109</f>
        <v>683</v>
      </c>
      <c r="F11" s="105">
        <f t="shared" ref="F11:F75" si="0">IF($A11&lt;&gt;0,E11/$B11*100,"")</f>
        <v>15.372496061219895</v>
      </c>
      <c r="H11" s="140">
        <f>H13+H109</f>
        <v>246</v>
      </c>
      <c r="I11" s="105">
        <f t="shared" ref="I11:I75" si="1">IF($A11&lt;&gt;0,H11/$B11*100,"")</f>
        <v>5.5367994598244428</v>
      </c>
      <c r="K11" s="140">
        <f>K13+K109</f>
        <v>711</v>
      </c>
      <c r="L11" s="105">
        <f t="shared" ref="L11:L75" si="2">IF($A11&lt;&gt;0,K11/$B11*100,"")</f>
        <v>16.00270087778528</v>
      </c>
      <c r="M11" s="116"/>
      <c r="N11" s="140">
        <f>N13+N109</f>
        <v>1445</v>
      </c>
      <c r="O11" s="105">
        <f t="shared" ref="O11:O75" si="3">IF($A11&lt;&gt;0,N11/$B11*100,"")</f>
        <v>32.523069997749268</v>
      </c>
      <c r="P11" s="135"/>
      <c r="Q11" s="140">
        <f>Q13+Q109</f>
        <v>1358</v>
      </c>
      <c r="R11" s="105">
        <f t="shared" ref="R11:R75" si="4">IF($A11&lt;&gt;0,Q11/$B11*100,"")</f>
        <v>30.564933603421114</v>
      </c>
      <c r="S11" s="135"/>
    </row>
    <row r="12" spans="1:19" ht="10" customHeight="1">
      <c r="B12" s="169" t="str">
        <f t="shared" ref="B12:B76" si="5">IF($A12&lt;&gt;"",E12+H12+K12+N12+Q12,"")</f>
        <v/>
      </c>
      <c r="C12" s="139" t="str">
        <f>IF(A12&lt;&gt;0,B12/$B$10*100,"")</f>
        <v/>
      </c>
      <c r="F12" s="105" t="str">
        <f t="shared" si="0"/>
        <v/>
      </c>
      <c r="I12" s="105" t="str">
        <f t="shared" si="1"/>
        <v/>
      </c>
      <c r="L12" s="105" t="str">
        <f t="shared" si="2"/>
        <v/>
      </c>
      <c r="M12" s="116"/>
      <c r="O12" s="105" t="str">
        <f t="shared" si="3"/>
        <v/>
      </c>
      <c r="P12" s="135"/>
      <c r="Q12" s="140"/>
      <c r="R12" s="105" t="str">
        <f t="shared" si="4"/>
        <v/>
      </c>
      <c r="S12" s="135"/>
    </row>
    <row r="13" spans="1:19" ht="14" customHeight="1">
      <c r="A13" s="55" t="s">
        <v>403</v>
      </c>
      <c r="B13" s="169">
        <f t="shared" si="5"/>
        <v>3444</v>
      </c>
      <c r="C13" s="139">
        <f>IF(A13&lt;&gt;0,B13/$B$11*100,"")</f>
        <v>77.515192437542197</v>
      </c>
      <c r="E13" s="140">
        <f>E15+E102</f>
        <v>494</v>
      </c>
      <c r="F13" s="105">
        <f t="shared" si="0"/>
        <v>14.343786295005806</v>
      </c>
      <c r="H13" s="140">
        <f>H15+H102</f>
        <v>162</v>
      </c>
      <c r="I13" s="105">
        <f t="shared" si="1"/>
        <v>4.7038327526132404</v>
      </c>
      <c r="K13" s="140">
        <f>K15+K102</f>
        <v>509</v>
      </c>
      <c r="L13" s="105">
        <f t="shared" si="2"/>
        <v>14.779326364692219</v>
      </c>
      <c r="M13" s="116"/>
      <c r="N13" s="140">
        <f>N15+N102</f>
        <v>1123</v>
      </c>
      <c r="O13" s="105">
        <f t="shared" si="3"/>
        <v>32.60743321718931</v>
      </c>
      <c r="P13" s="135"/>
      <c r="Q13" s="140">
        <f>Q15+Q102</f>
        <v>1156</v>
      </c>
      <c r="R13" s="105">
        <f t="shared" si="4"/>
        <v>33.565621370499422</v>
      </c>
      <c r="S13" s="135"/>
    </row>
    <row r="14" spans="1:19" ht="10.5" customHeight="1">
      <c r="A14" s="55"/>
      <c r="B14" s="169" t="str">
        <f t="shared" si="5"/>
        <v/>
      </c>
      <c r="C14" s="139" t="str">
        <f>IF(A14&lt;&gt;0,B14/$B$11*100,"")</f>
        <v/>
      </c>
      <c r="F14" s="105" t="str">
        <f t="shared" si="0"/>
        <v/>
      </c>
      <c r="I14" s="105" t="str">
        <f t="shared" si="1"/>
        <v/>
      </c>
      <c r="L14" s="105" t="str">
        <f t="shared" si="2"/>
        <v/>
      </c>
      <c r="M14" s="116"/>
      <c r="O14" s="105" t="str">
        <f t="shared" si="3"/>
        <v/>
      </c>
      <c r="P14" s="135"/>
      <c r="Q14" s="140"/>
      <c r="R14" s="105" t="str">
        <f t="shared" si="4"/>
        <v/>
      </c>
      <c r="S14" s="135"/>
    </row>
    <row r="15" spans="1:19" ht="14" customHeight="1">
      <c r="A15" s="55" t="s">
        <v>80</v>
      </c>
      <c r="B15" s="169">
        <f t="shared" si="5"/>
        <v>2886</v>
      </c>
      <c r="C15" s="139">
        <f>IF(A15&lt;&gt;0,B15/$B$11*100,"")</f>
        <v>64.956110735989199</v>
      </c>
      <c r="E15" s="140">
        <f>E17+E28+E36+E62+E76+E83+E95+E96+E97+E98+E100</f>
        <v>446</v>
      </c>
      <c r="F15" s="105">
        <f t="shared" si="0"/>
        <v>15.453915453915453</v>
      </c>
      <c r="H15" s="140">
        <f>H17+H28+H36+H62+H76+H83+H95+H96+H97+H98+H100</f>
        <v>140</v>
      </c>
      <c r="I15" s="105">
        <f t="shared" si="1"/>
        <v>4.8510048510048511</v>
      </c>
      <c r="K15" s="140">
        <f>K17+K28+K36+K62+K76+K83+K95+K96+K97+K98+K100</f>
        <v>426</v>
      </c>
      <c r="L15" s="105">
        <f t="shared" si="2"/>
        <v>14.760914760914762</v>
      </c>
      <c r="M15" s="116"/>
      <c r="N15" s="140">
        <f>N17+N28+N36+N62+N76+N83+N95+N96+N97+N98+N100</f>
        <v>829</v>
      </c>
      <c r="O15" s="105">
        <f t="shared" si="3"/>
        <v>28.724878724878728</v>
      </c>
      <c r="P15" s="135"/>
      <c r="Q15" s="140">
        <f>Q17+Q28+Q36+Q62+Q76+Q83+Q95+Q96+Q97+Q98+Q100</f>
        <v>1045</v>
      </c>
      <c r="R15" s="105">
        <f t="shared" si="4"/>
        <v>36.209286209286205</v>
      </c>
      <c r="S15" s="135"/>
    </row>
    <row r="16" spans="1:19" ht="10" customHeight="1">
      <c r="B16" s="169" t="str">
        <f t="shared" si="5"/>
        <v/>
      </c>
      <c r="C16" s="139" t="str">
        <f>IF(A16&lt;&gt;0,B16/$B$11*100,"")</f>
        <v/>
      </c>
      <c r="F16" s="105" t="str">
        <f t="shared" si="0"/>
        <v/>
      </c>
      <c r="I16" s="105" t="str">
        <f t="shared" si="1"/>
        <v/>
      </c>
      <c r="L16" s="105" t="str">
        <f t="shared" si="2"/>
        <v/>
      </c>
      <c r="M16" s="116"/>
      <c r="O16" s="105" t="str">
        <f t="shared" si="3"/>
        <v/>
      </c>
      <c r="P16" s="135"/>
      <c r="Q16" s="140"/>
      <c r="R16" s="105" t="str">
        <f t="shared" si="4"/>
        <v/>
      </c>
      <c r="S16" s="135"/>
    </row>
    <row r="17" spans="1:19" ht="13.25" customHeight="1">
      <c r="A17" s="55" t="s">
        <v>404</v>
      </c>
      <c r="B17" s="169">
        <f t="shared" si="5"/>
        <v>208</v>
      </c>
      <c r="C17" s="139">
        <f>IF(A17&lt;&gt;0,B17/$B$11*100,"")</f>
        <v>4.6815214944857075</v>
      </c>
      <c r="E17" s="140">
        <f>E18+E23</f>
        <v>49</v>
      </c>
      <c r="F17" s="105">
        <f t="shared" si="0"/>
        <v>23.557692307692307</v>
      </c>
      <c r="H17" s="140">
        <f>H18+H23</f>
        <v>17</v>
      </c>
      <c r="I17" s="105">
        <f t="shared" si="1"/>
        <v>8.1730769230769234</v>
      </c>
      <c r="K17" s="140">
        <f>K18+K23</f>
        <v>49</v>
      </c>
      <c r="L17" s="105">
        <f t="shared" si="2"/>
        <v>23.557692307692307</v>
      </c>
      <c r="M17" s="116"/>
      <c r="N17" s="140">
        <f>N18+N23</f>
        <v>62</v>
      </c>
      <c r="O17" s="105">
        <f t="shared" si="3"/>
        <v>29.807692307692307</v>
      </c>
      <c r="P17" s="135"/>
      <c r="Q17" s="140">
        <f>Q18+Q23</f>
        <v>31</v>
      </c>
      <c r="R17" s="105">
        <f t="shared" si="4"/>
        <v>14.903846153846153</v>
      </c>
      <c r="S17" s="135"/>
    </row>
    <row r="18" spans="1:19" ht="13.25" customHeight="1">
      <c r="A18" s="95" t="s">
        <v>162</v>
      </c>
      <c r="B18" s="169">
        <f t="shared" si="5"/>
        <v>110</v>
      </c>
      <c r="C18" s="139">
        <f t="shared" ref="C18:C82" si="6">IF(A18&lt;&gt;0,B18/$B$11*100,"")</f>
        <v>2.4758046365068647</v>
      </c>
      <c r="E18" s="140">
        <f>SUM(E19:E21)</f>
        <v>25</v>
      </c>
      <c r="F18" s="105">
        <f t="shared" si="0"/>
        <v>22.727272727272727</v>
      </c>
      <c r="H18" s="140">
        <f>SUM(H19:H21)</f>
        <v>7</v>
      </c>
      <c r="I18" s="105">
        <f t="shared" si="1"/>
        <v>6.3636363636363633</v>
      </c>
      <c r="K18" s="140">
        <f>SUM(K19:K21)</f>
        <v>30</v>
      </c>
      <c r="L18" s="105">
        <f t="shared" si="2"/>
        <v>27.27272727272727</v>
      </c>
      <c r="M18" s="116"/>
      <c r="N18" s="140">
        <f>SUM(N19:N21)</f>
        <v>39</v>
      </c>
      <c r="O18" s="105">
        <f t="shared" si="3"/>
        <v>35.454545454545453</v>
      </c>
      <c r="P18" s="135"/>
      <c r="Q18" s="140">
        <f>SUM(Q19:Q21)</f>
        <v>9</v>
      </c>
      <c r="R18" s="105">
        <f t="shared" si="4"/>
        <v>8.1818181818181817</v>
      </c>
      <c r="S18" s="135"/>
    </row>
    <row r="19" spans="1:19" ht="13.25" customHeight="1">
      <c r="A19" s="95" t="s">
        <v>163</v>
      </c>
      <c r="B19" s="169">
        <f t="shared" si="5"/>
        <v>22</v>
      </c>
      <c r="C19" s="139">
        <f t="shared" si="6"/>
        <v>0.49516092730137296</v>
      </c>
      <c r="E19" s="304">
        <v>2</v>
      </c>
      <c r="F19" s="105">
        <f t="shared" si="0"/>
        <v>9.0909090909090917</v>
      </c>
      <c r="G19" s="304"/>
      <c r="H19" s="304">
        <v>1</v>
      </c>
      <c r="I19" s="105">
        <f t="shared" si="1"/>
        <v>4.5454545454545459</v>
      </c>
      <c r="J19" s="304"/>
      <c r="K19" s="304">
        <v>7</v>
      </c>
      <c r="L19" s="105">
        <f t="shared" si="2"/>
        <v>31.818181818181817</v>
      </c>
      <c r="M19" s="304"/>
      <c r="N19" s="304">
        <v>9</v>
      </c>
      <c r="O19" s="105">
        <f t="shared" si="3"/>
        <v>40.909090909090914</v>
      </c>
      <c r="P19" s="304"/>
      <c r="Q19" s="304">
        <v>3</v>
      </c>
      <c r="R19" s="105">
        <f t="shared" si="4"/>
        <v>13.636363636363635</v>
      </c>
      <c r="S19" s="135"/>
    </row>
    <row r="20" spans="1:19" ht="13.25" customHeight="1">
      <c r="A20" s="95" t="s">
        <v>164</v>
      </c>
      <c r="B20" s="169">
        <f t="shared" si="5"/>
        <v>39</v>
      </c>
      <c r="C20" s="139">
        <f t="shared" si="6"/>
        <v>0.87778528021607016</v>
      </c>
      <c r="E20" s="304">
        <v>16</v>
      </c>
      <c r="F20" s="105">
        <f t="shared" si="0"/>
        <v>41.025641025641022</v>
      </c>
      <c r="G20" s="304"/>
      <c r="H20" s="304">
        <v>2</v>
      </c>
      <c r="I20" s="105">
        <f t="shared" si="1"/>
        <v>5.1282051282051277</v>
      </c>
      <c r="J20" s="304"/>
      <c r="K20" s="304">
        <v>8</v>
      </c>
      <c r="L20" s="105">
        <f t="shared" si="2"/>
        <v>20.512820512820511</v>
      </c>
      <c r="M20" s="304"/>
      <c r="N20" s="304">
        <v>13</v>
      </c>
      <c r="O20" s="105">
        <f t="shared" si="3"/>
        <v>33.333333333333329</v>
      </c>
      <c r="P20" s="304"/>
      <c r="Q20" s="304">
        <v>0</v>
      </c>
      <c r="R20" s="105">
        <f t="shared" si="4"/>
        <v>0</v>
      </c>
      <c r="S20" s="135"/>
    </row>
    <row r="21" spans="1:19" ht="12" customHeight="1">
      <c r="A21" s="95" t="s">
        <v>165</v>
      </c>
      <c r="B21" s="169">
        <f t="shared" si="5"/>
        <v>49</v>
      </c>
      <c r="C21" s="139">
        <f t="shared" si="6"/>
        <v>1.1028584289894217</v>
      </c>
      <c r="E21" s="304">
        <v>7</v>
      </c>
      <c r="F21" s="105">
        <f t="shared" si="0"/>
        <v>14.285714285714285</v>
      </c>
      <c r="G21" s="304"/>
      <c r="H21" s="304">
        <v>4</v>
      </c>
      <c r="I21" s="105">
        <f t="shared" si="1"/>
        <v>8.1632653061224492</v>
      </c>
      <c r="J21" s="304"/>
      <c r="K21" s="304">
        <v>15</v>
      </c>
      <c r="L21" s="105">
        <f t="shared" si="2"/>
        <v>30.612244897959183</v>
      </c>
      <c r="M21" s="304"/>
      <c r="N21" s="304">
        <v>17</v>
      </c>
      <c r="O21" s="105">
        <f t="shared" si="3"/>
        <v>34.693877551020407</v>
      </c>
      <c r="P21" s="304"/>
      <c r="Q21" s="304">
        <v>6</v>
      </c>
      <c r="R21" s="105">
        <f t="shared" si="4"/>
        <v>12.244897959183673</v>
      </c>
      <c r="S21" s="135"/>
    </row>
    <row r="22" spans="1:19" ht="10" customHeight="1">
      <c r="B22" s="169" t="str">
        <f t="shared" si="5"/>
        <v/>
      </c>
      <c r="C22" s="139" t="str">
        <f t="shared" si="6"/>
        <v/>
      </c>
      <c r="E22" s="304"/>
      <c r="F22" s="105" t="str">
        <f t="shared" si="0"/>
        <v/>
      </c>
      <c r="G22" s="304"/>
      <c r="H22" s="304"/>
      <c r="I22" s="105" t="str">
        <f t="shared" si="1"/>
        <v/>
      </c>
      <c r="J22" s="304"/>
      <c r="K22" s="304"/>
      <c r="L22" s="105" t="str">
        <f t="shared" si="2"/>
        <v/>
      </c>
      <c r="M22" s="304"/>
      <c r="N22" s="304"/>
      <c r="O22" s="105" t="str">
        <f t="shared" si="3"/>
        <v/>
      </c>
      <c r="P22" s="304"/>
      <c r="Q22" s="304"/>
      <c r="R22" s="105" t="str">
        <f t="shared" si="4"/>
        <v/>
      </c>
      <c r="S22" s="135"/>
    </row>
    <row r="23" spans="1:19" ht="13.25" customHeight="1">
      <c r="A23" s="95" t="s">
        <v>166</v>
      </c>
      <c r="B23" s="169">
        <f t="shared" si="5"/>
        <v>98</v>
      </c>
      <c r="C23" s="139">
        <f t="shared" si="6"/>
        <v>2.2057168579788433</v>
      </c>
      <c r="E23" s="154">
        <f>SUM(E24:E26)</f>
        <v>24</v>
      </c>
      <c r="F23" s="105">
        <f t="shared" si="0"/>
        <v>24.489795918367346</v>
      </c>
      <c r="G23" s="116"/>
      <c r="H23" s="154">
        <f>SUM(H24:H26)</f>
        <v>10</v>
      </c>
      <c r="I23" s="105">
        <f t="shared" si="1"/>
        <v>10.204081632653061</v>
      </c>
      <c r="J23" s="135"/>
      <c r="K23" s="154">
        <f>SUM(K24:K26)</f>
        <v>19</v>
      </c>
      <c r="L23" s="105">
        <f t="shared" si="2"/>
        <v>19.387755102040817</v>
      </c>
      <c r="M23" s="116"/>
      <c r="N23" s="154">
        <f>SUM(N24:N26)</f>
        <v>23</v>
      </c>
      <c r="O23" s="105">
        <f t="shared" si="3"/>
        <v>23.469387755102041</v>
      </c>
      <c r="P23" s="135"/>
      <c r="Q23" s="154">
        <f>SUM(Q24:Q26)</f>
        <v>22</v>
      </c>
      <c r="R23" s="105">
        <f t="shared" si="4"/>
        <v>22.448979591836736</v>
      </c>
      <c r="S23" s="135"/>
    </row>
    <row r="24" spans="1:19" ht="13.25" customHeight="1">
      <c r="A24" s="95" t="s">
        <v>167</v>
      </c>
      <c r="B24" s="169">
        <f t="shared" si="5"/>
        <v>16</v>
      </c>
      <c r="C24" s="139">
        <f t="shared" si="6"/>
        <v>0.36011703803736211</v>
      </c>
      <c r="E24" s="304">
        <v>8</v>
      </c>
      <c r="F24" s="105">
        <f t="shared" si="0"/>
        <v>50</v>
      </c>
      <c r="G24" s="304"/>
      <c r="H24" s="304">
        <v>6</v>
      </c>
      <c r="I24" s="105">
        <f t="shared" si="1"/>
        <v>37.5</v>
      </c>
      <c r="J24" s="304"/>
      <c r="K24" s="304">
        <v>0</v>
      </c>
      <c r="L24" s="105">
        <f t="shared" si="2"/>
        <v>0</v>
      </c>
      <c r="M24" s="304"/>
      <c r="N24" s="304">
        <v>1</v>
      </c>
      <c r="O24" s="105">
        <f t="shared" si="3"/>
        <v>6.25</v>
      </c>
      <c r="P24" s="304"/>
      <c r="Q24" s="304">
        <v>1</v>
      </c>
      <c r="R24" s="105">
        <f t="shared" si="4"/>
        <v>6.25</v>
      </c>
      <c r="S24" s="135"/>
    </row>
    <row r="25" spans="1:19" ht="13.25" customHeight="1">
      <c r="A25" s="95" t="s">
        <v>168</v>
      </c>
      <c r="B25" s="169">
        <f t="shared" si="5"/>
        <v>19</v>
      </c>
      <c r="C25" s="139">
        <f t="shared" si="6"/>
        <v>0.42763898266936756</v>
      </c>
      <c r="E25" s="304">
        <v>3</v>
      </c>
      <c r="F25" s="105">
        <f t="shared" si="0"/>
        <v>15.789473684210526</v>
      </c>
      <c r="G25" s="304"/>
      <c r="H25" s="304">
        <v>0</v>
      </c>
      <c r="I25" s="105">
        <f t="shared" si="1"/>
        <v>0</v>
      </c>
      <c r="J25" s="304"/>
      <c r="K25" s="304">
        <v>5</v>
      </c>
      <c r="L25" s="105">
        <f t="shared" si="2"/>
        <v>26.315789473684209</v>
      </c>
      <c r="M25" s="304"/>
      <c r="N25" s="304">
        <v>11</v>
      </c>
      <c r="O25" s="105">
        <f t="shared" si="3"/>
        <v>57.894736842105267</v>
      </c>
      <c r="P25" s="304"/>
      <c r="Q25" s="304">
        <v>0</v>
      </c>
      <c r="R25" s="105">
        <f t="shared" si="4"/>
        <v>0</v>
      </c>
      <c r="S25" s="135"/>
    </row>
    <row r="26" spans="1:19" ht="12" customHeight="1">
      <c r="A26" s="95" t="s">
        <v>169</v>
      </c>
      <c r="B26" s="169">
        <f t="shared" si="5"/>
        <v>63</v>
      </c>
      <c r="C26" s="139">
        <f t="shared" si="6"/>
        <v>1.4179608372721135</v>
      </c>
      <c r="E26" s="304">
        <v>13</v>
      </c>
      <c r="F26" s="105">
        <f t="shared" si="0"/>
        <v>20.634920634920633</v>
      </c>
      <c r="G26" s="304"/>
      <c r="H26" s="304">
        <v>4</v>
      </c>
      <c r="I26" s="105">
        <f t="shared" si="1"/>
        <v>6.3492063492063489</v>
      </c>
      <c r="J26" s="304"/>
      <c r="K26" s="304">
        <v>14</v>
      </c>
      <c r="L26" s="105">
        <f t="shared" si="2"/>
        <v>22.222222222222221</v>
      </c>
      <c r="M26" s="304"/>
      <c r="N26" s="304">
        <v>11</v>
      </c>
      <c r="O26" s="105">
        <f t="shared" si="3"/>
        <v>17.460317460317459</v>
      </c>
      <c r="P26" s="304"/>
      <c r="Q26" s="304">
        <v>21</v>
      </c>
      <c r="R26" s="105">
        <f t="shared" si="4"/>
        <v>33.333333333333329</v>
      </c>
      <c r="S26" s="135"/>
    </row>
    <row r="27" spans="1:19" ht="10" customHeight="1">
      <c r="B27" s="169" t="str">
        <f t="shared" si="5"/>
        <v/>
      </c>
      <c r="C27" s="139" t="str">
        <f t="shared" si="6"/>
        <v/>
      </c>
      <c r="E27" s="154"/>
      <c r="F27" s="105" t="str">
        <f t="shared" si="0"/>
        <v/>
      </c>
      <c r="G27" s="116"/>
      <c r="H27" s="154"/>
      <c r="I27" s="105" t="str">
        <f t="shared" si="1"/>
        <v/>
      </c>
      <c r="J27" s="135"/>
      <c r="K27" s="154"/>
      <c r="L27" s="105" t="str">
        <f t="shared" si="2"/>
        <v/>
      </c>
      <c r="M27" s="116"/>
      <c r="N27" s="154"/>
      <c r="O27" s="105" t="str">
        <f t="shared" si="3"/>
        <v/>
      </c>
      <c r="P27" s="135"/>
      <c r="Q27" s="154"/>
      <c r="R27" s="105" t="str">
        <f t="shared" si="4"/>
        <v/>
      </c>
      <c r="S27" s="135"/>
    </row>
    <row r="28" spans="1:19" ht="13.25" customHeight="1">
      <c r="A28" s="55" t="s">
        <v>464</v>
      </c>
      <c r="B28" s="169">
        <f t="shared" si="5"/>
        <v>225</v>
      </c>
      <c r="C28" s="139">
        <f t="shared" si="6"/>
        <v>5.0641458474004049</v>
      </c>
      <c r="E28" s="140">
        <f>SUM(E30:E34)</f>
        <v>90</v>
      </c>
      <c r="F28" s="105">
        <f t="shared" si="0"/>
        <v>40</v>
      </c>
      <c r="H28" s="140">
        <f>SUM(H30:H34)</f>
        <v>9</v>
      </c>
      <c r="I28" s="105">
        <f t="shared" si="1"/>
        <v>4</v>
      </c>
      <c r="K28" s="140">
        <f>SUM(K30:K34)</f>
        <v>25</v>
      </c>
      <c r="L28" s="105">
        <f t="shared" si="2"/>
        <v>11.111111111111111</v>
      </c>
      <c r="M28" s="116"/>
      <c r="N28" s="140">
        <f>SUM(N30:N34)</f>
        <v>52</v>
      </c>
      <c r="O28" s="105">
        <f t="shared" si="3"/>
        <v>23.111111111111111</v>
      </c>
      <c r="P28" s="135"/>
      <c r="Q28" s="140">
        <f>SUM(Q29)</f>
        <v>49</v>
      </c>
      <c r="R28" s="105">
        <f t="shared" si="4"/>
        <v>21.777777777777775</v>
      </c>
      <c r="S28" s="135"/>
    </row>
    <row r="29" spans="1:19" ht="13.25" customHeight="1">
      <c r="A29" s="95" t="s">
        <v>171</v>
      </c>
      <c r="B29" s="169">
        <f t="shared" si="5"/>
        <v>225</v>
      </c>
      <c r="C29" s="139">
        <f t="shared" si="6"/>
        <v>5.0641458474004049</v>
      </c>
      <c r="E29" s="140">
        <f>SUM(E30:E34)</f>
        <v>90</v>
      </c>
      <c r="F29" s="105">
        <f t="shared" si="0"/>
        <v>40</v>
      </c>
      <c r="H29" s="140">
        <f>SUM(H30:H34)</f>
        <v>9</v>
      </c>
      <c r="I29" s="105">
        <f t="shared" si="1"/>
        <v>4</v>
      </c>
      <c r="K29" s="140">
        <f>SUM(K30:K34)</f>
        <v>25</v>
      </c>
      <c r="L29" s="105">
        <f t="shared" si="2"/>
        <v>11.111111111111111</v>
      </c>
      <c r="M29" s="116"/>
      <c r="N29" s="140">
        <f>SUM(N30:N34)</f>
        <v>52</v>
      </c>
      <c r="O29" s="105">
        <f t="shared" si="3"/>
        <v>23.111111111111111</v>
      </c>
      <c r="P29" s="135"/>
      <c r="Q29" s="140">
        <f>SUM(Q30:Q34)</f>
        <v>49</v>
      </c>
      <c r="R29" s="105">
        <f t="shared" si="4"/>
        <v>21.777777777777775</v>
      </c>
      <c r="S29" s="135"/>
    </row>
    <row r="30" spans="1:19" ht="13.25" customHeight="1">
      <c r="A30" s="95" t="s">
        <v>172</v>
      </c>
      <c r="B30" s="169">
        <f t="shared" si="5"/>
        <v>17</v>
      </c>
      <c r="C30" s="139">
        <f t="shared" si="6"/>
        <v>0.38262435291469726</v>
      </c>
      <c r="E30" s="304">
        <v>6</v>
      </c>
      <c r="F30" s="105">
        <f t="shared" si="0"/>
        <v>35.294117647058826</v>
      </c>
      <c r="G30" s="304"/>
      <c r="H30" s="304">
        <v>0</v>
      </c>
      <c r="I30" s="105">
        <f t="shared" si="1"/>
        <v>0</v>
      </c>
      <c r="J30" s="304"/>
      <c r="K30" s="304">
        <v>3</v>
      </c>
      <c r="L30" s="105">
        <f t="shared" si="2"/>
        <v>17.647058823529413</v>
      </c>
      <c r="M30" s="304"/>
      <c r="N30" s="304">
        <v>3</v>
      </c>
      <c r="O30" s="105">
        <f t="shared" si="3"/>
        <v>17.647058823529413</v>
      </c>
      <c r="P30" s="304"/>
      <c r="Q30" s="304">
        <v>5</v>
      </c>
      <c r="R30" s="105">
        <f t="shared" si="4"/>
        <v>29.411764705882355</v>
      </c>
      <c r="S30" s="135"/>
    </row>
    <row r="31" spans="1:19" ht="13.25" customHeight="1">
      <c r="A31" s="95" t="s">
        <v>173</v>
      </c>
      <c r="B31" s="169">
        <f t="shared" si="5"/>
        <v>55</v>
      </c>
      <c r="C31" s="139">
        <f t="shared" si="6"/>
        <v>1.2379023182534323</v>
      </c>
      <c r="E31" s="304">
        <v>11</v>
      </c>
      <c r="F31" s="105">
        <f t="shared" si="0"/>
        <v>20</v>
      </c>
      <c r="G31" s="304"/>
      <c r="H31" s="304">
        <v>5</v>
      </c>
      <c r="I31" s="105">
        <f t="shared" si="1"/>
        <v>9.0909090909090917</v>
      </c>
      <c r="J31" s="304"/>
      <c r="K31" s="304">
        <v>11</v>
      </c>
      <c r="L31" s="105">
        <f t="shared" si="2"/>
        <v>20</v>
      </c>
      <c r="M31" s="304"/>
      <c r="N31" s="304">
        <v>13</v>
      </c>
      <c r="O31" s="105">
        <f t="shared" si="3"/>
        <v>23.636363636363637</v>
      </c>
      <c r="P31" s="304"/>
      <c r="Q31" s="304">
        <v>15</v>
      </c>
      <c r="R31" s="105">
        <f t="shared" si="4"/>
        <v>27.27272727272727</v>
      </c>
      <c r="S31" s="135"/>
    </row>
    <row r="32" spans="1:19" ht="13.25" customHeight="1">
      <c r="A32" s="95" t="s">
        <v>174</v>
      </c>
      <c r="B32" s="169">
        <f t="shared" si="5"/>
        <v>16</v>
      </c>
      <c r="C32" s="139">
        <f t="shared" si="6"/>
        <v>0.36011703803736211</v>
      </c>
      <c r="E32" s="304">
        <v>3</v>
      </c>
      <c r="F32" s="105">
        <f t="shared" si="0"/>
        <v>18.75</v>
      </c>
      <c r="G32" s="304"/>
      <c r="H32" s="304">
        <v>1</v>
      </c>
      <c r="I32" s="105">
        <f t="shared" si="1"/>
        <v>6.25</v>
      </c>
      <c r="J32" s="304"/>
      <c r="K32" s="304">
        <v>1</v>
      </c>
      <c r="L32" s="105">
        <f t="shared" si="2"/>
        <v>6.25</v>
      </c>
      <c r="M32" s="304"/>
      <c r="N32" s="304">
        <v>6</v>
      </c>
      <c r="O32" s="105">
        <f t="shared" si="3"/>
        <v>37.5</v>
      </c>
      <c r="P32" s="304"/>
      <c r="Q32" s="304">
        <v>5</v>
      </c>
      <c r="R32" s="105">
        <f t="shared" si="4"/>
        <v>31.25</v>
      </c>
      <c r="S32" s="135"/>
    </row>
    <row r="33" spans="1:19" ht="13.25" customHeight="1">
      <c r="A33" s="95" t="s">
        <v>175</v>
      </c>
      <c r="B33" s="169">
        <f t="shared" si="5"/>
        <v>94</v>
      </c>
      <c r="C33" s="139">
        <f t="shared" si="6"/>
        <v>2.1156875984695027</v>
      </c>
      <c r="E33" s="304">
        <v>45</v>
      </c>
      <c r="F33" s="105">
        <f t="shared" si="0"/>
        <v>47.872340425531917</v>
      </c>
      <c r="G33" s="304"/>
      <c r="H33" s="304">
        <v>3</v>
      </c>
      <c r="I33" s="105">
        <f t="shared" si="1"/>
        <v>3.1914893617021276</v>
      </c>
      <c r="J33" s="304"/>
      <c r="K33" s="304">
        <v>5</v>
      </c>
      <c r="L33" s="105">
        <f t="shared" si="2"/>
        <v>5.3191489361702127</v>
      </c>
      <c r="M33" s="304"/>
      <c r="N33" s="304">
        <v>27</v>
      </c>
      <c r="O33" s="105">
        <f t="shared" si="3"/>
        <v>28.723404255319153</v>
      </c>
      <c r="P33" s="304"/>
      <c r="Q33" s="304">
        <v>14</v>
      </c>
      <c r="R33" s="105">
        <f t="shared" si="4"/>
        <v>14.893617021276595</v>
      </c>
      <c r="S33" s="135"/>
    </row>
    <row r="34" spans="1:19" ht="12" customHeight="1">
      <c r="A34" s="95" t="s">
        <v>176</v>
      </c>
      <c r="B34" s="169">
        <f t="shared" si="5"/>
        <v>43</v>
      </c>
      <c r="C34" s="139">
        <f t="shared" si="6"/>
        <v>0.96781453972541076</v>
      </c>
      <c r="E34" s="304">
        <v>25</v>
      </c>
      <c r="F34" s="105">
        <f t="shared" si="0"/>
        <v>58.139534883720934</v>
      </c>
      <c r="G34" s="304"/>
      <c r="H34" s="304">
        <v>0</v>
      </c>
      <c r="I34" s="105">
        <f t="shared" si="1"/>
        <v>0</v>
      </c>
      <c r="J34" s="304"/>
      <c r="K34" s="304">
        <v>5</v>
      </c>
      <c r="L34" s="105">
        <f t="shared" si="2"/>
        <v>11.627906976744185</v>
      </c>
      <c r="M34" s="304"/>
      <c r="N34" s="304">
        <v>3</v>
      </c>
      <c r="O34" s="105">
        <f t="shared" si="3"/>
        <v>6.9767441860465116</v>
      </c>
      <c r="P34" s="304"/>
      <c r="Q34" s="304">
        <v>10</v>
      </c>
      <c r="R34" s="105">
        <f t="shared" si="4"/>
        <v>23.255813953488371</v>
      </c>
      <c r="S34" s="135"/>
    </row>
    <row r="35" spans="1:19" ht="10" customHeight="1">
      <c r="B35" s="169" t="str">
        <f t="shared" si="5"/>
        <v/>
      </c>
      <c r="C35" s="139" t="str">
        <f t="shared" si="6"/>
        <v/>
      </c>
      <c r="F35" s="105" t="str">
        <f t="shared" si="0"/>
        <v/>
      </c>
      <c r="I35" s="105" t="str">
        <f t="shared" si="1"/>
        <v/>
      </c>
      <c r="L35" s="105" t="str">
        <f t="shared" si="2"/>
        <v/>
      </c>
      <c r="M35" s="116"/>
      <c r="O35" s="105" t="str">
        <f t="shared" si="3"/>
        <v/>
      </c>
      <c r="P35" s="135"/>
      <c r="Q35" s="140"/>
      <c r="R35" s="105" t="str">
        <f t="shared" si="4"/>
        <v/>
      </c>
      <c r="S35" s="135"/>
    </row>
    <row r="36" spans="1:19" ht="13.25" customHeight="1">
      <c r="A36" s="55" t="s">
        <v>406</v>
      </c>
      <c r="B36" s="169">
        <f t="shared" si="5"/>
        <v>922</v>
      </c>
      <c r="C36" s="139">
        <f t="shared" si="6"/>
        <v>20.751744316902993</v>
      </c>
      <c r="E36" s="140">
        <f>E37+E43+E53+E55</f>
        <v>88</v>
      </c>
      <c r="F36" s="105">
        <f t="shared" si="0"/>
        <v>9.5444685466377432</v>
      </c>
      <c r="H36" s="140">
        <f>H37+H43+H53+H55</f>
        <v>49</v>
      </c>
      <c r="I36" s="105">
        <f t="shared" si="1"/>
        <v>5.3145336225596527</v>
      </c>
      <c r="K36" s="140">
        <f>K37+K43+K53+K55</f>
        <v>179</v>
      </c>
      <c r="L36" s="105">
        <f t="shared" si="2"/>
        <v>19.414316702819956</v>
      </c>
      <c r="M36" s="116"/>
      <c r="N36" s="140">
        <f>N37+N43+N53+N55</f>
        <v>363</v>
      </c>
      <c r="O36" s="105">
        <f t="shared" si="3"/>
        <v>39.370932754880691</v>
      </c>
      <c r="P36" s="135"/>
      <c r="Q36" s="140">
        <f>Q37+Q43+Q53+Q55</f>
        <v>243</v>
      </c>
      <c r="R36" s="105">
        <f t="shared" si="4"/>
        <v>26.35574837310195</v>
      </c>
      <c r="S36" s="135"/>
    </row>
    <row r="37" spans="1:19" ht="13.25" customHeight="1">
      <c r="A37" s="95" t="s">
        <v>178</v>
      </c>
      <c r="B37" s="169">
        <f t="shared" si="5"/>
        <v>226</v>
      </c>
      <c r="C37" s="139">
        <f t="shared" si="6"/>
        <v>5.0866531622777407</v>
      </c>
      <c r="E37" s="140">
        <f>SUM(E38:E41)</f>
        <v>15</v>
      </c>
      <c r="F37" s="105">
        <f t="shared" si="0"/>
        <v>6.6371681415929213</v>
      </c>
      <c r="H37" s="140">
        <f>SUM(H38:H41)</f>
        <v>12</v>
      </c>
      <c r="I37" s="105">
        <f t="shared" si="1"/>
        <v>5.3097345132743365</v>
      </c>
      <c r="K37" s="140">
        <f>SUM(K38:K41)</f>
        <v>49</v>
      </c>
      <c r="L37" s="105">
        <f t="shared" si="2"/>
        <v>21.681415929203538</v>
      </c>
      <c r="M37" s="116"/>
      <c r="N37" s="140">
        <f>SUM(N38:N41)</f>
        <v>114</v>
      </c>
      <c r="O37" s="105">
        <f t="shared" si="3"/>
        <v>50.442477876106196</v>
      </c>
      <c r="P37" s="135"/>
      <c r="Q37" s="140">
        <f>SUM(Q38:Q41)</f>
        <v>36</v>
      </c>
      <c r="R37" s="105">
        <f t="shared" si="4"/>
        <v>15.929203539823009</v>
      </c>
      <c r="S37" s="135"/>
    </row>
    <row r="38" spans="1:19" ht="13.25" customHeight="1">
      <c r="A38" s="95" t="s">
        <v>179</v>
      </c>
      <c r="B38" s="169">
        <f>IF($A38&lt;&gt;"",E38+H38+K38+N38+Q38,"")</f>
        <v>103</v>
      </c>
      <c r="C38" s="139">
        <f t="shared" si="6"/>
        <v>2.3182534323655188</v>
      </c>
      <c r="E38" s="304">
        <v>6</v>
      </c>
      <c r="F38" s="105">
        <f t="shared" si="0"/>
        <v>5.825242718446602</v>
      </c>
      <c r="G38" s="304"/>
      <c r="H38" s="304">
        <v>3</v>
      </c>
      <c r="I38" s="105">
        <f t="shared" si="1"/>
        <v>2.912621359223301</v>
      </c>
      <c r="J38" s="304"/>
      <c r="K38" s="304">
        <v>27</v>
      </c>
      <c r="L38" s="105">
        <f t="shared" si="2"/>
        <v>26.21359223300971</v>
      </c>
      <c r="M38" s="304"/>
      <c r="N38" s="304">
        <v>46</v>
      </c>
      <c r="O38" s="105">
        <f t="shared" si="3"/>
        <v>44.660194174757287</v>
      </c>
      <c r="P38" s="304"/>
      <c r="Q38" s="304">
        <v>21</v>
      </c>
      <c r="R38" s="105">
        <f>IF($A38&lt;&gt;0,Q38/$B38*100,"")</f>
        <v>20.388349514563107</v>
      </c>
      <c r="S38" s="135"/>
    </row>
    <row r="39" spans="1:19" ht="13.25" customHeight="1">
      <c r="A39" s="95" t="s">
        <v>180</v>
      </c>
      <c r="B39" s="169">
        <f>IF($A39&lt;&gt;"",E39+H39+K39+N39+Q39,"")</f>
        <v>71</v>
      </c>
      <c r="C39" s="139">
        <f t="shared" si="6"/>
        <v>1.5980193562907945</v>
      </c>
      <c r="E39" s="304">
        <v>4</v>
      </c>
      <c r="F39" s="105">
        <f t="shared" si="0"/>
        <v>5.6338028169014089</v>
      </c>
      <c r="G39" s="304"/>
      <c r="H39" s="304">
        <v>1</v>
      </c>
      <c r="I39" s="105">
        <f t="shared" si="1"/>
        <v>1.4084507042253522</v>
      </c>
      <c r="J39" s="304"/>
      <c r="K39" s="304">
        <v>16</v>
      </c>
      <c r="L39" s="105">
        <f t="shared" si="2"/>
        <v>22.535211267605636</v>
      </c>
      <c r="M39" s="304"/>
      <c r="N39" s="304">
        <v>42</v>
      </c>
      <c r="O39" s="105">
        <f t="shared" si="3"/>
        <v>59.154929577464785</v>
      </c>
      <c r="P39" s="304"/>
      <c r="Q39" s="304">
        <v>8</v>
      </c>
      <c r="R39" s="105">
        <f>IF($A39&lt;&gt;0,Q39/$B39*100,"")</f>
        <v>11.267605633802818</v>
      </c>
      <c r="S39" s="135"/>
    </row>
    <row r="40" spans="1:19" ht="13.25" customHeight="1">
      <c r="A40" s="95" t="s">
        <v>181</v>
      </c>
      <c r="B40" s="169">
        <f>IF($A40&lt;&gt;"",E40+H40+K40+N40+Q40,"")</f>
        <v>28</v>
      </c>
      <c r="C40" s="139">
        <f t="shared" si="6"/>
        <v>0.63020481656538374</v>
      </c>
      <c r="E40" s="304">
        <v>1</v>
      </c>
      <c r="F40" s="105">
        <f t="shared" si="0"/>
        <v>3.5714285714285712</v>
      </c>
      <c r="G40" s="304"/>
      <c r="H40" s="304">
        <v>4</v>
      </c>
      <c r="I40" s="105">
        <f t="shared" si="1"/>
        <v>14.285714285714285</v>
      </c>
      <c r="J40" s="304"/>
      <c r="K40" s="304">
        <v>2</v>
      </c>
      <c r="L40" s="105">
        <f t="shared" si="2"/>
        <v>7.1428571428571423</v>
      </c>
      <c r="M40" s="304"/>
      <c r="N40" s="304">
        <v>15</v>
      </c>
      <c r="O40" s="105">
        <f t="shared" si="3"/>
        <v>53.571428571428569</v>
      </c>
      <c r="P40" s="304"/>
      <c r="Q40" s="304">
        <v>6</v>
      </c>
      <c r="R40" s="105">
        <f>IF($A40&lt;&gt;0,Q40/$B40*100,"")</f>
        <v>21.428571428571427</v>
      </c>
      <c r="S40" s="135"/>
    </row>
    <row r="41" spans="1:19" ht="12" customHeight="1">
      <c r="A41" s="95" t="s">
        <v>182</v>
      </c>
      <c r="B41" s="169">
        <f>IF($A41&lt;&gt;"",E41+H41+K41+N41+Q41,"")</f>
        <v>24</v>
      </c>
      <c r="C41" s="139">
        <f t="shared" si="6"/>
        <v>0.54017555705604325</v>
      </c>
      <c r="E41" s="304">
        <v>4</v>
      </c>
      <c r="F41" s="105">
        <f t="shared" si="0"/>
        <v>16.666666666666664</v>
      </c>
      <c r="G41" s="304"/>
      <c r="H41" s="304">
        <v>4</v>
      </c>
      <c r="I41" s="105">
        <f t="shared" si="1"/>
        <v>16.666666666666664</v>
      </c>
      <c r="J41" s="304"/>
      <c r="K41" s="304">
        <v>4</v>
      </c>
      <c r="L41" s="105">
        <f t="shared" si="2"/>
        <v>16.666666666666664</v>
      </c>
      <c r="M41" s="304"/>
      <c r="N41" s="304">
        <v>11</v>
      </c>
      <c r="O41" s="105">
        <f t="shared" si="3"/>
        <v>45.833333333333329</v>
      </c>
      <c r="P41" s="304"/>
      <c r="Q41" s="304">
        <v>1</v>
      </c>
      <c r="R41" s="105">
        <f>IF($A41&lt;&gt;0,Q41/$B41*100,"")</f>
        <v>4.1666666666666661</v>
      </c>
      <c r="S41" s="135"/>
    </row>
    <row r="42" spans="1:19" ht="10" customHeight="1">
      <c r="B42" s="169" t="str">
        <f t="shared" si="5"/>
        <v/>
      </c>
      <c r="C42" s="139" t="str">
        <f t="shared" si="6"/>
        <v/>
      </c>
      <c r="F42" s="105" t="str">
        <f t="shared" si="0"/>
        <v/>
      </c>
      <c r="I42" s="105" t="str">
        <f t="shared" si="1"/>
        <v/>
      </c>
      <c r="L42" s="105" t="str">
        <f t="shared" si="2"/>
        <v/>
      </c>
      <c r="M42" s="116"/>
      <c r="O42" s="105" t="str">
        <f t="shared" si="3"/>
        <v/>
      </c>
      <c r="P42" s="135"/>
      <c r="Q42" s="140"/>
      <c r="R42" s="105" t="str">
        <f t="shared" si="4"/>
        <v/>
      </c>
      <c r="S42" s="135"/>
    </row>
    <row r="43" spans="1:19" ht="13.25" customHeight="1">
      <c r="A43" s="95" t="s">
        <v>183</v>
      </c>
      <c r="B43" s="169">
        <f t="shared" si="5"/>
        <v>315</v>
      </c>
      <c r="C43" s="139">
        <f t="shared" si="6"/>
        <v>7.089804186360567</v>
      </c>
      <c r="E43" s="140">
        <f>SUM(E44:E51)</f>
        <v>29</v>
      </c>
      <c r="F43" s="105">
        <f t="shared" si="0"/>
        <v>9.2063492063492074</v>
      </c>
      <c r="H43" s="140">
        <f>SUM(H44:H51)</f>
        <v>26</v>
      </c>
      <c r="I43" s="105">
        <f t="shared" si="1"/>
        <v>8.2539682539682531</v>
      </c>
      <c r="K43" s="140">
        <f>SUM(K44:K51)</f>
        <v>69</v>
      </c>
      <c r="L43" s="105">
        <f t="shared" si="2"/>
        <v>21.904761904761905</v>
      </c>
      <c r="M43" s="116"/>
      <c r="N43" s="140">
        <f>SUM(N44:N51)</f>
        <v>109</v>
      </c>
      <c r="O43" s="105">
        <f t="shared" si="3"/>
        <v>34.603174603174601</v>
      </c>
      <c r="P43" s="135"/>
      <c r="Q43" s="140">
        <f>SUM(Q44:Q51)</f>
        <v>82</v>
      </c>
      <c r="R43" s="105">
        <f t="shared" si="4"/>
        <v>26.031746031746035</v>
      </c>
      <c r="S43" s="135"/>
    </row>
    <row r="44" spans="1:19" ht="13.25" customHeight="1">
      <c r="A44" s="95" t="s">
        <v>185</v>
      </c>
      <c r="B44" s="169">
        <f t="shared" si="5"/>
        <v>49</v>
      </c>
      <c r="C44" s="139">
        <f t="shared" si="6"/>
        <v>1.1028584289894217</v>
      </c>
      <c r="E44" s="304">
        <v>2</v>
      </c>
      <c r="F44" s="105">
        <f t="shared" si="0"/>
        <v>4.0816326530612246</v>
      </c>
      <c r="G44" s="304"/>
      <c r="H44" s="304">
        <v>8</v>
      </c>
      <c r="I44" s="105">
        <f t="shared" si="1"/>
        <v>16.326530612244898</v>
      </c>
      <c r="J44" s="304"/>
      <c r="K44" s="304">
        <v>16</v>
      </c>
      <c r="L44" s="105">
        <f t="shared" si="2"/>
        <v>32.653061224489797</v>
      </c>
      <c r="M44" s="304"/>
      <c r="N44" s="304">
        <v>22</v>
      </c>
      <c r="O44" s="105">
        <f t="shared" si="3"/>
        <v>44.897959183673471</v>
      </c>
      <c r="P44" s="304"/>
      <c r="Q44" s="304">
        <v>1</v>
      </c>
      <c r="R44" s="105">
        <f t="shared" si="4"/>
        <v>2.0408163265306123</v>
      </c>
      <c r="S44" s="135"/>
    </row>
    <row r="45" spans="1:19" ht="13.25" customHeight="1">
      <c r="A45" s="95" t="s">
        <v>407</v>
      </c>
      <c r="B45" s="169">
        <f t="shared" si="5"/>
        <v>15</v>
      </c>
      <c r="C45" s="139">
        <f>IF(A45&lt;&gt;0,B45/$B$11*100,"")</f>
        <v>0.33760972316002702</v>
      </c>
      <c r="E45" s="304">
        <v>2</v>
      </c>
      <c r="F45" s="105">
        <f t="shared" si="0"/>
        <v>13.333333333333334</v>
      </c>
      <c r="G45" s="304"/>
      <c r="H45" s="304">
        <v>0</v>
      </c>
      <c r="I45" s="105">
        <f t="shared" si="1"/>
        <v>0</v>
      </c>
      <c r="J45" s="304"/>
      <c r="K45" s="304">
        <v>4</v>
      </c>
      <c r="L45" s="105">
        <f t="shared" si="2"/>
        <v>26.666666666666668</v>
      </c>
      <c r="M45" s="304"/>
      <c r="N45" s="304">
        <v>7</v>
      </c>
      <c r="O45" s="105">
        <f t="shared" si="3"/>
        <v>46.666666666666664</v>
      </c>
      <c r="P45" s="304"/>
      <c r="Q45" s="304">
        <v>2</v>
      </c>
      <c r="R45" s="105">
        <f t="shared" si="4"/>
        <v>13.333333333333334</v>
      </c>
      <c r="S45" s="135"/>
    </row>
    <row r="46" spans="1:19" ht="13.25" customHeight="1">
      <c r="A46" s="95" t="s">
        <v>184</v>
      </c>
      <c r="B46" s="169">
        <f t="shared" si="5"/>
        <v>31</v>
      </c>
      <c r="C46" s="139">
        <f>IF(A46&lt;&gt;0,B46/$B$11*100,"")</f>
        <v>0.69772676119738919</v>
      </c>
      <c r="E46" s="304">
        <v>2</v>
      </c>
      <c r="F46" s="105">
        <f t="shared" si="0"/>
        <v>6.4516129032258061</v>
      </c>
      <c r="G46" s="304"/>
      <c r="H46" s="304">
        <v>1</v>
      </c>
      <c r="I46" s="105">
        <f t="shared" si="1"/>
        <v>3.225806451612903</v>
      </c>
      <c r="J46" s="304"/>
      <c r="K46" s="304">
        <v>12</v>
      </c>
      <c r="L46" s="105">
        <f t="shared" si="2"/>
        <v>38.70967741935484</v>
      </c>
      <c r="M46" s="304"/>
      <c r="N46" s="304">
        <v>10</v>
      </c>
      <c r="O46" s="105">
        <f t="shared" si="3"/>
        <v>32.258064516129032</v>
      </c>
      <c r="P46" s="304"/>
      <c r="Q46" s="304">
        <v>6</v>
      </c>
      <c r="R46" s="105"/>
      <c r="S46" s="135"/>
    </row>
    <row r="47" spans="1:19" ht="13.25" customHeight="1">
      <c r="A47" s="95" t="s">
        <v>186</v>
      </c>
      <c r="B47" s="169">
        <f t="shared" si="5"/>
        <v>36</v>
      </c>
      <c r="C47" s="139">
        <f t="shared" si="6"/>
        <v>0.81026333558406483</v>
      </c>
      <c r="E47" s="304">
        <v>5</v>
      </c>
      <c r="F47" s="105">
        <f t="shared" si="0"/>
        <v>13.888888888888889</v>
      </c>
      <c r="G47" s="304"/>
      <c r="H47" s="304">
        <v>4</v>
      </c>
      <c r="I47" s="105">
        <f t="shared" si="1"/>
        <v>11.111111111111111</v>
      </c>
      <c r="J47" s="304"/>
      <c r="K47" s="304">
        <v>8</v>
      </c>
      <c r="L47" s="105">
        <f t="shared" si="2"/>
        <v>22.222222222222221</v>
      </c>
      <c r="M47" s="304"/>
      <c r="N47" s="304">
        <v>16</v>
      </c>
      <c r="O47" s="105">
        <f t="shared" si="3"/>
        <v>44.444444444444443</v>
      </c>
      <c r="P47" s="304"/>
      <c r="Q47" s="304">
        <v>3</v>
      </c>
      <c r="R47" s="105">
        <f t="shared" si="4"/>
        <v>8.3333333333333321</v>
      </c>
      <c r="S47" s="135"/>
    </row>
    <row r="48" spans="1:19" ht="13.25" customHeight="1">
      <c r="A48" s="95" t="s">
        <v>408</v>
      </c>
      <c r="B48" s="169">
        <f t="shared" si="5"/>
        <v>34</v>
      </c>
      <c r="C48" s="139">
        <f t="shared" si="6"/>
        <v>0.76524870582939453</v>
      </c>
      <c r="E48" s="304">
        <v>3</v>
      </c>
      <c r="F48" s="105">
        <f t="shared" si="0"/>
        <v>8.8235294117647065</v>
      </c>
      <c r="G48" s="304"/>
      <c r="H48" s="304">
        <v>4</v>
      </c>
      <c r="I48" s="105">
        <f t="shared" si="1"/>
        <v>11.76470588235294</v>
      </c>
      <c r="J48" s="304"/>
      <c r="K48" s="304">
        <v>8</v>
      </c>
      <c r="L48" s="105">
        <f t="shared" si="2"/>
        <v>23.52941176470588</v>
      </c>
      <c r="M48" s="304"/>
      <c r="N48" s="304">
        <v>17</v>
      </c>
      <c r="O48" s="105">
        <f t="shared" si="3"/>
        <v>50</v>
      </c>
      <c r="P48" s="304"/>
      <c r="Q48" s="304">
        <v>2</v>
      </c>
      <c r="R48" s="105">
        <f t="shared" si="4"/>
        <v>5.8823529411764701</v>
      </c>
      <c r="S48" s="135"/>
    </row>
    <row r="49" spans="1:19" ht="13.25" customHeight="1">
      <c r="A49" s="95" t="s">
        <v>190</v>
      </c>
      <c r="B49" s="169">
        <f t="shared" si="5"/>
        <v>24</v>
      </c>
      <c r="C49" s="139">
        <f t="shared" si="6"/>
        <v>0.54017555705604325</v>
      </c>
      <c r="E49" s="304">
        <v>3</v>
      </c>
      <c r="F49" s="105">
        <f t="shared" si="0"/>
        <v>12.5</v>
      </c>
      <c r="G49" s="304"/>
      <c r="H49" s="304">
        <v>4</v>
      </c>
      <c r="I49" s="105">
        <f t="shared" si="1"/>
        <v>16.666666666666664</v>
      </c>
      <c r="J49" s="304"/>
      <c r="K49" s="304">
        <v>5</v>
      </c>
      <c r="L49" s="105">
        <f t="shared" si="2"/>
        <v>20.833333333333336</v>
      </c>
      <c r="M49" s="304"/>
      <c r="N49" s="304">
        <v>10</v>
      </c>
      <c r="O49" s="105">
        <f t="shared" si="3"/>
        <v>41.666666666666671</v>
      </c>
      <c r="P49" s="304"/>
      <c r="Q49" s="304">
        <v>2</v>
      </c>
      <c r="R49" s="105">
        <f t="shared" si="4"/>
        <v>8.3333333333333321</v>
      </c>
      <c r="S49" s="135"/>
    </row>
    <row r="50" spans="1:19" ht="13.25" customHeight="1">
      <c r="A50" s="95" t="s">
        <v>189</v>
      </c>
      <c r="B50" s="169">
        <f t="shared" si="5"/>
        <v>92</v>
      </c>
      <c r="C50" s="139">
        <f t="shared" si="6"/>
        <v>2.0706729687148324</v>
      </c>
      <c r="E50" s="304">
        <v>3</v>
      </c>
      <c r="F50" s="105">
        <f t="shared" si="0"/>
        <v>3.2608695652173911</v>
      </c>
      <c r="G50" s="304"/>
      <c r="H50" s="304">
        <v>3</v>
      </c>
      <c r="I50" s="105">
        <f t="shared" si="1"/>
        <v>3.2608695652173911</v>
      </c>
      <c r="J50" s="304"/>
      <c r="K50" s="304">
        <v>10</v>
      </c>
      <c r="L50" s="105">
        <f t="shared" si="2"/>
        <v>10.869565217391305</v>
      </c>
      <c r="M50" s="304"/>
      <c r="N50" s="304">
        <v>15</v>
      </c>
      <c r="O50" s="105">
        <f t="shared" si="3"/>
        <v>16.304347826086957</v>
      </c>
      <c r="P50" s="304"/>
      <c r="Q50" s="304">
        <v>61</v>
      </c>
      <c r="R50" s="105">
        <f t="shared" si="4"/>
        <v>66.304347826086953</v>
      </c>
      <c r="S50" s="135"/>
    </row>
    <row r="51" spans="1:19" ht="12" customHeight="1">
      <c r="A51" s="95" t="s">
        <v>188</v>
      </c>
      <c r="B51" s="169">
        <f t="shared" si="5"/>
        <v>34</v>
      </c>
      <c r="C51" s="139">
        <f t="shared" si="6"/>
        <v>0.76524870582939453</v>
      </c>
      <c r="E51" s="304">
        <v>9</v>
      </c>
      <c r="F51" s="105">
        <f t="shared" si="0"/>
        <v>26.47058823529412</v>
      </c>
      <c r="G51" s="304"/>
      <c r="H51" s="304">
        <v>2</v>
      </c>
      <c r="I51" s="105">
        <f t="shared" si="1"/>
        <v>5.8823529411764701</v>
      </c>
      <c r="J51" s="304"/>
      <c r="K51" s="304">
        <v>6</v>
      </c>
      <c r="L51" s="105">
        <f t="shared" si="2"/>
        <v>17.647058823529413</v>
      </c>
      <c r="M51" s="304"/>
      <c r="N51" s="304">
        <v>12</v>
      </c>
      <c r="O51" s="105">
        <f t="shared" si="3"/>
        <v>35.294117647058826</v>
      </c>
      <c r="P51" s="304"/>
      <c r="Q51" s="304">
        <v>5</v>
      </c>
      <c r="R51" s="105">
        <f t="shared" si="4"/>
        <v>14.705882352941178</v>
      </c>
      <c r="S51" s="135"/>
    </row>
    <row r="52" spans="1:19" ht="10" customHeight="1">
      <c r="B52" s="169" t="str">
        <f t="shared" si="5"/>
        <v/>
      </c>
      <c r="C52" s="139" t="str">
        <f t="shared" si="6"/>
        <v/>
      </c>
      <c r="E52" s="304"/>
      <c r="F52" s="105" t="str">
        <f t="shared" si="0"/>
        <v/>
      </c>
      <c r="G52" s="304"/>
      <c r="H52" s="304"/>
      <c r="I52" s="105" t="str">
        <f t="shared" si="1"/>
        <v/>
      </c>
      <c r="J52" s="304"/>
      <c r="K52" s="304"/>
      <c r="L52" s="105" t="str">
        <f t="shared" si="2"/>
        <v/>
      </c>
      <c r="M52" s="304"/>
      <c r="N52" s="304"/>
      <c r="O52" s="105" t="str">
        <f t="shared" si="3"/>
        <v/>
      </c>
      <c r="P52" s="304"/>
      <c r="Q52" s="304"/>
      <c r="R52" s="105" t="str">
        <f t="shared" si="4"/>
        <v/>
      </c>
      <c r="S52" s="135"/>
    </row>
    <row r="53" spans="1:19" ht="12" customHeight="1">
      <c r="A53" s="95" t="s">
        <v>192</v>
      </c>
      <c r="B53" s="169">
        <f t="shared" si="5"/>
        <v>115</v>
      </c>
      <c r="C53" s="139">
        <f t="shared" si="6"/>
        <v>2.5883412108935402</v>
      </c>
      <c r="E53" s="304">
        <v>13</v>
      </c>
      <c r="F53" s="105">
        <f t="shared" si="0"/>
        <v>11.304347826086957</v>
      </c>
      <c r="G53" s="304"/>
      <c r="H53" s="304">
        <v>1</v>
      </c>
      <c r="I53" s="105">
        <f t="shared" si="1"/>
        <v>0.86956521739130432</v>
      </c>
      <c r="J53" s="304"/>
      <c r="K53" s="304">
        <v>21</v>
      </c>
      <c r="L53" s="105">
        <f t="shared" si="2"/>
        <v>18.260869565217391</v>
      </c>
      <c r="M53" s="304"/>
      <c r="N53" s="304">
        <v>62</v>
      </c>
      <c r="O53" s="105">
        <f t="shared" si="3"/>
        <v>53.913043478260867</v>
      </c>
      <c r="P53" s="304"/>
      <c r="Q53" s="304">
        <v>18</v>
      </c>
      <c r="R53" s="105">
        <f t="shared" si="4"/>
        <v>15.65217391304348</v>
      </c>
      <c r="S53" s="135"/>
    </row>
    <row r="54" spans="1:19" ht="10" customHeight="1">
      <c r="B54" s="169" t="str">
        <f t="shared" si="5"/>
        <v/>
      </c>
      <c r="C54" s="139" t="str">
        <f t="shared" si="6"/>
        <v/>
      </c>
      <c r="F54" s="105" t="str">
        <f t="shared" si="0"/>
        <v/>
      </c>
      <c r="I54" s="105" t="str">
        <f t="shared" si="1"/>
        <v/>
      </c>
      <c r="L54" s="105" t="str">
        <f t="shared" si="2"/>
        <v/>
      </c>
      <c r="M54" s="116"/>
      <c r="O54" s="105" t="str">
        <f t="shared" si="3"/>
        <v/>
      </c>
      <c r="P54" s="135"/>
      <c r="Q54" s="140"/>
      <c r="R54" s="105" t="str">
        <f t="shared" si="4"/>
        <v/>
      </c>
      <c r="S54" s="135"/>
    </row>
    <row r="55" spans="1:19" ht="13.25" customHeight="1">
      <c r="A55" s="95" t="s">
        <v>193</v>
      </c>
      <c r="B55" s="169">
        <f t="shared" si="5"/>
        <v>266</v>
      </c>
      <c r="C55" s="139">
        <f t="shared" si="6"/>
        <v>5.9869457573711458</v>
      </c>
      <c r="E55" s="140">
        <f>SUM(E56:E60)</f>
        <v>31</v>
      </c>
      <c r="F55" s="105">
        <f t="shared" si="0"/>
        <v>11.654135338345863</v>
      </c>
      <c r="H55" s="140">
        <f>SUM(H56:H60)</f>
        <v>10</v>
      </c>
      <c r="I55" s="105">
        <f t="shared" si="1"/>
        <v>3.7593984962406015</v>
      </c>
      <c r="K55" s="140">
        <f>SUM(K56:K60)</f>
        <v>40</v>
      </c>
      <c r="L55" s="105">
        <f t="shared" si="2"/>
        <v>15.037593984962406</v>
      </c>
      <c r="M55" s="116"/>
      <c r="N55" s="140">
        <f>SUM(N56:N60)</f>
        <v>78</v>
      </c>
      <c r="O55" s="105">
        <f t="shared" si="3"/>
        <v>29.323308270676691</v>
      </c>
      <c r="P55" s="135"/>
      <c r="Q55" s="140">
        <f>SUM(Q56:Q60)</f>
        <v>107</v>
      </c>
      <c r="R55" s="105">
        <f t="shared" si="4"/>
        <v>40.225563909774436</v>
      </c>
      <c r="S55" s="135"/>
    </row>
    <row r="56" spans="1:19" ht="13.25" customHeight="1">
      <c r="A56" s="95" t="s">
        <v>194</v>
      </c>
      <c r="B56" s="169">
        <f t="shared" si="5"/>
        <v>24</v>
      </c>
      <c r="C56" s="139">
        <f t="shared" si="6"/>
        <v>0.54017555705604325</v>
      </c>
      <c r="E56" s="304">
        <v>1</v>
      </c>
      <c r="F56" s="105">
        <f t="shared" si="0"/>
        <v>4.1666666666666661</v>
      </c>
      <c r="G56" s="304"/>
      <c r="H56" s="304">
        <v>2</v>
      </c>
      <c r="I56" s="105">
        <f t="shared" si="1"/>
        <v>8.3333333333333321</v>
      </c>
      <c r="J56" s="304"/>
      <c r="K56" s="304">
        <v>7</v>
      </c>
      <c r="L56" s="105">
        <f t="shared" si="2"/>
        <v>29.166666666666668</v>
      </c>
      <c r="M56" s="304"/>
      <c r="N56" s="304">
        <v>11</v>
      </c>
      <c r="O56" s="105">
        <f t="shared" si="3"/>
        <v>45.833333333333329</v>
      </c>
      <c r="P56" s="304"/>
      <c r="Q56" s="304">
        <v>3</v>
      </c>
      <c r="R56" s="105">
        <f t="shared" si="4"/>
        <v>12.5</v>
      </c>
      <c r="S56" s="135"/>
    </row>
    <row r="57" spans="1:19" ht="13.25" customHeight="1">
      <c r="A57" s="95" t="s">
        <v>195</v>
      </c>
      <c r="B57" s="169">
        <f t="shared" si="5"/>
        <v>124</v>
      </c>
      <c r="C57" s="139">
        <f t="shared" si="6"/>
        <v>2.7909070447895568</v>
      </c>
      <c r="E57" s="304">
        <v>14</v>
      </c>
      <c r="F57" s="105">
        <f t="shared" si="0"/>
        <v>11.29032258064516</v>
      </c>
      <c r="G57" s="304"/>
      <c r="H57" s="304">
        <v>1</v>
      </c>
      <c r="I57" s="105">
        <f t="shared" si="1"/>
        <v>0.80645161290322576</v>
      </c>
      <c r="J57" s="304"/>
      <c r="K57" s="304">
        <v>12</v>
      </c>
      <c r="L57" s="105">
        <f t="shared" si="2"/>
        <v>9.67741935483871</v>
      </c>
      <c r="M57" s="304"/>
      <c r="N57" s="304">
        <v>33</v>
      </c>
      <c r="O57" s="105">
        <f t="shared" si="3"/>
        <v>26.612903225806448</v>
      </c>
      <c r="P57" s="304"/>
      <c r="Q57" s="304">
        <v>64</v>
      </c>
      <c r="R57" s="105">
        <f t="shared" si="4"/>
        <v>51.612903225806448</v>
      </c>
      <c r="S57" s="135"/>
    </row>
    <row r="58" spans="1:19" ht="13.25" customHeight="1">
      <c r="A58" s="95" t="s">
        <v>196</v>
      </c>
      <c r="B58" s="169">
        <f t="shared" si="5"/>
        <v>63</v>
      </c>
      <c r="C58" s="139">
        <f t="shared" si="6"/>
        <v>1.4179608372721135</v>
      </c>
      <c r="E58" s="304">
        <v>3</v>
      </c>
      <c r="F58" s="105">
        <f t="shared" si="0"/>
        <v>4.7619047619047619</v>
      </c>
      <c r="G58" s="304"/>
      <c r="H58" s="304">
        <v>2</v>
      </c>
      <c r="I58" s="105">
        <f t="shared" si="1"/>
        <v>3.1746031746031744</v>
      </c>
      <c r="J58" s="304"/>
      <c r="K58" s="304">
        <v>11</v>
      </c>
      <c r="L58" s="105">
        <f t="shared" si="2"/>
        <v>17.460317460317459</v>
      </c>
      <c r="M58" s="304"/>
      <c r="N58" s="304">
        <v>22</v>
      </c>
      <c r="O58" s="105">
        <f t="shared" si="3"/>
        <v>34.920634920634917</v>
      </c>
      <c r="P58" s="304"/>
      <c r="Q58" s="304">
        <v>25</v>
      </c>
      <c r="R58" s="105">
        <f t="shared" si="4"/>
        <v>39.682539682539684</v>
      </c>
      <c r="S58" s="135"/>
    </row>
    <row r="59" spans="1:19" ht="13.25" customHeight="1">
      <c r="A59" s="95" t="s">
        <v>409</v>
      </c>
      <c r="B59" s="169">
        <f t="shared" si="5"/>
        <v>18</v>
      </c>
      <c r="C59" s="139">
        <f t="shared" si="6"/>
        <v>0.40513166779203241</v>
      </c>
      <c r="E59" s="304">
        <v>7</v>
      </c>
      <c r="F59" s="105">
        <f t="shared" si="0"/>
        <v>38.888888888888893</v>
      </c>
      <c r="G59" s="304"/>
      <c r="H59" s="304">
        <v>2</v>
      </c>
      <c r="I59" s="105">
        <f t="shared" si="1"/>
        <v>11.111111111111111</v>
      </c>
      <c r="J59" s="304"/>
      <c r="K59" s="304">
        <v>0</v>
      </c>
      <c r="L59" s="105">
        <f t="shared" si="2"/>
        <v>0</v>
      </c>
      <c r="M59" s="304"/>
      <c r="N59" s="304">
        <v>8</v>
      </c>
      <c r="O59" s="105">
        <f t="shared" si="3"/>
        <v>44.444444444444443</v>
      </c>
      <c r="P59" s="304"/>
      <c r="Q59" s="304">
        <v>1</v>
      </c>
      <c r="R59" s="105">
        <f t="shared" si="4"/>
        <v>5.5555555555555554</v>
      </c>
      <c r="S59" s="135"/>
    </row>
    <row r="60" spans="1:19" ht="12" customHeight="1">
      <c r="A60" s="95" t="s">
        <v>198</v>
      </c>
      <c r="B60" s="169">
        <f t="shared" si="5"/>
        <v>37</v>
      </c>
      <c r="C60" s="139">
        <f t="shared" si="6"/>
        <v>0.83277065046139986</v>
      </c>
      <c r="E60" s="304">
        <v>6</v>
      </c>
      <c r="F60" s="105">
        <f t="shared" si="0"/>
        <v>16.216216216216218</v>
      </c>
      <c r="G60" s="304"/>
      <c r="H60" s="304">
        <v>3</v>
      </c>
      <c r="I60" s="105">
        <f t="shared" si="1"/>
        <v>8.1081081081081088</v>
      </c>
      <c r="J60" s="304"/>
      <c r="K60" s="304">
        <v>10</v>
      </c>
      <c r="L60" s="105">
        <f t="shared" si="2"/>
        <v>27.027027027027028</v>
      </c>
      <c r="M60" s="304"/>
      <c r="N60" s="304">
        <v>4</v>
      </c>
      <c r="O60" s="105">
        <f t="shared" si="3"/>
        <v>10.810810810810811</v>
      </c>
      <c r="P60" s="304"/>
      <c r="Q60" s="304">
        <v>14</v>
      </c>
      <c r="R60" s="105">
        <f t="shared" si="4"/>
        <v>37.837837837837839</v>
      </c>
      <c r="S60" s="135"/>
    </row>
    <row r="61" spans="1:19" ht="10" customHeight="1">
      <c r="B61" s="169" t="str">
        <f t="shared" si="5"/>
        <v/>
      </c>
      <c r="C61" s="139" t="str">
        <f t="shared" si="6"/>
        <v/>
      </c>
      <c r="F61" s="105" t="str">
        <f t="shared" si="0"/>
        <v/>
      </c>
      <c r="I61" s="105" t="str">
        <f t="shared" si="1"/>
        <v/>
      </c>
      <c r="L61" s="105" t="str">
        <f t="shared" si="2"/>
        <v/>
      </c>
      <c r="M61" s="116"/>
      <c r="O61" s="105" t="str">
        <f t="shared" si="3"/>
        <v/>
      </c>
      <c r="P61" s="135"/>
      <c r="Q61" s="140"/>
      <c r="R61" s="105" t="str">
        <f t="shared" si="4"/>
        <v/>
      </c>
      <c r="S61" s="135"/>
    </row>
    <row r="62" spans="1:19" ht="13.25" customHeight="1">
      <c r="A62" s="55" t="s">
        <v>410</v>
      </c>
      <c r="B62" s="169">
        <f t="shared" si="5"/>
        <v>921</v>
      </c>
      <c r="C62" s="139">
        <f t="shared" si="6"/>
        <v>20.729237002025659</v>
      </c>
      <c r="E62" s="140">
        <f>E63+E65+E72+E74</f>
        <v>84</v>
      </c>
      <c r="F62" s="105">
        <f t="shared" si="0"/>
        <v>9.120521172638437</v>
      </c>
      <c r="H62" s="140">
        <f>H63+H65+H72+H74</f>
        <v>24</v>
      </c>
      <c r="I62" s="105">
        <f t="shared" si="1"/>
        <v>2.6058631921824107</v>
      </c>
      <c r="K62" s="140">
        <f>K63+K65+K72+K74</f>
        <v>57</v>
      </c>
      <c r="L62" s="105">
        <f t="shared" si="2"/>
        <v>6.1889250814332248</v>
      </c>
      <c r="M62" s="116"/>
      <c r="N62" s="140">
        <f>N63+N65+N72+N74</f>
        <v>150</v>
      </c>
      <c r="O62" s="105">
        <f t="shared" si="3"/>
        <v>16.286644951140065</v>
      </c>
      <c r="P62" s="135"/>
      <c r="Q62" s="140">
        <f>Q63+Q65+Q72+Q74</f>
        <v>606</v>
      </c>
      <c r="R62" s="105">
        <f t="shared" si="4"/>
        <v>65.798045602605853</v>
      </c>
      <c r="S62" s="135"/>
    </row>
    <row r="63" spans="1:19" ht="12" customHeight="1">
      <c r="A63" s="95" t="s">
        <v>411</v>
      </c>
      <c r="B63" s="169">
        <f t="shared" si="5"/>
        <v>76</v>
      </c>
      <c r="C63" s="139">
        <f t="shared" si="6"/>
        <v>1.7105559306774702</v>
      </c>
      <c r="E63" s="304">
        <v>13</v>
      </c>
      <c r="F63" s="105">
        <f t="shared" si="0"/>
        <v>17.105263157894736</v>
      </c>
      <c r="G63" s="304"/>
      <c r="H63" s="304">
        <v>1</v>
      </c>
      <c r="I63" s="105">
        <f t="shared" si="1"/>
        <v>1.3157894736842104</v>
      </c>
      <c r="J63" s="304"/>
      <c r="K63" s="304">
        <v>3</v>
      </c>
      <c r="L63" s="105">
        <f t="shared" si="2"/>
        <v>3.9473684210526314</v>
      </c>
      <c r="M63" s="304"/>
      <c r="N63" s="304">
        <v>3</v>
      </c>
      <c r="O63" s="105">
        <f t="shared" si="3"/>
        <v>3.9473684210526314</v>
      </c>
      <c r="P63" s="304"/>
      <c r="Q63" s="304">
        <v>56</v>
      </c>
      <c r="R63" s="105">
        <f t="shared" si="4"/>
        <v>73.68421052631578</v>
      </c>
      <c r="S63" s="135"/>
    </row>
    <row r="64" spans="1:19" ht="10" customHeight="1">
      <c r="B64" s="169" t="str">
        <f t="shared" si="5"/>
        <v/>
      </c>
      <c r="C64" s="139" t="str">
        <f t="shared" si="6"/>
        <v/>
      </c>
      <c r="F64" s="105" t="str">
        <f t="shared" si="0"/>
        <v/>
      </c>
      <c r="I64" s="105" t="str">
        <f t="shared" si="1"/>
        <v/>
      </c>
      <c r="L64" s="105" t="str">
        <f t="shared" si="2"/>
        <v/>
      </c>
      <c r="M64" s="116"/>
      <c r="O64" s="105" t="str">
        <f t="shared" si="3"/>
        <v/>
      </c>
      <c r="P64" s="135"/>
      <c r="Q64" s="140"/>
      <c r="R64" s="105" t="str">
        <f t="shared" si="4"/>
        <v/>
      </c>
      <c r="S64" s="135"/>
    </row>
    <row r="65" spans="1:19" ht="13.25" customHeight="1">
      <c r="A65" s="95" t="s">
        <v>202</v>
      </c>
      <c r="B65" s="169">
        <f t="shared" si="5"/>
        <v>673</v>
      </c>
      <c r="C65" s="139">
        <f t="shared" si="6"/>
        <v>15.147422912446546</v>
      </c>
      <c r="E65" s="140">
        <f>SUM(E66:E70)</f>
        <v>54</v>
      </c>
      <c r="F65" s="105">
        <f t="shared" si="0"/>
        <v>8.0237741456166418</v>
      </c>
      <c r="H65" s="140">
        <f>SUM(H66:H70)</f>
        <v>13</v>
      </c>
      <c r="I65" s="105">
        <f t="shared" si="1"/>
        <v>1.9316493313521546</v>
      </c>
      <c r="K65" s="140">
        <f>SUM(K66:K70)</f>
        <v>37</v>
      </c>
      <c r="L65" s="105">
        <f t="shared" si="2"/>
        <v>5.4977711738484398</v>
      </c>
      <c r="M65" s="116"/>
      <c r="N65" s="140">
        <f>SUM(N66:N70)</f>
        <v>128</v>
      </c>
      <c r="O65" s="105">
        <f t="shared" si="3"/>
        <v>19.019316493313521</v>
      </c>
      <c r="P65" s="135"/>
      <c r="Q65" s="140">
        <f>SUM(Q66:Q70)</f>
        <v>441</v>
      </c>
      <c r="R65" s="105">
        <f t="shared" si="4"/>
        <v>65.527488855869237</v>
      </c>
      <c r="S65" s="135"/>
    </row>
    <row r="66" spans="1:19" ht="13.25" customHeight="1">
      <c r="A66" s="95" t="s">
        <v>482</v>
      </c>
      <c r="B66" s="169">
        <f t="shared" si="5"/>
        <v>417</v>
      </c>
      <c r="C66" s="139">
        <f t="shared" si="6"/>
        <v>9.3855503038487509</v>
      </c>
      <c r="E66" s="304">
        <v>24</v>
      </c>
      <c r="F66" s="105">
        <f t="shared" si="0"/>
        <v>5.755395683453238</v>
      </c>
      <c r="G66" s="304"/>
      <c r="H66" s="304">
        <v>3</v>
      </c>
      <c r="I66" s="105">
        <f t="shared" si="1"/>
        <v>0.71942446043165476</v>
      </c>
      <c r="J66" s="304"/>
      <c r="K66" s="304">
        <v>12</v>
      </c>
      <c r="L66" s="105">
        <f t="shared" si="2"/>
        <v>2.877697841726619</v>
      </c>
      <c r="M66" s="304"/>
      <c r="N66" s="304">
        <v>35</v>
      </c>
      <c r="O66" s="105">
        <f t="shared" si="3"/>
        <v>8.393285371702639</v>
      </c>
      <c r="P66" s="304"/>
      <c r="Q66" s="304">
        <v>343</v>
      </c>
      <c r="R66" s="105">
        <f t="shared" si="4"/>
        <v>82.254196642685855</v>
      </c>
      <c r="S66" s="135"/>
    </row>
    <row r="67" spans="1:19" ht="13.25" customHeight="1">
      <c r="A67" s="95" t="s">
        <v>204</v>
      </c>
      <c r="B67" s="169">
        <f t="shared" si="5"/>
        <v>42</v>
      </c>
      <c r="C67" s="139">
        <f t="shared" si="6"/>
        <v>0.94530722484807561</v>
      </c>
      <c r="E67" s="304">
        <v>13</v>
      </c>
      <c r="F67" s="105">
        <f t="shared" si="0"/>
        <v>30.952380952380953</v>
      </c>
      <c r="G67" s="304"/>
      <c r="H67" s="304">
        <v>2</v>
      </c>
      <c r="I67" s="105">
        <f t="shared" si="1"/>
        <v>4.7619047619047619</v>
      </c>
      <c r="J67" s="304"/>
      <c r="K67" s="304">
        <v>10</v>
      </c>
      <c r="L67" s="105">
        <f t="shared" si="2"/>
        <v>23.809523809523807</v>
      </c>
      <c r="M67" s="304"/>
      <c r="N67" s="304">
        <v>7</v>
      </c>
      <c r="O67" s="105">
        <f t="shared" si="3"/>
        <v>16.666666666666664</v>
      </c>
      <c r="P67" s="304"/>
      <c r="Q67" s="304">
        <v>10</v>
      </c>
      <c r="R67" s="105">
        <f t="shared" si="4"/>
        <v>23.809523809523807</v>
      </c>
      <c r="S67" s="135"/>
    </row>
    <row r="68" spans="1:19" ht="13.25" customHeight="1">
      <c r="A68" s="95" t="s">
        <v>206</v>
      </c>
      <c r="B68" s="169">
        <f t="shared" si="5"/>
        <v>36</v>
      </c>
      <c r="C68" s="139">
        <f t="shared" si="6"/>
        <v>0.81026333558406483</v>
      </c>
      <c r="E68" s="304">
        <v>5</v>
      </c>
      <c r="F68" s="105">
        <f t="shared" si="0"/>
        <v>13.888888888888889</v>
      </c>
      <c r="G68" s="304"/>
      <c r="H68" s="304">
        <v>2</v>
      </c>
      <c r="I68" s="105">
        <f t="shared" si="1"/>
        <v>5.5555555555555554</v>
      </c>
      <c r="J68" s="304"/>
      <c r="K68" s="304">
        <v>0</v>
      </c>
      <c r="L68" s="105">
        <f t="shared" si="2"/>
        <v>0</v>
      </c>
      <c r="M68" s="304"/>
      <c r="N68" s="304">
        <v>3</v>
      </c>
      <c r="O68" s="105">
        <f t="shared" si="3"/>
        <v>8.3333333333333321</v>
      </c>
      <c r="P68" s="304"/>
      <c r="Q68" s="304">
        <v>26</v>
      </c>
      <c r="R68" s="105">
        <f t="shared" si="4"/>
        <v>72.222222222222214</v>
      </c>
      <c r="S68" s="135"/>
    </row>
    <row r="69" spans="1:19" ht="12" customHeight="1">
      <c r="A69" s="95" t="s">
        <v>205</v>
      </c>
      <c r="B69" s="169">
        <f t="shared" si="5"/>
        <v>30</v>
      </c>
      <c r="C69" s="139">
        <f t="shared" si="6"/>
        <v>0.67521944632005404</v>
      </c>
      <c r="E69" s="304">
        <v>6</v>
      </c>
      <c r="F69" s="105">
        <f t="shared" si="0"/>
        <v>20</v>
      </c>
      <c r="G69" s="304"/>
      <c r="H69" s="304">
        <v>1</v>
      </c>
      <c r="I69" s="105">
        <f t="shared" si="1"/>
        <v>3.3333333333333335</v>
      </c>
      <c r="J69" s="304"/>
      <c r="K69" s="304">
        <v>3</v>
      </c>
      <c r="L69" s="105">
        <f t="shared" si="2"/>
        <v>10</v>
      </c>
      <c r="M69" s="304"/>
      <c r="N69" s="304">
        <v>16</v>
      </c>
      <c r="O69" s="105">
        <f t="shared" si="3"/>
        <v>53.333333333333336</v>
      </c>
      <c r="P69" s="304"/>
      <c r="Q69" s="304">
        <v>4</v>
      </c>
      <c r="R69" s="105">
        <f t="shared" si="4"/>
        <v>13.333333333333334</v>
      </c>
      <c r="S69" s="135"/>
    </row>
    <row r="70" spans="1:19" ht="13.25" customHeight="1">
      <c r="A70" s="95" t="s">
        <v>207</v>
      </c>
      <c r="B70" s="169">
        <f t="shared" si="5"/>
        <v>148</v>
      </c>
      <c r="C70" s="139">
        <f t="shared" si="6"/>
        <v>3.3310826018455995</v>
      </c>
      <c r="E70" s="304">
        <v>6</v>
      </c>
      <c r="F70" s="105">
        <f t="shared" si="0"/>
        <v>4.0540540540540544</v>
      </c>
      <c r="G70" s="304"/>
      <c r="H70" s="304">
        <v>5</v>
      </c>
      <c r="I70" s="105">
        <f t="shared" si="1"/>
        <v>3.3783783783783785</v>
      </c>
      <c r="J70" s="304"/>
      <c r="K70" s="304">
        <v>12</v>
      </c>
      <c r="L70" s="105">
        <f t="shared" si="2"/>
        <v>8.1081081081081088</v>
      </c>
      <c r="M70" s="304"/>
      <c r="N70" s="304">
        <v>67</v>
      </c>
      <c r="O70" s="105">
        <f t="shared" si="3"/>
        <v>45.270270270270267</v>
      </c>
      <c r="P70" s="304"/>
      <c r="Q70" s="304">
        <v>58</v>
      </c>
      <c r="R70" s="105">
        <f t="shared" si="4"/>
        <v>39.189189189189186</v>
      </c>
      <c r="S70" s="135"/>
    </row>
    <row r="71" spans="1:19" ht="10" customHeight="1">
      <c r="B71" s="169" t="str">
        <f t="shared" si="5"/>
        <v/>
      </c>
      <c r="C71" s="139" t="str">
        <f t="shared" si="6"/>
        <v/>
      </c>
      <c r="E71" s="304"/>
      <c r="F71" s="105" t="str">
        <f t="shared" si="0"/>
        <v/>
      </c>
      <c r="G71" s="304"/>
      <c r="H71" s="304"/>
      <c r="I71" s="105" t="str">
        <f t="shared" si="1"/>
        <v/>
      </c>
      <c r="J71" s="304"/>
      <c r="K71" s="304"/>
      <c r="L71" s="105" t="str">
        <f t="shared" si="2"/>
        <v/>
      </c>
      <c r="M71" s="304"/>
      <c r="N71" s="304"/>
      <c r="O71" s="105" t="str">
        <f t="shared" si="3"/>
        <v/>
      </c>
      <c r="P71" s="304"/>
      <c r="Q71" s="304"/>
      <c r="R71" s="105" t="str">
        <f t="shared" si="4"/>
        <v/>
      </c>
      <c r="S71" s="135"/>
    </row>
    <row r="72" spans="1:19" ht="13.25" customHeight="1">
      <c r="A72" s="95" t="s">
        <v>208</v>
      </c>
      <c r="B72" s="169">
        <f t="shared" si="5"/>
        <v>54</v>
      </c>
      <c r="C72" s="139">
        <f t="shared" si="6"/>
        <v>1.2153950033760972</v>
      </c>
      <c r="E72" s="304">
        <v>14</v>
      </c>
      <c r="F72" s="105">
        <f t="shared" si="0"/>
        <v>25.925925925925924</v>
      </c>
      <c r="G72" s="304"/>
      <c r="H72" s="304">
        <v>3</v>
      </c>
      <c r="I72" s="105">
        <f t="shared" si="1"/>
        <v>5.5555555555555554</v>
      </c>
      <c r="J72" s="304"/>
      <c r="K72" s="304">
        <v>7</v>
      </c>
      <c r="L72" s="105">
        <f t="shared" si="2"/>
        <v>12.962962962962962</v>
      </c>
      <c r="M72" s="304"/>
      <c r="N72" s="304">
        <v>6</v>
      </c>
      <c r="O72" s="105">
        <f t="shared" si="3"/>
        <v>11.111111111111111</v>
      </c>
      <c r="P72" s="304"/>
      <c r="Q72" s="304">
        <v>24</v>
      </c>
      <c r="R72" s="105">
        <f t="shared" si="4"/>
        <v>44.444444444444443</v>
      </c>
      <c r="S72" s="135"/>
    </row>
    <row r="73" spans="1:19" ht="10" customHeight="1">
      <c r="B73" s="169" t="str">
        <f t="shared" si="5"/>
        <v/>
      </c>
      <c r="C73" s="139" t="str">
        <f t="shared" si="6"/>
        <v/>
      </c>
      <c r="E73" s="304"/>
      <c r="F73" s="105" t="str">
        <f t="shared" si="0"/>
        <v/>
      </c>
      <c r="G73" s="304"/>
      <c r="H73" s="304"/>
      <c r="I73" s="105" t="str">
        <f t="shared" si="1"/>
        <v/>
      </c>
      <c r="J73" s="304"/>
      <c r="K73" s="304"/>
      <c r="L73" s="105" t="str">
        <f t="shared" si="2"/>
        <v/>
      </c>
      <c r="M73" s="304"/>
      <c r="N73" s="304"/>
      <c r="O73" s="105" t="str">
        <f t="shared" si="3"/>
        <v/>
      </c>
      <c r="P73" s="304"/>
      <c r="Q73" s="304"/>
      <c r="R73" s="105" t="str">
        <f t="shared" si="4"/>
        <v/>
      </c>
      <c r="S73" s="135"/>
    </row>
    <row r="74" spans="1:19" ht="13.25" customHeight="1">
      <c r="A74" s="95" t="s">
        <v>209</v>
      </c>
      <c r="B74" s="169">
        <f t="shared" si="5"/>
        <v>118</v>
      </c>
      <c r="C74" s="139">
        <f t="shared" si="6"/>
        <v>2.6558631555255459</v>
      </c>
      <c r="E74" s="304">
        <v>3</v>
      </c>
      <c r="F74" s="105">
        <f t="shared" si="0"/>
        <v>2.5423728813559325</v>
      </c>
      <c r="G74" s="304"/>
      <c r="H74" s="304">
        <v>7</v>
      </c>
      <c r="I74" s="105">
        <f t="shared" si="1"/>
        <v>5.9322033898305087</v>
      </c>
      <c r="J74" s="304"/>
      <c r="K74" s="304">
        <v>10</v>
      </c>
      <c r="L74" s="105">
        <f t="shared" si="2"/>
        <v>8.4745762711864394</v>
      </c>
      <c r="M74" s="304"/>
      <c r="N74" s="304">
        <v>13</v>
      </c>
      <c r="O74" s="105">
        <f t="shared" si="3"/>
        <v>11.016949152542372</v>
      </c>
      <c r="P74" s="304"/>
      <c r="Q74" s="304">
        <v>85</v>
      </c>
      <c r="R74" s="105">
        <f t="shared" si="4"/>
        <v>72.033898305084747</v>
      </c>
      <c r="S74" s="135"/>
    </row>
    <row r="75" spans="1:19" ht="10" customHeight="1">
      <c r="B75" s="169" t="str">
        <f t="shared" si="5"/>
        <v/>
      </c>
      <c r="C75" s="139" t="str">
        <f t="shared" si="6"/>
        <v/>
      </c>
      <c r="F75" s="105" t="str">
        <f t="shared" si="0"/>
        <v/>
      </c>
      <c r="I75" s="105" t="str">
        <f t="shared" si="1"/>
        <v/>
      </c>
      <c r="L75" s="105" t="str">
        <f t="shared" si="2"/>
        <v/>
      </c>
      <c r="M75" s="116"/>
      <c r="O75" s="105" t="str">
        <f t="shared" si="3"/>
        <v/>
      </c>
      <c r="P75" s="135"/>
      <c r="Q75" s="140"/>
      <c r="R75" s="105" t="str">
        <f t="shared" si="4"/>
        <v/>
      </c>
      <c r="S75" s="135"/>
    </row>
    <row r="76" spans="1:19" ht="13.25" customHeight="1">
      <c r="A76" s="55" t="s">
        <v>413</v>
      </c>
      <c r="B76" s="169">
        <f t="shared" si="5"/>
        <v>60</v>
      </c>
      <c r="C76" s="139">
        <f t="shared" si="6"/>
        <v>1.3504388926401081</v>
      </c>
      <c r="E76" s="140">
        <f>E77</f>
        <v>18</v>
      </c>
      <c r="F76" s="105">
        <f t="shared" ref="F76:F114" si="7">IF($A76&lt;&gt;0,E76/$B76*100,"")</f>
        <v>30</v>
      </c>
      <c r="H76" s="140">
        <f>H77</f>
        <v>2</v>
      </c>
      <c r="I76" s="105">
        <f t="shared" ref="I76:I114" si="8">IF($A76&lt;&gt;0,H76/$B76*100,"")</f>
        <v>3.3333333333333335</v>
      </c>
      <c r="K76" s="140">
        <f>K77</f>
        <v>12</v>
      </c>
      <c r="L76" s="105">
        <f t="shared" ref="L76:L114" si="9">IF($A76&lt;&gt;0,K76/$B76*100,"")</f>
        <v>20</v>
      </c>
      <c r="M76" s="116"/>
      <c r="N76" s="140">
        <f>N77</f>
        <v>18</v>
      </c>
      <c r="O76" s="105">
        <f t="shared" ref="O76:O114" si="10">IF($A76&lt;&gt;0,N76/$B76*100,"")</f>
        <v>30</v>
      </c>
      <c r="P76" s="135"/>
      <c r="Q76" s="140">
        <f>Q77</f>
        <v>10</v>
      </c>
      <c r="R76" s="105">
        <f t="shared" ref="R76:R114" si="11">IF($A76&lt;&gt;0,Q76/$B76*100,"")</f>
        <v>16.666666666666664</v>
      </c>
      <c r="S76" s="135"/>
    </row>
    <row r="77" spans="1:19" ht="13.25" customHeight="1">
      <c r="A77" s="95" t="s">
        <v>414</v>
      </c>
      <c r="B77" s="169">
        <f t="shared" ref="B77:B114" si="12">IF($A77&lt;&gt;"",E77+H77+K77+N77+Q77,"")</f>
        <v>60</v>
      </c>
      <c r="C77" s="139">
        <f t="shared" si="6"/>
        <v>1.3504388926401081</v>
      </c>
      <c r="E77" s="140">
        <f>SUM(E78:E81)</f>
        <v>18</v>
      </c>
      <c r="F77" s="105">
        <f t="shared" si="7"/>
        <v>30</v>
      </c>
      <c r="H77" s="140">
        <f>SUM(H78:H81)</f>
        <v>2</v>
      </c>
      <c r="I77" s="105">
        <f t="shared" si="8"/>
        <v>3.3333333333333335</v>
      </c>
      <c r="K77" s="140">
        <f>SUM(K78:K81)</f>
        <v>12</v>
      </c>
      <c r="L77" s="105">
        <f t="shared" si="9"/>
        <v>20</v>
      </c>
      <c r="M77" s="116"/>
      <c r="N77" s="140">
        <f>SUM(N78:N81)</f>
        <v>18</v>
      </c>
      <c r="O77" s="105">
        <f t="shared" si="10"/>
        <v>30</v>
      </c>
      <c r="P77" s="135"/>
      <c r="Q77" s="140">
        <f>SUM(Q78:Q81)</f>
        <v>10</v>
      </c>
      <c r="R77" s="105">
        <f t="shared" si="11"/>
        <v>16.666666666666664</v>
      </c>
      <c r="S77" s="135"/>
    </row>
    <row r="78" spans="1:19" ht="13.25" customHeight="1">
      <c r="A78" s="95" t="s">
        <v>212</v>
      </c>
      <c r="B78" s="169">
        <f t="shared" si="12"/>
        <v>21</v>
      </c>
      <c r="C78" s="139">
        <f t="shared" si="6"/>
        <v>0.47265361242403781</v>
      </c>
      <c r="E78" s="304">
        <v>2</v>
      </c>
      <c r="F78" s="105">
        <f t="shared" si="7"/>
        <v>9.5238095238095237</v>
      </c>
      <c r="G78" s="304"/>
      <c r="H78" s="304">
        <v>1</v>
      </c>
      <c r="I78" s="105">
        <f t="shared" si="8"/>
        <v>4.7619047619047619</v>
      </c>
      <c r="J78" s="304"/>
      <c r="K78" s="304">
        <v>2</v>
      </c>
      <c r="L78" s="105">
        <f t="shared" si="9"/>
        <v>9.5238095238095237</v>
      </c>
      <c r="M78" s="304"/>
      <c r="N78" s="304">
        <v>7</v>
      </c>
      <c r="O78" s="105">
        <f t="shared" si="10"/>
        <v>33.333333333333329</v>
      </c>
      <c r="P78" s="304"/>
      <c r="Q78" s="304">
        <v>9</v>
      </c>
      <c r="R78" s="105">
        <f t="shared" si="11"/>
        <v>42.857142857142854</v>
      </c>
      <c r="S78" s="135"/>
    </row>
    <row r="79" spans="1:19" ht="13.25" customHeight="1">
      <c r="A79" s="95" t="s">
        <v>213</v>
      </c>
      <c r="B79" s="169">
        <f t="shared" si="12"/>
        <v>19</v>
      </c>
      <c r="C79" s="139">
        <f t="shared" si="6"/>
        <v>0.42763898266936756</v>
      </c>
      <c r="E79" s="304">
        <v>9</v>
      </c>
      <c r="F79" s="105">
        <f t="shared" si="7"/>
        <v>47.368421052631575</v>
      </c>
      <c r="G79" s="304"/>
      <c r="H79" s="304">
        <v>0</v>
      </c>
      <c r="I79" s="105">
        <f t="shared" si="8"/>
        <v>0</v>
      </c>
      <c r="J79" s="304"/>
      <c r="K79" s="304">
        <v>7</v>
      </c>
      <c r="L79" s="105">
        <f t="shared" si="9"/>
        <v>36.84210526315789</v>
      </c>
      <c r="M79" s="304"/>
      <c r="N79" s="304">
        <v>3</v>
      </c>
      <c r="O79" s="105">
        <f t="shared" si="10"/>
        <v>15.789473684210526</v>
      </c>
      <c r="P79" s="304"/>
      <c r="Q79" s="304">
        <v>0</v>
      </c>
      <c r="R79" s="105">
        <f t="shared" si="11"/>
        <v>0</v>
      </c>
      <c r="S79" s="135"/>
    </row>
    <row r="80" spans="1:19" ht="12" customHeight="1">
      <c r="A80" s="95" t="s">
        <v>214</v>
      </c>
      <c r="B80" s="169">
        <f t="shared" si="12"/>
        <v>9</v>
      </c>
      <c r="C80" s="139">
        <f t="shared" si="6"/>
        <v>0.20256583389601621</v>
      </c>
      <c r="E80" s="304">
        <v>5</v>
      </c>
      <c r="F80" s="105">
        <f t="shared" si="7"/>
        <v>55.555555555555557</v>
      </c>
      <c r="G80" s="304"/>
      <c r="H80" s="304">
        <v>0</v>
      </c>
      <c r="I80" s="105">
        <f t="shared" si="8"/>
        <v>0</v>
      </c>
      <c r="J80" s="304"/>
      <c r="K80" s="304">
        <v>0</v>
      </c>
      <c r="L80" s="105">
        <f t="shared" si="9"/>
        <v>0</v>
      </c>
      <c r="M80" s="304"/>
      <c r="N80" s="304">
        <v>3</v>
      </c>
      <c r="O80" s="105">
        <f t="shared" si="10"/>
        <v>33.333333333333329</v>
      </c>
      <c r="P80" s="304"/>
      <c r="Q80" s="304">
        <v>1</v>
      </c>
      <c r="R80" s="105">
        <f t="shared" si="11"/>
        <v>11.111111111111111</v>
      </c>
      <c r="S80" s="135"/>
    </row>
    <row r="81" spans="1:19" ht="13.25" customHeight="1">
      <c r="A81" s="95" t="s">
        <v>215</v>
      </c>
      <c r="B81" s="169">
        <f t="shared" si="12"/>
        <v>11</v>
      </c>
      <c r="C81" s="139">
        <f t="shared" si="6"/>
        <v>0.24758046365068648</v>
      </c>
      <c r="E81" s="304">
        <v>2</v>
      </c>
      <c r="F81" s="105">
        <f t="shared" si="7"/>
        <v>18.181818181818183</v>
      </c>
      <c r="G81" s="304"/>
      <c r="H81" s="304">
        <v>1</v>
      </c>
      <c r="I81" s="105">
        <f t="shared" si="8"/>
        <v>9.0909090909090917</v>
      </c>
      <c r="J81" s="304"/>
      <c r="K81" s="304">
        <v>3</v>
      </c>
      <c r="L81" s="105">
        <f t="shared" si="9"/>
        <v>27.27272727272727</v>
      </c>
      <c r="M81" s="304"/>
      <c r="N81" s="304">
        <v>5</v>
      </c>
      <c r="O81" s="105">
        <f t="shared" si="10"/>
        <v>45.454545454545453</v>
      </c>
      <c r="P81" s="304"/>
      <c r="Q81" s="304">
        <v>0</v>
      </c>
      <c r="R81" s="105">
        <f t="shared" si="11"/>
        <v>0</v>
      </c>
      <c r="S81" s="135"/>
    </row>
    <row r="82" spans="1:19" ht="10" customHeight="1">
      <c r="B82" s="169" t="str">
        <f t="shared" si="12"/>
        <v/>
      </c>
      <c r="C82" s="139" t="str">
        <f t="shared" si="6"/>
        <v/>
      </c>
      <c r="F82" s="105" t="str">
        <f t="shared" si="7"/>
        <v/>
      </c>
      <c r="I82" s="105" t="str">
        <f t="shared" si="8"/>
        <v/>
      </c>
      <c r="L82" s="105" t="str">
        <f t="shared" si="9"/>
        <v/>
      </c>
      <c r="M82" s="116"/>
      <c r="O82" s="105" t="str">
        <f t="shared" si="10"/>
        <v/>
      </c>
      <c r="P82" s="135"/>
      <c r="Q82" s="140"/>
      <c r="R82" s="105" t="str">
        <f t="shared" si="11"/>
        <v/>
      </c>
      <c r="S82" s="135"/>
    </row>
    <row r="83" spans="1:19" s="55" customFormat="1" ht="12.75" customHeight="1">
      <c r="A83" s="55" t="s">
        <v>483</v>
      </c>
      <c r="B83" s="169">
        <f t="shared" si="12"/>
        <v>293</v>
      </c>
      <c r="C83" s="139">
        <f t="shared" ref="C83:C97" si="13">IF(A83&lt;&gt;0,B83/$B$11*100,"")</f>
        <v>6.5946432590591932</v>
      </c>
      <c r="E83" s="72">
        <f>SUM(E84)</f>
        <v>60</v>
      </c>
      <c r="F83" s="105">
        <f t="shared" si="7"/>
        <v>20.477815699658702</v>
      </c>
      <c r="G83" s="33"/>
      <c r="H83" s="72">
        <f>SUM(H84)</f>
        <v>14</v>
      </c>
      <c r="I83" s="105">
        <f t="shared" si="8"/>
        <v>4.7781569965870307</v>
      </c>
      <c r="J83" s="73"/>
      <c r="K83" s="72">
        <f>SUM(K84)</f>
        <v>48</v>
      </c>
      <c r="L83" s="105">
        <f t="shared" si="9"/>
        <v>16.382252559726961</v>
      </c>
      <c r="M83" s="57"/>
      <c r="N83" s="72">
        <f>SUM(N84)</f>
        <v>110</v>
      </c>
      <c r="O83" s="105">
        <f t="shared" si="10"/>
        <v>37.542662116040951</v>
      </c>
      <c r="P83" s="74"/>
      <c r="Q83" s="72">
        <f>SUM(Q84)</f>
        <v>61</v>
      </c>
      <c r="R83" s="105">
        <f t="shared" si="11"/>
        <v>20.819112627986346</v>
      </c>
      <c r="S83" s="74"/>
    </row>
    <row r="84" spans="1:19" ht="13.25" customHeight="1">
      <c r="A84" s="95" t="s">
        <v>217</v>
      </c>
      <c r="B84" s="169">
        <f t="shared" si="12"/>
        <v>293</v>
      </c>
      <c r="C84" s="139">
        <f t="shared" si="13"/>
        <v>6.5946432590591932</v>
      </c>
      <c r="E84" s="140">
        <f>SUM(E85:E93)</f>
        <v>60</v>
      </c>
      <c r="F84" s="105">
        <f t="shared" si="7"/>
        <v>20.477815699658702</v>
      </c>
      <c r="H84" s="140">
        <f>SUM(H85:H93)</f>
        <v>14</v>
      </c>
      <c r="I84" s="105">
        <f t="shared" si="8"/>
        <v>4.7781569965870307</v>
      </c>
      <c r="K84" s="140">
        <f>SUM(K85:K93)</f>
        <v>48</v>
      </c>
      <c r="L84" s="105">
        <f t="shared" si="9"/>
        <v>16.382252559726961</v>
      </c>
      <c r="M84" s="116"/>
      <c r="N84" s="140">
        <f>SUM(N85:N93)</f>
        <v>110</v>
      </c>
      <c r="O84" s="105">
        <f t="shared" si="10"/>
        <v>37.542662116040951</v>
      </c>
      <c r="P84" s="135"/>
      <c r="Q84" s="140">
        <f>SUM(Q85:Q93)</f>
        <v>61</v>
      </c>
      <c r="R84" s="105">
        <f t="shared" si="11"/>
        <v>20.819112627986346</v>
      </c>
      <c r="S84" s="135"/>
    </row>
    <row r="85" spans="1:19" ht="13.25" customHeight="1">
      <c r="A85" s="95" t="s">
        <v>415</v>
      </c>
      <c r="B85" s="169">
        <f t="shared" si="12"/>
        <v>17</v>
      </c>
      <c r="C85" s="139">
        <f t="shared" si="13"/>
        <v>0.38262435291469726</v>
      </c>
      <c r="E85" s="304">
        <v>4</v>
      </c>
      <c r="F85" s="105">
        <f t="shared" si="7"/>
        <v>23.52941176470588</v>
      </c>
      <c r="G85" s="304"/>
      <c r="H85" s="304">
        <v>1</v>
      </c>
      <c r="I85" s="105">
        <f t="shared" si="8"/>
        <v>5.8823529411764701</v>
      </c>
      <c r="J85" s="304"/>
      <c r="K85" s="304">
        <v>4</v>
      </c>
      <c r="L85" s="105">
        <f t="shared" si="9"/>
        <v>23.52941176470588</v>
      </c>
      <c r="M85" s="304"/>
      <c r="N85" s="304">
        <v>2</v>
      </c>
      <c r="O85" s="105">
        <f t="shared" si="10"/>
        <v>11.76470588235294</v>
      </c>
      <c r="P85" s="304"/>
      <c r="Q85" s="304">
        <v>6</v>
      </c>
      <c r="R85" s="105">
        <f t="shared" si="11"/>
        <v>35.294117647058826</v>
      </c>
      <c r="S85" s="135"/>
    </row>
    <row r="86" spans="1:19" ht="13.25" customHeight="1">
      <c r="A86" s="95" t="s">
        <v>218</v>
      </c>
      <c r="B86" s="169">
        <f t="shared" si="12"/>
        <v>42</v>
      </c>
      <c r="C86" s="139">
        <f t="shared" si="13"/>
        <v>0.94530722484807561</v>
      </c>
      <c r="E86" s="304">
        <v>5</v>
      </c>
      <c r="F86" s="105">
        <f t="shared" si="7"/>
        <v>11.904761904761903</v>
      </c>
      <c r="G86" s="304"/>
      <c r="H86" s="304">
        <v>0</v>
      </c>
      <c r="I86" s="105">
        <f t="shared" si="8"/>
        <v>0</v>
      </c>
      <c r="J86" s="304"/>
      <c r="K86" s="304">
        <v>9</v>
      </c>
      <c r="L86" s="105">
        <f t="shared" si="9"/>
        <v>21.428571428571427</v>
      </c>
      <c r="M86" s="304"/>
      <c r="N86" s="304">
        <v>26</v>
      </c>
      <c r="O86" s="105">
        <f t="shared" si="10"/>
        <v>61.904761904761905</v>
      </c>
      <c r="P86" s="304"/>
      <c r="Q86" s="304">
        <v>2</v>
      </c>
      <c r="R86" s="105">
        <f t="shared" si="11"/>
        <v>4.7619047619047619</v>
      </c>
      <c r="S86" s="135"/>
    </row>
    <row r="87" spans="1:19" ht="13.25" customHeight="1">
      <c r="A87" s="95" t="s">
        <v>220</v>
      </c>
      <c r="B87" s="169">
        <f t="shared" si="12"/>
        <v>40</v>
      </c>
      <c r="C87" s="139">
        <f t="shared" si="13"/>
        <v>0.90029259509340542</v>
      </c>
      <c r="E87" s="304">
        <v>11</v>
      </c>
      <c r="F87" s="105">
        <f t="shared" si="7"/>
        <v>27.500000000000004</v>
      </c>
      <c r="G87" s="304"/>
      <c r="H87" s="304">
        <v>1</v>
      </c>
      <c r="I87" s="105">
        <f t="shared" si="8"/>
        <v>2.5</v>
      </c>
      <c r="J87" s="304"/>
      <c r="K87" s="304">
        <v>4</v>
      </c>
      <c r="L87" s="105">
        <f t="shared" si="9"/>
        <v>10</v>
      </c>
      <c r="M87" s="304"/>
      <c r="N87" s="304">
        <v>21</v>
      </c>
      <c r="O87" s="105">
        <f t="shared" si="10"/>
        <v>52.5</v>
      </c>
      <c r="P87" s="304"/>
      <c r="Q87" s="304">
        <v>3</v>
      </c>
      <c r="R87" s="105">
        <f t="shared" si="11"/>
        <v>7.5</v>
      </c>
      <c r="S87" s="135"/>
    </row>
    <row r="88" spans="1:19" ht="13.25" customHeight="1">
      <c r="A88" s="95" t="s">
        <v>222</v>
      </c>
      <c r="B88" s="169">
        <f t="shared" si="12"/>
        <v>36</v>
      </c>
      <c r="C88" s="139">
        <f t="shared" si="13"/>
        <v>0.81026333558406483</v>
      </c>
      <c r="E88" s="304">
        <v>5</v>
      </c>
      <c r="F88" s="105">
        <f t="shared" si="7"/>
        <v>13.888888888888889</v>
      </c>
      <c r="G88" s="304"/>
      <c r="H88" s="304">
        <v>2</v>
      </c>
      <c r="I88" s="105">
        <f t="shared" si="8"/>
        <v>5.5555555555555554</v>
      </c>
      <c r="J88" s="304"/>
      <c r="K88" s="304">
        <v>7</v>
      </c>
      <c r="L88" s="105">
        <f t="shared" si="9"/>
        <v>19.444444444444446</v>
      </c>
      <c r="M88" s="304"/>
      <c r="N88" s="304">
        <v>13</v>
      </c>
      <c r="O88" s="105">
        <f t="shared" si="10"/>
        <v>36.111111111111107</v>
      </c>
      <c r="P88" s="304"/>
      <c r="Q88" s="304">
        <v>9</v>
      </c>
      <c r="R88" s="105">
        <f t="shared" si="11"/>
        <v>25</v>
      </c>
      <c r="S88" s="135"/>
    </row>
    <row r="89" spans="1:19" ht="13.25" customHeight="1">
      <c r="A89" s="95" t="s">
        <v>221</v>
      </c>
      <c r="B89" s="169">
        <f t="shared" si="12"/>
        <v>25</v>
      </c>
      <c r="C89" s="139">
        <f t="shared" si="13"/>
        <v>0.5626828719333784</v>
      </c>
      <c r="E89" s="304">
        <v>5</v>
      </c>
      <c r="F89" s="105">
        <f t="shared" si="7"/>
        <v>20</v>
      </c>
      <c r="G89" s="304"/>
      <c r="H89" s="304">
        <v>1</v>
      </c>
      <c r="I89" s="105">
        <f t="shared" si="8"/>
        <v>4</v>
      </c>
      <c r="J89" s="304"/>
      <c r="K89" s="304">
        <v>2</v>
      </c>
      <c r="L89" s="105">
        <f t="shared" si="9"/>
        <v>8</v>
      </c>
      <c r="M89" s="304"/>
      <c r="N89" s="304">
        <v>15</v>
      </c>
      <c r="O89" s="105">
        <f t="shared" si="10"/>
        <v>60</v>
      </c>
      <c r="P89" s="304"/>
      <c r="Q89" s="304">
        <v>2</v>
      </c>
      <c r="R89" s="105">
        <f t="shared" si="11"/>
        <v>8</v>
      </c>
      <c r="S89" s="135"/>
    </row>
    <row r="90" spans="1:19" ht="13.25" customHeight="1">
      <c r="A90" s="95" t="s">
        <v>219</v>
      </c>
      <c r="B90" s="169">
        <f t="shared" si="12"/>
        <v>30</v>
      </c>
      <c r="C90" s="139">
        <f t="shared" si="13"/>
        <v>0.67521944632005404</v>
      </c>
      <c r="E90" s="304">
        <v>5</v>
      </c>
      <c r="F90" s="105">
        <f t="shared" si="7"/>
        <v>16.666666666666664</v>
      </c>
      <c r="G90" s="304"/>
      <c r="H90" s="304">
        <v>3</v>
      </c>
      <c r="I90" s="105">
        <f t="shared" si="8"/>
        <v>10</v>
      </c>
      <c r="J90" s="304"/>
      <c r="K90" s="304">
        <v>5</v>
      </c>
      <c r="L90" s="105">
        <f t="shared" si="9"/>
        <v>16.666666666666664</v>
      </c>
      <c r="M90" s="304"/>
      <c r="N90" s="304">
        <v>13</v>
      </c>
      <c r="O90" s="105">
        <f t="shared" si="10"/>
        <v>43.333333333333336</v>
      </c>
      <c r="P90" s="304"/>
      <c r="Q90" s="304">
        <v>4</v>
      </c>
      <c r="R90" s="105">
        <f t="shared" si="11"/>
        <v>13.333333333333334</v>
      </c>
      <c r="S90" s="135"/>
    </row>
    <row r="91" spans="1:19" ht="13.25" customHeight="1">
      <c r="A91" s="95" t="s">
        <v>223</v>
      </c>
      <c r="B91" s="169">
        <f t="shared" si="12"/>
        <v>53</v>
      </c>
      <c r="C91" s="139">
        <f t="shared" si="13"/>
        <v>1.192887688498762</v>
      </c>
      <c r="E91" s="304">
        <v>10</v>
      </c>
      <c r="F91" s="105">
        <f t="shared" si="7"/>
        <v>18.867924528301888</v>
      </c>
      <c r="G91" s="304"/>
      <c r="H91" s="304">
        <v>4</v>
      </c>
      <c r="I91" s="105">
        <f t="shared" si="8"/>
        <v>7.5471698113207548</v>
      </c>
      <c r="J91" s="304"/>
      <c r="K91" s="304">
        <v>7</v>
      </c>
      <c r="L91" s="105">
        <f t="shared" si="9"/>
        <v>13.20754716981132</v>
      </c>
      <c r="M91" s="304"/>
      <c r="N91" s="304">
        <v>9</v>
      </c>
      <c r="O91" s="105">
        <f t="shared" si="10"/>
        <v>16.981132075471699</v>
      </c>
      <c r="P91" s="304"/>
      <c r="Q91" s="304">
        <v>23</v>
      </c>
      <c r="R91" s="105">
        <f t="shared" si="11"/>
        <v>43.39622641509434</v>
      </c>
      <c r="S91" s="135"/>
    </row>
    <row r="92" spans="1:19" ht="12" customHeight="1">
      <c r="A92" s="95" t="s">
        <v>226</v>
      </c>
      <c r="B92" s="169">
        <f t="shared" si="12"/>
        <v>30</v>
      </c>
      <c r="C92" s="139">
        <f t="shared" si="13"/>
        <v>0.67521944632005404</v>
      </c>
      <c r="E92" s="304">
        <v>4</v>
      </c>
      <c r="F92" s="105">
        <f t="shared" si="7"/>
        <v>13.333333333333334</v>
      </c>
      <c r="G92" s="304"/>
      <c r="H92" s="304">
        <v>1</v>
      </c>
      <c r="I92" s="105">
        <f t="shared" si="8"/>
        <v>3.3333333333333335</v>
      </c>
      <c r="J92" s="304"/>
      <c r="K92" s="304">
        <v>6</v>
      </c>
      <c r="L92" s="105">
        <f t="shared" si="9"/>
        <v>20</v>
      </c>
      <c r="M92" s="304"/>
      <c r="N92" s="304">
        <v>9</v>
      </c>
      <c r="O92" s="105">
        <f t="shared" si="10"/>
        <v>30</v>
      </c>
      <c r="P92" s="304"/>
      <c r="Q92" s="304">
        <v>10</v>
      </c>
      <c r="R92" s="105">
        <f t="shared" si="11"/>
        <v>33.333333333333329</v>
      </c>
      <c r="S92" s="135"/>
    </row>
    <row r="93" spans="1:19" ht="13.25" customHeight="1">
      <c r="A93" s="95" t="s">
        <v>416</v>
      </c>
      <c r="B93" s="169">
        <f t="shared" si="12"/>
        <v>20</v>
      </c>
      <c r="C93" s="139">
        <f t="shared" si="13"/>
        <v>0.45014629754670271</v>
      </c>
      <c r="E93" s="304">
        <v>11</v>
      </c>
      <c r="F93" s="105">
        <f t="shared" si="7"/>
        <v>55.000000000000007</v>
      </c>
      <c r="G93" s="304"/>
      <c r="H93" s="304">
        <v>1</v>
      </c>
      <c r="I93" s="105">
        <f t="shared" si="8"/>
        <v>5</v>
      </c>
      <c r="J93" s="304"/>
      <c r="K93" s="304">
        <v>4</v>
      </c>
      <c r="L93" s="105">
        <f t="shared" si="9"/>
        <v>20</v>
      </c>
      <c r="M93" s="304"/>
      <c r="N93" s="304">
        <v>2</v>
      </c>
      <c r="O93" s="105">
        <f t="shared" si="10"/>
        <v>10</v>
      </c>
      <c r="P93" s="304"/>
      <c r="Q93" s="304">
        <v>2</v>
      </c>
      <c r="R93" s="105">
        <f t="shared" si="11"/>
        <v>10</v>
      </c>
      <c r="S93" s="135"/>
    </row>
    <row r="94" spans="1:19" ht="10" customHeight="1">
      <c r="B94" s="169" t="str">
        <f t="shared" si="12"/>
        <v/>
      </c>
      <c r="C94" s="139" t="str">
        <f t="shared" si="13"/>
        <v/>
      </c>
      <c r="E94" s="304"/>
      <c r="F94" s="105" t="str">
        <f t="shared" si="7"/>
        <v/>
      </c>
      <c r="G94" s="304"/>
      <c r="H94" s="304"/>
      <c r="I94" s="105" t="str">
        <f t="shared" si="8"/>
        <v/>
      </c>
      <c r="J94" s="304"/>
      <c r="K94" s="304"/>
      <c r="L94" s="105" t="str">
        <f t="shared" si="9"/>
        <v/>
      </c>
      <c r="M94" s="304"/>
      <c r="N94" s="304"/>
      <c r="O94" s="105" t="str">
        <f t="shared" si="10"/>
        <v/>
      </c>
      <c r="P94" s="304"/>
      <c r="Q94" s="304"/>
      <c r="R94" s="105" t="str">
        <f t="shared" si="11"/>
        <v/>
      </c>
      <c r="S94" s="135"/>
    </row>
    <row r="95" spans="1:19" ht="12" customHeight="1">
      <c r="A95" s="95" t="s">
        <v>227</v>
      </c>
      <c r="B95" s="169">
        <f t="shared" si="12"/>
        <v>87</v>
      </c>
      <c r="C95" s="139">
        <f t="shared" si="13"/>
        <v>1.9581363943281564</v>
      </c>
      <c r="E95" s="304">
        <v>20</v>
      </c>
      <c r="F95" s="105">
        <f t="shared" si="7"/>
        <v>22.988505747126435</v>
      </c>
      <c r="G95" s="304"/>
      <c r="H95" s="304">
        <v>8</v>
      </c>
      <c r="I95" s="105">
        <f t="shared" si="8"/>
        <v>9.1954022988505741</v>
      </c>
      <c r="J95" s="304"/>
      <c r="K95" s="304">
        <v>31</v>
      </c>
      <c r="L95" s="105">
        <f t="shared" si="9"/>
        <v>35.632183908045981</v>
      </c>
      <c r="M95" s="304"/>
      <c r="N95" s="304">
        <v>28</v>
      </c>
      <c r="O95" s="105">
        <f t="shared" si="10"/>
        <v>32.183908045977013</v>
      </c>
      <c r="P95" s="304"/>
      <c r="Q95" s="304">
        <v>0</v>
      </c>
      <c r="R95" s="105">
        <f t="shared" si="11"/>
        <v>0</v>
      </c>
      <c r="S95" s="135"/>
    </row>
    <row r="96" spans="1:19" ht="12" customHeight="1">
      <c r="A96" s="95" t="s">
        <v>417</v>
      </c>
      <c r="B96" s="169">
        <f t="shared" si="12"/>
        <v>59</v>
      </c>
      <c r="C96" s="139">
        <f t="shared" si="13"/>
        <v>1.3279315777627729</v>
      </c>
      <c r="E96" s="304">
        <v>17</v>
      </c>
      <c r="F96" s="105">
        <f t="shared" si="7"/>
        <v>28.8135593220339</v>
      </c>
      <c r="G96" s="304"/>
      <c r="H96" s="304">
        <v>12</v>
      </c>
      <c r="I96" s="105">
        <f t="shared" si="8"/>
        <v>20.33898305084746</v>
      </c>
      <c r="J96" s="304"/>
      <c r="K96" s="304">
        <v>7</v>
      </c>
      <c r="L96" s="105">
        <f t="shared" si="9"/>
        <v>11.864406779661017</v>
      </c>
      <c r="M96" s="304"/>
      <c r="N96" s="304">
        <v>14</v>
      </c>
      <c r="O96" s="105">
        <f t="shared" si="10"/>
        <v>23.728813559322035</v>
      </c>
      <c r="P96" s="304"/>
      <c r="Q96" s="304">
        <v>9</v>
      </c>
      <c r="R96" s="105">
        <f t="shared" si="11"/>
        <v>15.254237288135593</v>
      </c>
      <c r="S96" s="135"/>
    </row>
    <row r="97" spans="1:19" ht="12" customHeight="1">
      <c r="A97" s="95" t="s">
        <v>495</v>
      </c>
      <c r="B97" s="169">
        <f t="shared" si="12"/>
        <v>111</v>
      </c>
      <c r="C97" s="139">
        <f t="shared" si="13"/>
        <v>2.4983119513842</v>
      </c>
      <c r="E97" s="304">
        <v>20</v>
      </c>
      <c r="F97" s="105">
        <f t="shared" si="7"/>
        <v>18.018018018018019</v>
      </c>
      <c r="G97" s="304"/>
      <c r="H97" s="304">
        <v>5</v>
      </c>
      <c r="I97" s="105">
        <f t="shared" si="8"/>
        <v>4.5045045045045047</v>
      </c>
      <c r="J97" s="304"/>
      <c r="K97" s="304">
        <v>18</v>
      </c>
      <c r="L97" s="105">
        <f t="shared" si="9"/>
        <v>16.216216216216218</v>
      </c>
      <c r="M97" s="304"/>
      <c r="N97" s="304">
        <v>32</v>
      </c>
      <c r="O97" s="105">
        <f t="shared" si="10"/>
        <v>28.828828828828829</v>
      </c>
      <c r="P97" s="304"/>
      <c r="Q97" s="304">
        <v>36</v>
      </c>
      <c r="R97" s="105">
        <f t="shared" si="11"/>
        <v>32.432432432432435</v>
      </c>
      <c r="S97" s="135"/>
    </row>
    <row r="98" spans="1:19" ht="12" hidden="1" customHeight="1">
      <c r="A98" s="95" t="s">
        <v>523</v>
      </c>
      <c r="B98" s="169">
        <f t="shared" si="12"/>
        <v>0</v>
      </c>
      <c r="E98" s="95"/>
      <c r="F98" s="105" t="e">
        <f t="shared" si="7"/>
        <v>#DIV/0!</v>
      </c>
      <c r="H98" s="95"/>
      <c r="I98" s="105" t="e">
        <f t="shared" si="8"/>
        <v>#DIV/0!</v>
      </c>
      <c r="J98" s="95"/>
      <c r="K98" s="95"/>
      <c r="L98" s="105" t="e">
        <f t="shared" si="9"/>
        <v>#DIV/0!</v>
      </c>
      <c r="N98" s="95"/>
      <c r="O98" s="105" t="e">
        <f t="shared" si="10"/>
        <v>#DIV/0!</v>
      </c>
      <c r="R98" s="105" t="e">
        <f t="shared" si="11"/>
        <v>#DIV/0!</v>
      </c>
      <c r="S98" s="135"/>
    </row>
    <row r="99" spans="1:19" ht="10.5" hidden="1" customHeight="1">
      <c r="B99" s="169" t="str">
        <f t="shared" si="12"/>
        <v/>
      </c>
      <c r="F99" s="105" t="str">
        <f t="shared" si="7"/>
        <v/>
      </c>
      <c r="I99" s="105" t="str">
        <f t="shared" si="8"/>
        <v/>
      </c>
      <c r="L99" s="105" t="str">
        <f t="shared" si="9"/>
        <v/>
      </c>
      <c r="M99" s="116"/>
      <c r="O99" s="105" t="str">
        <f t="shared" si="10"/>
        <v/>
      </c>
      <c r="P99" s="135"/>
      <c r="Q99" s="140"/>
      <c r="R99" s="105" t="str">
        <f t="shared" si="11"/>
        <v/>
      </c>
      <c r="S99" s="135"/>
    </row>
    <row r="100" spans="1:19" ht="12" hidden="1" customHeight="1">
      <c r="A100" s="95" t="s">
        <v>157</v>
      </c>
      <c r="B100" s="169">
        <f t="shared" si="12"/>
        <v>0</v>
      </c>
      <c r="C100" s="139">
        <f>IF(A100&lt;&gt;0,B100/$B$11*100,"")</f>
        <v>0</v>
      </c>
      <c r="F100" s="105" t="e">
        <f t="shared" si="7"/>
        <v>#DIV/0!</v>
      </c>
      <c r="I100" s="105" t="e">
        <f t="shared" si="8"/>
        <v>#DIV/0!</v>
      </c>
      <c r="L100" s="105" t="e">
        <f t="shared" si="9"/>
        <v>#DIV/0!</v>
      </c>
      <c r="M100" s="116"/>
      <c r="O100" s="105" t="e">
        <f t="shared" si="10"/>
        <v>#DIV/0!</v>
      </c>
      <c r="P100" s="135"/>
      <c r="Q100" s="140"/>
      <c r="R100" s="105" t="e">
        <f t="shared" si="11"/>
        <v>#DIV/0!</v>
      </c>
      <c r="S100" s="135"/>
    </row>
    <row r="101" spans="1:19" ht="10" customHeight="1">
      <c r="B101" s="169" t="str">
        <f t="shared" si="12"/>
        <v/>
      </c>
      <c r="C101" s="139" t="str">
        <f t="shared" ref="C101:C107" si="14">IF(A101&lt;&gt;0,B101/$B$11*100,"")</f>
        <v/>
      </c>
      <c r="F101" s="105" t="str">
        <f t="shared" si="7"/>
        <v/>
      </c>
      <c r="I101" s="105" t="str">
        <f t="shared" si="8"/>
        <v/>
      </c>
      <c r="L101" s="105" t="str">
        <f t="shared" si="9"/>
        <v/>
      </c>
      <c r="M101" s="116"/>
      <c r="O101" s="105" t="str">
        <f t="shared" si="10"/>
        <v/>
      </c>
      <c r="P101" s="135"/>
      <c r="Q101" s="140"/>
      <c r="R101" s="105" t="str">
        <f t="shared" si="11"/>
        <v/>
      </c>
      <c r="S101" s="135"/>
    </row>
    <row r="102" spans="1:19" ht="12.75" customHeight="1">
      <c r="A102" s="55" t="s">
        <v>84</v>
      </c>
      <c r="B102" s="169">
        <f t="shared" si="12"/>
        <v>558</v>
      </c>
      <c r="C102" s="139">
        <f t="shared" si="14"/>
        <v>12.559081701553005</v>
      </c>
      <c r="E102" s="155">
        <f>SUM(E103+E104+E105+E107)</f>
        <v>48</v>
      </c>
      <c r="F102" s="105">
        <f t="shared" si="7"/>
        <v>8.6021505376344098</v>
      </c>
      <c r="G102" s="111"/>
      <c r="H102" s="155">
        <f>SUM(H103+H104+H105+H107)</f>
        <v>22</v>
      </c>
      <c r="I102" s="105">
        <f t="shared" si="8"/>
        <v>3.9426523297491038</v>
      </c>
      <c r="J102" s="139"/>
      <c r="K102" s="155">
        <f>SUM(K103+K104+K105+K107)</f>
        <v>83</v>
      </c>
      <c r="L102" s="105">
        <f t="shared" si="9"/>
        <v>14.874551971326163</v>
      </c>
      <c r="M102" s="121"/>
      <c r="N102" s="155">
        <f>SUM(N103+N104+N105+N107)</f>
        <v>294</v>
      </c>
      <c r="O102" s="105">
        <f t="shared" si="10"/>
        <v>52.688172043010752</v>
      </c>
      <c r="P102" s="135"/>
      <c r="Q102" s="140">
        <f>SUM(Q103+Q104+Q105+Q107)</f>
        <v>111</v>
      </c>
      <c r="R102" s="105">
        <f t="shared" si="11"/>
        <v>19.892473118279568</v>
      </c>
      <c r="S102" s="135"/>
    </row>
    <row r="103" spans="1:19" ht="12" customHeight="1">
      <c r="A103" s="95" t="s">
        <v>524</v>
      </c>
      <c r="B103" s="169">
        <f t="shared" si="12"/>
        <v>132</v>
      </c>
      <c r="C103" s="139">
        <f t="shared" si="14"/>
        <v>2.9709655638082375</v>
      </c>
      <c r="E103" s="304">
        <v>11</v>
      </c>
      <c r="F103" s="105">
        <f t="shared" si="7"/>
        <v>8.3333333333333321</v>
      </c>
      <c r="G103" s="304">
        <v>0</v>
      </c>
      <c r="H103" s="304">
        <v>6</v>
      </c>
      <c r="I103" s="105">
        <f t="shared" si="8"/>
        <v>4.5454545454545459</v>
      </c>
      <c r="J103" s="304">
        <v>0</v>
      </c>
      <c r="K103" s="304">
        <v>34</v>
      </c>
      <c r="L103" s="105">
        <f t="shared" si="9"/>
        <v>25.757575757575758</v>
      </c>
      <c r="M103" s="304"/>
      <c r="N103" s="304">
        <v>68</v>
      </c>
      <c r="O103" s="105">
        <f t="shared" si="10"/>
        <v>51.515151515151516</v>
      </c>
      <c r="P103" s="304"/>
      <c r="Q103" s="304">
        <v>13</v>
      </c>
      <c r="R103" s="105">
        <f t="shared" si="11"/>
        <v>9.8484848484848477</v>
      </c>
      <c r="S103" s="135"/>
    </row>
    <row r="104" spans="1:19" ht="12" customHeight="1">
      <c r="A104" s="95" t="s">
        <v>525</v>
      </c>
      <c r="B104" s="169">
        <f t="shared" si="12"/>
        <v>185</v>
      </c>
      <c r="C104" s="139">
        <f t="shared" si="14"/>
        <v>4.1638532523069998</v>
      </c>
      <c r="E104" s="304">
        <v>28</v>
      </c>
      <c r="F104" s="105">
        <f t="shared" si="7"/>
        <v>15.135135135135137</v>
      </c>
      <c r="G104" s="304">
        <v>0</v>
      </c>
      <c r="H104" s="304">
        <v>13</v>
      </c>
      <c r="I104" s="105">
        <f t="shared" si="8"/>
        <v>7.0270270270270272</v>
      </c>
      <c r="J104" s="304">
        <v>0</v>
      </c>
      <c r="K104" s="304">
        <v>37</v>
      </c>
      <c r="L104" s="105">
        <f t="shared" si="9"/>
        <v>20</v>
      </c>
      <c r="M104" s="304"/>
      <c r="N104" s="304">
        <v>92</v>
      </c>
      <c r="O104" s="105">
        <f t="shared" si="10"/>
        <v>49.729729729729733</v>
      </c>
      <c r="P104" s="304"/>
      <c r="Q104" s="304">
        <v>15</v>
      </c>
      <c r="R104" s="105">
        <f t="shared" si="11"/>
        <v>8.1081081081081088</v>
      </c>
      <c r="S104" s="135"/>
    </row>
    <row r="105" spans="1:19" ht="12" customHeight="1">
      <c r="A105" s="95" t="s">
        <v>487</v>
      </c>
      <c r="B105" s="169">
        <f t="shared" si="12"/>
        <v>15</v>
      </c>
      <c r="C105" s="139">
        <f t="shared" si="14"/>
        <v>0.33760972316002702</v>
      </c>
      <c r="E105" s="304">
        <v>7</v>
      </c>
      <c r="F105" s="105">
        <f t="shared" si="7"/>
        <v>46.666666666666664</v>
      </c>
      <c r="G105" s="304"/>
      <c r="H105" s="304"/>
      <c r="I105" s="105">
        <f t="shared" si="8"/>
        <v>0</v>
      </c>
      <c r="J105" s="304"/>
      <c r="K105" s="304">
        <v>2</v>
      </c>
      <c r="L105" s="105">
        <f t="shared" si="9"/>
        <v>13.333333333333334</v>
      </c>
      <c r="M105" s="304"/>
      <c r="N105" s="304">
        <v>5</v>
      </c>
      <c r="O105" s="105">
        <f t="shared" si="10"/>
        <v>33.333333333333329</v>
      </c>
      <c r="P105" s="304"/>
      <c r="Q105" s="304">
        <v>1</v>
      </c>
      <c r="R105" s="105">
        <f t="shared" si="11"/>
        <v>6.666666666666667</v>
      </c>
      <c r="S105" s="135"/>
    </row>
    <row r="106" spans="1:19" ht="12" customHeight="1">
      <c r="B106" s="169" t="str">
        <f t="shared" si="12"/>
        <v/>
      </c>
      <c r="C106" s="139" t="str">
        <f t="shared" si="14"/>
        <v/>
      </c>
      <c r="E106" s="304"/>
      <c r="F106" s="105" t="str">
        <f t="shared" si="7"/>
        <v/>
      </c>
      <c r="G106" s="304"/>
      <c r="H106" s="304"/>
      <c r="I106" s="105" t="str">
        <f t="shared" si="8"/>
        <v/>
      </c>
      <c r="J106" s="304"/>
      <c r="K106" s="304"/>
      <c r="L106" s="105" t="str">
        <f t="shared" si="9"/>
        <v/>
      </c>
      <c r="M106" s="304"/>
      <c r="N106" s="304"/>
      <c r="O106" s="105" t="str">
        <f t="shared" si="10"/>
        <v/>
      </c>
      <c r="P106" s="304"/>
      <c r="Q106" s="304"/>
      <c r="R106" s="105" t="str">
        <f t="shared" si="11"/>
        <v/>
      </c>
      <c r="S106" s="135"/>
    </row>
    <row r="107" spans="1:19" ht="12" customHeight="1">
      <c r="A107" s="95" t="s">
        <v>503</v>
      </c>
      <c r="B107" s="169">
        <f t="shared" si="12"/>
        <v>226</v>
      </c>
      <c r="C107" s="139">
        <f t="shared" si="14"/>
        <v>5.0866531622777407</v>
      </c>
      <c r="E107" s="304">
        <v>2</v>
      </c>
      <c r="F107" s="105">
        <f t="shared" si="7"/>
        <v>0.88495575221238942</v>
      </c>
      <c r="G107" s="304"/>
      <c r="H107" s="304">
        <v>3</v>
      </c>
      <c r="I107" s="105">
        <f t="shared" si="8"/>
        <v>1.3274336283185841</v>
      </c>
      <c r="J107" s="304"/>
      <c r="K107" s="304">
        <v>10</v>
      </c>
      <c r="L107" s="105">
        <f t="shared" si="9"/>
        <v>4.4247787610619467</v>
      </c>
      <c r="M107" s="304"/>
      <c r="N107" s="304">
        <v>129</v>
      </c>
      <c r="O107" s="105">
        <f t="shared" si="10"/>
        <v>57.079646017699112</v>
      </c>
      <c r="P107" s="304"/>
      <c r="Q107" s="304">
        <v>82</v>
      </c>
      <c r="R107" s="105">
        <f t="shared" si="11"/>
        <v>36.283185840707965</v>
      </c>
      <c r="S107" s="135"/>
    </row>
    <row r="108" spans="1:19" ht="10" customHeight="1">
      <c r="B108" s="169" t="str">
        <f t="shared" si="12"/>
        <v/>
      </c>
      <c r="E108" s="155"/>
      <c r="F108" s="105" t="str">
        <f t="shared" si="7"/>
        <v/>
      </c>
      <c r="G108" s="111"/>
      <c r="H108" s="155"/>
      <c r="I108" s="105" t="str">
        <f t="shared" si="8"/>
        <v/>
      </c>
      <c r="J108" s="139"/>
      <c r="K108" s="155"/>
      <c r="L108" s="105" t="str">
        <f t="shared" si="9"/>
        <v/>
      </c>
      <c r="M108" s="121"/>
      <c r="N108" s="155"/>
      <c r="O108" s="105" t="str">
        <f t="shared" si="10"/>
        <v/>
      </c>
      <c r="P108" s="135"/>
      <c r="Q108" s="140"/>
      <c r="R108" s="105" t="str">
        <f t="shared" si="11"/>
        <v/>
      </c>
      <c r="S108" s="135"/>
    </row>
    <row r="109" spans="1:19" ht="12" customHeight="1">
      <c r="A109" s="55" t="s">
        <v>423</v>
      </c>
      <c r="B109" s="169">
        <f t="shared" si="12"/>
        <v>999</v>
      </c>
      <c r="C109" s="139">
        <f t="shared" ref="C109:C114" si="15">IF(A109&lt;&gt;0,B109/$B$11*100,"")</f>
        <v>22.484807562457799</v>
      </c>
      <c r="E109" s="140">
        <f>SUM(E110:E114)</f>
        <v>189</v>
      </c>
      <c r="F109" s="105">
        <f t="shared" si="7"/>
        <v>18.918918918918919</v>
      </c>
      <c r="H109" s="140">
        <f>SUM(H110:H114)</f>
        <v>84</v>
      </c>
      <c r="I109" s="105">
        <f t="shared" si="8"/>
        <v>8.408408408408409</v>
      </c>
      <c r="K109" s="140">
        <f>SUM(K110:K114)</f>
        <v>202</v>
      </c>
      <c r="L109" s="105">
        <f t="shared" si="9"/>
        <v>20.22022022022022</v>
      </c>
      <c r="M109" s="116"/>
      <c r="N109" s="140">
        <f>SUM(N110:N114)</f>
        <v>322</v>
      </c>
      <c r="O109" s="105">
        <f t="shared" si="10"/>
        <v>32.232232232232235</v>
      </c>
      <c r="P109" s="135"/>
      <c r="Q109" s="140">
        <f>SUM(Q110:Q114)</f>
        <v>202</v>
      </c>
      <c r="R109" s="105">
        <f t="shared" si="11"/>
        <v>20.22022022022022</v>
      </c>
      <c r="S109" s="135"/>
    </row>
    <row r="110" spans="1:19" ht="12" customHeight="1">
      <c r="A110" s="95" t="s">
        <v>424</v>
      </c>
      <c r="B110" s="169">
        <f t="shared" si="12"/>
        <v>282</v>
      </c>
      <c r="C110" s="139">
        <f t="shared" si="15"/>
        <v>6.3470627954085073</v>
      </c>
      <c r="E110" s="304">
        <v>77</v>
      </c>
      <c r="F110" s="105">
        <f t="shared" si="7"/>
        <v>27.304964539007091</v>
      </c>
      <c r="G110" s="304"/>
      <c r="H110" s="304">
        <v>30</v>
      </c>
      <c r="I110" s="105">
        <f t="shared" si="8"/>
        <v>10.638297872340425</v>
      </c>
      <c r="J110" s="304"/>
      <c r="K110" s="304">
        <v>55</v>
      </c>
      <c r="L110" s="105">
        <f t="shared" si="9"/>
        <v>19.50354609929078</v>
      </c>
      <c r="M110" s="304"/>
      <c r="N110" s="304">
        <v>87</v>
      </c>
      <c r="O110" s="105">
        <f t="shared" si="10"/>
        <v>30.851063829787233</v>
      </c>
      <c r="P110" s="304"/>
      <c r="Q110" s="304">
        <v>33</v>
      </c>
      <c r="R110" s="105">
        <f t="shared" si="11"/>
        <v>11.702127659574469</v>
      </c>
      <c r="S110" s="135"/>
    </row>
    <row r="111" spans="1:19" ht="12" customHeight="1">
      <c r="A111" s="95" t="s">
        <v>425</v>
      </c>
      <c r="B111" s="169">
        <f t="shared" si="12"/>
        <v>258</v>
      </c>
      <c r="C111" s="139">
        <f t="shared" si="15"/>
        <v>5.8068872383524646</v>
      </c>
      <c r="E111" s="304">
        <v>25</v>
      </c>
      <c r="F111" s="105">
        <f t="shared" si="7"/>
        <v>9.6899224806201563</v>
      </c>
      <c r="G111" s="304"/>
      <c r="H111" s="304">
        <v>24</v>
      </c>
      <c r="I111" s="105">
        <f t="shared" si="8"/>
        <v>9.3023255813953494</v>
      </c>
      <c r="J111" s="304"/>
      <c r="K111" s="304">
        <v>48</v>
      </c>
      <c r="L111" s="105">
        <f t="shared" si="9"/>
        <v>18.604651162790699</v>
      </c>
      <c r="M111" s="304"/>
      <c r="N111" s="304">
        <v>90</v>
      </c>
      <c r="O111" s="105">
        <f t="shared" si="10"/>
        <v>34.883720930232556</v>
      </c>
      <c r="P111" s="304"/>
      <c r="Q111" s="304">
        <v>71</v>
      </c>
      <c r="R111" s="105">
        <f t="shared" si="11"/>
        <v>27.519379844961239</v>
      </c>
      <c r="S111" s="135"/>
    </row>
    <row r="112" spans="1:19" ht="12" customHeight="1">
      <c r="A112" s="95" t="s">
        <v>426</v>
      </c>
      <c r="B112" s="169">
        <f t="shared" si="12"/>
        <v>226</v>
      </c>
      <c r="C112" s="139">
        <f t="shared" si="15"/>
        <v>5.0866531622777407</v>
      </c>
      <c r="E112" s="304">
        <v>42</v>
      </c>
      <c r="F112" s="105">
        <f t="shared" si="7"/>
        <v>18.584070796460178</v>
      </c>
      <c r="G112" s="304"/>
      <c r="H112" s="304">
        <v>8</v>
      </c>
      <c r="I112" s="105">
        <f t="shared" si="8"/>
        <v>3.5398230088495577</v>
      </c>
      <c r="J112" s="304"/>
      <c r="K112" s="304">
        <v>44</v>
      </c>
      <c r="L112" s="105">
        <f t="shared" si="9"/>
        <v>19.469026548672566</v>
      </c>
      <c r="M112" s="304"/>
      <c r="N112" s="304">
        <v>78</v>
      </c>
      <c r="O112" s="105">
        <f t="shared" si="10"/>
        <v>34.513274336283182</v>
      </c>
      <c r="P112" s="304"/>
      <c r="Q112" s="304">
        <v>54</v>
      </c>
      <c r="R112" s="105">
        <f t="shared" si="11"/>
        <v>23.893805309734514</v>
      </c>
      <c r="S112" s="135"/>
    </row>
    <row r="113" spans="1:19" ht="12" customHeight="1">
      <c r="A113" s="95" t="s">
        <v>522</v>
      </c>
      <c r="B113" s="169">
        <f t="shared" si="12"/>
        <v>134</v>
      </c>
      <c r="C113" s="139">
        <f t="shared" si="15"/>
        <v>3.0159801935629083</v>
      </c>
      <c r="E113" s="304">
        <v>16</v>
      </c>
      <c r="F113" s="105">
        <f t="shared" si="7"/>
        <v>11.940298507462686</v>
      </c>
      <c r="G113" s="304"/>
      <c r="H113" s="304">
        <v>16</v>
      </c>
      <c r="I113" s="105">
        <f t="shared" si="8"/>
        <v>11.940298507462686</v>
      </c>
      <c r="J113" s="304"/>
      <c r="K113" s="304">
        <v>36</v>
      </c>
      <c r="L113" s="105">
        <f t="shared" si="9"/>
        <v>26.865671641791046</v>
      </c>
      <c r="M113" s="304"/>
      <c r="N113" s="304">
        <v>31</v>
      </c>
      <c r="O113" s="105">
        <f t="shared" si="10"/>
        <v>23.134328358208954</v>
      </c>
      <c r="P113" s="304"/>
      <c r="Q113" s="304">
        <v>35</v>
      </c>
      <c r="R113" s="105">
        <f t="shared" si="11"/>
        <v>26.119402985074625</v>
      </c>
      <c r="S113" s="135"/>
    </row>
    <row r="114" spans="1:19" ht="12" customHeight="1">
      <c r="A114" s="95" t="s">
        <v>428</v>
      </c>
      <c r="B114" s="169">
        <f t="shared" si="12"/>
        <v>99</v>
      </c>
      <c r="C114" s="139">
        <f t="shared" si="15"/>
        <v>2.2282241728561782</v>
      </c>
      <c r="E114" s="304">
        <v>29</v>
      </c>
      <c r="F114" s="105">
        <f t="shared" si="7"/>
        <v>29.292929292929294</v>
      </c>
      <c r="G114" s="304"/>
      <c r="H114" s="304">
        <v>6</v>
      </c>
      <c r="I114" s="105">
        <f t="shared" si="8"/>
        <v>6.0606060606060606</v>
      </c>
      <c r="J114" s="304"/>
      <c r="K114" s="304">
        <v>19</v>
      </c>
      <c r="L114" s="105">
        <f t="shared" si="9"/>
        <v>19.19191919191919</v>
      </c>
      <c r="M114" s="304"/>
      <c r="N114" s="304">
        <v>36</v>
      </c>
      <c r="O114" s="105">
        <f t="shared" si="10"/>
        <v>36.363636363636367</v>
      </c>
      <c r="P114" s="304"/>
      <c r="Q114" s="304">
        <v>9</v>
      </c>
      <c r="R114" s="105">
        <f t="shared" si="11"/>
        <v>9.0909090909090917</v>
      </c>
      <c r="S114" s="135"/>
    </row>
    <row r="115" spans="1:19" ht="10" customHeight="1" thickBot="1">
      <c r="E115" s="95"/>
      <c r="F115" s="95"/>
      <c r="H115" s="95"/>
      <c r="I115" s="95"/>
      <c r="J115" s="95"/>
      <c r="K115" s="95"/>
      <c r="L115" s="95"/>
      <c r="N115" s="95"/>
      <c r="R115" s="105"/>
      <c r="S115" s="105"/>
    </row>
    <row r="116" spans="1:19" ht="10" customHeight="1">
      <c r="A116" s="97"/>
      <c r="B116" s="142"/>
      <c r="C116" s="143"/>
      <c r="D116" s="97"/>
      <c r="E116" s="144"/>
      <c r="F116" s="99"/>
      <c r="G116" s="97"/>
      <c r="H116" s="144"/>
      <c r="I116" s="99"/>
      <c r="J116" s="99"/>
      <c r="K116" s="144"/>
      <c r="L116" s="99"/>
      <c r="M116" s="97"/>
      <c r="N116" s="144"/>
      <c r="O116" s="99"/>
      <c r="P116" s="99"/>
      <c r="Q116" s="144"/>
      <c r="R116" s="99"/>
      <c r="S116" s="99"/>
    </row>
    <row r="117" spans="1:19">
      <c r="A117" s="121" t="s">
        <v>1858</v>
      </c>
      <c r="B117" s="145"/>
      <c r="C117" s="146"/>
      <c r="D117" s="116"/>
      <c r="E117" s="154"/>
      <c r="F117" s="135"/>
      <c r="G117" s="116"/>
      <c r="H117" s="154"/>
      <c r="I117" s="135"/>
      <c r="J117" s="135"/>
      <c r="K117" s="154"/>
      <c r="L117" s="135"/>
      <c r="M117" s="116"/>
      <c r="N117" s="154"/>
      <c r="O117" s="135"/>
      <c r="P117" s="135"/>
      <c r="Q117" s="154"/>
      <c r="R117" s="135"/>
      <c r="S117" s="135"/>
    </row>
    <row r="118" spans="1:19" ht="10" customHeight="1">
      <c r="A118" s="121" t="s">
        <v>519</v>
      </c>
      <c r="B118" s="145"/>
      <c r="C118" s="146"/>
      <c r="D118" s="116"/>
      <c r="E118" s="154"/>
      <c r="F118" s="135"/>
      <c r="G118" s="116"/>
      <c r="H118" s="154"/>
      <c r="I118" s="135"/>
      <c r="J118" s="135"/>
      <c r="K118" s="154"/>
      <c r="L118" s="135"/>
      <c r="M118" s="116"/>
      <c r="N118" s="154"/>
      <c r="O118" s="135"/>
      <c r="P118" s="135"/>
      <c r="Q118" s="154"/>
      <c r="R118" s="135"/>
      <c r="S118" s="135"/>
    </row>
    <row r="119" spans="1:19" ht="11.25" customHeight="1">
      <c r="A119" s="116"/>
      <c r="B119" s="145"/>
      <c r="C119" s="146"/>
      <c r="D119" s="116"/>
      <c r="E119" s="154"/>
      <c r="F119" s="135"/>
      <c r="G119" s="116"/>
      <c r="H119" s="154"/>
      <c r="I119" s="135"/>
      <c r="J119" s="135"/>
      <c r="K119" s="154"/>
      <c r="L119" s="135"/>
      <c r="M119" s="116"/>
      <c r="N119" s="154"/>
      <c r="O119" s="135"/>
      <c r="P119" s="135"/>
      <c r="Q119" s="154"/>
      <c r="R119" s="135"/>
      <c r="S119" s="135"/>
    </row>
    <row r="120" spans="1:19" ht="15">
      <c r="A120" s="59" t="s">
        <v>648</v>
      </c>
      <c r="B120" s="145"/>
      <c r="C120" s="146"/>
      <c r="D120" s="116"/>
      <c r="E120" s="154"/>
      <c r="F120" s="135"/>
      <c r="G120" s="116"/>
      <c r="H120" s="154"/>
      <c r="I120" s="135"/>
      <c r="J120" s="135"/>
      <c r="K120" s="154"/>
      <c r="L120" s="135"/>
      <c r="M120" s="116"/>
      <c r="N120" s="154"/>
      <c r="O120" s="135"/>
      <c r="P120" s="135"/>
      <c r="Q120" s="154"/>
      <c r="R120" s="135"/>
      <c r="S120" s="135"/>
    </row>
    <row r="121" spans="1:19" ht="11.25" customHeight="1">
      <c r="A121" s="116"/>
      <c r="B121" s="145"/>
      <c r="C121" s="146"/>
      <c r="D121" s="116"/>
      <c r="E121" s="154"/>
      <c r="F121" s="135"/>
      <c r="G121" s="116"/>
      <c r="H121" s="154"/>
      <c r="I121" s="135"/>
      <c r="J121" s="135"/>
      <c r="K121" s="154"/>
      <c r="L121" s="135"/>
      <c r="M121" s="116"/>
      <c r="N121" s="154"/>
      <c r="O121" s="135"/>
      <c r="P121" s="135"/>
      <c r="Q121" s="154"/>
      <c r="R121" s="135"/>
      <c r="S121" s="135"/>
    </row>
    <row r="122" spans="1:19">
      <c r="A122" s="95" t="s">
        <v>491</v>
      </c>
      <c r="Q122" s="140"/>
    </row>
    <row r="123" spans="1:19">
      <c r="A123" s="95" t="s">
        <v>471</v>
      </c>
      <c r="Q123" s="140"/>
    </row>
  </sheetData>
  <mergeCells count="4">
    <mergeCell ref="H7:I7"/>
    <mergeCell ref="K7:L7"/>
    <mergeCell ref="N7:O7"/>
    <mergeCell ref="Q7:R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249977111117893"/>
  </sheetPr>
  <dimension ref="B3:J36"/>
  <sheetViews>
    <sheetView workbookViewId="0">
      <selection activeCell="A4" sqref="A4"/>
    </sheetView>
  </sheetViews>
  <sheetFormatPr baseColWidth="10" defaultRowHeight="15"/>
  <cols>
    <col min="1" max="1" width="7.1640625" customWidth="1"/>
    <col min="257" max="257" width="7.1640625" customWidth="1"/>
    <col min="513" max="513" width="7.1640625" customWidth="1"/>
    <col min="769" max="769" width="7.1640625" customWidth="1"/>
    <col min="1025" max="1025" width="7.1640625" customWidth="1"/>
    <col min="1281" max="1281" width="7.1640625" customWidth="1"/>
    <col min="1537" max="1537" width="7.1640625" customWidth="1"/>
    <col min="1793" max="1793" width="7.1640625" customWidth="1"/>
    <col min="2049" max="2049" width="7.1640625" customWidth="1"/>
    <col min="2305" max="2305" width="7.1640625" customWidth="1"/>
    <col min="2561" max="2561" width="7.1640625" customWidth="1"/>
    <col min="2817" max="2817" width="7.1640625" customWidth="1"/>
    <col min="3073" max="3073" width="7.1640625" customWidth="1"/>
    <col min="3329" max="3329" width="7.1640625" customWidth="1"/>
    <col min="3585" max="3585" width="7.1640625" customWidth="1"/>
    <col min="3841" max="3841" width="7.1640625" customWidth="1"/>
    <col min="4097" max="4097" width="7.1640625" customWidth="1"/>
    <col min="4353" max="4353" width="7.1640625" customWidth="1"/>
    <col min="4609" max="4609" width="7.1640625" customWidth="1"/>
    <col min="4865" max="4865" width="7.1640625" customWidth="1"/>
    <col min="5121" max="5121" width="7.1640625" customWidth="1"/>
    <col min="5377" max="5377" width="7.1640625" customWidth="1"/>
    <col min="5633" max="5633" width="7.1640625" customWidth="1"/>
    <col min="5889" max="5889" width="7.1640625" customWidth="1"/>
    <col min="6145" max="6145" width="7.1640625" customWidth="1"/>
    <col min="6401" max="6401" width="7.1640625" customWidth="1"/>
    <col min="6657" max="6657" width="7.1640625" customWidth="1"/>
    <col min="6913" max="6913" width="7.1640625" customWidth="1"/>
    <col min="7169" max="7169" width="7.1640625" customWidth="1"/>
    <col min="7425" max="7425" width="7.1640625" customWidth="1"/>
    <col min="7681" max="7681" width="7.1640625" customWidth="1"/>
    <col min="7937" max="7937" width="7.1640625" customWidth="1"/>
    <col min="8193" max="8193" width="7.1640625" customWidth="1"/>
    <col min="8449" max="8449" width="7.1640625" customWidth="1"/>
    <col min="8705" max="8705" width="7.1640625" customWidth="1"/>
    <col min="8961" max="8961" width="7.1640625" customWidth="1"/>
    <col min="9217" max="9217" width="7.1640625" customWidth="1"/>
    <col min="9473" max="9473" width="7.1640625" customWidth="1"/>
    <col min="9729" max="9729" width="7.1640625" customWidth="1"/>
    <col min="9985" max="9985" width="7.1640625" customWidth="1"/>
    <col min="10241" max="10241" width="7.1640625" customWidth="1"/>
    <col min="10497" max="10497" width="7.1640625" customWidth="1"/>
    <col min="10753" max="10753" width="7.1640625" customWidth="1"/>
    <col min="11009" max="11009" width="7.1640625" customWidth="1"/>
    <col min="11265" max="11265" width="7.1640625" customWidth="1"/>
    <col min="11521" max="11521" width="7.1640625" customWidth="1"/>
    <col min="11777" max="11777" width="7.1640625" customWidth="1"/>
    <col min="12033" max="12033" width="7.1640625" customWidth="1"/>
    <col min="12289" max="12289" width="7.1640625" customWidth="1"/>
    <col min="12545" max="12545" width="7.1640625" customWidth="1"/>
    <col min="12801" max="12801" width="7.1640625" customWidth="1"/>
    <col min="13057" max="13057" width="7.1640625" customWidth="1"/>
    <col min="13313" max="13313" width="7.1640625" customWidth="1"/>
    <col min="13569" max="13569" width="7.1640625" customWidth="1"/>
    <col min="13825" max="13825" width="7.1640625" customWidth="1"/>
    <col min="14081" max="14081" width="7.1640625" customWidth="1"/>
    <col min="14337" max="14337" width="7.1640625" customWidth="1"/>
    <col min="14593" max="14593" width="7.1640625" customWidth="1"/>
    <col min="14849" max="14849" width="7.1640625" customWidth="1"/>
    <col min="15105" max="15105" width="7.1640625" customWidth="1"/>
    <col min="15361" max="15361" width="7.1640625" customWidth="1"/>
    <col min="15617" max="15617" width="7.1640625" customWidth="1"/>
    <col min="15873" max="15873" width="7.1640625" customWidth="1"/>
    <col min="16129" max="16129" width="7.1640625" customWidth="1"/>
  </cols>
  <sheetData>
    <row r="3" spans="2:10">
      <c r="C3" t="s">
        <v>603</v>
      </c>
      <c r="D3" t="s">
        <v>604</v>
      </c>
      <c r="E3" s="3"/>
      <c r="F3" s="3"/>
      <c r="G3" s="3"/>
      <c r="H3" s="3"/>
      <c r="I3" s="3"/>
      <c r="J3" s="3"/>
    </row>
    <row r="4" spans="2:10">
      <c r="B4" t="s">
        <v>516</v>
      </c>
      <c r="C4" s="35">
        <v>1253</v>
      </c>
      <c r="D4" s="35">
        <v>1358</v>
      </c>
      <c r="E4" s="3"/>
      <c r="F4" s="35"/>
      <c r="G4" s="35"/>
    </row>
    <row r="5" spans="2:10">
      <c r="B5" t="s">
        <v>515</v>
      </c>
      <c r="C5" s="35">
        <v>1415</v>
      </c>
      <c r="D5" s="35">
        <v>1455</v>
      </c>
      <c r="E5" s="3"/>
      <c r="F5" s="35"/>
      <c r="G5" s="35"/>
      <c r="H5" s="35"/>
      <c r="I5" s="35"/>
      <c r="J5" s="35"/>
    </row>
    <row r="6" spans="2:10">
      <c r="B6" t="s">
        <v>609</v>
      </c>
      <c r="C6" s="35">
        <v>704</v>
      </c>
      <c r="D6" s="35">
        <v>711</v>
      </c>
      <c r="E6" s="63"/>
      <c r="F6" s="35"/>
      <c r="G6" s="35"/>
      <c r="H6" s="3"/>
      <c r="I6" s="3"/>
      <c r="J6" s="3"/>
    </row>
    <row r="7" spans="2:10">
      <c r="B7" t="s">
        <v>513</v>
      </c>
      <c r="C7" s="35">
        <v>236</v>
      </c>
      <c r="D7" s="35">
        <v>246</v>
      </c>
      <c r="F7" s="35"/>
      <c r="G7" s="35"/>
    </row>
    <row r="8" spans="2:10">
      <c r="B8" t="s">
        <v>610</v>
      </c>
      <c r="C8" s="35">
        <v>728</v>
      </c>
      <c r="D8" s="35">
        <v>683</v>
      </c>
      <c r="F8" s="35"/>
      <c r="G8" s="35"/>
    </row>
    <row r="9" spans="2:10">
      <c r="B9" s="28"/>
      <c r="C9" s="28"/>
      <c r="D9" s="28"/>
      <c r="E9" s="28"/>
      <c r="F9" s="28"/>
    </row>
    <row r="32" spans="2:3">
      <c r="B32" s="35"/>
      <c r="C32" s="35"/>
    </row>
    <row r="33" spans="2:3">
      <c r="B33" s="35"/>
      <c r="C33" s="35"/>
    </row>
    <row r="34" spans="2:3">
      <c r="B34" s="35"/>
      <c r="C34" s="35"/>
    </row>
    <row r="35" spans="2:3">
      <c r="B35" s="35"/>
      <c r="C35" s="35"/>
    </row>
    <row r="36" spans="2:3">
      <c r="B36" s="35"/>
      <c r="C36" s="35"/>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Q168"/>
  <sheetViews>
    <sheetView workbookViewId="0">
      <selection activeCell="A4" sqref="A4"/>
    </sheetView>
  </sheetViews>
  <sheetFormatPr baseColWidth="10" defaultColWidth="9.1640625" defaultRowHeight="13"/>
  <cols>
    <col min="1" max="1" width="42.83203125" style="95" customWidth="1"/>
    <col min="2" max="2" width="2" style="104" customWidth="1"/>
    <col min="3" max="3" width="11" style="112" customWidth="1"/>
    <col min="4" max="4" width="9.6640625" style="112" customWidth="1"/>
    <col min="5" max="5" width="3.5" style="104" customWidth="1"/>
    <col min="6" max="7" width="10.83203125" style="104" customWidth="1"/>
    <col min="8" max="8" width="2.83203125" style="104" customWidth="1"/>
    <col min="9" max="10" width="10.5" style="104" customWidth="1"/>
    <col min="11" max="11" width="2.83203125" style="104" customWidth="1"/>
    <col min="12" max="12" width="10.33203125" style="104" customWidth="1"/>
    <col min="13" max="13" width="10.5" style="104" customWidth="1"/>
    <col min="14" max="14" width="2.83203125" style="104" customWidth="1"/>
    <col min="15" max="15" width="10.1640625" style="104" customWidth="1"/>
    <col min="16" max="16" width="10.6640625" style="105" customWidth="1"/>
    <col min="17" max="17" width="2.83203125" style="95" customWidth="1"/>
    <col min="18" max="256" width="9.1640625" style="95"/>
    <col min="257" max="257" width="42.83203125" style="95" customWidth="1"/>
    <col min="258" max="258" width="2" style="95" customWidth="1"/>
    <col min="259" max="259" width="11" style="95" customWidth="1"/>
    <col min="260" max="260" width="9.6640625" style="95" customWidth="1"/>
    <col min="261" max="261" width="3.5" style="95" customWidth="1"/>
    <col min="262" max="263" width="10.83203125" style="95" customWidth="1"/>
    <col min="264" max="264" width="2.83203125" style="95" customWidth="1"/>
    <col min="265" max="266" width="10.5" style="95" customWidth="1"/>
    <col min="267" max="267" width="2.83203125" style="95" customWidth="1"/>
    <col min="268" max="268" width="10.33203125" style="95" customWidth="1"/>
    <col min="269" max="269" width="10.5" style="95" customWidth="1"/>
    <col min="270" max="270" width="2.83203125" style="95" customWidth="1"/>
    <col min="271" max="271" width="10.1640625" style="95" customWidth="1"/>
    <col min="272" max="272" width="10.6640625" style="95" customWidth="1"/>
    <col min="273" max="273" width="2.83203125" style="95" customWidth="1"/>
    <col min="274" max="512" width="9.1640625" style="95"/>
    <col min="513" max="513" width="42.83203125" style="95" customWidth="1"/>
    <col min="514" max="514" width="2" style="95" customWidth="1"/>
    <col min="515" max="515" width="11" style="95" customWidth="1"/>
    <col min="516" max="516" width="9.6640625" style="95" customWidth="1"/>
    <col min="517" max="517" width="3.5" style="95" customWidth="1"/>
    <col min="518" max="519" width="10.83203125" style="95" customWidth="1"/>
    <col min="520" max="520" width="2.83203125" style="95" customWidth="1"/>
    <col min="521" max="522" width="10.5" style="95" customWidth="1"/>
    <col min="523" max="523" width="2.83203125" style="95" customWidth="1"/>
    <col min="524" max="524" width="10.33203125" style="95" customWidth="1"/>
    <col min="525" max="525" width="10.5" style="95" customWidth="1"/>
    <col min="526" max="526" width="2.83203125" style="95" customWidth="1"/>
    <col min="527" max="527" width="10.1640625" style="95" customWidth="1"/>
    <col min="528" max="528" width="10.6640625" style="95" customWidth="1"/>
    <col min="529" max="529" width="2.83203125" style="95" customWidth="1"/>
    <col min="530" max="768" width="9.1640625" style="95"/>
    <col min="769" max="769" width="42.83203125" style="95" customWidth="1"/>
    <col min="770" max="770" width="2" style="95" customWidth="1"/>
    <col min="771" max="771" width="11" style="95" customWidth="1"/>
    <col min="772" max="772" width="9.6640625" style="95" customWidth="1"/>
    <col min="773" max="773" width="3.5" style="95" customWidth="1"/>
    <col min="774" max="775" width="10.83203125" style="95" customWidth="1"/>
    <col min="776" max="776" width="2.83203125" style="95" customWidth="1"/>
    <col min="777" max="778" width="10.5" style="95" customWidth="1"/>
    <col min="779" max="779" width="2.83203125" style="95" customWidth="1"/>
    <col min="780" max="780" width="10.33203125" style="95" customWidth="1"/>
    <col min="781" max="781" width="10.5" style="95" customWidth="1"/>
    <col min="782" max="782" width="2.83203125" style="95" customWidth="1"/>
    <col min="783" max="783" width="10.1640625" style="95" customWidth="1"/>
    <col min="784" max="784" width="10.6640625" style="95" customWidth="1"/>
    <col min="785" max="785" width="2.83203125" style="95" customWidth="1"/>
    <col min="786" max="1024" width="9.1640625" style="95"/>
    <col min="1025" max="1025" width="42.83203125" style="95" customWidth="1"/>
    <col min="1026" max="1026" width="2" style="95" customWidth="1"/>
    <col min="1027" max="1027" width="11" style="95" customWidth="1"/>
    <col min="1028" max="1028" width="9.6640625" style="95" customWidth="1"/>
    <col min="1029" max="1029" width="3.5" style="95" customWidth="1"/>
    <col min="1030" max="1031" width="10.83203125" style="95" customWidth="1"/>
    <col min="1032" max="1032" width="2.83203125" style="95" customWidth="1"/>
    <col min="1033" max="1034" width="10.5" style="95" customWidth="1"/>
    <col min="1035" max="1035" width="2.83203125" style="95" customWidth="1"/>
    <col min="1036" max="1036" width="10.33203125" style="95" customWidth="1"/>
    <col min="1037" max="1037" width="10.5" style="95" customWidth="1"/>
    <col min="1038" max="1038" width="2.83203125" style="95" customWidth="1"/>
    <col min="1039" max="1039" width="10.1640625" style="95" customWidth="1"/>
    <col min="1040" max="1040" width="10.6640625" style="95" customWidth="1"/>
    <col min="1041" max="1041" width="2.83203125" style="95" customWidth="1"/>
    <col min="1042" max="1280" width="9.1640625" style="95"/>
    <col min="1281" max="1281" width="42.83203125" style="95" customWidth="1"/>
    <col min="1282" max="1282" width="2" style="95" customWidth="1"/>
    <col min="1283" max="1283" width="11" style="95" customWidth="1"/>
    <col min="1284" max="1284" width="9.6640625" style="95" customWidth="1"/>
    <col min="1285" max="1285" width="3.5" style="95" customWidth="1"/>
    <col min="1286" max="1287" width="10.83203125" style="95" customWidth="1"/>
    <col min="1288" max="1288" width="2.83203125" style="95" customWidth="1"/>
    <col min="1289" max="1290" width="10.5" style="95" customWidth="1"/>
    <col min="1291" max="1291" width="2.83203125" style="95" customWidth="1"/>
    <col min="1292" max="1292" width="10.33203125" style="95" customWidth="1"/>
    <col min="1293" max="1293" width="10.5" style="95" customWidth="1"/>
    <col min="1294" max="1294" width="2.83203125" style="95" customWidth="1"/>
    <col min="1295" max="1295" width="10.1640625" style="95" customWidth="1"/>
    <col min="1296" max="1296" width="10.6640625" style="95" customWidth="1"/>
    <col min="1297" max="1297" width="2.83203125" style="95" customWidth="1"/>
    <col min="1298" max="1536" width="9.1640625" style="95"/>
    <col min="1537" max="1537" width="42.83203125" style="95" customWidth="1"/>
    <col min="1538" max="1538" width="2" style="95" customWidth="1"/>
    <col min="1539" max="1539" width="11" style="95" customWidth="1"/>
    <col min="1540" max="1540" width="9.6640625" style="95" customWidth="1"/>
    <col min="1541" max="1541" width="3.5" style="95" customWidth="1"/>
    <col min="1542" max="1543" width="10.83203125" style="95" customWidth="1"/>
    <col min="1544" max="1544" width="2.83203125" style="95" customWidth="1"/>
    <col min="1545" max="1546" width="10.5" style="95" customWidth="1"/>
    <col min="1547" max="1547" width="2.83203125" style="95" customWidth="1"/>
    <col min="1548" max="1548" width="10.33203125" style="95" customWidth="1"/>
    <col min="1549" max="1549" width="10.5" style="95" customWidth="1"/>
    <col min="1550" max="1550" width="2.83203125" style="95" customWidth="1"/>
    <col min="1551" max="1551" width="10.1640625" style="95" customWidth="1"/>
    <col min="1552" max="1552" width="10.6640625" style="95" customWidth="1"/>
    <col min="1553" max="1553" width="2.83203125" style="95" customWidth="1"/>
    <col min="1554" max="1792" width="9.1640625" style="95"/>
    <col min="1793" max="1793" width="42.83203125" style="95" customWidth="1"/>
    <col min="1794" max="1794" width="2" style="95" customWidth="1"/>
    <col min="1795" max="1795" width="11" style="95" customWidth="1"/>
    <col min="1796" max="1796" width="9.6640625" style="95" customWidth="1"/>
    <col min="1797" max="1797" width="3.5" style="95" customWidth="1"/>
    <col min="1798" max="1799" width="10.83203125" style="95" customWidth="1"/>
    <col min="1800" max="1800" width="2.83203125" style="95" customWidth="1"/>
    <col min="1801" max="1802" width="10.5" style="95" customWidth="1"/>
    <col min="1803" max="1803" width="2.83203125" style="95" customWidth="1"/>
    <col min="1804" max="1804" width="10.33203125" style="95" customWidth="1"/>
    <col min="1805" max="1805" width="10.5" style="95" customWidth="1"/>
    <col min="1806" max="1806" width="2.83203125" style="95" customWidth="1"/>
    <col min="1807" max="1807" width="10.1640625" style="95" customWidth="1"/>
    <col min="1808" max="1808" width="10.6640625" style="95" customWidth="1"/>
    <col min="1809" max="1809" width="2.83203125" style="95" customWidth="1"/>
    <col min="1810" max="2048" width="9.1640625" style="95"/>
    <col min="2049" max="2049" width="42.83203125" style="95" customWidth="1"/>
    <col min="2050" max="2050" width="2" style="95" customWidth="1"/>
    <col min="2051" max="2051" width="11" style="95" customWidth="1"/>
    <col min="2052" max="2052" width="9.6640625" style="95" customWidth="1"/>
    <col min="2053" max="2053" width="3.5" style="95" customWidth="1"/>
    <col min="2054" max="2055" width="10.83203125" style="95" customWidth="1"/>
    <col min="2056" max="2056" width="2.83203125" style="95" customWidth="1"/>
    <col min="2057" max="2058" width="10.5" style="95" customWidth="1"/>
    <col min="2059" max="2059" width="2.83203125" style="95" customWidth="1"/>
    <col min="2060" max="2060" width="10.33203125" style="95" customWidth="1"/>
    <col min="2061" max="2061" width="10.5" style="95" customWidth="1"/>
    <col min="2062" max="2062" width="2.83203125" style="95" customWidth="1"/>
    <col min="2063" max="2063" width="10.1640625" style="95" customWidth="1"/>
    <col min="2064" max="2064" width="10.6640625" style="95" customWidth="1"/>
    <col min="2065" max="2065" width="2.83203125" style="95" customWidth="1"/>
    <col min="2066" max="2304" width="9.1640625" style="95"/>
    <col min="2305" max="2305" width="42.83203125" style="95" customWidth="1"/>
    <col min="2306" max="2306" width="2" style="95" customWidth="1"/>
    <col min="2307" max="2307" width="11" style="95" customWidth="1"/>
    <col min="2308" max="2308" width="9.6640625" style="95" customWidth="1"/>
    <col min="2309" max="2309" width="3.5" style="95" customWidth="1"/>
    <col min="2310" max="2311" width="10.83203125" style="95" customWidth="1"/>
    <col min="2312" max="2312" width="2.83203125" style="95" customWidth="1"/>
    <col min="2313" max="2314" width="10.5" style="95" customWidth="1"/>
    <col min="2315" max="2315" width="2.83203125" style="95" customWidth="1"/>
    <col min="2316" max="2316" width="10.33203125" style="95" customWidth="1"/>
    <col min="2317" max="2317" width="10.5" style="95" customWidth="1"/>
    <col min="2318" max="2318" width="2.83203125" style="95" customWidth="1"/>
    <col min="2319" max="2319" width="10.1640625" style="95" customWidth="1"/>
    <col min="2320" max="2320" width="10.6640625" style="95" customWidth="1"/>
    <col min="2321" max="2321" width="2.83203125" style="95" customWidth="1"/>
    <col min="2322" max="2560" width="9.1640625" style="95"/>
    <col min="2561" max="2561" width="42.83203125" style="95" customWidth="1"/>
    <col min="2562" max="2562" width="2" style="95" customWidth="1"/>
    <col min="2563" max="2563" width="11" style="95" customWidth="1"/>
    <col min="2564" max="2564" width="9.6640625" style="95" customWidth="1"/>
    <col min="2565" max="2565" width="3.5" style="95" customWidth="1"/>
    <col min="2566" max="2567" width="10.83203125" style="95" customWidth="1"/>
    <col min="2568" max="2568" width="2.83203125" style="95" customWidth="1"/>
    <col min="2569" max="2570" width="10.5" style="95" customWidth="1"/>
    <col min="2571" max="2571" width="2.83203125" style="95" customWidth="1"/>
    <col min="2572" max="2572" width="10.33203125" style="95" customWidth="1"/>
    <col min="2573" max="2573" width="10.5" style="95" customWidth="1"/>
    <col min="2574" max="2574" width="2.83203125" style="95" customWidth="1"/>
    <col min="2575" max="2575" width="10.1640625" style="95" customWidth="1"/>
    <col min="2576" max="2576" width="10.6640625" style="95" customWidth="1"/>
    <col min="2577" max="2577" width="2.83203125" style="95" customWidth="1"/>
    <col min="2578" max="2816" width="9.1640625" style="95"/>
    <col min="2817" max="2817" width="42.83203125" style="95" customWidth="1"/>
    <col min="2818" max="2818" width="2" style="95" customWidth="1"/>
    <col min="2819" max="2819" width="11" style="95" customWidth="1"/>
    <col min="2820" max="2820" width="9.6640625" style="95" customWidth="1"/>
    <col min="2821" max="2821" width="3.5" style="95" customWidth="1"/>
    <col min="2822" max="2823" width="10.83203125" style="95" customWidth="1"/>
    <col min="2824" max="2824" width="2.83203125" style="95" customWidth="1"/>
    <col min="2825" max="2826" width="10.5" style="95" customWidth="1"/>
    <col min="2827" max="2827" width="2.83203125" style="95" customWidth="1"/>
    <col min="2828" max="2828" width="10.33203125" style="95" customWidth="1"/>
    <col min="2829" max="2829" width="10.5" style="95" customWidth="1"/>
    <col min="2830" max="2830" width="2.83203125" style="95" customWidth="1"/>
    <col min="2831" max="2831" width="10.1640625" style="95" customWidth="1"/>
    <col min="2832" max="2832" width="10.6640625" style="95" customWidth="1"/>
    <col min="2833" max="2833" width="2.83203125" style="95" customWidth="1"/>
    <col min="2834" max="3072" width="9.1640625" style="95"/>
    <col min="3073" max="3073" width="42.83203125" style="95" customWidth="1"/>
    <col min="3074" max="3074" width="2" style="95" customWidth="1"/>
    <col min="3075" max="3075" width="11" style="95" customWidth="1"/>
    <col min="3076" max="3076" width="9.6640625" style="95" customWidth="1"/>
    <col min="3077" max="3077" width="3.5" style="95" customWidth="1"/>
    <col min="3078" max="3079" width="10.83203125" style="95" customWidth="1"/>
    <col min="3080" max="3080" width="2.83203125" style="95" customWidth="1"/>
    <col min="3081" max="3082" width="10.5" style="95" customWidth="1"/>
    <col min="3083" max="3083" width="2.83203125" style="95" customWidth="1"/>
    <col min="3084" max="3084" width="10.33203125" style="95" customWidth="1"/>
    <col min="3085" max="3085" width="10.5" style="95" customWidth="1"/>
    <col min="3086" max="3086" width="2.83203125" style="95" customWidth="1"/>
    <col min="3087" max="3087" width="10.1640625" style="95" customWidth="1"/>
    <col min="3088" max="3088" width="10.6640625" style="95" customWidth="1"/>
    <col min="3089" max="3089" width="2.83203125" style="95" customWidth="1"/>
    <col min="3090" max="3328" width="9.1640625" style="95"/>
    <col min="3329" max="3329" width="42.83203125" style="95" customWidth="1"/>
    <col min="3330" max="3330" width="2" style="95" customWidth="1"/>
    <col min="3331" max="3331" width="11" style="95" customWidth="1"/>
    <col min="3332" max="3332" width="9.6640625" style="95" customWidth="1"/>
    <col min="3333" max="3333" width="3.5" style="95" customWidth="1"/>
    <col min="3334" max="3335" width="10.83203125" style="95" customWidth="1"/>
    <col min="3336" max="3336" width="2.83203125" style="95" customWidth="1"/>
    <col min="3337" max="3338" width="10.5" style="95" customWidth="1"/>
    <col min="3339" max="3339" width="2.83203125" style="95" customWidth="1"/>
    <col min="3340" max="3340" width="10.33203125" style="95" customWidth="1"/>
    <col min="3341" max="3341" width="10.5" style="95" customWidth="1"/>
    <col min="3342" max="3342" width="2.83203125" style="95" customWidth="1"/>
    <col min="3343" max="3343" width="10.1640625" style="95" customWidth="1"/>
    <col min="3344" max="3344" width="10.6640625" style="95" customWidth="1"/>
    <col min="3345" max="3345" width="2.83203125" style="95" customWidth="1"/>
    <col min="3346" max="3584" width="9.1640625" style="95"/>
    <col min="3585" max="3585" width="42.83203125" style="95" customWidth="1"/>
    <col min="3586" max="3586" width="2" style="95" customWidth="1"/>
    <col min="3587" max="3587" width="11" style="95" customWidth="1"/>
    <col min="3588" max="3588" width="9.6640625" style="95" customWidth="1"/>
    <col min="3589" max="3589" width="3.5" style="95" customWidth="1"/>
    <col min="3590" max="3591" width="10.83203125" style="95" customWidth="1"/>
    <col min="3592" max="3592" width="2.83203125" style="95" customWidth="1"/>
    <col min="3593" max="3594" width="10.5" style="95" customWidth="1"/>
    <col min="3595" max="3595" width="2.83203125" style="95" customWidth="1"/>
    <col min="3596" max="3596" width="10.33203125" style="95" customWidth="1"/>
    <col min="3597" max="3597" width="10.5" style="95" customWidth="1"/>
    <col min="3598" max="3598" width="2.83203125" style="95" customWidth="1"/>
    <col min="3599" max="3599" width="10.1640625" style="95" customWidth="1"/>
    <col min="3600" max="3600" width="10.6640625" style="95" customWidth="1"/>
    <col min="3601" max="3601" width="2.83203125" style="95" customWidth="1"/>
    <col min="3602" max="3840" width="9.1640625" style="95"/>
    <col min="3841" max="3841" width="42.83203125" style="95" customWidth="1"/>
    <col min="3842" max="3842" width="2" style="95" customWidth="1"/>
    <col min="3843" max="3843" width="11" style="95" customWidth="1"/>
    <col min="3844" max="3844" width="9.6640625" style="95" customWidth="1"/>
    <col min="3845" max="3845" width="3.5" style="95" customWidth="1"/>
    <col min="3846" max="3847" width="10.83203125" style="95" customWidth="1"/>
    <col min="3848" max="3848" width="2.83203125" style="95" customWidth="1"/>
    <col min="3849" max="3850" width="10.5" style="95" customWidth="1"/>
    <col min="3851" max="3851" width="2.83203125" style="95" customWidth="1"/>
    <col min="3852" max="3852" width="10.33203125" style="95" customWidth="1"/>
    <col min="3853" max="3853" width="10.5" style="95" customWidth="1"/>
    <col min="3854" max="3854" width="2.83203125" style="95" customWidth="1"/>
    <col min="3855" max="3855" width="10.1640625" style="95" customWidth="1"/>
    <col min="3856" max="3856" width="10.6640625" style="95" customWidth="1"/>
    <col min="3857" max="3857" width="2.83203125" style="95" customWidth="1"/>
    <col min="3858" max="4096" width="9.1640625" style="95"/>
    <col min="4097" max="4097" width="42.83203125" style="95" customWidth="1"/>
    <col min="4098" max="4098" width="2" style="95" customWidth="1"/>
    <col min="4099" max="4099" width="11" style="95" customWidth="1"/>
    <col min="4100" max="4100" width="9.6640625" style="95" customWidth="1"/>
    <col min="4101" max="4101" width="3.5" style="95" customWidth="1"/>
    <col min="4102" max="4103" width="10.83203125" style="95" customWidth="1"/>
    <col min="4104" max="4104" width="2.83203125" style="95" customWidth="1"/>
    <col min="4105" max="4106" width="10.5" style="95" customWidth="1"/>
    <col min="4107" max="4107" width="2.83203125" style="95" customWidth="1"/>
    <col min="4108" max="4108" width="10.33203125" style="95" customWidth="1"/>
    <col min="4109" max="4109" width="10.5" style="95" customWidth="1"/>
    <col min="4110" max="4110" width="2.83203125" style="95" customWidth="1"/>
    <col min="4111" max="4111" width="10.1640625" style="95" customWidth="1"/>
    <col min="4112" max="4112" width="10.6640625" style="95" customWidth="1"/>
    <col min="4113" max="4113" width="2.83203125" style="95" customWidth="1"/>
    <col min="4114" max="4352" width="9.1640625" style="95"/>
    <col min="4353" max="4353" width="42.83203125" style="95" customWidth="1"/>
    <col min="4354" max="4354" width="2" style="95" customWidth="1"/>
    <col min="4355" max="4355" width="11" style="95" customWidth="1"/>
    <col min="4356" max="4356" width="9.6640625" style="95" customWidth="1"/>
    <col min="4357" max="4357" width="3.5" style="95" customWidth="1"/>
    <col min="4358" max="4359" width="10.83203125" style="95" customWidth="1"/>
    <col min="4360" max="4360" width="2.83203125" style="95" customWidth="1"/>
    <col min="4361" max="4362" width="10.5" style="95" customWidth="1"/>
    <col min="4363" max="4363" width="2.83203125" style="95" customWidth="1"/>
    <col min="4364" max="4364" width="10.33203125" style="95" customWidth="1"/>
    <col min="4365" max="4365" width="10.5" style="95" customWidth="1"/>
    <col min="4366" max="4366" width="2.83203125" style="95" customWidth="1"/>
    <col min="4367" max="4367" width="10.1640625" style="95" customWidth="1"/>
    <col min="4368" max="4368" width="10.6640625" style="95" customWidth="1"/>
    <col min="4369" max="4369" width="2.83203125" style="95" customWidth="1"/>
    <col min="4370" max="4608" width="9.1640625" style="95"/>
    <col min="4609" max="4609" width="42.83203125" style="95" customWidth="1"/>
    <col min="4610" max="4610" width="2" style="95" customWidth="1"/>
    <col min="4611" max="4611" width="11" style="95" customWidth="1"/>
    <col min="4612" max="4612" width="9.6640625" style="95" customWidth="1"/>
    <col min="4613" max="4613" width="3.5" style="95" customWidth="1"/>
    <col min="4614" max="4615" width="10.83203125" style="95" customWidth="1"/>
    <col min="4616" max="4616" width="2.83203125" style="95" customWidth="1"/>
    <col min="4617" max="4618" width="10.5" style="95" customWidth="1"/>
    <col min="4619" max="4619" width="2.83203125" style="95" customWidth="1"/>
    <col min="4620" max="4620" width="10.33203125" style="95" customWidth="1"/>
    <col min="4621" max="4621" width="10.5" style="95" customWidth="1"/>
    <col min="4622" max="4622" width="2.83203125" style="95" customWidth="1"/>
    <col min="4623" max="4623" width="10.1640625" style="95" customWidth="1"/>
    <col min="4624" max="4624" width="10.6640625" style="95" customWidth="1"/>
    <col min="4625" max="4625" width="2.83203125" style="95" customWidth="1"/>
    <col min="4626" max="4864" width="9.1640625" style="95"/>
    <col min="4865" max="4865" width="42.83203125" style="95" customWidth="1"/>
    <col min="4866" max="4866" width="2" style="95" customWidth="1"/>
    <col min="4867" max="4867" width="11" style="95" customWidth="1"/>
    <col min="4868" max="4868" width="9.6640625" style="95" customWidth="1"/>
    <col min="4869" max="4869" width="3.5" style="95" customWidth="1"/>
    <col min="4870" max="4871" width="10.83203125" style="95" customWidth="1"/>
    <col min="4872" max="4872" width="2.83203125" style="95" customWidth="1"/>
    <col min="4873" max="4874" width="10.5" style="95" customWidth="1"/>
    <col min="4875" max="4875" width="2.83203125" style="95" customWidth="1"/>
    <col min="4876" max="4876" width="10.33203125" style="95" customWidth="1"/>
    <col min="4877" max="4877" width="10.5" style="95" customWidth="1"/>
    <col min="4878" max="4878" width="2.83203125" style="95" customWidth="1"/>
    <col min="4879" max="4879" width="10.1640625" style="95" customWidth="1"/>
    <col min="4880" max="4880" width="10.6640625" style="95" customWidth="1"/>
    <col min="4881" max="4881" width="2.83203125" style="95" customWidth="1"/>
    <col min="4882" max="5120" width="9.1640625" style="95"/>
    <col min="5121" max="5121" width="42.83203125" style="95" customWidth="1"/>
    <col min="5122" max="5122" width="2" style="95" customWidth="1"/>
    <col min="5123" max="5123" width="11" style="95" customWidth="1"/>
    <col min="5124" max="5124" width="9.6640625" style="95" customWidth="1"/>
    <col min="5125" max="5125" width="3.5" style="95" customWidth="1"/>
    <col min="5126" max="5127" width="10.83203125" style="95" customWidth="1"/>
    <col min="5128" max="5128" width="2.83203125" style="95" customWidth="1"/>
    <col min="5129" max="5130" width="10.5" style="95" customWidth="1"/>
    <col min="5131" max="5131" width="2.83203125" style="95" customWidth="1"/>
    <col min="5132" max="5132" width="10.33203125" style="95" customWidth="1"/>
    <col min="5133" max="5133" width="10.5" style="95" customWidth="1"/>
    <col min="5134" max="5134" width="2.83203125" style="95" customWidth="1"/>
    <col min="5135" max="5135" width="10.1640625" style="95" customWidth="1"/>
    <col min="5136" max="5136" width="10.6640625" style="95" customWidth="1"/>
    <col min="5137" max="5137" width="2.83203125" style="95" customWidth="1"/>
    <col min="5138" max="5376" width="9.1640625" style="95"/>
    <col min="5377" max="5377" width="42.83203125" style="95" customWidth="1"/>
    <col min="5378" max="5378" width="2" style="95" customWidth="1"/>
    <col min="5379" max="5379" width="11" style="95" customWidth="1"/>
    <col min="5380" max="5380" width="9.6640625" style="95" customWidth="1"/>
    <col min="5381" max="5381" width="3.5" style="95" customWidth="1"/>
    <col min="5382" max="5383" width="10.83203125" style="95" customWidth="1"/>
    <col min="5384" max="5384" width="2.83203125" style="95" customWidth="1"/>
    <col min="5385" max="5386" width="10.5" style="95" customWidth="1"/>
    <col min="5387" max="5387" width="2.83203125" style="95" customWidth="1"/>
    <col min="5388" max="5388" width="10.33203125" style="95" customWidth="1"/>
    <col min="5389" max="5389" width="10.5" style="95" customWidth="1"/>
    <col min="5390" max="5390" width="2.83203125" style="95" customWidth="1"/>
    <col min="5391" max="5391" width="10.1640625" style="95" customWidth="1"/>
    <col min="5392" max="5392" width="10.6640625" style="95" customWidth="1"/>
    <col min="5393" max="5393" width="2.83203125" style="95" customWidth="1"/>
    <col min="5394" max="5632" width="9.1640625" style="95"/>
    <col min="5633" max="5633" width="42.83203125" style="95" customWidth="1"/>
    <col min="5634" max="5634" width="2" style="95" customWidth="1"/>
    <col min="5635" max="5635" width="11" style="95" customWidth="1"/>
    <col min="5636" max="5636" width="9.6640625" style="95" customWidth="1"/>
    <col min="5637" max="5637" width="3.5" style="95" customWidth="1"/>
    <col min="5638" max="5639" width="10.83203125" style="95" customWidth="1"/>
    <col min="5640" max="5640" width="2.83203125" style="95" customWidth="1"/>
    <col min="5641" max="5642" width="10.5" style="95" customWidth="1"/>
    <col min="5643" max="5643" width="2.83203125" style="95" customWidth="1"/>
    <col min="5644" max="5644" width="10.33203125" style="95" customWidth="1"/>
    <col min="5645" max="5645" width="10.5" style="95" customWidth="1"/>
    <col min="5646" max="5646" width="2.83203125" style="95" customWidth="1"/>
    <col min="5647" max="5647" width="10.1640625" style="95" customWidth="1"/>
    <col min="5648" max="5648" width="10.6640625" style="95" customWidth="1"/>
    <col min="5649" max="5649" width="2.83203125" style="95" customWidth="1"/>
    <col min="5650" max="5888" width="9.1640625" style="95"/>
    <col min="5889" max="5889" width="42.83203125" style="95" customWidth="1"/>
    <col min="5890" max="5890" width="2" style="95" customWidth="1"/>
    <col min="5891" max="5891" width="11" style="95" customWidth="1"/>
    <col min="5892" max="5892" width="9.6640625" style="95" customWidth="1"/>
    <col min="5893" max="5893" width="3.5" style="95" customWidth="1"/>
    <col min="5894" max="5895" width="10.83203125" style="95" customWidth="1"/>
    <col min="5896" max="5896" width="2.83203125" style="95" customWidth="1"/>
    <col min="5897" max="5898" width="10.5" style="95" customWidth="1"/>
    <col min="5899" max="5899" width="2.83203125" style="95" customWidth="1"/>
    <col min="5900" max="5900" width="10.33203125" style="95" customWidth="1"/>
    <col min="5901" max="5901" width="10.5" style="95" customWidth="1"/>
    <col min="5902" max="5902" width="2.83203125" style="95" customWidth="1"/>
    <col min="5903" max="5903" width="10.1640625" style="95" customWidth="1"/>
    <col min="5904" max="5904" width="10.6640625" style="95" customWidth="1"/>
    <col min="5905" max="5905" width="2.83203125" style="95" customWidth="1"/>
    <col min="5906" max="6144" width="9.1640625" style="95"/>
    <col min="6145" max="6145" width="42.83203125" style="95" customWidth="1"/>
    <col min="6146" max="6146" width="2" style="95" customWidth="1"/>
    <col min="6147" max="6147" width="11" style="95" customWidth="1"/>
    <col min="6148" max="6148" width="9.6640625" style="95" customWidth="1"/>
    <col min="6149" max="6149" width="3.5" style="95" customWidth="1"/>
    <col min="6150" max="6151" width="10.83203125" style="95" customWidth="1"/>
    <col min="6152" max="6152" width="2.83203125" style="95" customWidth="1"/>
    <col min="6153" max="6154" width="10.5" style="95" customWidth="1"/>
    <col min="6155" max="6155" width="2.83203125" style="95" customWidth="1"/>
    <col min="6156" max="6156" width="10.33203125" style="95" customWidth="1"/>
    <col min="6157" max="6157" width="10.5" style="95" customWidth="1"/>
    <col min="6158" max="6158" width="2.83203125" style="95" customWidth="1"/>
    <col min="6159" max="6159" width="10.1640625" style="95" customWidth="1"/>
    <col min="6160" max="6160" width="10.6640625" style="95" customWidth="1"/>
    <col min="6161" max="6161" width="2.83203125" style="95" customWidth="1"/>
    <col min="6162" max="6400" width="9.1640625" style="95"/>
    <col min="6401" max="6401" width="42.83203125" style="95" customWidth="1"/>
    <col min="6402" max="6402" width="2" style="95" customWidth="1"/>
    <col min="6403" max="6403" width="11" style="95" customWidth="1"/>
    <col min="6404" max="6404" width="9.6640625" style="95" customWidth="1"/>
    <col min="6405" max="6405" width="3.5" style="95" customWidth="1"/>
    <col min="6406" max="6407" width="10.83203125" style="95" customWidth="1"/>
    <col min="6408" max="6408" width="2.83203125" style="95" customWidth="1"/>
    <col min="6409" max="6410" width="10.5" style="95" customWidth="1"/>
    <col min="6411" max="6411" width="2.83203125" style="95" customWidth="1"/>
    <col min="6412" max="6412" width="10.33203125" style="95" customWidth="1"/>
    <col min="6413" max="6413" width="10.5" style="95" customWidth="1"/>
    <col min="6414" max="6414" width="2.83203125" style="95" customWidth="1"/>
    <col min="6415" max="6415" width="10.1640625" style="95" customWidth="1"/>
    <col min="6416" max="6416" width="10.6640625" style="95" customWidth="1"/>
    <col min="6417" max="6417" width="2.83203125" style="95" customWidth="1"/>
    <col min="6418" max="6656" width="9.1640625" style="95"/>
    <col min="6657" max="6657" width="42.83203125" style="95" customWidth="1"/>
    <col min="6658" max="6658" width="2" style="95" customWidth="1"/>
    <col min="6659" max="6659" width="11" style="95" customWidth="1"/>
    <col min="6660" max="6660" width="9.6640625" style="95" customWidth="1"/>
    <col min="6661" max="6661" width="3.5" style="95" customWidth="1"/>
    <col min="6662" max="6663" width="10.83203125" style="95" customWidth="1"/>
    <col min="6664" max="6664" width="2.83203125" style="95" customWidth="1"/>
    <col min="6665" max="6666" width="10.5" style="95" customWidth="1"/>
    <col min="6667" max="6667" width="2.83203125" style="95" customWidth="1"/>
    <col min="6668" max="6668" width="10.33203125" style="95" customWidth="1"/>
    <col min="6669" max="6669" width="10.5" style="95" customWidth="1"/>
    <col min="6670" max="6670" width="2.83203125" style="95" customWidth="1"/>
    <col min="6671" max="6671" width="10.1640625" style="95" customWidth="1"/>
    <col min="6672" max="6672" width="10.6640625" style="95" customWidth="1"/>
    <col min="6673" max="6673" width="2.83203125" style="95" customWidth="1"/>
    <col min="6674" max="6912" width="9.1640625" style="95"/>
    <col min="6913" max="6913" width="42.83203125" style="95" customWidth="1"/>
    <col min="6914" max="6914" width="2" style="95" customWidth="1"/>
    <col min="6915" max="6915" width="11" style="95" customWidth="1"/>
    <col min="6916" max="6916" width="9.6640625" style="95" customWidth="1"/>
    <col min="6917" max="6917" width="3.5" style="95" customWidth="1"/>
    <col min="6918" max="6919" width="10.83203125" style="95" customWidth="1"/>
    <col min="6920" max="6920" width="2.83203125" style="95" customWidth="1"/>
    <col min="6921" max="6922" width="10.5" style="95" customWidth="1"/>
    <col min="6923" max="6923" width="2.83203125" style="95" customWidth="1"/>
    <col min="6924" max="6924" width="10.33203125" style="95" customWidth="1"/>
    <col min="6925" max="6925" width="10.5" style="95" customWidth="1"/>
    <col min="6926" max="6926" width="2.83203125" style="95" customWidth="1"/>
    <col min="6927" max="6927" width="10.1640625" style="95" customWidth="1"/>
    <col min="6928" max="6928" width="10.6640625" style="95" customWidth="1"/>
    <col min="6929" max="6929" width="2.83203125" style="95" customWidth="1"/>
    <col min="6930" max="7168" width="9.1640625" style="95"/>
    <col min="7169" max="7169" width="42.83203125" style="95" customWidth="1"/>
    <col min="7170" max="7170" width="2" style="95" customWidth="1"/>
    <col min="7171" max="7171" width="11" style="95" customWidth="1"/>
    <col min="7172" max="7172" width="9.6640625" style="95" customWidth="1"/>
    <col min="7173" max="7173" width="3.5" style="95" customWidth="1"/>
    <col min="7174" max="7175" width="10.83203125" style="95" customWidth="1"/>
    <col min="7176" max="7176" width="2.83203125" style="95" customWidth="1"/>
    <col min="7177" max="7178" width="10.5" style="95" customWidth="1"/>
    <col min="7179" max="7179" width="2.83203125" style="95" customWidth="1"/>
    <col min="7180" max="7180" width="10.33203125" style="95" customWidth="1"/>
    <col min="7181" max="7181" width="10.5" style="95" customWidth="1"/>
    <col min="7182" max="7182" width="2.83203125" style="95" customWidth="1"/>
    <col min="7183" max="7183" width="10.1640625" style="95" customWidth="1"/>
    <col min="7184" max="7184" width="10.6640625" style="95" customWidth="1"/>
    <col min="7185" max="7185" width="2.83203125" style="95" customWidth="1"/>
    <col min="7186" max="7424" width="9.1640625" style="95"/>
    <col min="7425" max="7425" width="42.83203125" style="95" customWidth="1"/>
    <col min="7426" max="7426" width="2" style="95" customWidth="1"/>
    <col min="7427" max="7427" width="11" style="95" customWidth="1"/>
    <col min="7428" max="7428" width="9.6640625" style="95" customWidth="1"/>
    <col min="7429" max="7429" width="3.5" style="95" customWidth="1"/>
    <col min="7430" max="7431" width="10.83203125" style="95" customWidth="1"/>
    <col min="7432" max="7432" width="2.83203125" style="95" customWidth="1"/>
    <col min="7433" max="7434" width="10.5" style="95" customWidth="1"/>
    <col min="7435" max="7435" width="2.83203125" style="95" customWidth="1"/>
    <col min="7436" max="7436" width="10.33203125" style="95" customWidth="1"/>
    <col min="7437" max="7437" width="10.5" style="95" customWidth="1"/>
    <col min="7438" max="7438" width="2.83203125" style="95" customWidth="1"/>
    <col min="7439" max="7439" width="10.1640625" style="95" customWidth="1"/>
    <col min="7440" max="7440" width="10.6640625" style="95" customWidth="1"/>
    <col min="7441" max="7441" width="2.83203125" style="95" customWidth="1"/>
    <col min="7442" max="7680" width="9.1640625" style="95"/>
    <col min="7681" max="7681" width="42.83203125" style="95" customWidth="1"/>
    <col min="7682" max="7682" width="2" style="95" customWidth="1"/>
    <col min="7683" max="7683" width="11" style="95" customWidth="1"/>
    <col min="7684" max="7684" width="9.6640625" style="95" customWidth="1"/>
    <col min="7685" max="7685" width="3.5" style="95" customWidth="1"/>
    <col min="7686" max="7687" width="10.83203125" style="95" customWidth="1"/>
    <col min="7688" max="7688" width="2.83203125" style="95" customWidth="1"/>
    <col min="7689" max="7690" width="10.5" style="95" customWidth="1"/>
    <col min="7691" max="7691" width="2.83203125" style="95" customWidth="1"/>
    <col min="7692" max="7692" width="10.33203125" style="95" customWidth="1"/>
    <col min="7693" max="7693" width="10.5" style="95" customWidth="1"/>
    <col min="7694" max="7694" width="2.83203125" style="95" customWidth="1"/>
    <col min="7695" max="7695" width="10.1640625" style="95" customWidth="1"/>
    <col min="7696" max="7696" width="10.6640625" style="95" customWidth="1"/>
    <col min="7697" max="7697" width="2.83203125" style="95" customWidth="1"/>
    <col min="7698" max="7936" width="9.1640625" style="95"/>
    <col min="7937" max="7937" width="42.83203125" style="95" customWidth="1"/>
    <col min="7938" max="7938" width="2" style="95" customWidth="1"/>
    <col min="7939" max="7939" width="11" style="95" customWidth="1"/>
    <col min="7940" max="7940" width="9.6640625" style="95" customWidth="1"/>
    <col min="7941" max="7941" width="3.5" style="95" customWidth="1"/>
    <col min="7942" max="7943" width="10.83203125" style="95" customWidth="1"/>
    <col min="7944" max="7944" width="2.83203125" style="95" customWidth="1"/>
    <col min="7945" max="7946" width="10.5" style="95" customWidth="1"/>
    <col min="7947" max="7947" width="2.83203125" style="95" customWidth="1"/>
    <col min="7948" max="7948" width="10.33203125" style="95" customWidth="1"/>
    <col min="7949" max="7949" width="10.5" style="95" customWidth="1"/>
    <col min="7950" max="7950" width="2.83203125" style="95" customWidth="1"/>
    <col min="7951" max="7951" width="10.1640625" style="95" customWidth="1"/>
    <col min="7952" max="7952" width="10.6640625" style="95" customWidth="1"/>
    <col min="7953" max="7953" width="2.83203125" style="95" customWidth="1"/>
    <col min="7954" max="8192" width="9.1640625" style="95"/>
    <col min="8193" max="8193" width="42.83203125" style="95" customWidth="1"/>
    <col min="8194" max="8194" width="2" style="95" customWidth="1"/>
    <col min="8195" max="8195" width="11" style="95" customWidth="1"/>
    <col min="8196" max="8196" width="9.6640625" style="95" customWidth="1"/>
    <col min="8197" max="8197" width="3.5" style="95" customWidth="1"/>
    <col min="8198" max="8199" width="10.83203125" style="95" customWidth="1"/>
    <col min="8200" max="8200" width="2.83203125" style="95" customWidth="1"/>
    <col min="8201" max="8202" width="10.5" style="95" customWidth="1"/>
    <col min="8203" max="8203" width="2.83203125" style="95" customWidth="1"/>
    <col min="8204" max="8204" width="10.33203125" style="95" customWidth="1"/>
    <col min="8205" max="8205" width="10.5" style="95" customWidth="1"/>
    <col min="8206" max="8206" width="2.83203125" style="95" customWidth="1"/>
    <col min="8207" max="8207" width="10.1640625" style="95" customWidth="1"/>
    <col min="8208" max="8208" width="10.6640625" style="95" customWidth="1"/>
    <col min="8209" max="8209" width="2.83203125" style="95" customWidth="1"/>
    <col min="8210" max="8448" width="9.1640625" style="95"/>
    <col min="8449" max="8449" width="42.83203125" style="95" customWidth="1"/>
    <col min="8450" max="8450" width="2" style="95" customWidth="1"/>
    <col min="8451" max="8451" width="11" style="95" customWidth="1"/>
    <col min="8452" max="8452" width="9.6640625" style="95" customWidth="1"/>
    <col min="8453" max="8453" width="3.5" style="95" customWidth="1"/>
    <col min="8454" max="8455" width="10.83203125" style="95" customWidth="1"/>
    <col min="8456" max="8456" width="2.83203125" style="95" customWidth="1"/>
    <col min="8457" max="8458" width="10.5" style="95" customWidth="1"/>
    <col min="8459" max="8459" width="2.83203125" style="95" customWidth="1"/>
    <col min="8460" max="8460" width="10.33203125" style="95" customWidth="1"/>
    <col min="8461" max="8461" width="10.5" style="95" customWidth="1"/>
    <col min="8462" max="8462" width="2.83203125" style="95" customWidth="1"/>
    <col min="8463" max="8463" width="10.1640625" style="95" customWidth="1"/>
    <col min="8464" max="8464" width="10.6640625" style="95" customWidth="1"/>
    <col min="8465" max="8465" width="2.83203125" style="95" customWidth="1"/>
    <col min="8466" max="8704" width="9.1640625" style="95"/>
    <col min="8705" max="8705" width="42.83203125" style="95" customWidth="1"/>
    <col min="8706" max="8706" width="2" style="95" customWidth="1"/>
    <col min="8707" max="8707" width="11" style="95" customWidth="1"/>
    <col min="8708" max="8708" width="9.6640625" style="95" customWidth="1"/>
    <col min="8709" max="8709" width="3.5" style="95" customWidth="1"/>
    <col min="8710" max="8711" width="10.83203125" style="95" customWidth="1"/>
    <col min="8712" max="8712" width="2.83203125" style="95" customWidth="1"/>
    <col min="8713" max="8714" width="10.5" style="95" customWidth="1"/>
    <col min="8715" max="8715" width="2.83203125" style="95" customWidth="1"/>
    <col min="8716" max="8716" width="10.33203125" style="95" customWidth="1"/>
    <col min="8717" max="8717" width="10.5" style="95" customWidth="1"/>
    <col min="8718" max="8718" width="2.83203125" style="95" customWidth="1"/>
    <col min="8719" max="8719" width="10.1640625" style="95" customWidth="1"/>
    <col min="8720" max="8720" width="10.6640625" style="95" customWidth="1"/>
    <col min="8721" max="8721" width="2.83203125" style="95" customWidth="1"/>
    <col min="8722" max="8960" width="9.1640625" style="95"/>
    <col min="8961" max="8961" width="42.83203125" style="95" customWidth="1"/>
    <col min="8962" max="8962" width="2" style="95" customWidth="1"/>
    <col min="8963" max="8963" width="11" style="95" customWidth="1"/>
    <col min="8964" max="8964" width="9.6640625" style="95" customWidth="1"/>
    <col min="8965" max="8965" width="3.5" style="95" customWidth="1"/>
    <col min="8966" max="8967" width="10.83203125" style="95" customWidth="1"/>
    <col min="8968" max="8968" width="2.83203125" style="95" customWidth="1"/>
    <col min="8969" max="8970" width="10.5" style="95" customWidth="1"/>
    <col min="8971" max="8971" width="2.83203125" style="95" customWidth="1"/>
    <col min="8972" max="8972" width="10.33203125" style="95" customWidth="1"/>
    <col min="8973" max="8973" width="10.5" style="95" customWidth="1"/>
    <col min="8974" max="8974" width="2.83203125" style="95" customWidth="1"/>
    <col min="8975" max="8975" width="10.1640625" style="95" customWidth="1"/>
    <col min="8976" max="8976" width="10.6640625" style="95" customWidth="1"/>
    <col min="8977" max="8977" width="2.83203125" style="95" customWidth="1"/>
    <col min="8978" max="9216" width="9.1640625" style="95"/>
    <col min="9217" max="9217" width="42.83203125" style="95" customWidth="1"/>
    <col min="9218" max="9218" width="2" style="95" customWidth="1"/>
    <col min="9219" max="9219" width="11" style="95" customWidth="1"/>
    <col min="9220" max="9220" width="9.6640625" style="95" customWidth="1"/>
    <col min="9221" max="9221" width="3.5" style="95" customWidth="1"/>
    <col min="9222" max="9223" width="10.83203125" style="95" customWidth="1"/>
    <col min="9224" max="9224" width="2.83203125" style="95" customWidth="1"/>
    <col min="9225" max="9226" width="10.5" style="95" customWidth="1"/>
    <col min="9227" max="9227" width="2.83203125" style="95" customWidth="1"/>
    <col min="9228" max="9228" width="10.33203125" style="95" customWidth="1"/>
    <col min="9229" max="9229" width="10.5" style="95" customWidth="1"/>
    <col min="9230" max="9230" width="2.83203125" style="95" customWidth="1"/>
    <col min="9231" max="9231" width="10.1640625" style="95" customWidth="1"/>
    <col min="9232" max="9232" width="10.6640625" style="95" customWidth="1"/>
    <col min="9233" max="9233" width="2.83203125" style="95" customWidth="1"/>
    <col min="9234" max="9472" width="9.1640625" style="95"/>
    <col min="9473" max="9473" width="42.83203125" style="95" customWidth="1"/>
    <col min="9474" max="9474" width="2" style="95" customWidth="1"/>
    <col min="9475" max="9475" width="11" style="95" customWidth="1"/>
    <col min="9476" max="9476" width="9.6640625" style="95" customWidth="1"/>
    <col min="9477" max="9477" width="3.5" style="95" customWidth="1"/>
    <col min="9478" max="9479" width="10.83203125" style="95" customWidth="1"/>
    <col min="9480" max="9480" width="2.83203125" style="95" customWidth="1"/>
    <col min="9481" max="9482" width="10.5" style="95" customWidth="1"/>
    <col min="9483" max="9483" width="2.83203125" style="95" customWidth="1"/>
    <col min="9484" max="9484" width="10.33203125" style="95" customWidth="1"/>
    <col min="9485" max="9485" width="10.5" style="95" customWidth="1"/>
    <col min="9486" max="9486" width="2.83203125" style="95" customWidth="1"/>
    <col min="9487" max="9487" width="10.1640625" style="95" customWidth="1"/>
    <col min="9488" max="9488" width="10.6640625" style="95" customWidth="1"/>
    <col min="9489" max="9489" width="2.83203125" style="95" customWidth="1"/>
    <col min="9490" max="9728" width="9.1640625" style="95"/>
    <col min="9729" max="9729" width="42.83203125" style="95" customWidth="1"/>
    <col min="9730" max="9730" width="2" style="95" customWidth="1"/>
    <col min="9731" max="9731" width="11" style="95" customWidth="1"/>
    <col min="9732" max="9732" width="9.6640625" style="95" customWidth="1"/>
    <col min="9733" max="9733" width="3.5" style="95" customWidth="1"/>
    <col min="9734" max="9735" width="10.83203125" style="95" customWidth="1"/>
    <col min="9736" max="9736" width="2.83203125" style="95" customWidth="1"/>
    <col min="9737" max="9738" width="10.5" style="95" customWidth="1"/>
    <col min="9739" max="9739" width="2.83203125" style="95" customWidth="1"/>
    <col min="9740" max="9740" width="10.33203125" style="95" customWidth="1"/>
    <col min="9741" max="9741" width="10.5" style="95" customWidth="1"/>
    <col min="9742" max="9742" width="2.83203125" style="95" customWidth="1"/>
    <col min="9743" max="9743" width="10.1640625" style="95" customWidth="1"/>
    <col min="9744" max="9744" width="10.6640625" style="95" customWidth="1"/>
    <col min="9745" max="9745" width="2.83203125" style="95" customWidth="1"/>
    <col min="9746" max="9984" width="9.1640625" style="95"/>
    <col min="9985" max="9985" width="42.83203125" style="95" customWidth="1"/>
    <col min="9986" max="9986" width="2" style="95" customWidth="1"/>
    <col min="9987" max="9987" width="11" style="95" customWidth="1"/>
    <col min="9988" max="9988" width="9.6640625" style="95" customWidth="1"/>
    <col min="9989" max="9989" width="3.5" style="95" customWidth="1"/>
    <col min="9990" max="9991" width="10.83203125" style="95" customWidth="1"/>
    <col min="9992" max="9992" width="2.83203125" style="95" customWidth="1"/>
    <col min="9993" max="9994" width="10.5" style="95" customWidth="1"/>
    <col min="9995" max="9995" width="2.83203125" style="95" customWidth="1"/>
    <col min="9996" max="9996" width="10.33203125" style="95" customWidth="1"/>
    <col min="9997" max="9997" width="10.5" style="95" customWidth="1"/>
    <col min="9998" max="9998" width="2.83203125" style="95" customWidth="1"/>
    <col min="9999" max="9999" width="10.1640625" style="95" customWidth="1"/>
    <col min="10000" max="10000" width="10.6640625" style="95" customWidth="1"/>
    <col min="10001" max="10001" width="2.83203125" style="95" customWidth="1"/>
    <col min="10002" max="10240" width="9.1640625" style="95"/>
    <col min="10241" max="10241" width="42.83203125" style="95" customWidth="1"/>
    <col min="10242" max="10242" width="2" style="95" customWidth="1"/>
    <col min="10243" max="10243" width="11" style="95" customWidth="1"/>
    <col min="10244" max="10244" width="9.6640625" style="95" customWidth="1"/>
    <col min="10245" max="10245" width="3.5" style="95" customWidth="1"/>
    <col min="10246" max="10247" width="10.83203125" style="95" customWidth="1"/>
    <col min="10248" max="10248" width="2.83203125" style="95" customWidth="1"/>
    <col min="10249" max="10250" width="10.5" style="95" customWidth="1"/>
    <col min="10251" max="10251" width="2.83203125" style="95" customWidth="1"/>
    <col min="10252" max="10252" width="10.33203125" style="95" customWidth="1"/>
    <col min="10253" max="10253" width="10.5" style="95" customWidth="1"/>
    <col min="10254" max="10254" width="2.83203125" style="95" customWidth="1"/>
    <col min="10255" max="10255" width="10.1640625" style="95" customWidth="1"/>
    <col min="10256" max="10256" width="10.6640625" style="95" customWidth="1"/>
    <col min="10257" max="10257" width="2.83203125" style="95" customWidth="1"/>
    <col min="10258" max="10496" width="9.1640625" style="95"/>
    <col min="10497" max="10497" width="42.83203125" style="95" customWidth="1"/>
    <col min="10498" max="10498" width="2" style="95" customWidth="1"/>
    <col min="10499" max="10499" width="11" style="95" customWidth="1"/>
    <col min="10500" max="10500" width="9.6640625" style="95" customWidth="1"/>
    <col min="10501" max="10501" width="3.5" style="95" customWidth="1"/>
    <col min="10502" max="10503" width="10.83203125" style="95" customWidth="1"/>
    <col min="10504" max="10504" width="2.83203125" style="95" customWidth="1"/>
    <col min="10505" max="10506" width="10.5" style="95" customWidth="1"/>
    <col min="10507" max="10507" width="2.83203125" style="95" customWidth="1"/>
    <col min="10508" max="10508" width="10.33203125" style="95" customWidth="1"/>
    <col min="10509" max="10509" width="10.5" style="95" customWidth="1"/>
    <col min="10510" max="10510" width="2.83203125" style="95" customWidth="1"/>
    <col min="10511" max="10511" width="10.1640625" style="95" customWidth="1"/>
    <col min="10512" max="10512" width="10.6640625" style="95" customWidth="1"/>
    <col min="10513" max="10513" width="2.83203125" style="95" customWidth="1"/>
    <col min="10514" max="10752" width="9.1640625" style="95"/>
    <col min="10753" max="10753" width="42.83203125" style="95" customWidth="1"/>
    <col min="10754" max="10754" width="2" style="95" customWidth="1"/>
    <col min="10755" max="10755" width="11" style="95" customWidth="1"/>
    <col min="10756" max="10756" width="9.6640625" style="95" customWidth="1"/>
    <col min="10757" max="10757" width="3.5" style="95" customWidth="1"/>
    <col min="10758" max="10759" width="10.83203125" style="95" customWidth="1"/>
    <col min="10760" max="10760" width="2.83203125" style="95" customWidth="1"/>
    <col min="10761" max="10762" width="10.5" style="95" customWidth="1"/>
    <col min="10763" max="10763" width="2.83203125" style="95" customWidth="1"/>
    <col min="10764" max="10764" width="10.33203125" style="95" customWidth="1"/>
    <col min="10765" max="10765" width="10.5" style="95" customWidth="1"/>
    <col min="10766" max="10766" width="2.83203125" style="95" customWidth="1"/>
    <col min="10767" max="10767" width="10.1640625" style="95" customWidth="1"/>
    <col min="10768" max="10768" width="10.6640625" style="95" customWidth="1"/>
    <col min="10769" max="10769" width="2.83203125" style="95" customWidth="1"/>
    <col min="10770" max="11008" width="9.1640625" style="95"/>
    <col min="11009" max="11009" width="42.83203125" style="95" customWidth="1"/>
    <col min="11010" max="11010" width="2" style="95" customWidth="1"/>
    <col min="11011" max="11011" width="11" style="95" customWidth="1"/>
    <col min="11012" max="11012" width="9.6640625" style="95" customWidth="1"/>
    <col min="11013" max="11013" width="3.5" style="95" customWidth="1"/>
    <col min="11014" max="11015" width="10.83203125" style="95" customWidth="1"/>
    <col min="11016" max="11016" width="2.83203125" style="95" customWidth="1"/>
    <col min="11017" max="11018" width="10.5" style="95" customWidth="1"/>
    <col min="11019" max="11019" width="2.83203125" style="95" customWidth="1"/>
    <col min="11020" max="11020" width="10.33203125" style="95" customWidth="1"/>
    <col min="11021" max="11021" width="10.5" style="95" customWidth="1"/>
    <col min="11022" max="11022" width="2.83203125" style="95" customWidth="1"/>
    <col min="11023" max="11023" width="10.1640625" style="95" customWidth="1"/>
    <col min="11024" max="11024" width="10.6640625" style="95" customWidth="1"/>
    <col min="11025" max="11025" width="2.83203125" style="95" customWidth="1"/>
    <col min="11026" max="11264" width="9.1640625" style="95"/>
    <col min="11265" max="11265" width="42.83203125" style="95" customWidth="1"/>
    <col min="11266" max="11266" width="2" style="95" customWidth="1"/>
    <col min="11267" max="11267" width="11" style="95" customWidth="1"/>
    <col min="11268" max="11268" width="9.6640625" style="95" customWidth="1"/>
    <col min="11269" max="11269" width="3.5" style="95" customWidth="1"/>
    <col min="11270" max="11271" width="10.83203125" style="95" customWidth="1"/>
    <col min="11272" max="11272" width="2.83203125" style="95" customWidth="1"/>
    <col min="11273" max="11274" width="10.5" style="95" customWidth="1"/>
    <col min="11275" max="11275" width="2.83203125" style="95" customWidth="1"/>
    <col min="11276" max="11276" width="10.33203125" style="95" customWidth="1"/>
    <col min="11277" max="11277" width="10.5" style="95" customWidth="1"/>
    <col min="11278" max="11278" width="2.83203125" style="95" customWidth="1"/>
    <col min="11279" max="11279" width="10.1640625" style="95" customWidth="1"/>
    <col min="11280" max="11280" width="10.6640625" style="95" customWidth="1"/>
    <col min="11281" max="11281" width="2.83203125" style="95" customWidth="1"/>
    <col min="11282" max="11520" width="9.1640625" style="95"/>
    <col min="11521" max="11521" width="42.83203125" style="95" customWidth="1"/>
    <col min="11522" max="11522" width="2" style="95" customWidth="1"/>
    <col min="11523" max="11523" width="11" style="95" customWidth="1"/>
    <col min="11524" max="11524" width="9.6640625" style="95" customWidth="1"/>
    <col min="11525" max="11525" width="3.5" style="95" customWidth="1"/>
    <col min="11526" max="11527" width="10.83203125" style="95" customWidth="1"/>
    <col min="11528" max="11528" width="2.83203125" style="95" customWidth="1"/>
    <col min="11529" max="11530" width="10.5" style="95" customWidth="1"/>
    <col min="11531" max="11531" width="2.83203125" style="95" customWidth="1"/>
    <col min="11532" max="11532" width="10.33203125" style="95" customWidth="1"/>
    <col min="11533" max="11533" width="10.5" style="95" customWidth="1"/>
    <col min="11534" max="11534" width="2.83203125" style="95" customWidth="1"/>
    <col min="11535" max="11535" width="10.1640625" style="95" customWidth="1"/>
    <col min="11536" max="11536" width="10.6640625" style="95" customWidth="1"/>
    <col min="11537" max="11537" width="2.83203125" style="95" customWidth="1"/>
    <col min="11538" max="11776" width="9.1640625" style="95"/>
    <col min="11777" max="11777" width="42.83203125" style="95" customWidth="1"/>
    <col min="11778" max="11778" width="2" style="95" customWidth="1"/>
    <col min="11779" max="11779" width="11" style="95" customWidth="1"/>
    <col min="11780" max="11780" width="9.6640625" style="95" customWidth="1"/>
    <col min="11781" max="11781" width="3.5" style="95" customWidth="1"/>
    <col min="11782" max="11783" width="10.83203125" style="95" customWidth="1"/>
    <col min="11784" max="11784" width="2.83203125" style="95" customWidth="1"/>
    <col min="11785" max="11786" width="10.5" style="95" customWidth="1"/>
    <col min="11787" max="11787" width="2.83203125" style="95" customWidth="1"/>
    <col min="11788" max="11788" width="10.33203125" style="95" customWidth="1"/>
    <col min="11789" max="11789" width="10.5" style="95" customWidth="1"/>
    <col min="11790" max="11790" width="2.83203125" style="95" customWidth="1"/>
    <col min="11791" max="11791" width="10.1640625" style="95" customWidth="1"/>
    <col min="11792" max="11792" width="10.6640625" style="95" customWidth="1"/>
    <col min="11793" max="11793" width="2.83203125" style="95" customWidth="1"/>
    <col min="11794" max="12032" width="9.1640625" style="95"/>
    <col min="12033" max="12033" width="42.83203125" style="95" customWidth="1"/>
    <col min="12034" max="12034" width="2" style="95" customWidth="1"/>
    <col min="12035" max="12035" width="11" style="95" customWidth="1"/>
    <col min="12036" max="12036" width="9.6640625" style="95" customWidth="1"/>
    <col min="12037" max="12037" width="3.5" style="95" customWidth="1"/>
    <col min="12038" max="12039" width="10.83203125" style="95" customWidth="1"/>
    <col min="12040" max="12040" width="2.83203125" style="95" customWidth="1"/>
    <col min="12041" max="12042" width="10.5" style="95" customWidth="1"/>
    <col min="12043" max="12043" width="2.83203125" style="95" customWidth="1"/>
    <col min="12044" max="12044" width="10.33203125" style="95" customWidth="1"/>
    <col min="12045" max="12045" width="10.5" style="95" customWidth="1"/>
    <col min="12046" max="12046" width="2.83203125" style="95" customWidth="1"/>
    <col min="12047" max="12047" width="10.1640625" style="95" customWidth="1"/>
    <col min="12048" max="12048" width="10.6640625" style="95" customWidth="1"/>
    <col min="12049" max="12049" width="2.83203125" style="95" customWidth="1"/>
    <col min="12050" max="12288" width="9.1640625" style="95"/>
    <col min="12289" max="12289" width="42.83203125" style="95" customWidth="1"/>
    <col min="12290" max="12290" width="2" style="95" customWidth="1"/>
    <col min="12291" max="12291" width="11" style="95" customWidth="1"/>
    <col min="12292" max="12292" width="9.6640625" style="95" customWidth="1"/>
    <col min="12293" max="12293" width="3.5" style="95" customWidth="1"/>
    <col min="12294" max="12295" width="10.83203125" style="95" customWidth="1"/>
    <col min="12296" max="12296" width="2.83203125" style="95" customWidth="1"/>
    <col min="12297" max="12298" width="10.5" style="95" customWidth="1"/>
    <col min="12299" max="12299" width="2.83203125" style="95" customWidth="1"/>
    <col min="12300" max="12300" width="10.33203125" style="95" customWidth="1"/>
    <col min="12301" max="12301" width="10.5" style="95" customWidth="1"/>
    <col min="12302" max="12302" width="2.83203125" style="95" customWidth="1"/>
    <col min="12303" max="12303" width="10.1640625" style="95" customWidth="1"/>
    <col min="12304" max="12304" width="10.6640625" style="95" customWidth="1"/>
    <col min="12305" max="12305" width="2.83203125" style="95" customWidth="1"/>
    <col min="12306" max="12544" width="9.1640625" style="95"/>
    <col min="12545" max="12545" width="42.83203125" style="95" customWidth="1"/>
    <col min="12546" max="12546" width="2" style="95" customWidth="1"/>
    <col min="12547" max="12547" width="11" style="95" customWidth="1"/>
    <col min="12548" max="12548" width="9.6640625" style="95" customWidth="1"/>
    <col min="12549" max="12549" width="3.5" style="95" customWidth="1"/>
    <col min="12550" max="12551" width="10.83203125" style="95" customWidth="1"/>
    <col min="12552" max="12552" width="2.83203125" style="95" customWidth="1"/>
    <col min="12553" max="12554" width="10.5" style="95" customWidth="1"/>
    <col min="12555" max="12555" width="2.83203125" style="95" customWidth="1"/>
    <col min="12556" max="12556" width="10.33203125" style="95" customWidth="1"/>
    <col min="12557" max="12557" width="10.5" style="95" customWidth="1"/>
    <col min="12558" max="12558" width="2.83203125" style="95" customWidth="1"/>
    <col min="12559" max="12559" width="10.1640625" style="95" customWidth="1"/>
    <col min="12560" max="12560" width="10.6640625" style="95" customWidth="1"/>
    <col min="12561" max="12561" width="2.83203125" style="95" customWidth="1"/>
    <col min="12562" max="12800" width="9.1640625" style="95"/>
    <col min="12801" max="12801" width="42.83203125" style="95" customWidth="1"/>
    <col min="12802" max="12802" width="2" style="95" customWidth="1"/>
    <col min="12803" max="12803" width="11" style="95" customWidth="1"/>
    <col min="12804" max="12804" width="9.6640625" style="95" customWidth="1"/>
    <col min="12805" max="12805" width="3.5" style="95" customWidth="1"/>
    <col min="12806" max="12807" width="10.83203125" style="95" customWidth="1"/>
    <col min="12808" max="12808" width="2.83203125" style="95" customWidth="1"/>
    <col min="12809" max="12810" width="10.5" style="95" customWidth="1"/>
    <col min="12811" max="12811" width="2.83203125" style="95" customWidth="1"/>
    <col min="12812" max="12812" width="10.33203125" style="95" customWidth="1"/>
    <col min="12813" max="12813" width="10.5" style="95" customWidth="1"/>
    <col min="12814" max="12814" width="2.83203125" style="95" customWidth="1"/>
    <col min="12815" max="12815" width="10.1640625" style="95" customWidth="1"/>
    <col min="12816" max="12816" width="10.6640625" style="95" customWidth="1"/>
    <col min="12817" max="12817" width="2.83203125" style="95" customWidth="1"/>
    <col min="12818" max="13056" width="9.1640625" style="95"/>
    <col min="13057" max="13057" width="42.83203125" style="95" customWidth="1"/>
    <col min="13058" max="13058" width="2" style="95" customWidth="1"/>
    <col min="13059" max="13059" width="11" style="95" customWidth="1"/>
    <col min="13060" max="13060" width="9.6640625" style="95" customWidth="1"/>
    <col min="13061" max="13061" width="3.5" style="95" customWidth="1"/>
    <col min="13062" max="13063" width="10.83203125" style="95" customWidth="1"/>
    <col min="13064" max="13064" width="2.83203125" style="95" customWidth="1"/>
    <col min="13065" max="13066" width="10.5" style="95" customWidth="1"/>
    <col min="13067" max="13067" width="2.83203125" style="95" customWidth="1"/>
    <col min="13068" max="13068" width="10.33203125" style="95" customWidth="1"/>
    <col min="13069" max="13069" width="10.5" style="95" customWidth="1"/>
    <col min="13070" max="13070" width="2.83203125" style="95" customWidth="1"/>
    <col min="13071" max="13071" width="10.1640625" style="95" customWidth="1"/>
    <col min="13072" max="13072" width="10.6640625" style="95" customWidth="1"/>
    <col min="13073" max="13073" width="2.83203125" style="95" customWidth="1"/>
    <col min="13074" max="13312" width="9.1640625" style="95"/>
    <col min="13313" max="13313" width="42.83203125" style="95" customWidth="1"/>
    <col min="13314" max="13314" width="2" style="95" customWidth="1"/>
    <col min="13315" max="13315" width="11" style="95" customWidth="1"/>
    <col min="13316" max="13316" width="9.6640625" style="95" customWidth="1"/>
    <col min="13317" max="13317" width="3.5" style="95" customWidth="1"/>
    <col min="13318" max="13319" width="10.83203125" style="95" customWidth="1"/>
    <col min="13320" max="13320" width="2.83203125" style="95" customWidth="1"/>
    <col min="13321" max="13322" width="10.5" style="95" customWidth="1"/>
    <col min="13323" max="13323" width="2.83203125" style="95" customWidth="1"/>
    <col min="13324" max="13324" width="10.33203125" style="95" customWidth="1"/>
    <col min="13325" max="13325" width="10.5" style="95" customWidth="1"/>
    <col min="13326" max="13326" width="2.83203125" style="95" customWidth="1"/>
    <col min="13327" max="13327" width="10.1640625" style="95" customWidth="1"/>
    <col min="13328" max="13328" width="10.6640625" style="95" customWidth="1"/>
    <col min="13329" max="13329" width="2.83203125" style="95" customWidth="1"/>
    <col min="13330" max="13568" width="9.1640625" style="95"/>
    <col min="13569" max="13569" width="42.83203125" style="95" customWidth="1"/>
    <col min="13570" max="13570" width="2" style="95" customWidth="1"/>
    <col min="13571" max="13571" width="11" style="95" customWidth="1"/>
    <col min="13572" max="13572" width="9.6640625" style="95" customWidth="1"/>
    <col min="13573" max="13573" width="3.5" style="95" customWidth="1"/>
    <col min="13574" max="13575" width="10.83203125" style="95" customWidth="1"/>
    <col min="13576" max="13576" width="2.83203125" style="95" customWidth="1"/>
    <col min="13577" max="13578" width="10.5" style="95" customWidth="1"/>
    <col min="13579" max="13579" width="2.83203125" style="95" customWidth="1"/>
    <col min="13580" max="13580" width="10.33203125" style="95" customWidth="1"/>
    <col min="13581" max="13581" width="10.5" style="95" customWidth="1"/>
    <col min="13582" max="13582" width="2.83203125" style="95" customWidth="1"/>
    <col min="13583" max="13583" width="10.1640625" style="95" customWidth="1"/>
    <col min="13584" max="13584" width="10.6640625" style="95" customWidth="1"/>
    <col min="13585" max="13585" width="2.83203125" style="95" customWidth="1"/>
    <col min="13586" max="13824" width="9.1640625" style="95"/>
    <col min="13825" max="13825" width="42.83203125" style="95" customWidth="1"/>
    <col min="13826" max="13826" width="2" style="95" customWidth="1"/>
    <col min="13827" max="13827" width="11" style="95" customWidth="1"/>
    <col min="13828" max="13828" width="9.6640625" style="95" customWidth="1"/>
    <col min="13829" max="13829" width="3.5" style="95" customWidth="1"/>
    <col min="13830" max="13831" width="10.83203125" style="95" customWidth="1"/>
    <col min="13832" max="13832" width="2.83203125" style="95" customWidth="1"/>
    <col min="13833" max="13834" width="10.5" style="95" customWidth="1"/>
    <col min="13835" max="13835" width="2.83203125" style="95" customWidth="1"/>
    <col min="13836" max="13836" width="10.33203125" style="95" customWidth="1"/>
    <col min="13837" max="13837" width="10.5" style="95" customWidth="1"/>
    <col min="13838" max="13838" width="2.83203125" style="95" customWidth="1"/>
    <col min="13839" max="13839" width="10.1640625" style="95" customWidth="1"/>
    <col min="13840" max="13840" width="10.6640625" style="95" customWidth="1"/>
    <col min="13841" max="13841" width="2.83203125" style="95" customWidth="1"/>
    <col min="13842" max="14080" width="9.1640625" style="95"/>
    <col min="14081" max="14081" width="42.83203125" style="95" customWidth="1"/>
    <col min="14082" max="14082" width="2" style="95" customWidth="1"/>
    <col min="14083" max="14083" width="11" style="95" customWidth="1"/>
    <col min="14084" max="14084" width="9.6640625" style="95" customWidth="1"/>
    <col min="14085" max="14085" width="3.5" style="95" customWidth="1"/>
    <col min="14086" max="14087" width="10.83203125" style="95" customWidth="1"/>
    <col min="14088" max="14088" width="2.83203125" style="95" customWidth="1"/>
    <col min="14089" max="14090" width="10.5" style="95" customWidth="1"/>
    <col min="14091" max="14091" width="2.83203125" style="95" customWidth="1"/>
    <col min="14092" max="14092" width="10.33203125" style="95" customWidth="1"/>
    <col min="14093" max="14093" width="10.5" style="95" customWidth="1"/>
    <col min="14094" max="14094" width="2.83203125" style="95" customWidth="1"/>
    <col min="14095" max="14095" width="10.1640625" style="95" customWidth="1"/>
    <col min="14096" max="14096" width="10.6640625" style="95" customWidth="1"/>
    <col min="14097" max="14097" width="2.83203125" style="95" customWidth="1"/>
    <col min="14098" max="14336" width="9.1640625" style="95"/>
    <col min="14337" max="14337" width="42.83203125" style="95" customWidth="1"/>
    <col min="14338" max="14338" width="2" style="95" customWidth="1"/>
    <col min="14339" max="14339" width="11" style="95" customWidth="1"/>
    <col min="14340" max="14340" width="9.6640625" style="95" customWidth="1"/>
    <col min="14341" max="14341" width="3.5" style="95" customWidth="1"/>
    <col min="14342" max="14343" width="10.83203125" style="95" customWidth="1"/>
    <col min="14344" max="14344" width="2.83203125" style="95" customWidth="1"/>
    <col min="14345" max="14346" width="10.5" style="95" customWidth="1"/>
    <col min="14347" max="14347" width="2.83203125" style="95" customWidth="1"/>
    <col min="14348" max="14348" width="10.33203125" style="95" customWidth="1"/>
    <col min="14349" max="14349" width="10.5" style="95" customWidth="1"/>
    <col min="14350" max="14350" width="2.83203125" style="95" customWidth="1"/>
    <col min="14351" max="14351" width="10.1640625" style="95" customWidth="1"/>
    <col min="14352" max="14352" width="10.6640625" style="95" customWidth="1"/>
    <col min="14353" max="14353" width="2.83203125" style="95" customWidth="1"/>
    <col min="14354" max="14592" width="9.1640625" style="95"/>
    <col min="14593" max="14593" width="42.83203125" style="95" customWidth="1"/>
    <col min="14594" max="14594" width="2" style="95" customWidth="1"/>
    <col min="14595" max="14595" width="11" style="95" customWidth="1"/>
    <col min="14596" max="14596" width="9.6640625" style="95" customWidth="1"/>
    <col min="14597" max="14597" width="3.5" style="95" customWidth="1"/>
    <col min="14598" max="14599" width="10.83203125" style="95" customWidth="1"/>
    <col min="14600" max="14600" width="2.83203125" style="95" customWidth="1"/>
    <col min="14601" max="14602" width="10.5" style="95" customWidth="1"/>
    <col min="14603" max="14603" width="2.83203125" style="95" customWidth="1"/>
    <col min="14604" max="14604" width="10.33203125" style="95" customWidth="1"/>
    <col min="14605" max="14605" width="10.5" style="95" customWidth="1"/>
    <col min="14606" max="14606" width="2.83203125" style="95" customWidth="1"/>
    <col min="14607" max="14607" width="10.1640625" style="95" customWidth="1"/>
    <col min="14608" max="14608" width="10.6640625" style="95" customWidth="1"/>
    <col min="14609" max="14609" width="2.83203125" style="95" customWidth="1"/>
    <col min="14610" max="14848" width="9.1640625" style="95"/>
    <col min="14849" max="14849" width="42.83203125" style="95" customWidth="1"/>
    <col min="14850" max="14850" width="2" style="95" customWidth="1"/>
    <col min="14851" max="14851" width="11" style="95" customWidth="1"/>
    <col min="14852" max="14852" width="9.6640625" style="95" customWidth="1"/>
    <col min="14853" max="14853" width="3.5" style="95" customWidth="1"/>
    <col min="14854" max="14855" width="10.83203125" style="95" customWidth="1"/>
    <col min="14856" max="14856" width="2.83203125" style="95" customWidth="1"/>
    <col min="14857" max="14858" width="10.5" style="95" customWidth="1"/>
    <col min="14859" max="14859" width="2.83203125" style="95" customWidth="1"/>
    <col min="14860" max="14860" width="10.33203125" style="95" customWidth="1"/>
    <col min="14861" max="14861" width="10.5" style="95" customWidth="1"/>
    <col min="14862" max="14862" width="2.83203125" style="95" customWidth="1"/>
    <col min="14863" max="14863" width="10.1640625" style="95" customWidth="1"/>
    <col min="14864" max="14864" width="10.6640625" style="95" customWidth="1"/>
    <col min="14865" max="14865" width="2.83203125" style="95" customWidth="1"/>
    <col min="14866" max="15104" width="9.1640625" style="95"/>
    <col min="15105" max="15105" width="42.83203125" style="95" customWidth="1"/>
    <col min="15106" max="15106" width="2" style="95" customWidth="1"/>
    <col min="15107" max="15107" width="11" style="95" customWidth="1"/>
    <col min="15108" max="15108" width="9.6640625" style="95" customWidth="1"/>
    <col min="15109" max="15109" width="3.5" style="95" customWidth="1"/>
    <col min="15110" max="15111" width="10.83203125" style="95" customWidth="1"/>
    <col min="15112" max="15112" width="2.83203125" style="95" customWidth="1"/>
    <col min="15113" max="15114" width="10.5" style="95" customWidth="1"/>
    <col min="15115" max="15115" width="2.83203125" style="95" customWidth="1"/>
    <col min="15116" max="15116" width="10.33203125" style="95" customWidth="1"/>
    <col min="15117" max="15117" width="10.5" style="95" customWidth="1"/>
    <col min="15118" max="15118" width="2.83203125" style="95" customWidth="1"/>
    <col min="15119" max="15119" width="10.1640625" style="95" customWidth="1"/>
    <col min="15120" max="15120" width="10.6640625" style="95" customWidth="1"/>
    <col min="15121" max="15121" width="2.83203125" style="95" customWidth="1"/>
    <col min="15122" max="15360" width="9.1640625" style="95"/>
    <col min="15361" max="15361" width="42.83203125" style="95" customWidth="1"/>
    <col min="15362" max="15362" width="2" style="95" customWidth="1"/>
    <col min="15363" max="15363" width="11" style="95" customWidth="1"/>
    <col min="15364" max="15364" width="9.6640625" style="95" customWidth="1"/>
    <col min="15365" max="15365" width="3.5" style="95" customWidth="1"/>
    <col min="15366" max="15367" width="10.83203125" style="95" customWidth="1"/>
    <col min="15368" max="15368" width="2.83203125" style="95" customWidth="1"/>
    <col min="15369" max="15370" width="10.5" style="95" customWidth="1"/>
    <col min="15371" max="15371" width="2.83203125" style="95" customWidth="1"/>
    <col min="15372" max="15372" width="10.33203125" style="95" customWidth="1"/>
    <col min="15373" max="15373" width="10.5" style="95" customWidth="1"/>
    <col min="15374" max="15374" width="2.83203125" style="95" customWidth="1"/>
    <col min="15375" max="15375" width="10.1640625" style="95" customWidth="1"/>
    <col min="15376" max="15376" width="10.6640625" style="95" customWidth="1"/>
    <col min="15377" max="15377" width="2.83203125" style="95" customWidth="1"/>
    <col min="15378" max="15616" width="9.1640625" style="95"/>
    <col min="15617" max="15617" width="42.83203125" style="95" customWidth="1"/>
    <col min="15618" max="15618" width="2" style="95" customWidth="1"/>
    <col min="15619" max="15619" width="11" style="95" customWidth="1"/>
    <col min="15620" max="15620" width="9.6640625" style="95" customWidth="1"/>
    <col min="15621" max="15621" width="3.5" style="95" customWidth="1"/>
    <col min="15622" max="15623" width="10.83203125" style="95" customWidth="1"/>
    <col min="15624" max="15624" width="2.83203125" style="95" customWidth="1"/>
    <col min="15625" max="15626" width="10.5" style="95" customWidth="1"/>
    <col min="15627" max="15627" width="2.83203125" style="95" customWidth="1"/>
    <col min="15628" max="15628" width="10.33203125" style="95" customWidth="1"/>
    <col min="15629" max="15629" width="10.5" style="95" customWidth="1"/>
    <col min="15630" max="15630" width="2.83203125" style="95" customWidth="1"/>
    <col min="15631" max="15631" width="10.1640625" style="95" customWidth="1"/>
    <col min="15632" max="15632" width="10.6640625" style="95" customWidth="1"/>
    <col min="15633" max="15633" width="2.83203125" style="95" customWidth="1"/>
    <col min="15634" max="15872" width="9.1640625" style="95"/>
    <col min="15873" max="15873" width="42.83203125" style="95" customWidth="1"/>
    <col min="15874" max="15874" width="2" style="95" customWidth="1"/>
    <col min="15875" max="15875" width="11" style="95" customWidth="1"/>
    <col min="15876" max="15876" width="9.6640625" style="95" customWidth="1"/>
    <col min="15877" max="15877" width="3.5" style="95" customWidth="1"/>
    <col min="15878" max="15879" width="10.83203125" style="95" customWidth="1"/>
    <col min="15880" max="15880" width="2.83203125" style="95" customWidth="1"/>
    <col min="15881" max="15882" width="10.5" style="95" customWidth="1"/>
    <col min="15883" max="15883" width="2.83203125" style="95" customWidth="1"/>
    <col min="15884" max="15884" width="10.33203125" style="95" customWidth="1"/>
    <col min="15885" max="15885" width="10.5" style="95" customWidth="1"/>
    <col min="15886" max="15886" width="2.83203125" style="95" customWidth="1"/>
    <col min="15887" max="15887" width="10.1640625" style="95" customWidth="1"/>
    <col min="15888" max="15888" width="10.6640625" style="95" customWidth="1"/>
    <col min="15889" max="15889" width="2.83203125" style="95" customWidth="1"/>
    <col min="15890" max="16128" width="9.1640625" style="95"/>
    <col min="16129" max="16129" width="42.83203125" style="95" customWidth="1"/>
    <col min="16130" max="16130" width="2" style="95" customWidth="1"/>
    <col min="16131" max="16131" width="11" style="95" customWidth="1"/>
    <col min="16132" max="16132" width="9.6640625" style="95" customWidth="1"/>
    <col min="16133" max="16133" width="3.5" style="95" customWidth="1"/>
    <col min="16134" max="16135" width="10.83203125" style="95" customWidth="1"/>
    <col min="16136" max="16136" width="2.83203125" style="95" customWidth="1"/>
    <col min="16137" max="16138" width="10.5" style="95" customWidth="1"/>
    <col min="16139" max="16139" width="2.83203125" style="95" customWidth="1"/>
    <col min="16140" max="16140" width="10.33203125" style="95" customWidth="1"/>
    <col min="16141" max="16141" width="10.5" style="95" customWidth="1"/>
    <col min="16142" max="16142" width="2.83203125" style="95" customWidth="1"/>
    <col min="16143" max="16143" width="10.1640625" style="95" customWidth="1"/>
    <col min="16144" max="16144" width="10.6640625" style="95" customWidth="1"/>
    <col min="16145" max="16145" width="2.83203125" style="95" customWidth="1"/>
    <col min="16146" max="16384" width="9.1640625" style="95"/>
  </cols>
  <sheetData>
    <row r="1" spans="1:17">
      <c r="A1" s="95" t="s">
        <v>453</v>
      </c>
    </row>
    <row r="2" spans="1:17">
      <c r="A2" s="95" t="s">
        <v>454</v>
      </c>
      <c r="F2" s="112"/>
      <c r="I2" s="112"/>
      <c r="L2" s="112"/>
      <c r="O2" s="112"/>
    </row>
    <row r="3" spans="1:17" ht="11.25" customHeight="1">
      <c r="A3" s="111"/>
      <c r="F3" s="112"/>
      <c r="G3" s="95"/>
      <c r="H3" s="95"/>
      <c r="I3" s="112"/>
      <c r="J3" s="95"/>
      <c r="K3" s="95"/>
      <c r="L3" s="112"/>
      <c r="M3" s="95"/>
    </row>
    <row r="4" spans="1:17">
      <c r="A4" s="14" t="s">
        <v>1862</v>
      </c>
      <c r="B4" s="112"/>
      <c r="E4" s="112"/>
    </row>
    <row r="5" spans="1:17" ht="9.75" customHeight="1" thickBot="1">
      <c r="A5" s="111"/>
      <c r="B5" s="112"/>
      <c r="E5" s="112"/>
    </row>
    <row r="6" spans="1:17" ht="8.25" customHeight="1">
      <c r="A6" s="114"/>
      <c r="B6" s="133"/>
      <c r="C6" s="133"/>
      <c r="D6" s="133"/>
      <c r="E6" s="133"/>
      <c r="F6" s="98"/>
      <c r="G6" s="98"/>
      <c r="H6" s="98"/>
      <c r="I6" s="98"/>
      <c r="J6" s="98"/>
      <c r="K6" s="98"/>
      <c r="L6" s="98"/>
      <c r="M6" s="98"/>
      <c r="N6" s="98"/>
      <c r="O6" s="98"/>
      <c r="P6" s="99"/>
      <c r="Q6" s="97"/>
    </row>
    <row r="7" spans="1:17" ht="15">
      <c r="A7" s="121" t="s">
        <v>526</v>
      </c>
      <c r="B7" s="112"/>
      <c r="C7" s="1024" t="s">
        <v>527</v>
      </c>
      <c r="D7" s="1024"/>
      <c r="E7" s="126"/>
      <c r="F7" s="1025" t="s">
        <v>80</v>
      </c>
      <c r="G7" s="1025"/>
      <c r="H7" s="134"/>
      <c r="I7" s="1025" t="s">
        <v>84</v>
      </c>
      <c r="J7" s="1025"/>
      <c r="K7" s="134"/>
      <c r="L7" s="1025" t="s">
        <v>20</v>
      </c>
      <c r="M7" s="1025"/>
      <c r="N7" s="134"/>
      <c r="O7" s="134" t="s">
        <v>528</v>
      </c>
      <c r="P7" s="135"/>
      <c r="Q7" s="116"/>
    </row>
    <row r="8" spans="1:17">
      <c r="A8" s="111" t="s">
        <v>529</v>
      </c>
      <c r="B8" s="112"/>
      <c r="C8" s="764" t="s">
        <v>400</v>
      </c>
      <c r="D8" s="764" t="s">
        <v>401</v>
      </c>
      <c r="E8" s="126"/>
      <c r="F8" s="100" t="s">
        <v>400</v>
      </c>
      <c r="G8" s="100" t="s">
        <v>401</v>
      </c>
      <c r="H8" s="134"/>
      <c r="I8" s="100" t="s">
        <v>400</v>
      </c>
      <c r="J8" s="100" t="s">
        <v>401</v>
      </c>
      <c r="K8" s="134"/>
      <c r="L8" s="100" t="s">
        <v>400</v>
      </c>
      <c r="M8" s="100" t="s">
        <v>401</v>
      </c>
      <c r="N8" s="134"/>
      <c r="O8" s="100" t="s">
        <v>400</v>
      </c>
      <c r="P8" s="101" t="s">
        <v>401</v>
      </c>
      <c r="Q8" s="116"/>
    </row>
    <row r="9" spans="1:17" ht="8.25" customHeight="1" thickBot="1">
      <c r="A9" s="124"/>
      <c r="B9" s="136"/>
      <c r="C9" s="136"/>
      <c r="D9" s="136"/>
      <c r="E9" s="136"/>
      <c r="F9" s="103"/>
      <c r="G9" s="103"/>
      <c r="H9" s="103"/>
      <c r="I9" s="103"/>
      <c r="J9" s="103"/>
      <c r="K9" s="103"/>
      <c r="L9" s="103"/>
      <c r="M9" s="103"/>
      <c r="N9" s="103"/>
      <c r="O9" s="103"/>
      <c r="P9" s="96"/>
      <c r="Q9" s="102"/>
    </row>
    <row r="10" spans="1:17" ht="8" customHeight="1">
      <c r="A10" s="137"/>
      <c r="B10" s="126"/>
      <c r="C10" s="126"/>
      <c r="D10" s="126"/>
      <c r="E10" s="126"/>
      <c r="F10" s="134"/>
      <c r="G10" s="134"/>
      <c r="H10" s="134"/>
      <c r="I10" s="134"/>
      <c r="J10" s="134"/>
      <c r="K10" s="134"/>
      <c r="L10" s="134"/>
      <c r="M10" s="134"/>
      <c r="N10" s="134"/>
      <c r="O10" s="134"/>
      <c r="P10" s="135"/>
      <c r="Q10" s="116"/>
    </row>
    <row r="11" spans="1:17" ht="13.25" customHeight="1">
      <c r="A11" s="17" t="s">
        <v>402</v>
      </c>
      <c r="B11" s="112"/>
      <c r="C11" s="112">
        <f t="shared" ref="C11:C74" si="0">IF(A11&lt;&gt;0,F11+I11+L11+O11,"")</f>
        <v>125091.03820000001</v>
      </c>
      <c r="D11" s="112">
        <f>SUM(D13+D155)</f>
        <v>99.999999999999986</v>
      </c>
      <c r="E11" s="112"/>
      <c r="F11" s="104">
        <f>F13+F155</f>
        <v>86470.298200000005</v>
      </c>
      <c r="G11" s="104">
        <f>IF($A11&lt;&gt;0,F11/$C11*100,"")</f>
        <v>69.125893784451776</v>
      </c>
      <c r="I11" s="104">
        <f>I13+I155</f>
        <v>14474.11</v>
      </c>
      <c r="J11" s="104">
        <f>IF($A11&lt;&gt;0,I11/$C11*100,"")</f>
        <v>11.570860877226295</v>
      </c>
      <c r="L11" s="104">
        <f>L13+L155</f>
        <v>8126.34</v>
      </c>
      <c r="M11" s="104">
        <f>IF($A11&lt;&gt;0,L11/$C11*100,"")</f>
        <v>6.4963406787041915</v>
      </c>
      <c r="O11" s="104">
        <f>O13+O155</f>
        <v>16020.29</v>
      </c>
      <c r="P11" s="105">
        <f>IF($A11&lt;&gt;0,O11/$C11*100,"")</f>
        <v>12.806904659617736</v>
      </c>
    </row>
    <row r="12" spans="1:17" ht="8" customHeight="1">
      <c r="A12" s="111"/>
      <c r="B12" s="112"/>
      <c r="C12" s="112" t="str">
        <f t="shared" si="0"/>
        <v/>
      </c>
      <c r="D12" s="112" t="str">
        <f t="shared" ref="D12:D66" si="1">IF(A12&lt;&gt;0,C12/$C$11*100,"")</f>
        <v/>
      </c>
      <c r="E12" s="112"/>
      <c r="G12" s="104" t="str">
        <f t="shared" ref="G12:G75" si="2">IF($A12&lt;&gt;0,F12/$C12*100,"")</f>
        <v/>
      </c>
      <c r="J12" s="104" t="str">
        <f t="shared" ref="J12:J75" si="3">IF($A12&lt;&gt;0,I12/$C12*100,"")</f>
        <v/>
      </c>
      <c r="M12" s="104" t="str">
        <f t="shared" ref="M12:M75" si="4">IF($A12&lt;&gt;0,L12/$C12*100,"")</f>
        <v/>
      </c>
      <c r="P12" s="105" t="str">
        <f t="shared" ref="P12:P75" si="5">IF($A12&lt;&gt;0,O12/$C12*100,"")</f>
        <v/>
      </c>
    </row>
    <row r="13" spans="1:17" ht="13.25" customHeight="1">
      <c r="A13" s="17" t="s">
        <v>403</v>
      </c>
      <c r="B13" s="112"/>
      <c r="C13" s="112">
        <f t="shared" si="0"/>
        <v>102431.8382</v>
      </c>
      <c r="D13" s="112">
        <f t="shared" si="1"/>
        <v>81.88583264952068</v>
      </c>
      <c r="E13" s="112" t="s">
        <v>128</v>
      </c>
      <c r="F13" s="104">
        <f>F15+F26+F34+F60+F74+F81+F93++F97+F94+F95</f>
        <v>67923.098200000008</v>
      </c>
      <c r="G13" s="104">
        <f t="shared" si="2"/>
        <v>66.310533320098131</v>
      </c>
      <c r="H13" s="104" t="s">
        <v>128</v>
      </c>
      <c r="I13" s="104">
        <f>I15+I26+I34+I60+I74+I81+I93++I97+I94+I95</f>
        <v>13999.11</v>
      </c>
      <c r="J13" s="104">
        <f t="shared" si="3"/>
        <v>13.666756592482981</v>
      </c>
      <c r="K13" s="104" t="s">
        <v>128</v>
      </c>
      <c r="L13" s="104">
        <f>L15+L26+L34+L60+L74+L81+L93++L97+L94+L95</f>
        <v>6334.34</v>
      </c>
      <c r="M13" s="104">
        <f t="shared" si="4"/>
        <v>6.1839561910741931</v>
      </c>
      <c r="N13" s="104" t="s">
        <v>128</v>
      </c>
      <c r="O13" s="104">
        <f>O15+O26+O34+O60+O74+O81+O93++O97+O94+O95</f>
        <v>14175.29</v>
      </c>
      <c r="P13" s="105">
        <f t="shared" si="5"/>
        <v>13.838753896344702</v>
      </c>
      <c r="Q13" s="95" t="s">
        <v>128</v>
      </c>
    </row>
    <row r="14" spans="1:17" ht="8" customHeight="1">
      <c r="A14" s="111"/>
      <c r="B14" s="112"/>
      <c r="C14" s="112" t="str">
        <f t="shared" si="0"/>
        <v/>
      </c>
      <c r="D14" s="112" t="str">
        <f t="shared" si="1"/>
        <v/>
      </c>
      <c r="E14" s="112"/>
      <c r="G14" s="104" t="str">
        <f t="shared" si="2"/>
        <v/>
      </c>
      <c r="J14" s="104" t="str">
        <f t="shared" si="3"/>
        <v/>
      </c>
      <c r="M14" s="104" t="str">
        <f t="shared" si="4"/>
        <v/>
      </c>
      <c r="P14" s="105" t="str">
        <f t="shared" si="5"/>
        <v/>
      </c>
    </row>
    <row r="15" spans="1:17" ht="12.75" customHeight="1">
      <c r="A15" s="17" t="s">
        <v>404</v>
      </c>
      <c r="B15" s="112"/>
      <c r="C15" s="112">
        <f t="shared" si="0"/>
        <v>10015.799999999999</v>
      </c>
      <c r="D15" s="112">
        <f t="shared" si="1"/>
        <v>8.0068085964610685</v>
      </c>
      <c r="E15" s="112"/>
      <c r="F15" s="104">
        <f>SUM(F16+F21)</f>
        <v>7974.5</v>
      </c>
      <c r="G15" s="104">
        <f t="shared" si="2"/>
        <v>79.619201661375044</v>
      </c>
      <c r="I15" s="104">
        <f>SUM(I16+I21)</f>
        <v>190</v>
      </c>
      <c r="J15" s="104">
        <f t="shared" si="3"/>
        <v>1.8970027356776296</v>
      </c>
      <c r="L15" s="104">
        <f>SUM(L16+L21)</f>
        <v>439</v>
      </c>
      <c r="M15" s="104">
        <f t="shared" si="4"/>
        <v>4.3830747419077856</v>
      </c>
      <c r="O15" s="104">
        <f>SUM(O16+O21)</f>
        <v>1412.3</v>
      </c>
      <c r="P15" s="105">
        <f t="shared" si="5"/>
        <v>14.100720861039559</v>
      </c>
    </row>
    <row r="16" spans="1:17" ht="12.75" customHeight="1">
      <c r="A16" s="111" t="s">
        <v>162</v>
      </c>
      <c r="B16" s="112"/>
      <c r="C16" s="112">
        <f t="shared" si="0"/>
        <v>4411.8</v>
      </c>
      <c r="D16" s="112">
        <f t="shared" si="1"/>
        <v>3.5268713598381503</v>
      </c>
      <c r="E16" s="112"/>
      <c r="F16" s="104">
        <f>SUM(F17:F19)</f>
        <v>3637.5</v>
      </c>
      <c r="G16" s="104">
        <f t="shared" si="2"/>
        <v>82.449340405276743</v>
      </c>
      <c r="I16" s="104">
        <f>SUM(I17:I19)</f>
        <v>0</v>
      </c>
      <c r="J16" s="104">
        <f t="shared" si="3"/>
        <v>0</v>
      </c>
      <c r="L16" s="104">
        <f>SUM(L17:L19)</f>
        <v>199</v>
      </c>
      <c r="M16" s="104">
        <f t="shared" si="4"/>
        <v>4.5106305816220136</v>
      </c>
      <c r="O16" s="104">
        <f>SUM(O17:O19)</f>
        <v>575.29999999999995</v>
      </c>
      <c r="P16" s="105">
        <f t="shared" si="5"/>
        <v>13.040029013101226</v>
      </c>
      <c r="Q16" s="95" t="s">
        <v>128</v>
      </c>
    </row>
    <row r="17" spans="1:17" ht="12.75" customHeight="1">
      <c r="A17" s="111" t="s">
        <v>163</v>
      </c>
      <c r="B17" s="112"/>
      <c r="C17" s="112">
        <f t="shared" si="0"/>
        <v>676</v>
      </c>
      <c r="D17" s="112">
        <f t="shared" si="1"/>
        <v>0.54040641897878172</v>
      </c>
      <c r="E17" s="112"/>
      <c r="F17" s="76">
        <v>466</v>
      </c>
      <c r="G17" s="104">
        <f t="shared" si="2"/>
        <v>68.934911242603548</v>
      </c>
      <c r="H17" s="775"/>
      <c r="I17" s="775">
        <v>0</v>
      </c>
      <c r="J17" s="104">
        <f t="shared" si="3"/>
        <v>0</v>
      </c>
      <c r="K17" s="775"/>
      <c r="L17" s="775">
        <v>114</v>
      </c>
      <c r="M17" s="104">
        <f t="shared" si="4"/>
        <v>16.863905325443788</v>
      </c>
      <c r="N17" s="775"/>
      <c r="O17" s="776">
        <v>96</v>
      </c>
      <c r="P17" s="105">
        <f t="shared" si="5"/>
        <v>14.201183431952662</v>
      </c>
    </row>
    <row r="18" spans="1:17" ht="12" customHeight="1">
      <c r="A18" s="111" t="s">
        <v>164</v>
      </c>
      <c r="B18" s="112"/>
      <c r="C18" s="112">
        <f t="shared" si="0"/>
        <v>1989.8</v>
      </c>
      <c r="D18" s="112">
        <f t="shared" si="1"/>
        <v>1.5906814977573667</v>
      </c>
      <c r="E18" s="112"/>
      <c r="F18" s="76">
        <v>1739.5</v>
      </c>
      <c r="G18" s="104">
        <f t="shared" si="2"/>
        <v>87.420846316212689</v>
      </c>
      <c r="H18" s="775"/>
      <c r="I18" s="775">
        <v>0</v>
      </c>
      <c r="J18" s="104">
        <f t="shared" si="3"/>
        <v>0</v>
      </c>
      <c r="K18" s="775"/>
      <c r="L18" s="775">
        <v>44</v>
      </c>
      <c r="M18" s="104">
        <f t="shared" si="4"/>
        <v>2.2112775153281734</v>
      </c>
      <c r="N18" s="775"/>
      <c r="O18" s="776">
        <v>206.3</v>
      </c>
      <c r="P18" s="105">
        <f t="shared" si="5"/>
        <v>10.367876168459143</v>
      </c>
    </row>
    <row r="19" spans="1:17" ht="12" customHeight="1">
      <c r="A19" s="111" t="s">
        <v>165</v>
      </c>
      <c r="B19" s="112"/>
      <c r="C19" s="112">
        <f t="shared" si="0"/>
        <v>1746</v>
      </c>
      <c r="D19" s="112">
        <f t="shared" si="1"/>
        <v>1.3957834431020013</v>
      </c>
      <c r="E19" s="112"/>
      <c r="F19" s="76">
        <v>1432</v>
      </c>
      <c r="G19" s="104">
        <f t="shared" si="2"/>
        <v>82.016036655211906</v>
      </c>
      <c r="H19" s="775"/>
      <c r="I19" s="775">
        <v>0</v>
      </c>
      <c r="J19" s="104">
        <f t="shared" si="3"/>
        <v>0</v>
      </c>
      <c r="K19" s="775"/>
      <c r="L19" s="775">
        <v>41</v>
      </c>
      <c r="M19" s="104">
        <f t="shared" si="4"/>
        <v>2.3482245131729669</v>
      </c>
      <c r="N19" s="775"/>
      <c r="O19" s="776">
        <v>273</v>
      </c>
      <c r="P19" s="105">
        <f t="shared" si="5"/>
        <v>15.63573883161512</v>
      </c>
    </row>
    <row r="20" spans="1:17" ht="8" customHeight="1">
      <c r="A20" s="111"/>
      <c r="B20" s="112"/>
      <c r="C20" s="112" t="str">
        <f t="shared" si="0"/>
        <v/>
      </c>
      <c r="D20" s="112" t="str">
        <f t="shared" si="1"/>
        <v/>
      </c>
      <c r="E20" s="112"/>
      <c r="F20" s="112"/>
      <c r="G20" s="104" t="str">
        <f t="shared" si="2"/>
        <v/>
      </c>
      <c r="H20" s="112"/>
      <c r="I20" s="112"/>
      <c r="J20" s="104" t="str">
        <f t="shared" si="3"/>
        <v/>
      </c>
      <c r="M20" s="104" t="str">
        <f t="shared" si="4"/>
        <v/>
      </c>
      <c r="P20" s="105" t="str">
        <f t="shared" si="5"/>
        <v/>
      </c>
    </row>
    <row r="21" spans="1:17" ht="12" customHeight="1">
      <c r="A21" s="111" t="s">
        <v>166</v>
      </c>
      <c r="B21" s="112"/>
      <c r="C21" s="112">
        <f t="shared" si="0"/>
        <v>5604</v>
      </c>
      <c r="D21" s="112">
        <f t="shared" si="1"/>
        <v>4.4799372366229191</v>
      </c>
      <c r="E21" s="112"/>
      <c r="F21" s="112">
        <f>SUM(F22:F24)</f>
        <v>4337</v>
      </c>
      <c r="G21" s="104">
        <f t="shared" si="2"/>
        <v>77.39114917915775</v>
      </c>
      <c r="H21" s="112" t="s">
        <v>128</v>
      </c>
      <c r="I21" s="112">
        <f>SUM(I22:I24)</f>
        <v>190</v>
      </c>
      <c r="J21" s="104">
        <f t="shared" si="3"/>
        <v>3.390435403283369</v>
      </c>
      <c r="K21" s="104" t="s">
        <v>128</v>
      </c>
      <c r="L21" s="104">
        <f>SUM(L22:L24)</f>
        <v>240</v>
      </c>
      <c r="M21" s="104">
        <f t="shared" si="4"/>
        <v>4.2826552462526761</v>
      </c>
      <c r="N21" s="104" t="s">
        <v>128</v>
      </c>
      <c r="O21" s="104">
        <f>SUM(O22:O24)</f>
        <v>837</v>
      </c>
      <c r="P21" s="105">
        <f t="shared" si="5"/>
        <v>14.935760171306208</v>
      </c>
      <c r="Q21" s="95" t="s">
        <v>128</v>
      </c>
    </row>
    <row r="22" spans="1:17" ht="12" customHeight="1">
      <c r="A22" s="95" t="s">
        <v>167</v>
      </c>
      <c r="C22" s="112">
        <f t="shared" si="0"/>
        <v>1474</v>
      </c>
      <c r="D22" s="112">
        <f t="shared" si="1"/>
        <v>1.1783418070632017</v>
      </c>
      <c r="E22" s="112"/>
      <c r="F22" s="76">
        <v>1072</v>
      </c>
      <c r="G22" s="104">
        <f t="shared" si="2"/>
        <v>72.727272727272734</v>
      </c>
      <c r="H22" s="775"/>
      <c r="I22" s="775">
        <v>130</v>
      </c>
      <c r="J22" s="104">
        <f t="shared" si="3"/>
        <v>8.8195386702849383</v>
      </c>
      <c r="K22" s="775"/>
      <c r="L22" s="775">
        <v>35</v>
      </c>
      <c r="M22" s="104">
        <f t="shared" si="4"/>
        <v>2.3744911804613298</v>
      </c>
      <c r="N22" s="775"/>
      <c r="O22" s="776">
        <v>237</v>
      </c>
      <c r="P22" s="105">
        <f t="shared" si="5"/>
        <v>16.078697421981005</v>
      </c>
    </row>
    <row r="23" spans="1:17" ht="12" customHeight="1">
      <c r="A23" s="95" t="s">
        <v>168</v>
      </c>
      <c r="C23" s="112">
        <f t="shared" si="0"/>
        <v>1017</v>
      </c>
      <c r="D23" s="112">
        <f t="shared" si="1"/>
        <v>0.81300788180683581</v>
      </c>
      <c r="E23" s="112"/>
      <c r="F23" s="76">
        <v>747</v>
      </c>
      <c r="G23" s="104">
        <f t="shared" si="2"/>
        <v>73.451327433628322</v>
      </c>
      <c r="H23" s="775"/>
      <c r="I23" s="775">
        <v>30</v>
      </c>
      <c r="J23" s="104">
        <f t="shared" si="3"/>
        <v>2.9498525073746311</v>
      </c>
      <c r="K23" s="775"/>
      <c r="L23" s="775">
        <v>30</v>
      </c>
      <c r="M23" s="104">
        <f t="shared" si="4"/>
        <v>2.9498525073746311</v>
      </c>
      <c r="N23" s="775"/>
      <c r="O23" s="776">
        <v>210</v>
      </c>
      <c r="P23" s="105">
        <f t="shared" si="5"/>
        <v>20.64896755162242</v>
      </c>
    </row>
    <row r="24" spans="1:17" ht="12" customHeight="1">
      <c r="A24" s="95" t="s">
        <v>169</v>
      </c>
      <c r="C24" s="112">
        <f t="shared" si="0"/>
        <v>3113</v>
      </c>
      <c r="D24" s="112">
        <f t="shared" si="1"/>
        <v>2.4885875477528812</v>
      </c>
      <c r="E24" s="112"/>
      <c r="F24" s="76">
        <v>2518</v>
      </c>
      <c r="G24" s="104">
        <f t="shared" si="2"/>
        <v>80.886604561516222</v>
      </c>
      <c r="H24" s="775"/>
      <c r="I24" s="775">
        <v>30</v>
      </c>
      <c r="J24" s="104">
        <f t="shared" si="3"/>
        <v>0.96370061034371979</v>
      </c>
      <c r="K24" s="775"/>
      <c r="L24" s="775">
        <v>175</v>
      </c>
      <c r="M24" s="104">
        <f t="shared" si="4"/>
        <v>5.6215868936716991</v>
      </c>
      <c r="N24" s="775"/>
      <c r="O24" s="776">
        <v>390</v>
      </c>
      <c r="P24" s="105">
        <f t="shared" si="5"/>
        <v>12.528107934468357</v>
      </c>
    </row>
    <row r="25" spans="1:17" ht="8" customHeight="1">
      <c r="C25" s="112" t="str">
        <f t="shared" si="0"/>
        <v/>
      </c>
      <c r="D25" s="112" t="str">
        <f t="shared" si="1"/>
        <v/>
      </c>
      <c r="E25" s="112"/>
      <c r="F25" s="112"/>
      <c r="G25" s="104" t="str">
        <f t="shared" si="2"/>
        <v/>
      </c>
      <c r="H25" s="112"/>
      <c r="I25" s="112"/>
      <c r="J25" s="104" t="str">
        <f t="shared" si="3"/>
        <v/>
      </c>
      <c r="M25" s="104" t="str">
        <f t="shared" si="4"/>
        <v/>
      </c>
      <c r="P25" s="105" t="str">
        <f t="shared" si="5"/>
        <v/>
      </c>
    </row>
    <row r="26" spans="1:17" ht="12" customHeight="1">
      <c r="A26" s="55" t="s">
        <v>464</v>
      </c>
      <c r="C26" s="112">
        <f t="shared" si="0"/>
        <v>11834.68</v>
      </c>
      <c r="D26" s="112">
        <f t="shared" si="1"/>
        <v>9.4608536073369951</v>
      </c>
      <c r="E26" s="112"/>
      <c r="F26" s="112">
        <f>SUM(F27)</f>
        <v>7191.18</v>
      </c>
      <c r="G26" s="104">
        <f t="shared" si="2"/>
        <v>60.763620140130534</v>
      </c>
      <c r="H26" s="112"/>
      <c r="I26" s="112">
        <f>SUM(I27)</f>
        <v>2580.16</v>
      </c>
      <c r="J26" s="104">
        <f t="shared" si="3"/>
        <v>21.801687920585938</v>
      </c>
      <c r="L26" s="104">
        <f>SUM(L27)</f>
        <v>435.84000000000003</v>
      </c>
      <c r="M26" s="104">
        <f t="shared" si="4"/>
        <v>3.6827358238668055</v>
      </c>
      <c r="O26" s="104">
        <f>SUM(O27)</f>
        <v>1627.5</v>
      </c>
      <c r="P26" s="105">
        <f t="shared" si="5"/>
        <v>13.751956115416725</v>
      </c>
    </row>
    <row r="27" spans="1:17" ht="12" customHeight="1">
      <c r="A27" s="95" t="s">
        <v>171</v>
      </c>
      <c r="C27" s="112">
        <f t="shared" si="0"/>
        <v>11834.68</v>
      </c>
      <c r="D27" s="112">
        <f t="shared" si="1"/>
        <v>9.4608536073369951</v>
      </c>
      <c r="E27" s="112"/>
      <c r="F27" s="112">
        <f>SUM(F28:F32)</f>
        <v>7191.18</v>
      </c>
      <c r="G27" s="104">
        <f t="shared" si="2"/>
        <v>60.763620140130534</v>
      </c>
      <c r="H27" s="112" t="s">
        <v>128</v>
      </c>
      <c r="I27" s="112">
        <f>SUM(I28:I32)</f>
        <v>2580.16</v>
      </c>
      <c r="J27" s="104">
        <f t="shared" si="3"/>
        <v>21.801687920585938</v>
      </c>
      <c r="K27" s="104" t="s">
        <v>128</v>
      </c>
      <c r="L27" s="104">
        <f>SUM(L28:L32)</f>
        <v>435.84000000000003</v>
      </c>
      <c r="M27" s="104">
        <f t="shared" si="4"/>
        <v>3.6827358238668055</v>
      </c>
      <c r="N27" s="104" t="s">
        <v>128</v>
      </c>
      <c r="O27" s="104">
        <f>SUM(O28:O32)</f>
        <v>1627.5</v>
      </c>
      <c r="P27" s="105">
        <f t="shared" si="5"/>
        <v>13.751956115416725</v>
      </c>
      <c r="Q27" s="95" t="s">
        <v>128</v>
      </c>
    </row>
    <row r="28" spans="1:17" ht="12" customHeight="1">
      <c r="A28" s="95" t="s">
        <v>172</v>
      </c>
      <c r="C28" s="112">
        <f t="shared" si="0"/>
        <v>1882</v>
      </c>
      <c r="D28" s="112">
        <f t="shared" si="1"/>
        <v>1.5045042611214012</v>
      </c>
      <c r="E28" s="112"/>
      <c r="F28" s="76">
        <v>656</v>
      </c>
      <c r="G28" s="104">
        <f t="shared" si="2"/>
        <v>34.856535600425083</v>
      </c>
      <c r="H28" s="775"/>
      <c r="I28" s="775">
        <v>760</v>
      </c>
      <c r="J28" s="104">
        <f t="shared" si="3"/>
        <v>40.382571732199793</v>
      </c>
      <c r="K28" s="775"/>
      <c r="L28" s="775">
        <v>127.5</v>
      </c>
      <c r="M28" s="104">
        <f t="shared" si="4"/>
        <v>6.7747077577045696</v>
      </c>
      <c r="N28" s="775"/>
      <c r="O28" s="776">
        <v>338.5</v>
      </c>
      <c r="P28" s="105">
        <f t="shared" si="5"/>
        <v>17.986184909670563</v>
      </c>
    </row>
    <row r="29" spans="1:17" ht="12" customHeight="1">
      <c r="A29" s="95" t="s">
        <v>173</v>
      </c>
      <c r="C29" s="112">
        <f t="shared" si="0"/>
        <v>2133</v>
      </c>
      <c r="D29" s="112">
        <f t="shared" si="1"/>
        <v>1.7051581237895586</v>
      </c>
      <c r="E29" s="112"/>
      <c r="F29" s="76">
        <v>1318</v>
      </c>
      <c r="G29" s="104">
        <f t="shared" si="2"/>
        <v>61.790904828879512</v>
      </c>
      <c r="H29" s="775"/>
      <c r="I29" s="775">
        <v>509</v>
      </c>
      <c r="J29" s="104">
        <f t="shared" si="3"/>
        <v>23.863103609939053</v>
      </c>
      <c r="K29" s="775"/>
      <c r="L29" s="775">
        <v>45</v>
      </c>
      <c r="M29" s="104">
        <f t="shared" si="4"/>
        <v>2.109704641350211</v>
      </c>
      <c r="N29" s="775"/>
      <c r="O29" s="776">
        <v>261</v>
      </c>
      <c r="P29" s="105">
        <f t="shared" si="5"/>
        <v>12.236286919831224</v>
      </c>
    </row>
    <row r="30" spans="1:17" ht="12" customHeight="1">
      <c r="A30" s="95" t="s">
        <v>174</v>
      </c>
      <c r="C30" s="112">
        <f t="shared" si="0"/>
        <v>969</v>
      </c>
      <c r="D30" s="112">
        <f t="shared" si="1"/>
        <v>0.7746358283882242</v>
      </c>
      <c r="E30" s="112"/>
      <c r="F30" s="76">
        <v>470</v>
      </c>
      <c r="G30" s="104">
        <f t="shared" si="2"/>
        <v>48.503611971104235</v>
      </c>
      <c r="H30" s="775"/>
      <c r="I30" s="775">
        <v>192</v>
      </c>
      <c r="J30" s="104">
        <f t="shared" si="3"/>
        <v>19.814241486068113</v>
      </c>
      <c r="K30" s="775"/>
      <c r="L30" s="775">
        <v>63</v>
      </c>
      <c r="M30" s="104">
        <f t="shared" si="4"/>
        <v>6.5015479876160995</v>
      </c>
      <c r="N30" s="775"/>
      <c r="O30" s="776">
        <v>244</v>
      </c>
      <c r="P30" s="105">
        <f t="shared" si="5"/>
        <v>25.18059855521156</v>
      </c>
    </row>
    <row r="31" spans="1:17" ht="12" customHeight="1">
      <c r="A31" s="95" t="s">
        <v>175</v>
      </c>
      <c r="C31" s="112">
        <f t="shared" si="0"/>
        <v>4150</v>
      </c>
      <c r="D31" s="112">
        <f t="shared" si="1"/>
        <v>3.3175837851508052</v>
      </c>
      <c r="E31" s="112"/>
      <c r="F31" s="76">
        <v>3190</v>
      </c>
      <c r="G31" s="104">
        <f t="shared" si="2"/>
        <v>76.867469879518069</v>
      </c>
      <c r="H31" s="775"/>
      <c r="I31" s="775">
        <v>495</v>
      </c>
      <c r="J31" s="104">
        <f t="shared" si="3"/>
        <v>11.927710843373495</v>
      </c>
      <c r="K31" s="775"/>
      <c r="L31" s="775">
        <v>110</v>
      </c>
      <c r="M31" s="104">
        <f t="shared" si="4"/>
        <v>2.6506024096385543</v>
      </c>
      <c r="N31" s="775"/>
      <c r="O31" s="776">
        <v>355</v>
      </c>
      <c r="P31" s="105">
        <f t="shared" si="5"/>
        <v>8.5542168674698793</v>
      </c>
    </row>
    <row r="32" spans="1:17" ht="12" customHeight="1">
      <c r="A32" s="95" t="s">
        <v>176</v>
      </c>
      <c r="C32" s="112">
        <f t="shared" si="0"/>
        <v>2700.68</v>
      </c>
      <c r="D32" s="112">
        <f t="shared" si="1"/>
        <v>2.1589716088870063</v>
      </c>
      <c r="E32" s="112"/>
      <c r="F32" s="76">
        <v>1557.1799999999998</v>
      </c>
      <c r="G32" s="104">
        <f t="shared" si="2"/>
        <v>57.658811854792127</v>
      </c>
      <c r="H32" s="775"/>
      <c r="I32" s="775">
        <v>624.16</v>
      </c>
      <c r="J32" s="104">
        <f t="shared" si="3"/>
        <v>23.111216434379489</v>
      </c>
      <c r="K32" s="775"/>
      <c r="L32" s="775">
        <v>90.34</v>
      </c>
      <c r="M32" s="104">
        <f t="shared" si="4"/>
        <v>3.3450834604618098</v>
      </c>
      <c r="N32" s="775"/>
      <c r="O32" s="776">
        <v>429</v>
      </c>
      <c r="P32" s="105">
        <f t="shared" si="5"/>
        <v>15.884888250366574</v>
      </c>
    </row>
    <row r="33" spans="1:17" ht="8" customHeight="1">
      <c r="C33" s="112" t="str">
        <f t="shared" si="0"/>
        <v/>
      </c>
      <c r="D33" s="112" t="str">
        <f t="shared" si="1"/>
        <v/>
      </c>
      <c r="E33" s="112"/>
      <c r="F33" s="112"/>
      <c r="G33" s="104" t="str">
        <f t="shared" si="2"/>
        <v/>
      </c>
      <c r="H33" s="112"/>
      <c r="I33" s="112"/>
      <c r="J33" s="104" t="str">
        <f t="shared" si="3"/>
        <v/>
      </c>
      <c r="M33" s="104" t="str">
        <f t="shared" si="4"/>
        <v/>
      </c>
      <c r="P33" s="105" t="str">
        <f t="shared" si="5"/>
        <v/>
      </c>
    </row>
    <row r="34" spans="1:17" ht="12" customHeight="1">
      <c r="A34" s="55" t="s">
        <v>406</v>
      </c>
      <c r="C34" s="112">
        <f t="shared" si="0"/>
        <v>25390.5</v>
      </c>
      <c r="D34" s="112">
        <f t="shared" si="1"/>
        <v>20.297617131776271</v>
      </c>
      <c r="E34" s="112"/>
      <c r="F34" s="112">
        <f>SUM(F35+F41+F51+F53)</f>
        <v>17801.5</v>
      </c>
      <c r="G34" s="104">
        <f t="shared" si="2"/>
        <v>70.11086823812056</v>
      </c>
      <c r="H34" s="112"/>
      <c r="I34" s="112">
        <f>SUM(I35+I41+I51+I53)</f>
        <v>1553</v>
      </c>
      <c r="J34" s="104">
        <f t="shared" si="3"/>
        <v>6.1164608810381838</v>
      </c>
      <c r="L34" s="104">
        <f>SUM(L35+L41+L51+L53)</f>
        <v>1907</v>
      </c>
      <c r="M34" s="104">
        <f t="shared" si="4"/>
        <v>7.5106831295169458</v>
      </c>
      <c r="O34" s="104">
        <f>SUM(O35+O41+O51+O53)</f>
        <v>4129</v>
      </c>
      <c r="P34" s="105">
        <f t="shared" si="5"/>
        <v>16.261987751324313</v>
      </c>
    </row>
    <row r="35" spans="1:17" ht="12" customHeight="1">
      <c r="A35" s="95" t="s">
        <v>178</v>
      </c>
      <c r="C35" s="112">
        <f t="shared" si="0"/>
        <v>6302</v>
      </c>
      <c r="D35" s="112">
        <f t="shared" si="1"/>
        <v>5.0379308467518973</v>
      </c>
      <c r="E35" s="112"/>
      <c r="F35" s="112">
        <f>SUM(F36:F39)</f>
        <v>4652</v>
      </c>
      <c r="G35" s="104">
        <f t="shared" si="2"/>
        <v>73.817835607743575</v>
      </c>
      <c r="H35" s="112" t="s">
        <v>128</v>
      </c>
      <c r="I35" s="25">
        <f>SUM(I36:I39)</f>
        <v>279</v>
      </c>
      <c r="J35" s="104">
        <f t="shared" si="3"/>
        <v>4.4271659790542683</v>
      </c>
      <c r="K35" s="104" t="s">
        <v>128</v>
      </c>
      <c r="L35" s="104">
        <f>SUM(L36:L39)</f>
        <v>346</v>
      </c>
      <c r="M35" s="104">
        <f t="shared" si="4"/>
        <v>5.4903205331640743</v>
      </c>
      <c r="N35" s="104" t="s">
        <v>128</v>
      </c>
      <c r="O35" s="104">
        <f>SUM(O36:O39)</f>
        <v>1025</v>
      </c>
      <c r="P35" s="105">
        <f t="shared" si="5"/>
        <v>16.264677880038082</v>
      </c>
      <c r="Q35" s="95" t="s">
        <v>128</v>
      </c>
    </row>
    <row r="36" spans="1:17" ht="12" customHeight="1">
      <c r="A36" s="95" t="s">
        <v>179</v>
      </c>
      <c r="C36" s="112">
        <f t="shared" si="0"/>
        <v>2411.5</v>
      </c>
      <c r="D36" s="112">
        <f t="shared" si="1"/>
        <v>1.9277959753954619</v>
      </c>
      <c r="E36" s="112"/>
      <c r="F36" s="76">
        <v>1884.5</v>
      </c>
      <c r="G36" s="104">
        <f t="shared" si="2"/>
        <v>78.146381919966828</v>
      </c>
      <c r="H36" s="775"/>
      <c r="I36" s="775">
        <v>40</v>
      </c>
      <c r="J36" s="104">
        <f t="shared" si="3"/>
        <v>1.6587186398507154</v>
      </c>
      <c r="K36" s="775"/>
      <c r="L36" s="775">
        <v>100</v>
      </c>
      <c r="M36" s="104">
        <f t="shared" si="4"/>
        <v>4.1467965996267884</v>
      </c>
      <c r="N36" s="775"/>
      <c r="O36" s="775">
        <v>387</v>
      </c>
      <c r="P36" s="105">
        <f t="shared" si="5"/>
        <v>16.048102840555671</v>
      </c>
    </row>
    <row r="37" spans="1:17" ht="12" customHeight="1">
      <c r="A37" s="95" t="s">
        <v>180</v>
      </c>
      <c r="C37" s="112">
        <f t="shared" si="0"/>
        <v>1942.5</v>
      </c>
      <c r="D37" s="112">
        <f t="shared" si="1"/>
        <v>1.5528690367844431</v>
      </c>
      <c r="F37" s="76">
        <v>1532.5</v>
      </c>
      <c r="G37" s="104">
        <f t="shared" si="2"/>
        <v>78.893178893178899</v>
      </c>
      <c r="H37" s="775"/>
      <c r="I37" s="775">
        <v>25</v>
      </c>
      <c r="J37" s="104">
        <f t="shared" si="3"/>
        <v>1.287001287001287</v>
      </c>
      <c r="K37" s="775"/>
      <c r="L37" s="775">
        <v>110</v>
      </c>
      <c r="M37" s="104">
        <f t="shared" si="4"/>
        <v>5.6628056628056633</v>
      </c>
      <c r="N37" s="775"/>
      <c r="O37" s="775">
        <v>275</v>
      </c>
      <c r="P37" s="105">
        <f t="shared" si="5"/>
        <v>14.157014157014158</v>
      </c>
    </row>
    <row r="38" spans="1:17" ht="12" customHeight="1">
      <c r="A38" s="95" t="s">
        <v>181</v>
      </c>
      <c r="C38" s="112">
        <f t="shared" si="0"/>
        <v>1050</v>
      </c>
      <c r="D38" s="112">
        <f t="shared" si="1"/>
        <v>0.83938866853213145</v>
      </c>
      <c r="F38" s="76">
        <v>620</v>
      </c>
      <c r="G38" s="104">
        <f t="shared" si="2"/>
        <v>59.047619047619051</v>
      </c>
      <c r="H38" s="775"/>
      <c r="I38" s="775">
        <v>150</v>
      </c>
      <c r="J38" s="104">
        <f t="shared" si="3"/>
        <v>14.285714285714285</v>
      </c>
      <c r="K38" s="775"/>
      <c r="L38" s="775">
        <v>65</v>
      </c>
      <c r="M38" s="104">
        <f t="shared" si="4"/>
        <v>6.1904761904761907</v>
      </c>
      <c r="N38" s="775"/>
      <c r="O38" s="775">
        <v>215</v>
      </c>
      <c r="P38" s="105">
        <f t="shared" si="5"/>
        <v>20.476190476190474</v>
      </c>
    </row>
    <row r="39" spans="1:17" ht="12" customHeight="1">
      <c r="A39" s="95" t="s">
        <v>182</v>
      </c>
      <c r="C39" s="112">
        <f t="shared" si="0"/>
        <v>898</v>
      </c>
      <c r="D39" s="112">
        <f t="shared" si="1"/>
        <v>0.71787716603986096</v>
      </c>
      <c r="F39" s="76">
        <v>615</v>
      </c>
      <c r="G39" s="104">
        <f t="shared" si="2"/>
        <v>68.485523385300667</v>
      </c>
      <c r="H39" s="775"/>
      <c r="I39" s="775">
        <v>64</v>
      </c>
      <c r="J39" s="104">
        <f t="shared" si="3"/>
        <v>7.1269487750556788</v>
      </c>
      <c r="K39" s="775"/>
      <c r="L39" s="775">
        <v>71</v>
      </c>
      <c r="M39" s="104">
        <f t="shared" si="4"/>
        <v>7.9064587973273941</v>
      </c>
      <c r="N39" s="775"/>
      <c r="O39" s="775">
        <v>148</v>
      </c>
      <c r="P39" s="105">
        <f t="shared" si="5"/>
        <v>16.481069042316257</v>
      </c>
    </row>
    <row r="40" spans="1:17" ht="8" customHeight="1">
      <c r="C40" s="112" t="str">
        <f t="shared" si="0"/>
        <v/>
      </c>
      <c r="D40" s="112" t="str">
        <f t="shared" si="1"/>
        <v/>
      </c>
      <c r="G40" s="104" t="str">
        <f t="shared" si="2"/>
        <v/>
      </c>
      <c r="J40" s="104" t="str">
        <f t="shared" si="3"/>
        <v/>
      </c>
      <c r="M40" s="104" t="str">
        <f t="shared" si="4"/>
        <v/>
      </c>
      <c r="P40" s="105" t="str">
        <f t="shared" si="5"/>
        <v/>
      </c>
    </row>
    <row r="41" spans="1:17" ht="12" customHeight="1">
      <c r="A41" s="95" t="s">
        <v>183</v>
      </c>
      <c r="C41" s="112">
        <f t="shared" si="0"/>
        <v>10034</v>
      </c>
      <c r="D41" s="112">
        <f t="shared" si="1"/>
        <v>8.0213580000489593</v>
      </c>
      <c r="F41" s="104">
        <f>SUM(F42:F49)</f>
        <v>6607</v>
      </c>
      <c r="G41" s="104">
        <f t="shared" si="2"/>
        <v>65.846123181183984</v>
      </c>
      <c r="H41" s="104" t="s">
        <v>128</v>
      </c>
      <c r="I41" s="104">
        <f>SUM(I42:I49)</f>
        <v>857</v>
      </c>
      <c r="J41" s="104">
        <f t="shared" si="3"/>
        <v>8.5409607335060791</v>
      </c>
      <c r="K41" s="104" t="s">
        <v>128</v>
      </c>
      <c r="L41" s="104">
        <f>SUM(L42:L49)</f>
        <v>907</v>
      </c>
      <c r="M41" s="104">
        <f t="shared" si="4"/>
        <v>9.0392664939206693</v>
      </c>
      <c r="N41" s="104" t="s">
        <v>128</v>
      </c>
      <c r="O41" s="104">
        <f>SUM(O42:O49)</f>
        <v>1663</v>
      </c>
      <c r="P41" s="105">
        <f t="shared" si="5"/>
        <v>16.573649591389277</v>
      </c>
      <c r="Q41" s="95" t="s">
        <v>128</v>
      </c>
    </row>
    <row r="42" spans="1:17" ht="12" customHeight="1">
      <c r="A42" s="95" t="s">
        <v>407</v>
      </c>
      <c r="C42" s="112">
        <f t="shared" si="0"/>
        <v>886</v>
      </c>
      <c r="D42" s="112">
        <f t="shared" si="1"/>
        <v>0.70828415268520806</v>
      </c>
      <c r="F42" s="76">
        <v>521</v>
      </c>
      <c r="G42" s="104">
        <f t="shared" si="2"/>
        <v>58.803611738148987</v>
      </c>
      <c r="H42" s="775"/>
      <c r="I42" s="775">
        <v>120</v>
      </c>
      <c r="J42" s="104">
        <f t="shared" si="3"/>
        <v>13.544018058690746</v>
      </c>
      <c r="K42" s="775"/>
      <c r="L42" s="775">
        <v>25</v>
      </c>
      <c r="M42" s="104">
        <f t="shared" si="4"/>
        <v>2.8216704288939054</v>
      </c>
      <c r="N42" s="775"/>
      <c r="O42" s="775">
        <v>220</v>
      </c>
      <c r="P42" s="105">
        <f t="shared" si="5"/>
        <v>24.830699774266364</v>
      </c>
    </row>
    <row r="43" spans="1:17" ht="12" customHeight="1">
      <c r="A43" s="95" t="s">
        <v>184</v>
      </c>
      <c r="C43" s="112">
        <f t="shared" si="0"/>
        <v>1095</v>
      </c>
      <c r="D43" s="112">
        <f t="shared" si="1"/>
        <v>0.87536246861207989</v>
      </c>
      <c r="F43" s="76">
        <v>775</v>
      </c>
      <c r="G43" s="104">
        <f t="shared" si="2"/>
        <v>70.776255707762559</v>
      </c>
      <c r="H43" s="775"/>
      <c r="I43" s="775">
        <v>50</v>
      </c>
      <c r="J43" s="104">
        <f t="shared" si="3"/>
        <v>4.5662100456620998</v>
      </c>
      <c r="K43" s="775"/>
      <c r="L43" s="775">
        <v>85</v>
      </c>
      <c r="M43" s="104">
        <f t="shared" si="4"/>
        <v>7.7625570776255701</v>
      </c>
      <c r="N43" s="775"/>
      <c r="O43" s="775">
        <v>185</v>
      </c>
      <c r="P43" s="105">
        <f t="shared" si="5"/>
        <v>16.894977168949772</v>
      </c>
    </row>
    <row r="44" spans="1:17" ht="12" customHeight="1">
      <c r="A44" s="95" t="s">
        <v>530</v>
      </c>
      <c r="C44" s="112">
        <f t="shared" si="0"/>
        <v>1440</v>
      </c>
      <c r="D44" s="112">
        <f t="shared" si="1"/>
        <v>1.1511616025583518</v>
      </c>
      <c r="F44" s="76">
        <v>890</v>
      </c>
      <c r="G44" s="104">
        <f t="shared" si="2"/>
        <v>61.805555555555557</v>
      </c>
      <c r="H44" s="775"/>
      <c r="I44" s="775">
        <v>180</v>
      </c>
      <c r="J44" s="104">
        <f t="shared" si="3"/>
        <v>12.5</v>
      </c>
      <c r="K44" s="775"/>
      <c r="L44" s="775">
        <v>90</v>
      </c>
      <c r="M44" s="104">
        <f t="shared" si="4"/>
        <v>6.25</v>
      </c>
      <c r="N44" s="775"/>
      <c r="O44" s="775">
        <v>280</v>
      </c>
      <c r="P44" s="105">
        <f t="shared" si="5"/>
        <v>19.444444444444446</v>
      </c>
    </row>
    <row r="45" spans="1:17" ht="12" customHeight="1">
      <c r="A45" s="95" t="s">
        <v>186</v>
      </c>
      <c r="C45" s="112">
        <f t="shared" si="0"/>
        <v>1127</v>
      </c>
      <c r="D45" s="112">
        <f t="shared" si="1"/>
        <v>0.90094383755782104</v>
      </c>
      <c r="F45" s="76">
        <v>722</v>
      </c>
      <c r="G45" s="104">
        <f t="shared" si="2"/>
        <v>64.063886424134878</v>
      </c>
      <c r="H45" s="775"/>
      <c r="I45" s="775">
        <v>150</v>
      </c>
      <c r="J45" s="104">
        <f t="shared" si="3"/>
        <v>13.309671694764862</v>
      </c>
      <c r="K45" s="775"/>
      <c r="L45" s="775">
        <v>115</v>
      </c>
      <c r="M45" s="104">
        <f t="shared" si="4"/>
        <v>10.204081632653061</v>
      </c>
      <c r="N45" s="775"/>
      <c r="O45" s="775">
        <v>140</v>
      </c>
      <c r="P45" s="105">
        <f t="shared" si="5"/>
        <v>12.422360248447205</v>
      </c>
    </row>
    <row r="46" spans="1:17" ht="12" customHeight="1">
      <c r="A46" s="95" t="s">
        <v>531</v>
      </c>
      <c r="C46" s="112">
        <f t="shared" si="0"/>
        <v>1220</v>
      </c>
      <c r="D46" s="112">
        <f t="shared" si="1"/>
        <v>0.97528969105638119</v>
      </c>
      <c r="F46" s="76">
        <v>870</v>
      </c>
      <c r="G46" s="104">
        <f t="shared" si="2"/>
        <v>71.311475409836063</v>
      </c>
      <c r="H46" s="775"/>
      <c r="I46" s="775">
        <v>140</v>
      </c>
      <c r="J46" s="104">
        <f t="shared" si="3"/>
        <v>11.475409836065573</v>
      </c>
      <c r="K46" s="775"/>
      <c r="L46" s="775">
        <v>50</v>
      </c>
      <c r="M46" s="104">
        <f t="shared" si="4"/>
        <v>4.0983606557377046</v>
      </c>
      <c r="N46" s="775"/>
      <c r="O46" s="775">
        <v>160</v>
      </c>
      <c r="P46" s="105">
        <f t="shared" si="5"/>
        <v>13.114754098360656</v>
      </c>
    </row>
    <row r="47" spans="1:17" ht="12" customHeight="1">
      <c r="A47" s="95" t="s">
        <v>190</v>
      </c>
      <c r="C47" s="112">
        <f t="shared" si="0"/>
        <v>919</v>
      </c>
      <c r="D47" s="112">
        <f t="shared" si="1"/>
        <v>0.73466493941050359</v>
      </c>
      <c r="F47" s="76">
        <v>627</v>
      </c>
      <c r="G47" s="104">
        <f t="shared" si="2"/>
        <v>68.226332970620234</v>
      </c>
      <c r="H47" s="775"/>
      <c r="I47" s="775">
        <v>110</v>
      </c>
      <c r="J47" s="104">
        <f t="shared" si="3"/>
        <v>11.969532100108813</v>
      </c>
      <c r="K47" s="775"/>
      <c r="L47" s="775">
        <v>77</v>
      </c>
      <c r="M47" s="104">
        <f t="shared" si="4"/>
        <v>8.3786724700761699</v>
      </c>
      <c r="N47" s="775"/>
      <c r="O47" s="775">
        <v>105</v>
      </c>
      <c r="P47" s="105">
        <f t="shared" si="5"/>
        <v>11.425462459194776</v>
      </c>
    </row>
    <row r="48" spans="1:17" ht="12" customHeight="1">
      <c r="A48" s="95" t="s">
        <v>189</v>
      </c>
      <c r="C48" s="112">
        <f t="shared" si="0"/>
        <v>1982</v>
      </c>
      <c r="D48" s="112">
        <f t="shared" si="1"/>
        <v>1.5844460390768422</v>
      </c>
      <c r="F48" s="76">
        <v>1322</v>
      </c>
      <c r="G48" s="104">
        <f t="shared" si="2"/>
        <v>66.700302724520682</v>
      </c>
      <c r="H48" s="775"/>
      <c r="I48" s="775">
        <v>65</v>
      </c>
      <c r="J48" s="104">
        <f t="shared" si="3"/>
        <v>3.2795156407669022</v>
      </c>
      <c r="K48" s="775"/>
      <c r="L48" s="775">
        <v>245</v>
      </c>
      <c r="M48" s="104">
        <f t="shared" si="4"/>
        <v>12.361251261352169</v>
      </c>
      <c r="N48" s="775"/>
      <c r="O48" s="775">
        <v>350</v>
      </c>
      <c r="P48" s="105">
        <f t="shared" si="5"/>
        <v>17.658930373360242</v>
      </c>
    </row>
    <row r="49" spans="1:17" ht="12" customHeight="1">
      <c r="A49" s="95" t="s">
        <v>188</v>
      </c>
      <c r="C49" s="112">
        <f t="shared" si="0"/>
        <v>1365</v>
      </c>
      <c r="D49" s="112">
        <f t="shared" si="1"/>
        <v>1.0912052690917708</v>
      </c>
      <c r="F49" s="76">
        <v>880</v>
      </c>
      <c r="G49" s="104">
        <f t="shared" si="2"/>
        <v>64.468864468864467</v>
      </c>
      <c r="H49" s="775"/>
      <c r="I49" s="775">
        <v>42</v>
      </c>
      <c r="J49" s="104">
        <f t="shared" si="3"/>
        <v>3.0769230769230771</v>
      </c>
      <c r="K49" s="775"/>
      <c r="L49" s="775">
        <v>220</v>
      </c>
      <c r="M49" s="104">
        <f t="shared" si="4"/>
        <v>16.117216117216117</v>
      </c>
      <c r="N49" s="775"/>
      <c r="O49" s="775">
        <v>223</v>
      </c>
      <c r="P49" s="105">
        <f t="shared" si="5"/>
        <v>16.336996336996336</v>
      </c>
    </row>
    <row r="50" spans="1:17" ht="8" customHeight="1">
      <c r="C50" s="112" t="str">
        <f t="shared" si="0"/>
        <v/>
      </c>
      <c r="D50" s="112" t="str">
        <f t="shared" si="1"/>
        <v/>
      </c>
      <c r="F50" s="770"/>
      <c r="G50" s="104" t="str">
        <f t="shared" si="2"/>
        <v/>
      </c>
      <c r="H50" s="770"/>
      <c r="I50" s="770"/>
      <c r="J50" s="104" t="str">
        <f t="shared" si="3"/>
        <v/>
      </c>
      <c r="K50" s="770"/>
      <c r="L50" s="770"/>
      <c r="M50" s="104" t="str">
        <f t="shared" si="4"/>
        <v/>
      </c>
      <c r="N50" s="770"/>
      <c r="O50" s="770"/>
      <c r="P50" s="105" t="str">
        <f t="shared" si="5"/>
        <v/>
      </c>
    </row>
    <row r="51" spans="1:17" ht="12" customHeight="1">
      <c r="A51" s="95" t="s">
        <v>192</v>
      </c>
      <c r="C51" s="112">
        <f t="shared" si="0"/>
        <v>3017.5</v>
      </c>
      <c r="D51" s="112">
        <f t="shared" si="1"/>
        <v>2.4122431498054349</v>
      </c>
      <c r="F51" s="76">
        <v>2398.5</v>
      </c>
      <c r="G51" s="104">
        <f t="shared" si="2"/>
        <v>79.486329743164873</v>
      </c>
      <c r="H51" s="775"/>
      <c r="I51" s="775">
        <v>70</v>
      </c>
      <c r="J51" s="104">
        <f t="shared" si="3"/>
        <v>2.3198011599005799</v>
      </c>
      <c r="K51" s="775"/>
      <c r="L51" s="775">
        <v>110</v>
      </c>
      <c r="M51" s="104">
        <f t="shared" si="4"/>
        <v>3.6454018227009111</v>
      </c>
      <c r="N51" s="775"/>
      <c r="O51" s="776">
        <v>439</v>
      </c>
      <c r="P51" s="105">
        <f t="shared" si="5"/>
        <v>14.548467274233637</v>
      </c>
    </row>
    <row r="52" spans="1:17" ht="8" customHeight="1">
      <c r="C52" s="112" t="str">
        <f t="shared" si="0"/>
        <v/>
      </c>
      <c r="D52" s="112" t="str">
        <f t="shared" si="1"/>
        <v/>
      </c>
      <c r="G52" s="104" t="str">
        <f t="shared" si="2"/>
        <v/>
      </c>
      <c r="J52" s="104" t="str">
        <f t="shared" si="3"/>
        <v/>
      </c>
      <c r="M52" s="104" t="str">
        <f t="shared" si="4"/>
        <v/>
      </c>
      <c r="P52" s="105" t="str">
        <f t="shared" si="5"/>
        <v/>
      </c>
    </row>
    <row r="53" spans="1:17" ht="12" customHeight="1">
      <c r="A53" s="95" t="s">
        <v>193</v>
      </c>
      <c r="C53" s="112">
        <f t="shared" si="0"/>
        <v>6037</v>
      </c>
      <c r="D53" s="112">
        <f t="shared" si="1"/>
        <v>4.8260851351699792</v>
      </c>
      <c r="F53" s="104">
        <f>SUM(F54:F58)</f>
        <v>4144</v>
      </c>
      <c r="G53" s="104">
        <f t="shared" si="2"/>
        <v>68.643365910220311</v>
      </c>
      <c r="H53" s="104" t="s">
        <v>128</v>
      </c>
      <c r="I53" s="104">
        <f>SUM(I54:I58)</f>
        <v>347</v>
      </c>
      <c r="J53" s="104">
        <f t="shared" si="3"/>
        <v>5.7478880238529069</v>
      </c>
      <c r="K53" s="104" t="s">
        <v>128</v>
      </c>
      <c r="L53" s="104">
        <f>SUM(L54:L58)</f>
        <v>544</v>
      </c>
      <c r="M53" s="104">
        <f t="shared" si="4"/>
        <v>9.0110982275964879</v>
      </c>
      <c r="N53" s="104" t="s">
        <v>128</v>
      </c>
      <c r="O53" s="104">
        <f>SUM(O54:O58)</f>
        <v>1002</v>
      </c>
      <c r="P53" s="105">
        <f t="shared" si="5"/>
        <v>16.597647838330296</v>
      </c>
      <c r="Q53" s="95" t="s">
        <v>128</v>
      </c>
    </row>
    <row r="54" spans="1:17" ht="12" customHeight="1">
      <c r="A54" s="95" t="s">
        <v>194</v>
      </c>
      <c r="C54" s="112">
        <f t="shared" si="0"/>
        <v>683</v>
      </c>
      <c r="D54" s="112">
        <f t="shared" si="1"/>
        <v>0.54600234343566267</v>
      </c>
      <c r="F54" s="76">
        <v>366</v>
      </c>
      <c r="G54" s="104">
        <f t="shared" si="2"/>
        <v>53.587115666178619</v>
      </c>
      <c r="H54" s="775"/>
      <c r="I54" s="775">
        <v>0</v>
      </c>
      <c r="J54" s="104">
        <f t="shared" si="3"/>
        <v>0</v>
      </c>
      <c r="K54" s="775"/>
      <c r="L54" s="775">
        <v>103</v>
      </c>
      <c r="M54" s="104">
        <f t="shared" si="4"/>
        <v>15.080527086383603</v>
      </c>
      <c r="N54" s="775"/>
      <c r="O54" s="775">
        <v>214</v>
      </c>
      <c r="P54" s="105">
        <f t="shared" si="5"/>
        <v>31.332357247437777</v>
      </c>
    </row>
    <row r="55" spans="1:17" ht="12" customHeight="1">
      <c r="A55" s="95" t="s">
        <v>195</v>
      </c>
      <c r="C55" s="112">
        <f t="shared" si="0"/>
        <v>1922</v>
      </c>
      <c r="D55" s="112">
        <f t="shared" si="1"/>
        <v>1.5364809723035777</v>
      </c>
      <c r="F55" s="76">
        <v>1442</v>
      </c>
      <c r="G55" s="104">
        <f t="shared" si="2"/>
        <v>75.026014568158175</v>
      </c>
      <c r="H55" s="775"/>
      <c r="I55" s="775">
        <v>30</v>
      </c>
      <c r="J55" s="104">
        <f t="shared" si="3"/>
        <v>1.5608740894901143</v>
      </c>
      <c r="K55" s="775"/>
      <c r="L55" s="775">
        <v>200</v>
      </c>
      <c r="M55" s="104">
        <f t="shared" si="4"/>
        <v>10.40582726326743</v>
      </c>
      <c r="N55" s="775"/>
      <c r="O55" s="775">
        <v>250</v>
      </c>
      <c r="P55" s="105">
        <f t="shared" si="5"/>
        <v>13.007284079084286</v>
      </c>
    </row>
    <row r="56" spans="1:17" ht="12" customHeight="1">
      <c r="A56" s="95" t="s">
        <v>196</v>
      </c>
      <c r="C56" s="112">
        <f t="shared" si="0"/>
        <v>1269</v>
      </c>
      <c r="D56" s="112">
        <f t="shared" si="1"/>
        <v>1.0144611622545474</v>
      </c>
      <c r="F56" s="76">
        <v>864</v>
      </c>
      <c r="G56" s="104">
        <f t="shared" si="2"/>
        <v>68.085106382978722</v>
      </c>
      <c r="H56" s="775"/>
      <c r="I56" s="775">
        <v>135</v>
      </c>
      <c r="J56" s="104">
        <f t="shared" si="3"/>
        <v>10.638297872340425</v>
      </c>
      <c r="K56" s="775"/>
      <c r="L56" s="775">
        <v>95</v>
      </c>
      <c r="M56" s="104">
        <f t="shared" si="4"/>
        <v>7.486209613869188</v>
      </c>
      <c r="N56" s="775"/>
      <c r="O56" s="775">
        <v>175</v>
      </c>
      <c r="P56" s="105">
        <f t="shared" si="5"/>
        <v>13.790386130811664</v>
      </c>
    </row>
    <row r="57" spans="1:17" ht="12" customHeight="1">
      <c r="A57" s="95" t="s">
        <v>409</v>
      </c>
      <c r="C57" s="112">
        <f t="shared" si="0"/>
        <v>923</v>
      </c>
      <c r="D57" s="112">
        <f t="shared" si="1"/>
        <v>0.73786261052872126</v>
      </c>
      <c r="F57" s="76">
        <v>628</v>
      </c>
      <c r="G57" s="104">
        <f t="shared" si="2"/>
        <v>68.039003250270852</v>
      </c>
      <c r="H57" s="775"/>
      <c r="I57" s="775">
        <v>82</v>
      </c>
      <c r="J57" s="104">
        <f t="shared" si="3"/>
        <v>8.8840736728060676</v>
      </c>
      <c r="K57" s="775"/>
      <c r="L57" s="775">
        <v>39</v>
      </c>
      <c r="M57" s="104">
        <f t="shared" si="4"/>
        <v>4.225352112676056</v>
      </c>
      <c r="N57" s="775"/>
      <c r="O57" s="775">
        <v>174</v>
      </c>
      <c r="P57" s="105">
        <f t="shared" si="5"/>
        <v>18.851570964247021</v>
      </c>
    </row>
    <row r="58" spans="1:17" ht="12" customHeight="1">
      <c r="A58" s="95" t="s">
        <v>198</v>
      </c>
      <c r="C58" s="112">
        <f t="shared" si="0"/>
        <v>1240</v>
      </c>
      <c r="D58" s="112">
        <f t="shared" si="1"/>
        <v>0.99127804664746955</v>
      </c>
      <c r="F58" s="76">
        <v>844</v>
      </c>
      <c r="G58" s="104">
        <f t="shared" si="2"/>
        <v>68.064516129032256</v>
      </c>
      <c r="H58" s="775"/>
      <c r="I58" s="775">
        <v>100</v>
      </c>
      <c r="J58" s="104">
        <f t="shared" si="3"/>
        <v>8.064516129032258</v>
      </c>
      <c r="K58" s="775"/>
      <c r="L58" s="775">
        <v>107</v>
      </c>
      <c r="M58" s="104">
        <f t="shared" si="4"/>
        <v>8.629032258064516</v>
      </c>
      <c r="N58" s="775"/>
      <c r="O58" s="775">
        <v>189</v>
      </c>
      <c r="P58" s="105">
        <f t="shared" si="5"/>
        <v>15.241935483870966</v>
      </c>
    </row>
    <row r="59" spans="1:17" ht="8" customHeight="1">
      <c r="C59" s="112" t="str">
        <f t="shared" si="0"/>
        <v/>
      </c>
      <c r="D59" s="112" t="str">
        <f t="shared" si="1"/>
        <v/>
      </c>
      <c r="G59" s="104" t="str">
        <f t="shared" si="2"/>
        <v/>
      </c>
      <c r="J59" s="104" t="str">
        <f t="shared" si="3"/>
        <v/>
      </c>
      <c r="M59" s="104" t="str">
        <f t="shared" si="4"/>
        <v/>
      </c>
      <c r="P59" s="105" t="str">
        <f t="shared" si="5"/>
        <v/>
      </c>
    </row>
    <row r="60" spans="1:17" ht="12" customHeight="1">
      <c r="A60" s="55" t="s">
        <v>410</v>
      </c>
      <c r="C60" s="112">
        <f t="shared" si="0"/>
        <v>20430.199100000002</v>
      </c>
      <c r="D60" s="112">
        <f t="shared" si="1"/>
        <v>16.332264400376527</v>
      </c>
      <c r="F60" s="104">
        <f>SUM(F61+F63+F70+F72)</f>
        <v>14938.459100000002</v>
      </c>
      <c r="G60" s="104">
        <f t="shared" si="2"/>
        <v>73.119498380218914</v>
      </c>
      <c r="I60" s="104">
        <f>SUM(I61+I63+I70+I72)</f>
        <v>1604.3</v>
      </c>
      <c r="J60" s="104">
        <f t="shared" si="3"/>
        <v>7.8525911184096087</v>
      </c>
      <c r="L60" s="104">
        <f>SUM(L61+L63+L70+L72)</f>
        <v>1336.5</v>
      </c>
      <c r="M60" s="104">
        <f t="shared" si="4"/>
        <v>6.5417864674652133</v>
      </c>
      <c r="O60" s="104">
        <f>SUM(O61+O63+O70+O72)</f>
        <v>2550.94</v>
      </c>
      <c r="P60" s="105">
        <f t="shared" si="5"/>
        <v>12.486124033906258</v>
      </c>
    </row>
    <row r="61" spans="1:17" ht="12" customHeight="1">
      <c r="A61" s="95" t="s">
        <v>411</v>
      </c>
      <c r="C61" s="112">
        <f>IF(A61&lt;&gt;0,F61+I61+L61+O61,"")</f>
        <v>1821.5</v>
      </c>
      <c r="D61" s="112">
        <f t="shared" si="1"/>
        <v>1.4561394854583596</v>
      </c>
      <c r="F61" s="76">
        <v>1112.5</v>
      </c>
      <c r="G61" s="104">
        <f t="shared" si="2"/>
        <v>61.076036233873175</v>
      </c>
      <c r="H61" s="775"/>
      <c r="I61" s="775">
        <v>171</v>
      </c>
      <c r="J61" s="104">
        <f t="shared" si="3"/>
        <v>9.3878671424650015</v>
      </c>
      <c r="K61" s="775"/>
      <c r="L61" s="775">
        <v>251</v>
      </c>
      <c r="M61" s="104">
        <f t="shared" si="4"/>
        <v>13.779851770518803</v>
      </c>
      <c r="N61" s="775"/>
      <c r="O61" s="775">
        <v>287</v>
      </c>
      <c r="P61" s="105">
        <f>IF($A61&lt;&gt;0,O61/$C61*100,"")</f>
        <v>15.756244853143015</v>
      </c>
    </row>
    <row r="62" spans="1:17" ht="8" customHeight="1">
      <c r="C62" s="112" t="str">
        <f t="shared" si="0"/>
        <v/>
      </c>
      <c r="D62" s="112" t="str">
        <f t="shared" si="1"/>
        <v/>
      </c>
      <c r="G62" s="104" t="str">
        <f t="shared" si="2"/>
        <v/>
      </c>
      <c r="J62" s="104" t="str">
        <f t="shared" si="3"/>
        <v/>
      </c>
      <c r="M62" s="104" t="str">
        <f t="shared" si="4"/>
        <v/>
      </c>
      <c r="P62" s="105" t="str">
        <f t="shared" si="5"/>
        <v/>
      </c>
    </row>
    <row r="63" spans="1:17" ht="10.5" customHeight="1">
      <c r="A63" s="95" t="s">
        <v>202</v>
      </c>
      <c r="C63" s="112">
        <f t="shared" si="0"/>
        <v>12668.7191</v>
      </c>
      <c r="D63" s="112">
        <f t="shared" si="1"/>
        <v>10.127599292720554</v>
      </c>
      <c r="F63" s="104">
        <f>SUM(F64:F68)</f>
        <v>10153.4791</v>
      </c>
      <c r="G63" s="104">
        <f t="shared" si="2"/>
        <v>80.146059122899018</v>
      </c>
      <c r="H63" s="104" t="s">
        <v>128</v>
      </c>
      <c r="I63" s="104">
        <f>SUM(I64:I68)</f>
        <v>388.5</v>
      </c>
      <c r="J63" s="104">
        <f t="shared" si="3"/>
        <v>3.0666083676920421</v>
      </c>
      <c r="K63" s="104" t="s">
        <v>128</v>
      </c>
      <c r="L63" s="104">
        <f>SUM(L64:L68)</f>
        <v>687</v>
      </c>
      <c r="M63" s="104">
        <f t="shared" si="4"/>
        <v>5.4228055305133411</v>
      </c>
      <c r="N63" s="104" t="s">
        <v>128</v>
      </c>
      <c r="O63" s="104">
        <f>SUM(O64:O68)</f>
        <v>1439.74</v>
      </c>
      <c r="P63" s="105">
        <f t="shared" si="5"/>
        <v>11.364526978895601</v>
      </c>
      <c r="Q63" s="95" t="s">
        <v>128</v>
      </c>
    </row>
    <row r="64" spans="1:17" ht="14.25" customHeight="1">
      <c r="A64" s="95" t="s">
        <v>412</v>
      </c>
      <c r="C64" s="112">
        <f t="shared" si="0"/>
        <v>6017.7290999999996</v>
      </c>
      <c r="D64" s="112">
        <f t="shared" si="1"/>
        <v>4.8106796350819634</v>
      </c>
      <c r="F64" s="76">
        <v>5401.7290999999996</v>
      </c>
      <c r="G64" s="104">
        <f t="shared" si="2"/>
        <v>89.763580417735994</v>
      </c>
      <c r="H64" s="775"/>
      <c r="I64" s="775">
        <v>146</v>
      </c>
      <c r="J64" s="104">
        <f t="shared" si="3"/>
        <v>2.4261643815106271</v>
      </c>
      <c r="K64" s="775"/>
      <c r="L64" s="775">
        <v>115</v>
      </c>
      <c r="M64" s="104">
        <f t="shared" si="4"/>
        <v>1.9110198895460415</v>
      </c>
      <c r="N64" s="775"/>
      <c r="O64" s="775">
        <v>355</v>
      </c>
      <c r="P64" s="105">
        <f t="shared" si="5"/>
        <v>5.8992353112073461</v>
      </c>
    </row>
    <row r="65" spans="1:17" ht="12" customHeight="1">
      <c r="A65" s="95" t="s">
        <v>204</v>
      </c>
      <c r="C65" s="112">
        <f t="shared" si="0"/>
        <v>2481.2399999999998</v>
      </c>
      <c r="D65" s="112">
        <f t="shared" si="1"/>
        <v>1.9835473713415863</v>
      </c>
      <c r="F65" s="76">
        <v>1926.5</v>
      </c>
      <c r="G65" s="104">
        <f t="shared" si="2"/>
        <v>77.642630297754351</v>
      </c>
      <c r="H65" s="775"/>
      <c r="I65" s="775">
        <v>115</v>
      </c>
      <c r="J65" s="104">
        <f t="shared" si="3"/>
        <v>4.6347793845012983</v>
      </c>
      <c r="K65" s="775"/>
      <c r="L65" s="775">
        <v>117</v>
      </c>
      <c r="M65" s="104">
        <f t="shared" si="4"/>
        <v>4.7153842433621902</v>
      </c>
      <c r="N65" s="775"/>
      <c r="O65" s="775">
        <v>322.74</v>
      </c>
      <c r="P65" s="105">
        <f t="shared" si="5"/>
        <v>13.007206074382166</v>
      </c>
    </row>
    <row r="66" spans="1:17" ht="12" customHeight="1">
      <c r="A66" s="95" t="s">
        <v>205</v>
      </c>
      <c r="C66" s="112">
        <f t="shared" si="0"/>
        <v>888</v>
      </c>
      <c r="D66" s="112">
        <f t="shared" si="1"/>
        <v>0.70988298824431695</v>
      </c>
      <c r="F66" s="76">
        <v>508</v>
      </c>
      <c r="G66" s="104">
        <f t="shared" si="2"/>
        <v>57.207207207207212</v>
      </c>
      <c r="H66" s="775"/>
      <c r="I66" s="775">
        <v>65</v>
      </c>
      <c r="J66" s="104">
        <f t="shared" si="3"/>
        <v>7.3198198198198199</v>
      </c>
      <c r="K66" s="775"/>
      <c r="L66" s="775">
        <v>135</v>
      </c>
      <c r="M66" s="104">
        <f t="shared" si="4"/>
        <v>15.202702702702704</v>
      </c>
      <c r="N66" s="775"/>
      <c r="O66" s="775">
        <v>180</v>
      </c>
      <c r="P66" s="105">
        <f t="shared" si="5"/>
        <v>20.27027027027027</v>
      </c>
    </row>
    <row r="67" spans="1:17" ht="12" customHeight="1">
      <c r="A67" s="95" t="s">
        <v>206</v>
      </c>
      <c r="C67" s="112">
        <f t="shared" si="0"/>
        <v>1242.75</v>
      </c>
      <c r="D67" s="112">
        <f>IF(A67&lt;&gt;0,C67/$C$11*100,"")</f>
        <v>0.99347644554124404</v>
      </c>
      <c r="F67" s="76">
        <v>653.25</v>
      </c>
      <c r="G67" s="104">
        <f t="shared" si="2"/>
        <v>52.564876282438142</v>
      </c>
      <c r="H67" s="775"/>
      <c r="I67" s="775">
        <v>32.5</v>
      </c>
      <c r="J67" s="104">
        <f t="shared" si="3"/>
        <v>2.6151679742506539</v>
      </c>
      <c r="K67" s="775"/>
      <c r="L67" s="775">
        <v>245</v>
      </c>
      <c r="M67" s="104">
        <f t="shared" si="4"/>
        <v>19.71434319050493</v>
      </c>
      <c r="N67" s="775"/>
      <c r="O67" s="775">
        <v>312</v>
      </c>
      <c r="P67" s="105">
        <f t="shared" si="5"/>
        <v>25.105612552806278</v>
      </c>
    </row>
    <row r="68" spans="1:17" ht="12" customHeight="1">
      <c r="A68" s="95" t="s">
        <v>532</v>
      </c>
      <c r="C68" s="112">
        <f t="shared" si="0"/>
        <v>2039</v>
      </c>
      <c r="D68" s="112">
        <f t="shared" ref="D68:D99" si="6">IF(A68&lt;&gt;0,C68/$C$11*100,"")</f>
        <v>1.6300128525114439</v>
      </c>
      <c r="F68" s="76">
        <v>1664</v>
      </c>
      <c r="G68" s="104">
        <f t="shared" si="2"/>
        <v>81.608631682197156</v>
      </c>
      <c r="H68" s="775"/>
      <c r="I68" s="775">
        <v>30</v>
      </c>
      <c r="J68" s="104">
        <f t="shared" si="3"/>
        <v>1.4713094654242276</v>
      </c>
      <c r="K68" s="775"/>
      <c r="L68" s="775">
        <v>75</v>
      </c>
      <c r="M68" s="104">
        <f t="shared" si="4"/>
        <v>3.6782736635605691</v>
      </c>
      <c r="N68" s="775"/>
      <c r="O68" s="775">
        <v>270</v>
      </c>
      <c r="P68" s="105">
        <f t="shared" si="5"/>
        <v>13.241785188818048</v>
      </c>
    </row>
    <row r="69" spans="1:17" ht="8" customHeight="1">
      <c r="C69" s="112" t="str">
        <f t="shared" si="0"/>
        <v/>
      </c>
      <c r="D69" s="112" t="str">
        <f t="shared" si="6"/>
        <v/>
      </c>
      <c r="F69" s="95"/>
      <c r="G69" s="104" t="str">
        <f t="shared" si="2"/>
        <v/>
      </c>
      <c r="H69" s="95"/>
      <c r="I69" s="95"/>
      <c r="J69" s="104" t="str">
        <f t="shared" si="3"/>
        <v/>
      </c>
      <c r="K69" s="95"/>
      <c r="L69" s="95"/>
      <c r="M69" s="104" t="str">
        <f t="shared" si="4"/>
        <v/>
      </c>
      <c r="N69" s="95"/>
      <c r="O69" s="95"/>
      <c r="P69" s="105" t="str">
        <f t="shared" si="5"/>
        <v/>
      </c>
    </row>
    <row r="70" spans="1:17" ht="12" customHeight="1">
      <c r="A70" s="95" t="s">
        <v>208</v>
      </c>
      <c r="C70" s="112">
        <f t="shared" si="0"/>
        <v>2216.7399999999998</v>
      </c>
      <c r="D70" s="112">
        <f t="shared" si="6"/>
        <v>1.7721013686494445</v>
      </c>
      <c r="F70" s="76">
        <v>916.29</v>
      </c>
      <c r="G70" s="104">
        <f t="shared" si="2"/>
        <v>41.335023502981862</v>
      </c>
      <c r="H70" s="775"/>
      <c r="I70" s="775">
        <v>836.75</v>
      </c>
      <c r="J70" s="104">
        <f t="shared" si="3"/>
        <v>37.746871532069619</v>
      </c>
      <c r="K70" s="775"/>
      <c r="L70" s="775">
        <v>194</v>
      </c>
      <c r="M70" s="104">
        <f t="shared" si="4"/>
        <v>8.7515901729566838</v>
      </c>
      <c r="N70" s="775"/>
      <c r="O70" s="775">
        <v>269.7</v>
      </c>
      <c r="P70" s="105">
        <f t="shared" si="5"/>
        <v>12.166514791991844</v>
      </c>
    </row>
    <row r="71" spans="1:17" ht="8" customHeight="1">
      <c r="C71" s="112" t="str">
        <f t="shared" si="0"/>
        <v/>
      </c>
      <c r="D71" s="112" t="str">
        <f t="shared" si="6"/>
        <v/>
      </c>
      <c r="F71" s="95"/>
      <c r="G71" s="104" t="str">
        <f t="shared" si="2"/>
        <v/>
      </c>
      <c r="H71" s="95"/>
      <c r="I71" s="95"/>
      <c r="J71" s="104" t="str">
        <f t="shared" si="3"/>
        <v/>
      </c>
      <c r="K71" s="95"/>
      <c r="L71" s="95"/>
      <c r="M71" s="104" t="str">
        <f t="shared" si="4"/>
        <v/>
      </c>
      <c r="N71" s="95"/>
      <c r="O71" s="95"/>
      <c r="P71" s="105" t="str">
        <f t="shared" si="5"/>
        <v/>
      </c>
    </row>
    <row r="72" spans="1:17" ht="12" customHeight="1">
      <c r="A72" s="95" t="s">
        <v>209</v>
      </c>
      <c r="C72" s="112">
        <f t="shared" si="0"/>
        <v>3723.2400000000002</v>
      </c>
      <c r="D72" s="112">
        <f t="shared" si="6"/>
        <v>2.9764242535481649</v>
      </c>
      <c r="F72" s="76">
        <v>2756.19</v>
      </c>
      <c r="G72" s="104">
        <f t="shared" si="2"/>
        <v>74.026654204402604</v>
      </c>
      <c r="H72" s="775"/>
      <c r="I72" s="775">
        <v>208.05</v>
      </c>
      <c r="J72" s="104">
        <f t="shared" si="3"/>
        <v>5.5878750765462337</v>
      </c>
      <c r="K72" s="775"/>
      <c r="L72" s="775">
        <v>204.5</v>
      </c>
      <c r="M72" s="104">
        <f t="shared" si="4"/>
        <v>5.4925280132357832</v>
      </c>
      <c r="N72" s="775"/>
      <c r="O72" s="775">
        <v>554.5</v>
      </c>
      <c r="P72" s="105">
        <f t="shared" si="5"/>
        <v>14.892942705815365</v>
      </c>
    </row>
    <row r="73" spans="1:17" ht="8" customHeight="1">
      <c r="C73" s="112" t="str">
        <f t="shared" si="0"/>
        <v/>
      </c>
      <c r="D73" s="112" t="str">
        <f t="shared" si="6"/>
        <v/>
      </c>
      <c r="G73" s="104" t="str">
        <f t="shared" si="2"/>
        <v/>
      </c>
      <c r="J73" s="104" t="str">
        <f t="shared" si="3"/>
        <v/>
      </c>
      <c r="M73" s="104" t="str">
        <f t="shared" si="4"/>
        <v/>
      </c>
      <c r="P73" s="105" t="str">
        <f t="shared" si="5"/>
        <v/>
      </c>
    </row>
    <row r="74" spans="1:17" ht="12" customHeight="1">
      <c r="A74" s="55" t="s">
        <v>413</v>
      </c>
      <c r="C74" s="112">
        <f t="shared" si="0"/>
        <v>3737.895</v>
      </c>
      <c r="D74" s="112">
        <f t="shared" si="6"/>
        <v>2.9881397211075345</v>
      </c>
      <c r="F74" s="104">
        <f>SUM(F75)</f>
        <v>1489.5450000000001</v>
      </c>
      <c r="G74" s="104">
        <f t="shared" si="2"/>
        <v>39.849835268245897</v>
      </c>
      <c r="I74" s="104">
        <f>SUM(I75)</f>
        <v>1051</v>
      </c>
      <c r="J74" s="104">
        <f t="shared" si="3"/>
        <v>28.117429729834576</v>
      </c>
      <c r="L74" s="104">
        <f>SUM(L75)</f>
        <v>527.5</v>
      </c>
      <c r="M74" s="104">
        <f t="shared" si="4"/>
        <v>14.112220915782814</v>
      </c>
      <c r="O74" s="104">
        <f>SUM(O75)</f>
        <v>669.85</v>
      </c>
      <c r="P74" s="105">
        <f t="shared" si="5"/>
        <v>17.920514086136716</v>
      </c>
    </row>
    <row r="75" spans="1:17" ht="12" customHeight="1">
      <c r="A75" s="95" t="s">
        <v>211</v>
      </c>
      <c r="C75" s="112">
        <f t="shared" ref="C75:C107" si="7">IF(A75&lt;&gt;0,F75+I75+L75+O75,"")</f>
        <v>3737.895</v>
      </c>
      <c r="D75" s="112">
        <f t="shared" si="6"/>
        <v>2.9881397211075345</v>
      </c>
      <c r="F75" s="104">
        <f>SUM(F76:F79)</f>
        <v>1489.5450000000001</v>
      </c>
      <c r="G75" s="104">
        <f t="shared" si="2"/>
        <v>39.849835268245897</v>
      </c>
      <c r="H75" s="104" t="s">
        <v>128</v>
      </c>
      <c r="I75" s="104">
        <f>SUM(I76:I79)</f>
        <v>1051</v>
      </c>
      <c r="J75" s="104">
        <f t="shared" si="3"/>
        <v>28.117429729834576</v>
      </c>
      <c r="K75" s="104" t="s">
        <v>128</v>
      </c>
      <c r="L75" s="104">
        <f>SUM(L76:L79)</f>
        <v>527.5</v>
      </c>
      <c r="M75" s="104">
        <f t="shared" si="4"/>
        <v>14.112220915782814</v>
      </c>
      <c r="N75" s="104" t="s">
        <v>128</v>
      </c>
      <c r="O75" s="104">
        <f>SUM(O76:O79)</f>
        <v>669.85</v>
      </c>
      <c r="P75" s="105">
        <f t="shared" si="5"/>
        <v>17.920514086136716</v>
      </c>
      <c r="Q75" s="95" t="s">
        <v>128</v>
      </c>
    </row>
    <row r="76" spans="1:17" ht="12" customHeight="1">
      <c r="A76" s="95" t="s">
        <v>212</v>
      </c>
      <c r="C76" s="112">
        <f t="shared" si="7"/>
        <v>923</v>
      </c>
      <c r="D76" s="112">
        <f t="shared" si="6"/>
        <v>0.73786261052872126</v>
      </c>
      <c r="F76" s="76">
        <v>451</v>
      </c>
      <c r="G76" s="104">
        <f t="shared" ref="G76:G139" si="8">IF($A76&lt;&gt;0,F76/$C76*100,"")</f>
        <v>48.862405200433365</v>
      </c>
      <c r="H76" s="775"/>
      <c r="I76" s="775">
        <v>205</v>
      </c>
      <c r="J76" s="104">
        <f t="shared" ref="J76:J139" si="9">IF($A76&lt;&gt;0,I76/$C76*100,"")</f>
        <v>22.210184182015169</v>
      </c>
      <c r="K76" s="775"/>
      <c r="L76" s="775">
        <v>92</v>
      </c>
      <c r="M76" s="104">
        <f t="shared" ref="M76:M139" si="10">IF($A76&lt;&gt;0,L76/$C76*100,"")</f>
        <v>9.967497291440953</v>
      </c>
      <c r="N76" s="775"/>
      <c r="O76" s="775">
        <v>175</v>
      </c>
      <c r="P76" s="105">
        <f t="shared" ref="P76:P139" si="11">IF($A76&lt;&gt;0,O76/$C76*100,"")</f>
        <v>18.95991332611051</v>
      </c>
    </row>
    <row r="77" spans="1:17" ht="12" customHeight="1">
      <c r="A77" s="95" t="s">
        <v>213</v>
      </c>
      <c r="C77" s="112">
        <f t="shared" si="7"/>
        <v>1402.3</v>
      </c>
      <c r="D77" s="112">
        <f t="shared" si="6"/>
        <v>1.1210235522691503</v>
      </c>
      <c r="F77" s="76">
        <v>494.95000000000005</v>
      </c>
      <c r="G77" s="104">
        <f t="shared" si="8"/>
        <v>35.295585823290317</v>
      </c>
      <c r="H77" s="775"/>
      <c r="I77" s="775">
        <v>428</v>
      </c>
      <c r="J77" s="104">
        <f t="shared" si="9"/>
        <v>30.521286457961921</v>
      </c>
      <c r="K77" s="775"/>
      <c r="L77" s="775">
        <v>238</v>
      </c>
      <c r="M77" s="104">
        <f t="shared" si="10"/>
        <v>16.972117235969481</v>
      </c>
      <c r="N77" s="775"/>
      <c r="O77" s="775">
        <v>241.35</v>
      </c>
      <c r="P77" s="105">
        <f t="shared" si="11"/>
        <v>17.211010482778295</v>
      </c>
    </row>
    <row r="78" spans="1:17" ht="12" customHeight="1">
      <c r="A78" s="95" t="s">
        <v>214</v>
      </c>
      <c r="C78" s="112">
        <f t="shared" si="7"/>
        <v>641.1</v>
      </c>
      <c r="D78" s="112">
        <f t="shared" si="6"/>
        <v>0.51250673847233286</v>
      </c>
      <c r="F78" s="76">
        <v>241.1</v>
      </c>
      <c r="G78" s="104">
        <f t="shared" si="8"/>
        <v>37.607237560442982</v>
      </c>
      <c r="H78" s="775"/>
      <c r="I78" s="775">
        <v>256</v>
      </c>
      <c r="J78" s="104">
        <f t="shared" si="9"/>
        <v>39.931367961316489</v>
      </c>
      <c r="K78" s="775"/>
      <c r="L78" s="775">
        <v>84</v>
      </c>
      <c r="M78" s="104">
        <f t="shared" si="10"/>
        <v>13.102480112306973</v>
      </c>
      <c r="N78" s="775"/>
      <c r="O78" s="775">
        <v>60</v>
      </c>
      <c r="P78" s="105">
        <f t="shared" si="11"/>
        <v>9.3589143659335523</v>
      </c>
    </row>
    <row r="79" spans="1:17" ht="12" customHeight="1">
      <c r="A79" s="95" t="s">
        <v>215</v>
      </c>
      <c r="C79" s="112">
        <f t="shared" si="7"/>
        <v>771.495</v>
      </c>
      <c r="D79" s="112">
        <f t="shared" si="6"/>
        <v>0.61674681983733026</v>
      </c>
      <c r="F79" s="76">
        <v>302.495</v>
      </c>
      <c r="G79" s="104">
        <f t="shared" si="8"/>
        <v>39.208938489555997</v>
      </c>
      <c r="H79" s="775"/>
      <c r="I79" s="775">
        <v>162</v>
      </c>
      <c r="J79" s="104">
        <f t="shared" si="9"/>
        <v>20.998191822370853</v>
      </c>
      <c r="K79" s="775"/>
      <c r="L79" s="775">
        <v>113.5</v>
      </c>
      <c r="M79" s="104">
        <f t="shared" si="10"/>
        <v>14.711696122463527</v>
      </c>
      <c r="N79" s="775"/>
      <c r="O79" s="775">
        <v>193.5</v>
      </c>
      <c r="P79" s="105">
        <f t="shared" si="11"/>
        <v>25.081173565609628</v>
      </c>
    </row>
    <row r="80" spans="1:17" ht="8" customHeight="1">
      <c r="D80" s="112" t="str">
        <f t="shared" si="6"/>
        <v/>
      </c>
      <c r="G80" s="104" t="str">
        <f t="shared" si="8"/>
        <v/>
      </c>
      <c r="J80" s="104" t="str">
        <f t="shared" si="9"/>
        <v/>
      </c>
      <c r="M80" s="104" t="str">
        <f t="shared" si="10"/>
        <v/>
      </c>
      <c r="P80" s="105" t="str">
        <f t="shared" si="11"/>
        <v/>
      </c>
    </row>
    <row r="81" spans="1:17" ht="12" customHeight="1">
      <c r="A81" s="55" t="s">
        <v>483</v>
      </c>
      <c r="C81" s="112">
        <f t="shared" si="7"/>
        <v>11081.5</v>
      </c>
      <c r="D81" s="112">
        <f t="shared" si="6"/>
        <v>8.8587481241322035</v>
      </c>
      <c r="F81" s="104">
        <f>SUM(F82)</f>
        <v>8181.5</v>
      </c>
      <c r="G81" s="104">
        <f t="shared" si="8"/>
        <v>73.830257636601544</v>
      </c>
      <c r="I81" s="104">
        <f>SUM(I82)</f>
        <v>750</v>
      </c>
      <c r="J81" s="104">
        <f t="shared" si="9"/>
        <v>6.7680368181202901</v>
      </c>
      <c r="L81" s="104">
        <f>SUM(L82)</f>
        <v>420</v>
      </c>
      <c r="M81" s="104">
        <f t="shared" si="10"/>
        <v>3.7901006181473629</v>
      </c>
      <c r="O81" s="104">
        <f>SUM(O82)</f>
        <v>1730</v>
      </c>
      <c r="P81" s="105">
        <f t="shared" si="11"/>
        <v>15.611604927130804</v>
      </c>
    </row>
    <row r="82" spans="1:17" ht="12" customHeight="1">
      <c r="A82" s="95" t="s">
        <v>217</v>
      </c>
      <c r="C82" s="112">
        <f t="shared" si="7"/>
        <v>11081.5</v>
      </c>
      <c r="D82" s="112">
        <f t="shared" si="6"/>
        <v>8.8587481241322035</v>
      </c>
      <c r="F82" s="104">
        <f>SUM(F83:F91)</f>
        <v>8181.5</v>
      </c>
      <c r="G82" s="104">
        <f t="shared" si="8"/>
        <v>73.830257636601544</v>
      </c>
      <c r="H82" s="104" t="s">
        <v>128</v>
      </c>
      <c r="I82" s="104">
        <f>SUM(I83:I91)</f>
        <v>750</v>
      </c>
      <c r="J82" s="104">
        <f t="shared" si="9"/>
        <v>6.7680368181202901</v>
      </c>
      <c r="K82" s="104" t="s">
        <v>128</v>
      </c>
      <c r="L82" s="104">
        <f>SUM(L83:L91)</f>
        <v>420</v>
      </c>
      <c r="M82" s="104">
        <f t="shared" si="10"/>
        <v>3.7901006181473629</v>
      </c>
      <c r="N82" s="104" t="s">
        <v>128</v>
      </c>
      <c r="O82" s="104">
        <f>SUM(O83:O91)</f>
        <v>1730</v>
      </c>
      <c r="P82" s="105">
        <f t="shared" si="11"/>
        <v>15.611604927130804</v>
      </c>
      <c r="Q82" s="95" t="s">
        <v>128</v>
      </c>
    </row>
    <row r="83" spans="1:17" ht="12" customHeight="1">
      <c r="A83" s="95" t="s">
        <v>415</v>
      </c>
      <c r="C83" s="112">
        <f t="shared" si="7"/>
        <v>741</v>
      </c>
      <c r="D83" s="112">
        <f t="shared" si="6"/>
        <v>0.59236857464981851</v>
      </c>
      <c r="F83" s="76">
        <v>399</v>
      </c>
      <c r="G83" s="104">
        <f t="shared" si="8"/>
        <v>53.846153846153847</v>
      </c>
      <c r="H83" s="775"/>
      <c r="I83" s="775">
        <v>178</v>
      </c>
      <c r="J83" s="104">
        <f t="shared" si="9"/>
        <v>24.021592442645073</v>
      </c>
      <c r="K83" s="775"/>
      <c r="L83" s="775">
        <v>28</v>
      </c>
      <c r="M83" s="104">
        <f t="shared" si="10"/>
        <v>3.7786774628879893</v>
      </c>
      <c r="N83" s="775"/>
      <c r="O83" s="775">
        <v>136</v>
      </c>
      <c r="P83" s="105">
        <f t="shared" si="11"/>
        <v>18.353576248313093</v>
      </c>
    </row>
    <row r="84" spans="1:17" ht="12" customHeight="1">
      <c r="A84" s="95" t="s">
        <v>218</v>
      </c>
      <c r="C84" s="112">
        <f t="shared" si="7"/>
        <v>1613</v>
      </c>
      <c r="D84" s="112">
        <f t="shared" si="6"/>
        <v>1.2894608784212649</v>
      </c>
      <c r="F84" s="76">
        <v>1175</v>
      </c>
      <c r="G84" s="104">
        <f t="shared" si="8"/>
        <v>72.845629262244259</v>
      </c>
      <c r="H84" s="775"/>
      <c r="I84" s="775">
        <v>75</v>
      </c>
      <c r="J84" s="104">
        <f t="shared" si="9"/>
        <v>4.6497210167389955</v>
      </c>
      <c r="K84" s="775"/>
      <c r="L84" s="775">
        <v>89</v>
      </c>
      <c r="M84" s="104">
        <f t="shared" si="10"/>
        <v>5.5176689398636087</v>
      </c>
      <c r="N84" s="775"/>
      <c r="O84" s="775">
        <v>274</v>
      </c>
      <c r="P84" s="105">
        <f t="shared" si="11"/>
        <v>16.986980781153129</v>
      </c>
    </row>
    <row r="85" spans="1:17" ht="12" customHeight="1">
      <c r="A85" s="95" t="s">
        <v>220</v>
      </c>
      <c r="C85" s="112">
        <f t="shared" si="7"/>
        <v>1611</v>
      </c>
      <c r="D85" s="112">
        <f t="shared" si="6"/>
        <v>1.2878620428621559</v>
      </c>
      <c r="F85" s="76">
        <v>1183</v>
      </c>
      <c r="G85" s="104">
        <f t="shared" si="8"/>
        <v>73.432650527622584</v>
      </c>
      <c r="H85" s="775"/>
      <c r="I85" s="775">
        <v>158</v>
      </c>
      <c r="J85" s="104">
        <f t="shared" si="9"/>
        <v>9.807572936064556</v>
      </c>
      <c r="K85" s="775"/>
      <c r="L85" s="775">
        <v>86</v>
      </c>
      <c r="M85" s="104">
        <f t="shared" si="10"/>
        <v>5.3382991930477965</v>
      </c>
      <c r="N85" s="775"/>
      <c r="O85" s="775">
        <v>184</v>
      </c>
      <c r="P85" s="105">
        <f t="shared" si="11"/>
        <v>11.421477343265053</v>
      </c>
    </row>
    <row r="86" spans="1:17" ht="12" customHeight="1">
      <c r="A86" s="95" t="s">
        <v>222</v>
      </c>
      <c r="C86" s="112">
        <f t="shared" si="7"/>
        <v>1122</v>
      </c>
      <c r="D86" s="112">
        <f t="shared" si="6"/>
        <v>0.89694674866004909</v>
      </c>
      <c r="F86" s="76">
        <v>711</v>
      </c>
      <c r="G86" s="104">
        <f t="shared" si="8"/>
        <v>63.36898395721925</v>
      </c>
      <c r="H86" s="775"/>
      <c r="I86" s="775">
        <v>96</v>
      </c>
      <c r="J86" s="104">
        <f t="shared" si="9"/>
        <v>8.5561497326203195</v>
      </c>
      <c r="K86" s="775"/>
      <c r="L86" s="775">
        <v>88</v>
      </c>
      <c r="M86" s="104">
        <f t="shared" si="10"/>
        <v>7.8431372549019605</v>
      </c>
      <c r="N86" s="775"/>
      <c r="O86" s="775">
        <v>227</v>
      </c>
      <c r="P86" s="105">
        <f t="shared" si="11"/>
        <v>20.231729055258469</v>
      </c>
    </row>
    <row r="87" spans="1:17" ht="12" customHeight="1">
      <c r="A87" s="95" t="s">
        <v>221</v>
      </c>
      <c r="C87" s="112">
        <f t="shared" si="7"/>
        <v>877.5</v>
      </c>
      <c r="D87" s="112">
        <f t="shared" si="6"/>
        <v>0.70148910155899546</v>
      </c>
      <c r="F87" s="76">
        <v>713.5</v>
      </c>
      <c r="G87" s="104">
        <f t="shared" si="8"/>
        <v>81.310541310541311</v>
      </c>
      <c r="H87" s="775"/>
      <c r="I87" s="775">
        <v>0</v>
      </c>
      <c r="J87" s="104">
        <f t="shared" si="9"/>
        <v>0</v>
      </c>
      <c r="K87" s="775"/>
      <c r="L87" s="775">
        <v>16</v>
      </c>
      <c r="M87" s="104">
        <f t="shared" si="10"/>
        <v>1.8233618233618232</v>
      </c>
      <c r="N87" s="775"/>
      <c r="O87" s="775">
        <v>148</v>
      </c>
      <c r="P87" s="105">
        <f t="shared" si="11"/>
        <v>16.866096866096868</v>
      </c>
    </row>
    <row r="88" spans="1:17" ht="12" customHeight="1">
      <c r="A88" s="95" t="s">
        <v>219</v>
      </c>
      <c r="C88" s="112">
        <f t="shared" si="7"/>
        <v>996</v>
      </c>
      <c r="D88" s="112">
        <f t="shared" si="6"/>
        <v>0.79622010843619329</v>
      </c>
      <c r="F88" s="76">
        <v>644</v>
      </c>
      <c r="G88" s="104">
        <f t="shared" si="8"/>
        <v>64.658634538152612</v>
      </c>
      <c r="H88" s="775"/>
      <c r="I88" s="775">
        <v>100</v>
      </c>
      <c r="J88" s="104">
        <f t="shared" si="9"/>
        <v>10.040160642570282</v>
      </c>
      <c r="K88" s="775"/>
      <c r="L88" s="775">
        <v>48</v>
      </c>
      <c r="M88" s="104">
        <f t="shared" si="10"/>
        <v>4.8192771084337354</v>
      </c>
      <c r="N88" s="775"/>
      <c r="O88" s="775">
        <v>204</v>
      </c>
      <c r="P88" s="105">
        <f t="shared" si="11"/>
        <v>20.481927710843372</v>
      </c>
    </row>
    <row r="89" spans="1:17" ht="12" customHeight="1">
      <c r="A89" s="95" t="s">
        <v>223</v>
      </c>
      <c r="C89" s="112">
        <f t="shared" si="7"/>
        <v>1881</v>
      </c>
      <c r="D89" s="112">
        <f t="shared" si="6"/>
        <v>1.503704843341847</v>
      </c>
      <c r="F89" s="76">
        <v>1602</v>
      </c>
      <c r="G89" s="104">
        <f t="shared" si="8"/>
        <v>85.167464114832541</v>
      </c>
      <c r="H89" s="775"/>
      <c r="I89" s="775">
        <v>27</v>
      </c>
      <c r="J89" s="104">
        <f t="shared" si="9"/>
        <v>1.4354066985645932</v>
      </c>
      <c r="K89" s="775"/>
      <c r="L89" s="775">
        <v>30</v>
      </c>
      <c r="M89" s="104">
        <f t="shared" si="10"/>
        <v>1.5948963317384368</v>
      </c>
      <c r="N89" s="775"/>
      <c r="O89" s="775">
        <v>222</v>
      </c>
      <c r="P89" s="105">
        <f t="shared" si="11"/>
        <v>11.802232854864434</v>
      </c>
    </row>
    <row r="90" spans="1:17" ht="12" customHeight="1">
      <c r="A90" s="95" t="s">
        <v>533</v>
      </c>
      <c r="C90" s="112">
        <f t="shared" si="7"/>
        <v>668</v>
      </c>
      <c r="D90" s="112">
        <f t="shared" si="6"/>
        <v>0.53401107674234649</v>
      </c>
      <c r="F90" s="76">
        <v>548</v>
      </c>
      <c r="G90" s="104">
        <f t="shared" si="8"/>
        <v>82.035928143712582</v>
      </c>
      <c r="H90" s="775"/>
      <c r="I90" s="775">
        <v>15</v>
      </c>
      <c r="J90" s="104">
        <f t="shared" si="9"/>
        <v>2.2455089820359282</v>
      </c>
      <c r="K90" s="775"/>
      <c r="L90" s="775">
        <v>10</v>
      </c>
      <c r="M90" s="104">
        <f t="shared" si="10"/>
        <v>1.4970059880239521</v>
      </c>
      <c r="N90" s="775"/>
      <c r="O90" s="775">
        <v>95</v>
      </c>
      <c r="P90" s="105">
        <f t="shared" si="11"/>
        <v>14.221556886227546</v>
      </c>
    </row>
    <row r="91" spans="1:17" ht="12" customHeight="1">
      <c r="A91" s="95" t="s">
        <v>225</v>
      </c>
      <c r="C91" s="112">
        <f t="shared" si="7"/>
        <v>1572</v>
      </c>
      <c r="D91" s="112">
        <f t="shared" si="6"/>
        <v>1.2566847494595339</v>
      </c>
      <c r="F91" s="76">
        <v>1206</v>
      </c>
      <c r="G91" s="104">
        <f t="shared" si="8"/>
        <v>76.717557251908403</v>
      </c>
      <c r="H91" s="775"/>
      <c r="I91" s="775">
        <v>101</v>
      </c>
      <c r="J91" s="104">
        <f t="shared" si="9"/>
        <v>6.4249363867684481</v>
      </c>
      <c r="K91" s="775"/>
      <c r="L91" s="775">
        <v>25</v>
      </c>
      <c r="M91" s="104">
        <f t="shared" si="10"/>
        <v>1.5903307888040712</v>
      </c>
      <c r="N91" s="775"/>
      <c r="O91" s="775">
        <v>240</v>
      </c>
      <c r="P91" s="105">
        <f t="shared" si="11"/>
        <v>15.267175572519085</v>
      </c>
    </row>
    <row r="92" spans="1:17" ht="8" customHeight="1">
      <c r="C92" s="112" t="str">
        <f t="shared" si="7"/>
        <v/>
      </c>
      <c r="D92" s="112" t="str">
        <f t="shared" si="6"/>
        <v/>
      </c>
      <c r="F92" s="777"/>
      <c r="G92" s="104" t="str">
        <f t="shared" si="8"/>
        <v/>
      </c>
      <c r="H92" s="777"/>
      <c r="I92" s="777"/>
      <c r="J92" s="104" t="str">
        <f t="shared" si="9"/>
        <v/>
      </c>
      <c r="K92" s="777"/>
      <c r="L92" s="777"/>
      <c r="M92" s="104" t="str">
        <f t="shared" si="10"/>
        <v/>
      </c>
      <c r="N92" s="777"/>
      <c r="O92" s="777"/>
      <c r="P92" s="105" t="str">
        <f t="shared" si="11"/>
        <v/>
      </c>
    </row>
    <row r="93" spans="1:17" ht="12" customHeight="1">
      <c r="A93" s="95" t="s">
        <v>534</v>
      </c>
      <c r="C93" s="112">
        <f>IF(A93&lt;&gt;0,F93+I93+L93+O93,"")</f>
        <v>5140</v>
      </c>
      <c r="D93" s="112">
        <f t="shared" si="6"/>
        <v>4.1090073869096724</v>
      </c>
      <c r="F93" s="76">
        <v>4830</v>
      </c>
      <c r="G93" s="104">
        <f t="shared" si="8"/>
        <v>93.968871595330739</v>
      </c>
      <c r="H93" s="775"/>
      <c r="I93" s="775">
        <v>30</v>
      </c>
      <c r="J93" s="104">
        <f t="shared" si="9"/>
        <v>0.58365758754863817</v>
      </c>
      <c r="K93" s="775"/>
      <c r="L93" s="775">
        <v>80</v>
      </c>
      <c r="M93" s="104">
        <f t="shared" si="10"/>
        <v>1.556420233463035</v>
      </c>
      <c r="N93" s="775"/>
      <c r="O93" s="776">
        <v>200</v>
      </c>
      <c r="P93" s="105">
        <f t="shared" si="11"/>
        <v>3.8910505836575875</v>
      </c>
    </row>
    <row r="94" spans="1:17" ht="12" customHeight="1">
      <c r="A94" s="95" t="s">
        <v>535</v>
      </c>
      <c r="C94" s="112">
        <f>IF(A94&lt;&gt;0,F94+I94+L94+O94,"")</f>
        <v>1565</v>
      </c>
      <c r="D94" s="112">
        <f t="shared" si="6"/>
        <v>1.2510888250026531</v>
      </c>
      <c r="F94" s="76">
        <v>1170</v>
      </c>
      <c r="G94" s="104">
        <f t="shared" si="8"/>
        <v>74.760383386581481</v>
      </c>
      <c r="H94" s="775"/>
      <c r="I94" s="775">
        <v>65</v>
      </c>
      <c r="J94" s="104">
        <f t="shared" si="9"/>
        <v>4.1533546325878596</v>
      </c>
      <c r="K94" s="775"/>
      <c r="L94" s="775">
        <v>125</v>
      </c>
      <c r="M94" s="104">
        <f t="shared" si="10"/>
        <v>7.9872204472843444</v>
      </c>
      <c r="N94" s="775"/>
      <c r="O94" s="775">
        <v>205</v>
      </c>
      <c r="P94" s="105">
        <f t="shared" si="11"/>
        <v>13.099041533546327</v>
      </c>
    </row>
    <row r="95" spans="1:17" ht="12" customHeight="1">
      <c r="A95" s="95" t="s">
        <v>536</v>
      </c>
      <c r="C95" s="112">
        <f>IF(A95&lt;&gt;0,F95+I95+L95+O95,"")</f>
        <v>2405</v>
      </c>
      <c r="D95" s="112">
        <f t="shared" si="6"/>
        <v>1.922599759828358</v>
      </c>
      <c r="F95" s="76">
        <v>2073</v>
      </c>
      <c r="G95" s="104">
        <f t="shared" si="8"/>
        <v>86.195426195426194</v>
      </c>
      <c r="H95" s="775"/>
      <c r="I95" s="775">
        <v>40</v>
      </c>
      <c r="J95" s="104">
        <f t="shared" si="9"/>
        <v>1.6632016632016633</v>
      </c>
      <c r="K95" s="775"/>
      <c r="L95" s="775">
        <v>74</v>
      </c>
      <c r="M95" s="104">
        <f t="shared" si="10"/>
        <v>3.0769230769230771</v>
      </c>
      <c r="N95" s="775"/>
      <c r="O95" s="775">
        <v>218</v>
      </c>
      <c r="P95" s="105">
        <f t="shared" si="11"/>
        <v>9.0644490644490645</v>
      </c>
    </row>
    <row r="96" spans="1:17" ht="8" customHeight="1">
      <c r="C96" s="112" t="str">
        <f>IF(A96&lt;&gt;0,F96+I96+L96+O96,"")</f>
        <v/>
      </c>
      <c r="D96" s="112" t="str">
        <f t="shared" si="6"/>
        <v/>
      </c>
      <c r="G96" s="104" t="str">
        <f t="shared" si="8"/>
        <v/>
      </c>
      <c r="J96" s="104" t="str">
        <f t="shared" si="9"/>
        <v/>
      </c>
      <c r="M96" s="104" t="str">
        <f t="shared" si="10"/>
        <v/>
      </c>
      <c r="P96" s="105" t="str">
        <f t="shared" si="11"/>
        <v/>
      </c>
    </row>
    <row r="97" spans="1:16" ht="12" customHeight="1">
      <c r="A97" s="55" t="s">
        <v>537</v>
      </c>
      <c r="C97" s="112">
        <f>IF(A97&lt;&gt;0,F97+I97+L97+O97,"")</f>
        <v>10831.2641</v>
      </c>
      <c r="D97" s="112">
        <f t="shared" si="6"/>
        <v>8.6587050965894043</v>
      </c>
      <c r="F97" s="104">
        <f>SUM(F98+F112+F149+F153)</f>
        <v>2273.4141</v>
      </c>
      <c r="G97" s="104">
        <f t="shared" si="8"/>
        <v>20.989370021916461</v>
      </c>
      <c r="I97" s="104">
        <f>SUM(I98+I112+I149+I153)</f>
        <v>6135.65</v>
      </c>
      <c r="J97" s="104">
        <f t="shared" si="9"/>
        <v>56.647589268920143</v>
      </c>
      <c r="L97" s="104">
        <f>SUM(L98+L112+L149+L153)</f>
        <v>989.5</v>
      </c>
      <c r="M97" s="104">
        <f t="shared" si="10"/>
        <v>9.135591107966798</v>
      </c>
      <c r="O97" s="104">
        <f>SUM(O98+O112+O149+O153)</f>
        <v>1432.7</v>
      </c>
      <c r="P97" s="105">
        <f t="shared" si="11"/>
        <v>13.227449601196595</v>
      </c>
    </row>
    <row r="98" spans="1:16" ht="12" customHeight="1">
      <c r="A98" s="95" t="s">
        <v>538</v>
      </c>
      <c r="C98" s="112">
        <f t="shared" si="7"/>
        <v>3326.75</v>
      </c>
      <c r="D98" s="112">
        <f t="shared" si="6"/>
        <v>2.6594630981326364</v>
      </c>
      <c r="F98" s="104">
        <f>SUM(F99:F110)</f>
        <v>420.5</v>
      </c>
      <c r="G98" s="104">
        <f t="shared" si="8"/>
        <v>12.639963928759299</v>
      </c>
      <c r="I98" s="104">
        <f>SUM(I99:I110)</f>
        <v>2398</v>
      </c>
      <c r="J98" s="104">
        <f t="shared" si="9"/>
        <v>72.08236266626588</v>
      </c>
      <c r="L98" s="104">
        <f>SUM(L99:L110)</f>
        <v>212.5</v>
      </c>
      <c r="M98" s="104">
        <f t="shared" si="10"/>
        <v>6.3876155406928685</v>
      </c>
      <c r="O98" s="104">
        <f>SUM(O99:O110)</f>
        <v>295.75</v>
      </c>
      <c r="P98" s="105">
        <f t="shared" si="11"/>
        <v>8.8900578642819568</v>
      </c>
    </row>
    <row r="99" spans="1:16" ht="12" customHeight="1">
      <c r="A99" s="95" t="s">
        <v>539</v>
      </c>
      <c r="C99" s="112">
        <f t="shared" si="7"/>
        <v>83</v>
      </c>
      <c r="D99" s="112">
        <f t="shared" si="6"/>
        <v>6.6351675703016103E-2</v>
      </c>
      <c r="F99" s="76">
        <v>13</v>
      </c>
      <c r="G99" s="104">
        <f t="shared" si="8"/>
        <v>15.66265060240964</v>
      </c>
      <c r="H99" s="775"/>
      <c r="I99" s="775">
        <v>40</v>
      </c>
      <c r="J99" s="104">
        <f t="shared" si="9"/>
        <v>48.192771084337352</v>
      </c>
      <c r="K99" s="775"/>
      <c r="L99" s="775">
        <v>0</v>
      </c>
      <c r="M99" s="104">
        <f t="shared" si="10"/>
        <v>0</v>
      </c>
      <c r="N99" s="775"/>
      <c r="O99" s="775">
        <v>30</v>
      </c>
      <c r="P99" s="105">
        <f t="shared" si="11"/>
        <v>36.144578313253014</v>
      </c>
    </row>
    <row r="100" spans="1:16" ht="12" customHeight="1">
      <c r="A100" s="33" t="s">
        <v>540</v>
      </c>
      <c r="C100" s="112">
        <f t="shared" si="7"/>
        <v>90</v>
      </c>
      <c r="F100" s="76">
        <v>0</v>
      </c>
      <c r="G100" s="104">
        <f t="shared" si="8"/>
        <v>0</v>
      </c>
      <c r="H100" s="775"/>
      <c r="I100" s="775">
        <v>60</v>
      </c>
      <c r="J100" s="104">
        <f t="shared" si="9"/>
        <v>66.666666666666657</v>
      </c>
      <c r="K100" s="775"/>
      <c r="L100" s="775">
        <v>10</v>
      </c>
      <c r="M100" s="104">
        <f t="shared" si="10"/>
        <v>11.111111111111111</v>
      </c>
      <c r="N100" s="775"/>
      <c r="O100" s="775">
        <v>20</v>
      </c>
      <c r="P100" s="105">
        <f t="shared" si="11"/>
        <v>22.222222222222221</v>
      </c>
    </row>
    <row r="101" spans="1:16" ht="12" customHeight="1">
      <c r="A101" s="33" t="s">
        <v>541</v>
      </c>
      <c r="C101" s="112">
        <f t="shared" si="7"/>
        <v>25</v>
      </c>
      <c r="F101" s="76">
        <v>0</v>
      </c>
      <c r="G101" s="104">
        <f t="shared" si="8"/>
        <v>0</v>
      </c>
      <c r="H101" s="775"/>
      <c r="I101" s="775">
        <v>5</v>
      </c>
      <c r="J101" s="104">
        <f t="shared" si="9"/>
        <v>20</v>
      </c>
      <c r="K101" s="775"/>
      <c r="L101" s="775">
        <v>0</v>
      </c>
      <c r="M101" s="104">
        <f t="shared" si="10"/>
        <v>0</v>
      </c>
      <c r="N101" s="775"/>
      <c r="O101" s="775">
        <v>20</v>
      </c>
      <c r="P101" s="105">
        <f t="shared" si="11"/>
        <v>80</v>
      </c>
    </row>
    <row r="102" spans="1:16" ht="12" customHeight="1">
      <c r="A102" s="95" t="s">
        <v>542</v>
      </c>
      <c r="C102" s="112">
        <f t="shared" si="7"/>
        <v>542.5</v>
      </c>
      <c r="D102" s="112">
        <f t="shared" ref="D102:D156" si="12">IF(A102&lt;&gt;0,C102/$C$11*100,"")</f>
        <v>0.43368414540826788</v>
      </c>
      <c r="F102" s="76">
        <v>102.5</v>
      </c>
      <c r="G102" s="104">
        <f t="shared" si="8"/>
        <v>18.894009216589861</v>
      </c>
      <c r="H102" s="775"/>
      <c r="I102" s="775">
        <v>402.5</v>
      </c>
      <c r="J102" s="104">
        <f t="shared" si="9"/>
        <v>74.193548387096769</v>
      </c>
      <c r="K102" s="775"/>
      <c r="L102" s="775">
        <v>17.5</v>
      </c>
      <c r="M102" s="104">
        <f t="shared" si="10"/>
        <v>3.225806451612903</v>
      </c>
      <c r="N102" s="775"/>
      <c r="O102" s="775">
        <v>20</v>
      </c>
      <c r="P102" s="105">
        <f t="shared" si="11"/>
        <v>3.6866359447004609</v>
      </c>
    </row>
    <row r="103" spans="1:16" ht="12" customHeight="1">
      <c r="A103" s="95" t="s">
        <v>543</v>
      </c>
      <c r="C103" s="112">
        <f t="shared" si="7"/>
        <v>326.5</v>
      </c>
      <c r="D103" s="112">
        <f t="shared" si="12"/>
        <v>0.26100990502451515</v>
      </c>
      <c r="F103" s="76">
        <v>54</v>
      </c>
      <c r="G103" s="104">
        <f t="shared" si="8"/>
        <v>16.539050535987748</v>
      </c>
      <c r="H103" s="775"/>
      <c r="I103" s="775">
        <v>252.5</v>
      </c>
      <c r="J103" s="104">
        <f t="shared" si="9"/>
        <v>77.335375191424191</v>
      </c>
      <c r="K103" s="775"/>
      <c r="L103" s="775">
        <v>0</v>
      </c>
      <c r="M103" s="104">
        <f t="shared" si="10"/>
        <v>0</v>
      </c>
      <c r="N103" s="775"/>
      <c r="O103" s="775">
        <v>20</v>
      </c>
      <c r="P103" s="105">
        <f t="shared" si="11"/>
        <v>6.1255742725880555</v>
      </c>
    </row>
    <row r="104" spans="1:16" ht="12" customHeight="1">
      <c r="A104" s="95" t="s">
        <v>544</v>
      </c>
      <c r="C104" s="112">
        <f t="shared" si="7"/>
        <v>400</v>
      </c>
      <c r="D104" s="112">
        <f t="shared" si="12"/>
        <v>0.31976711182176437</v>
      </c>
      <c r="F104" s="76">
        <v>110</v>
      </c>
      <c r="G104" s="104">
        <f t="shared" si="8"/>
        <v>27.500000000000004</v>
      </c>
      <c r="H104" s="775"/>
      <c r="I104" s="775">
        <v>232</v>
      </c>
      <c r="J104" s="104">
        <f t="shared" si="9"/>
        <v>57.999999999999993</v>
      </c>
      <c r="K104" s="775"/>
      <c r="L104" s="775">
        <v>30</v>
      </c>
      <c r="M104" s="104">
        <f t="shared" si="10"/>
        <v>7.5</v>
      </c>
      <c r="N104" s="775"/>
      <c r="O104" s="775">
        <v>28</v>
      </c>
      <c r="P104" s="105">
        <f t="shared" si="11"/>
        <v>7.0000000000000009</v>
      </c>
    </row>
    <row r="105" spans="1:16" ht="12" customHeight="1">
      <c r="A105" s="95" t="s">
        <v>545</v>
      </c>
      <c r="C105" s="112">
        <f t="shared" si="7"/>
        <v>60</v>
      </c>
      <c r="F105" s="76">
        <v>0</v>
      </c>
      <c r="G105" s="104">
        <f t="shared" si="8"/>
        <v>0</v>
      </c>
      <c r="H105" s="775"/>
      <c r="I105" s="775">
        <v>40</v>
      </c>
      <c r="J105" s="104">
        <f t="shared" si="9"/>
        <v>66.666666666666657</v>
      </c>
      <c r="K105" s="775"/>
      <c r="L105" s="775">
        <v>0</v>
      </c>
      <c r="M105" s="104">
        <f t="shared" si="10"/>
        <v>0</v>
      </c>
      <c r="N105" s="775"/>
      <c r="O105" s="775">
        <v>20</v>
      </c>
      <c r="P105" s="105">
        <f t="shared" si="11"/>
        <v>33.333333333333329</v>
      </c>
    </row>
    <row r="106" spans="1:16" ht="12" customHeight="1">
      <c r="A106" s="95" t="s">
        <v>546</v>
      </c>
      <c r="C106" s="112">
        <f t="shared" si="7"/>
        <v>617.75</v>
      </c>
      <c r="D106" s="112">
        <f t="shared" si="12"/>
        <v>0.49384033331973731</v>
      </c>
      <c r="F106" s="76">
        <v>29</v>
      </c>
      <c r="G106" s="104">
        <f t="shared" si="8"/>
        <v>4.6944556859571023</v>
      </c>
      <c r="H106" s="775"/>
      <c r="I106" s="775">
        <v>500</v>
      </c>
      <c r="J106" s="104">
        <f t="shared" si="9"/>
        <v>80.938891137191419</v>
      </c>
      <c r="K106" s="775"/>
      <c r="L106" s="775">
        <v>55</v>
      </c>
      <c r="M106" s="104">
        <f t="shared" si="10"/>
        <v>8.9032780250910566</v>
      </c>
      <c r="N106" s="775"/>
      <c r="O106" s="775">
        <v>33.75</v>
      </c>
      <c r="P106" s="105">
        <f t="shared" si="11"/>
        <v>5.4633751517604212</v>
      </c>
    </row>
    <row r="107" spans="1:16" ht="12" customHeight="1">
      <c r="A107" s="95" t="s">
        <v>547</v>
      </c>
      <c r="C107" s="112">
        <f t="shared" si="7"/>
        <v>622</v>
      </c>
      <c r="D107" s="112">
        <f t="shared" si="12"/>
        <v>0.49723785888284361</v>
      </c>
      <c r="F107" s="76">
        <v>92</v>
      </c>
      <c r="G107" s="104">
        <f t="shared" si="8"/>
        <v>14.790996784565916</v>
      </c>
      <c r="H107" s="775"/>
      <c r="I107" s="775">
        <v>421</v>
      </c>
      <c r="J107" s="104">
        <f t="shared" si="9"/>
        <v>67.684887459807072</v>
      </c>
      <c r="K107" s="775"/>
      <c r="L107" s="775">
        <v>75</v>
      </c>
      <c r="M107" s="104">
        <f t="shared" si="10"/>
        <v>12.057877813504824</v>
      </c>
      <c r="N107" s="775"/>
      <c r="O107" s="775">
        <v>34</v>
      </c>
      <c r="P107" s="105">
        <f t="shared" si="11"/>
        <v>5.4662379421221869</v>
      </c>
    </row>
    <row r="108" spans="1:16" ht="12" customHeight="1">
      <c r="A108" s="95" t="s">
        <v>548</v>
      </c>
      <c r="C108" s="112">
        <f>IF(A108&lt;&gt;0,F108+I108+L108+O108,"")</f>
        <v>410</v>
      </c>
      <c r="D108" s="112">
        <f>IF(A108&lt;&gt;0,C108/$C$11*100,"")</f>
        <v>0.32776128961730844</v>
      </c>
      <c r="F108" s="76">
        <v>10</v>
      </c>
      <c r="G108" s="104">
        <f t="shared" si="8"/>
        <v>2.4390243902439024</v>
      </c>
      <c r="H108" s="775"/>
      <c r="I108" s="775">
        <v>355</v>
      </c>
      <c r="J108" s="104">
        <f t="shared" si="9"/>
        <v>86.58536585365853</v>
      </c>
      <c r="K108" s="775"/>
      <c r="L108" s="775">
        <v>25</v>
      </c>
      <c r="M108" s="104">
        <f t="shared" si="10"/>
        <v>6.0975609756097562</v>
      </c>
      <c r="N108" s="775"/>
      <c r="O108" s="775">
        <v>20</v>
      </c>
      <c r="P108" s="105">
        <f t="shared" si="11"/>
        <v>4.8780487804878048</v>
      </c>
    </row>
    <row r="109" spans="1:16" ht="12" customHeight="1">
      <c r="A109" s="95" t="s">
        <v>549</v>
      </c>
      <c r="C109" s="112">
        <f>IF(A109&lt;&gt;0,F109+I109+L109+O109,"")</f>
        <v>50</v>
      </c>
      <c r="D109" s="112">
        <f>IF(A109&lt;&gt;0,C109/$C$11*100,"")</f>
        <v>3.9970888977720546E-2</v>
      </c>
      <c r="F109" s="76">
        <v>10</v>
      </c>
      <c r="G109" s="104">
        <f t="shared" si="8"/>
        <v>20</v>
      </c>
      <c r="H109" s="775"/>
      <c r="I109" s="775">
        <v>20</v>
      </c>
      <c r="J109" s="104">
        <f t="shared" si="9"/>
        <v>40</v>
      </c>
      <c r="K109" s="775"/>
      <c r="L109" s="775">
        <v>0</v>
      </c>
      <c r="M109" s="104">
        <f t="shared" si="10"/>
        <v>0</v>
      </c>
      <c r="N109" s="775"/>
      <c r="O109" s="775">
        <v>20</v>
      </c>
      <c r="P109" s="105">
        <f t="shared" si="11"/>
        <v>40</v>
      </c>
    </row>
    <row r="110" spans="1:16" ht="12" customHeight="1">
      <c r="A110" s="33" t="s">
        <v>550</v>
      </c>
      <c r="C110" s="112">
        <f t="shared" ref="C110:C151" si="13">IF(A110&lt;&gt;0,F110+I110+L110+O110,"")</f>
        <v>100</v>
      </c>
      <c r="D110" s="112">
        <f t="shared" si="12"/>
        <v>7.9941777955441093E-2</v>
      </c>
      <c r="F110" s="76">
        <v>0</v>
      </c>
      <c r="G110" s="104">
        <f t="shared" si="8"/>
        <v>0</v>
      </c>
      <c r="H110" s="775"/>
      <c r="I110" s="775">
        <v>70</v>
      </c>
      <c r="J110" s="104">
        <f t="shared" si="9"/>
        <v>70</v>
      </c>
      <c r="K110" s="775"/>
      <c r="L110" s="775">
        <v>0</v>
      </c>
      <c r="M110" s="104">
        <f t="shared" si="10"/>
        <v>0</v>
      </c>
      <c r="N110" s="775"/>
      <c r="O110" s="775">
        <v>30</v>
      </c>
      <c r="P110" s="105">
        <f t="shared" si="11"/>
        <v>30</v>
      </c>
    </row>
    <row r="111" spans="1:16" ht="8" customHeight="1">
      <c r="C111" s="112" t="str">
        <f t="shared" si="13"/>
        <v/>
      </c>
      <c r="D111" s="112" t="str">
        <f t="shared" si="12"/>
        <v/>
      </c>
      <c r="G111" s="104" t="str">
        <f t="shared" si="8"/>
        <v/>
      </c>
      <c r="J111" s="104" t="str">
        <f t="shared" si="9"/>
        <v/>
      </c>
      <c r="M111" s="104" t="str">
        <f t="shared" si="10"/>
        <v/>
      </c>
      <c r="P111" s="105" t="str">
        <f t="shared" si="11"/>
        <v/>
      </c>
    </row>
    <row r="112" spans="1:16" ht="12" customHeight="1">
      <c r="A112" s="95" t="s">
        <v>551</v>
      </c>
      <c r="C112" s="112">
        <f t="shared" si="13"/>
        <v>5493.6889999999994</v>
      </c>
      <c r="D112" s="112">
        <f t="shared" si="12"/>
        <v>4.3917526619424914</v>
      </c>
      <c r="F112" s="104">
        <f>SUM(F113:F147)</f>
        <v>687.83900000000006</v>
      </c>
      <c r="G112" s="104">
        <f t="shared" si="8"/>
        <v>12.520530375854916</v>
      </c>
      <c r="I112" s="104">
        <f>SUM(I113:I147)</f>
        <v>3279.65</v>
      </c>
      <c r="J112" s="104">
        <f t="shared" si="9"/>
        <v>59.698501316692678</v>
      </c>
      <c r="L112" s="104">
        <f>SUM(L113:L147)</f>
        <v>605</v>
      </c>
      <c r="M112" s="104">
        <f t="shared" si="10"/>
        <v>11.012636499809146</v>
      </c>
      <c r="O112" s="104">
        <f>SUM(O113:O147)</f>
        <v>921.2</v>
      </c>
      <c r="P112" s="105">
        <f t="shared" si="11"/>
        <v>16.768331807643282</v>
      </c>
    </row>
    <row r="113" spans="1:16" ht="12" customHeight="1">
      <c r="A113" s="95" t="s">
        <v>552</v>
      </c>
      <c r="C113" s="112">
        <f t="shared" si="13"/>
        <v>450</v>
      </c>
      <c r="D113" s="112">
        <f t="shared" si="12"/>
        <v>0.35973800079948492</v>
      </c>
      <c r="F113" s="76">
        <v>38</v>
      </c>
      <c r="G113" s="104">
        <f t="shared" si="8"/>
        <v>8.4444444444444446</v>
      </c>
      <c r="H113" s="775"/>
      <c r="I113" s="775">
        <v>247</v>
      </c>
      <c r="J113" s="104">
        <f t="shared" si="9"/>
        <v>54.888888888888886</v>
      </c>
      <c r="K113" s="775"/>
      <c r="L113" s="775">
        <v>110</v>
      </c>
      <c r="M113" s="104">
        <f t="shared" si="10"/>
        <v>24.444444444444443</v>
      </c>
      <c r="N113" s="775"/>
      <c r="O113" s="775">
        <v>55</v>
      </c>
      <c r="P113" s="105">
        <f t="shared" si="11"/>
        <v>12.222222222222221</v>
      </c>
    </row>
    <row r="114" spans="1:16" ht="12" customHeight="1">
      <c r="A114" s="95" t="s">
        <v>553</v>
      </c>
      <c r="C114" s="112">
        <f t="shared" si="13"/>
        <v>559.6</v>
      </c>
      <c r="D114" s="112">
        <f t="shared" si="12"/>
        <v>0.44735418943864835</v>
      </c>
      <c r="F114" s="76">
        <v>88.6</v>
      </c>
      <c r="G114" s="104">
        <f t="shared" si="8"/>
        <v>15.832737669764116</v>
      </c>
      <c r="H114" s="775"/>
      <c r="I114" s="775">
        <v>416</v>
      </c>
      <c r="J114" s="104">
        <f t="shared" si="9"/>
        <v>74.338813438170121</v>
      </c>
      <c r="K114" s="775"/>
      <c r="L114" s="775">
        <v>0</v>
      </c>
      <c r="M114" s="104">
        <f t="shared" si="10"/>
        <v>0</v>
      </c>
      <c r="N114" s="775"/>
      <c r="O114" s="775">
        <v>55</v>
      </c>
      <c r="P114" s="105">
        <f t="shared" si="11"/>
        <v>9.8284488920657616</v>
      </c>
    </row>
    <row r="115" spans="1:16" ht="12" customHeight="1">
      <c r="A115" s="95" t="s">
        <v>554</v>
      </c>
      <c r="C115" s="112">
        <f t="shared" si="13"/>
        <v>230</v>
      </c>
      <c r="D115" s="112">
        <f t="shared" si="12"/>
        <v>0.1838660892975145</v>
      </c>
      <c r="F115" s="76">
        <v>5</v>
      </c>
      <c r="G115" s="104">
        <f t="shared" si="8"/>
        <v>2.1739130434782608</v>
      </c>
      <c r="H115" s="775"/>
      <c r="I115" s="775">
        <v>205</v>
      </c>
      <c r="J115" s="104">
        <f t="shared" si="9"/>
        <v>89.130434782608688</v>
      </c>
      <c r="K115" s="775"/>
      <c r="L115" s="775">
        <v>0</v>
      </c>
      <c r="M115" s="104">
        <f t="shared" si="10"/>
        <v>0</v>
      </c>
      <c r="N115" s="775"/>
      <c r="O115" s="775">
        <v>20</v>
      </c>
      <c r="P115" s="105">
        <f t="shared" si="11"/>
        <v>8.695652173913043</v>
      </c>
    </row>
    <row r="116" spans="1:16" ht="12" hidden="1" customHeight="1">
      <c r="A116" s="95" t="s">
        <v>555</v>
      </c>
      <c r="C116" s="112">
        <f t="shared" si="13"/>
        <v>437.5</v>
      </c>
      <c r="D116" s="112">
        <f t="shared" si="12"/>
        <v>0.34974527855505477</v>
      </c>
      <c r="F116" s="76">
        <v>25</v>
      </c>
      <c r="G116" s="104">
        <f t="shared" si="8"/>
        <v>5.7142857142857144</v>
      </c>
      <c r="H116" s="775"/>
      <c r="I116" s="775">
        <v>362.5</v>
      </c>
      <c r="J116" s="104">
        <f t="shared" si="9"/>
        <v>82.857142857142861</v>
      </c>
      <c r="K116" s="775"/>
      <c r="L116" s="775">
        <v>0</v>
      </c>
      <c r="M116" s="104">
        <f t="shared" si="10"/>
        <v>0</v>
      </c>
      <c r="N116" s="775"/>
      <c r="O116" s="775">
        <v>50</v>
      </c>
      <c r="P116" s="105">
        <f t="shared" si="11"/>
        <v>11.428571428571429</v>
      </c>
    </row>
    <row r="117" spans="1:16" ht="12" customHeight="1">
      <c r="A117" s="95" t="s">
        <v>556</v>
      </c>
      <c r="C117" s="112">
        <f t="shared" si="13"/>
        <v>122.5</v>
      </c>
      <c r="D117" s="112">
        <f t="shared" si="12"/>
        <v>9.7928677995415339E-2</v>
      </c>
      <c r="F117" s="76">
        <v>32.5</v>
      </c>
      <c r="G117" s="104">
        <f t="shared" si="8"/>
        <v>26.530612244897959</v>
      </c>
      <c r="H117" s="775"/>
      <c r="I117" s="775">
        <v>70</v>
      </c>
      <c r="J117" s="104">
        <f t="shared" si="9"/>
        <v>57.142857142857139</v>
      </c>
      <c r="K117" s="775"/>
      <c r="L117" s="775">
        <v>0</v>
      </c>
      <c r="M117" s="104">
        <f t="shared" si="10"/>
        <v>0</v>
      </c>
      <c r="N117" s="775"/>
      <c r="O117" s="775">
        <v>20</v>
      </c>
      <c r="P117" s="105">
        <f t="shared" si="11"/>
        <v>16.326530612244898</v>
      </c>
    </row>
    <row r="118" spans="1:16" ht="12" hidden="1" customHeight="1">
      <c r="A118" s="95" t="s">
        <v>557</v>
      </c>
      <c r="C118" s="112">
        <f t="shared" si="13"/>
        <v>0</v>
      </c>
      <c r="D118" s="112">
        <f t="shared" si="12"/>
        <v>0</v>
      </c>
      <c r="F118" s="777"/>
      <c r="G118" s="104" t="e">
        <f t="shared" si="8"/>
        <v>#DIV/0!</v>
      </c>
      <c r="H118" s="777"/>
      <c r="I118" s="777"/>
      <c r="J118" s="104" t="e">
        <f t="shared" si="9"/>
        <v>#DIV/0!</v>
      </c>
      <c r="K118" s="777"/>
      <c r="L118" s="777"/>
      <c r="M118" s="104" t="e">
        <f t="shared" si="10"/>
        <v>#DIV/0!</v>
      </c>
      <c r="N118" s="777"/>
      <c r="O118" s="777"/>
      <c r="P118" s="105" t="e">
        <f t="shared" si="11"/>
        <v>#DIV/0!</v>
      </c>
    </row>
    <row r="119" spans="1:16" ht="12" customHeight="1">
      <c r="A119" s="95" t="s">
        <v>558</v>
      </c>
      <c r="C119" s="112">
        <f t="shared" si="13"/>
        <v>465.79999999999995</v>
      </c>
      <c r="D119" s="112">
        <f t="shared" si="12"/>
        <v>0.37236880171644454</v>
      </c>
      <c r="F119" s="76">
        <v>101.2</v>
      </c>
      <c r="G119" s="104">
        <f t="shared" si="8"/>
        <v>21.726062687848867</v>
      </c>
      <c r="H119" s="775"/>
      <c r="I119" s="775">
        <v>329.4</v>
      </c>
      <c r="J119" s="104">
        <f t="shared" si="9"/>
        <v>70.71704594246458</v>
      </c>
      <c r="K119" s="775"/>
      <c r="L119" s="775">
        <v>10</v>
      </c>
      <c r="M119" s="104">
        <f t="shared" si="10"/>
        <v>2.1468441391155006</v>
      </c>
      <c r="N119" s="775"/>
      <c r="O119" s="775">
        <v>25.2</v>
      </c>
      <c r="P119" s="105">
        <f t="shared" si="11"/>
        <v>5.4100472305710605</v>
      </c>
    </row>
    <row r="120" spans="1:16" ht="12" hidden="1" customHeight="1">
      <c r="A120" s="95" t="s">
        <v>559</v>
      </c>
      <c r="C120" s="112">
        <f t="shared" si="13"/>
        <v>0</v>
      </c>
      <c r="D120" s="112">
        <f t="shared" si="12"/>
        <v>0</v>
      </c>
      <c r="F120" s="777"/>
      <c r="G120" s="104" t="e">
        <f t="shared" si="8"/>
        <v>#DIV/0!</v>
      </c>
      <c r="H120" s="777"/>
      <c r="I120" s="777"/>
      <c r="J120" s="104" t="e">
        <f t="shared" si="9"/>
        <v>#DIV/0!</v>
      </c>
      <c r="K120" s="777"/>
      <c r="L120" s="777"/>
      <c r="M120" s="104" t="e">
        <f t="shared" si="10"/>
        <v>#DIV/0!</v>
      </c>
      <c r="N120" s="777"/>
      <c r="O120" s="777"/>
      <c r="P120" s="105" t="e">
        <f t="shared" si="11"/>
        <v>#DIV/0!</v>
      </c>
    </row>
    <row r="121" spans="1:16" ht="12" customHeight="1">
      <c r="A121" s="95" t="s">
        <v>560</v>
      </c>
      <c r="C121" s="112">
        <f t="shared" si="13"/>
        <v>148</v>
      </c>
      <c r="D121" s="112">
        <f t="shared" si="12"/>
        <v>0.11831383137405281</v>
      </c>
      <c r="F121" s="76">
        <v>18</v>
      </c>
      <c r="G121" s="104">
        <f t="shared" si="8"/>
        <v>12.162162162162163</v>
      </c>
      <c r="H121" s="775"/>
      <c r="I121" s="775">
        <v>110</v>
      </c>
      <c r="J121" s="104">
        <f t="shared" si="9"/>
        <v>74.324324324324323</v>
      </c>
      <c r="K121" s="775"/>
      <c r="L121" s="775">
        <v>0</v>
      </c>
      <c r="M121" s="104">
        <f t="shared" si="10"/>
        <v>0</v>
      </c>
      <c r="N121" s="775"/>
      <c r="O121" s="775">
        <v>20</v>
      </c>
      <c r="P121" s="105">
        <f t="shared" si="11"/>
        <v>13.513513513513514</v>
      </c>
    </row>
    <row r="122" spans="1:16" ht="12" customHeight="1">
      <c r="A122" s="95" t="s">
        <v>561</v>
      </c>
      <c r="C122" s="112">
        <f t="shared" si="13"/>
        <v>147.55000000000001</v>
      </c>
      <c r="D122" s="112">
        <f t="shared" si="12"/>
        <v>0.11795409337325333</v>
      </c>
      <c r="F122" s="76">
        <v>2.5499999999999998</v>
      </c>
      <c r="G122" s="104">
        <f t="shared" si="8"/>
        <v>1.7282277194171465</v>
      </c>
      <c r="H122" s="775"/>
      <c r="I122" s="775">
        <v>60</v>
      </c>
      <c r="J122" s="104">
        <f t="shared" si="9"/>
        <v>40.664181633344626</v>
      </c>
      <c r="K122" s="775"/>
      <c r="L122" s="775">
        <v>45</v>
      </c>
      <c r="M122" s="104">
        <f t="shared" si="10"/>
        <v>30.498136225008469</v>
      </c>
      <c r="N122" s="775"/>
      <c r="O122" s="775">
        <v>40</v>
      </c>
      <c r="P122" s="105">
        <f t="shared" si="11"/>
        <v>27.109454422229749</v>
      </c>
    </row>
    <row r="123" spans="1:16" ht="12" customHeight="1">
      <c r="A123" s="95" t="s">
        <v>562</v>
      </c>
      <c r="C123" s="112">
        <f t="shared" si="13"/>
        <v>125.5</v>
      </c>
      <c r="D123" s="112">
        <f t="shared" si="12"/>
        <v>0.10032693133407856</v>
      </c>
      <c r="F123" s="76">
        <v>17.5</v>
      </c>
      <c r="G123" s="104">
        <f t="shared" si="8"/>
        <v>13.944223107569719</v>
      </c>
      <c r="H123" s="775"/>
      <c r="I123" s="775">
        <v>58</v>
      </c>
      <c r="J123" s="104">
        <f t="shared" si="9"/>
        <v>46.21513944223107</v>
      </c>
      <c r="K123" s="775"/>
      <c r="L123" s="775">
        <v>0</v>
      </c>
      <c r="M123" s="104">
        <f t="shared" si="10"/>
        <v>0</v>
      </c>
      <c r="N123" s="775"/>
      <c r="O123" s="775">
        <v>50</v>
      </c>
      <c r="P123" s="105">
        <f t="shared" si="11"/>
        <v>39.840637450199203</v>
      </c>
    </row>
    <row r="124" spans="1:16" ht="12" customHeight="1">
      <c r="A124" s="95" t="s">
        <v>563</v>
      </c>
      <c r="C124" s="112">
        <f t="shared" si="13"/>
        <v>675.23900000000003</v>
      </c>
      <c r="D124" s="112">
        <f t="shared" si="12"/>
        <v>0.53979806204854086</v>
      </c>
      <c r="F124" s="76">
        <v>164.239</v>
      </c>
      <c r="G124" s="104">
        <f t="shared" si="8"/>
        <v>24.323091527592453</v>
      </c>
      <c r="H124" s="775"/>
      <c r="I124" s="775">
        <v>178</v>
      </c>
      <c r="J124" s="104">
        <f t="shared" si="9"/>
        <v>26.36103661074079</v>
      </c>
      <c r="K124" s="775"/>
      <c r="L124" s="775">
        <v>270</v>
      </c>
      <c r="M124" s="104">
        <f t="shared" si="10"/>
        <v>39.985842050000073</v>
      </c>
      <c r="N124" s="775"/>
      <c r="O124" s="775">
        <v>63</v>
      </c>
      <c r="P124" s="105">
        <f t="shared" si="11"/>
        <v>9.3300298116666838</v>
      </c>
    </row>
    <row r="125" spans="1:16" ht="12" customHeight="1">
      <c r="A125" s="95" t="s">
        <v>564</v>
      </c>
      <c r="C125" s="112">
        <f t="shared" si="13"/>
        <v>167.5</v>
      </c>
      <c r="D125" s="112">
        <f t="shared" si="12"/>
        <v>0.13390247807536382</v>
      </c>
      <c r="F125" s="76">
        <v>2.5</v>
      </c>
      <c r="G125" s="104">
        <f t="shared" si="8"/>
        <v>1.4925373134328357</v>
      </c>
      <c r="H125" s="775"/>
      <c r="I125" s="775">
        <v>70</v>
      </c>
      <c r="J125" s="104">
        <f t="shared" si="9"/>
        <v>41.791044776119399</v>
      </c>
      <c r="K125" s="775"/>
      <c r="L125" s="775">
        <v>55</v>
      </c>
      <c r="M125" s="104">
        <f t="shared" si="10"/>
        <v>32.835820895522389</v>
      </c>
      <c r="N125" s="775"/>
      <c r="O125" s="775">
        <v>40</v>
      </c>
      <c r="P125" s="105">
        <f t="shared" si="11"/>
        <v>23.880597014925371</v>
      </c>
    </row>
    <row r="126" spans="1:16" ht="12" customHeight="1">
      <c r="A126" s="95" t="s">
        <v>565</v>
      </c>
      <c r="C126" s="112">
        <f t="shared" si="13"/>
        <v>40</v>
      </c>
      <c r="D126" s="112">
        <f t="shared" si="12"/>
        <v>3.1976711182176432E-2</v>
      </c>
      <c r="F126" s="76">
        <v>15</v>
      </c>
      <c r="G126" s="104">
        <f t="shared" si="8"/>
        <v>37.5</v>
      </c>
      <c r="H126" s="775"/>
      <c r="I126" s="775">
        <v>5</v>
      </c>
      <c r="J126" s="104">
        <f t="shared" si="9"/>
        <v>12.5</v>
      </c>
      <c r="K126" s="775"/>
      <c r="L126" s="775">
        <v>0</v>
      </c>
      <c r="M126" s="104">
        <f t="shared" si="10"/>
        <v>0</v>
      </c>
      <c r="N126" s="775"/>
      <c r="O126" s="775">
        <v>20</v>
      </c>
      <c r="P126" s="105">
        <f t="shared" si="11"/>
        <v>50</v>
      </c>
    </row>
    <row r="127" spans="1:16" ht="12" customHeight="1">
      <c r="A127" s="95" t="s">
        <v>566</v>
      </c>
      <c r="C127" s="112">
        <f t="shared" si="13"/>
        <v>150</v>
      </c>
      <c r="D127" s="112">
        <f t="shared" si="12"/>
        <v>0.11991266693316165</v>
      </c>
      <c r="F127" s="76">
        <v>20</v>
      </c>
      <c r="G127" s="104">
        <f t="shared" si="8"/>
        <v>13.333333333333334</v>
      </c>
      <c r="H127" s="775"/>
      <c r="I127" s="775">
        <v>100</v>
      </c>
      <c r="J127" s="104">
        <f t="shared" si="9"/>
        <v>66.666666666666657</v>
      </c>
      <c r="K127" s="775"/>
      <c r="L127" s="775">
        <v>0</v>
      </c>
      <c r="M127" s="104">
        <f t="shared" si="10"/>
        <v>0</v>
      </c>
      <c r="N127" s="775"/>
      <c r="O127" s="775">
        <v>30</v>
      </c>
      <c r="P127" s="105">
        <f t="shared" si="11"/>
        <v>20</v>
      </c>
    </row>
    <row r="128" spans="1:16" ht="12" customHeight="1">
      <c r="A128" s="95" t="s">
        <v>567</v>
      </c>
      <c r="C128" s="112">
        <f t="shared" si="13"/>
        <v>55</v>
      </c>
      <c r="D128" s="112">
        <f t="shared" si="12"/>
        <v>4.39679778754926E-2</v>
      </c>
      <c r="F128" s="76">
        <v>15</v>
      </c>
      <c r="G128" s="104">
        <f t="shared" si="8"/>
        <v>27.27272727272727</v>
      </c>
      <c r="H128" s="775"/>
      <c r="I128" s="775">
        <v>10</v>
      </c>
      <c r="J128" s="104">
        <f t="shared" si="9"/>
        <v>18.181818181818183</v>
      </c>
      <c r="K128" s="775"/>
      <c r="L128" s="775">
        <v>10</v>
      </c>
      <c r="M128" s="104">
        <f t="shared" si="10"/>
        <v>18.181818181818183</v>
      </c>
      <c r="N128" s="775"/>
      <c r="O128" s="775">
        <v>20</v>
      </c>
      <c r="P128" s="105">
        <f t="shared" si="11"/>
        <v>36.363636363636367</v>
      </c>
    </row>
    <row r="129" spans="1:16" ht="12" customHeight="1">
      <c r="A129" s="95" t="s">
        <v>568</v>
      </c>
      <c r="C129" s="112">
        <f t="shared" si="13"/>
        <v>50</v>
      </c>
      <c r="D129" s="112">
        <f t="shared" si="12"/>
        <v>3.9970888977720546E-2</v>
      </c>
      <c r="F129" s="76">
        <v>0</v>
      </c>
      <c r="G129" s="104">
        <f t="shared" si="8"/>
        <v>0</v>
      </c>
      <c r="H129" s="775"/>
      <c r="I129" s="775">
        <v>30</v>
      </c>
      <c r="J129" s="104">
        <f t="shared" si="9"/>
        <v>60</v>
      </c>
      <c r="K129" s="775"/>
      <c r="L129" s="775">
        <v>0</v>
      </c>
      <c r="M129" s="104">
        <f t="shared" si="10"/>
        <v>0</v>
      </c>
      <c r="N129" s="775"/>
      <c r="O129" s="775">
        <v>20</v>
      </c>
      <c r="P129" s="105">
        <f t="shared" si="11"/>
        <v>40</v>
      </c>
    </row>
    <row r="130" spans="1:16" ht="12" customHeight="1">
      <c r="A130" s="95" t="s">
        <v>569</v>
      </c>
      <c r="C130" s="112">
        <f t="shared" si="13"/>
        <v>306.5</v>
      </c>
      <c r="D130" s="112">
        <f t="shared" si="12"/>
        <v>0.24502154943342691</v>
      </c>
      <c r="F130" s="76">
        <v>12.5</v>
      </c>
      <c r="G130" s="104">
        <f t="shared" si="8"/>
        <v>4.0783034257748776</v>
      </c>
      <c r="H130" s="775"/>
      <c r="I130" s="775">
        <v>244</v>
      </c>
      <c r="J130" s="104">
        <f t="shared" si="9"/>
        <v>79.608482871125602</v>
      </c>
      <c r="K130" s="775"/>
      <c r="L130" s="775">
        <v>25</v>
      </c>
      <c r="M130" s="104">
        <f t="shared" si="10"/>
        <v>8.1566068515497552</v>
      </c>
      <c r="N130" s="775"/>
      <c r="O130" s="775">
        <v>25</v>
      </c>
      <c r="P130" s="105">
        <f t="shared" si="11"/>
        <v>8.1566068515497552</v>
      </c>
    </row>
    <row r="131" spans="1:16" ht="12" customHeight="1">
      <c r="A131" s="95" t="s">
        <v>570</v>
      </c>
      <c r="C131" s="112">
        <f t="shared" si="13"/>
        <v>120</v>
      </c>
      <c r="D131" s="112">
        <f t="shared" si="12"/>
        <v>9.5930133546529309E-2</v>
      </c>
      <c r="F131" s="76">
        <v>11.25</v>
      </c>
      <c r="G131" s="104">
        <f t="shared" si="8"/>
        <v>9.375</v>
      </c>
      <c r="H131" s="775"/>
      <c r="I131" s="775">
        <v>88.75</v>
      </c>
      <c r="J131" s="104">
        <f t="shared" si="9"/>
        <v>73.958333333333343</v>
      </c>
      <c r="K131" s="775"/>
      <c r="L131" s="775">
        <v>0</v>
      </c>
      <c r="M131" s="104">
        <f t="shared" si="10"/>
        <v>0</v>
      </c>
      <c r="N131" s="775"/>
      <c r="O131" s="775">
        <v>20</v>
      </c>
      <c r="P131" s="105">
        <f t="shared" si="11"/>
        <v>16.666666666666664</v>
      </c>
    </row>
    <row r="132" spans="1:16" ht="12" customHeight="1">
      <c r="A132" s="33" t="s">
        <v>571</v>
      </c>
      <c r="C132" s="112">
        <f t="shared" si="13"/>
        <v>79</v>
      </c>
      <c r="D132" s="112">
        <f t="shared" si="12"/>
        <v>6.3154004584798459E-2</v>
      </c>
      <c r="F132" s="76">
        <v>26</v>
      </c>
      <c r="G132" s="104">
        <f t="shared" si="8"/>
        <v>32.911392405063289</v>
      </c>
      <c r="H132" s="775"/>
      <c r="I132" s="775">
        <v>20</v>
      </c>
      <c r="J132" s="104">
        <f t="shared" si="9"/>
        <v>25.316455696202532</v>
      </c>
      <c r="K132" s="775"/>
      <c r="L132" s="775">
        <v>5</v>
      </c>
      <c r="M132" s="104">
        <f t="shared" si="10"/>
        <v>6.3291139240506329</v>
      </c>
      <c r="N132" s="775"/>
      <c r="O132" s="775">
        <v>28</v>
      </c>
      <c r="P132" s="105">
        <f t="shared" si="11"/>
        <v>35.443037974683541</v>
      </c>
    </row>
    <row r="133" spans="1:16" ht="12" customHeight="1">
      <c r="A133" s="33" t="s">
        <v>1863</v>
      </c>
      <c r="C133" s="112">
        <f t="shared" si="13"/>
        <v>110</v>
      </c>
      <c r="D133" s="112">
        <f t="shared" si="12"/>
        <v>8.7935955750985201E-2</v>
      </c>
      <c r="F133" s="76">
        <v>0</v>
      </c>
      <c r="G133" s="104">
        <f t="shared" si="8"/>
        <v>0</v>
      </c>
      <c r="H133" s="775"/>
      <c r="I133" s="775">
        <v>90</v>
      </c>
      <c r="J133" s="104">
        <f t="shared" si="9"/>
        <v>81.818181818181827</v>
      </c>
      <c r="K133" s="775"/>
      <c r="L133" s="775">
        <v>0</v>
      </c>
      <c r="M133" s="104">
        <f t="shared" si="10"/>
        <v>0</v>
      </c>
      <c r="N133" s="775"/>
      <c r="O133" s="775">
        <v>20</v>
      </c>
      <c r="P133" s="105">
        <f t="shared" si="11"/>
        <v>18.181818181818183</v>
      </c>
    </row>
    <row r="134" spans="1:16" ht="12" customHeight="1">
      <c r="A134" s="95" t="s">
        <v>572</v>
      </c>
      <c r="C134" s="112">
        <f t="shared" si="13"/>
        <v>80</v>
      </c>
      <c r="D134" s="112">
        <f t="shared" si="12"/>
        <v>6.3953422364352863E-2</v>
      </c>
      <c r="F134" s="76">
        <v>0</v>
      </c>
      <c r="G134" s="104">
        <f t="shared" si="8"/>
        <v>0</v>
      </c>
      <c r="H134" s="775"/>
      <c r="I134" s="775">
        <v>60</v>
      </c>
      <c r="J134" s="104">
        <f t="shared" si="9"/>
        <v>75</v>
      </c>
      <c r="K134" s="775"/>
      <c r="L134" s="775">
        <v>0</v>
      </c>
      <c r="M134" s="104">
        <f t="shared" si="10"/>
        <v>0</v>
      </c>
      <c r="N134" s="775"/>
      <c r="O134" s="775">
        <v>20</v>
      </c>
      <c r="P134" s="105">
        <f t="shared" si="11"/>
        <v>25</v>
      </c>
    </row>
    <row r="135" spans="1:16" ht="12" customHeight="1">
      <c r="A135" s="95" t="s">
        <v>573</v>
      </c>
      <c r="C135" s="112">
        <f t="shared" si="13"/>
        <v>110</v>
      </c>
      <c r="D135" s="112">
        <f t="shared" si="12"/>
        <v>8.7935955750985201E-2</v>
      </c>
      <c r="F135" s="76">
        <v>0</v>
      </c>
      <c r="G135" s="104">
        <f t="shared" si="8"/>
        <v>0</v>
      </c>
      <c r="H135" s="775"/>
      <c r="I135" s="775">
        <v>50</v>
      </c>
      <c r="J135" s="104">
        <f t="shared" si="9"/>
        <v>45.454545454545453</v>
      </c>
      <c r="K135" s="775"/>
      <c r="L135" s="775">
        <v>40</v>
      </c>
      <c r="M135" s="104">
        <f t="shared" si="10"/>
        <v>36.363636363636367</v>
      </c>
      <c r="N135" s="775"/>
      <c r="O135" s="775">
        <v>20</v>
      </c>
      <c r="P135" s="105">
        <f t="shared" si="11"/>
        <v>18.181818181818183</v>
      </c>
    </row>
    <row r="136" spans="1:16" ht="12" customHeight="1">
      <c r="A136" s="33" t="s">
        <v>1864</v>
      </c>
      <c r="C136" s="112">
        <f t="shared" si="13"/>
        <v>110</v>
      </c>
      <c r="D136" s="112">
        <f t="shared" si="12"/>
        <v>8.7935955750985201E-2</v>
      </c>
      <c r="F136" s="76">
        <v>7</v>
      </c>
      <c r="G136" s="104">
        <f t="shared" si="8"/>
        <v>6.3636363636363633</v>
      </c>
      <c r="H136" s="775"/>
      <c r="I136" s="775">
        <v>83</v>
      </c>
      <c r="J136" s="104">
        <f t="shared" si="9"/>
        <v>75.454545454545453</v>
      </c>
      <c r="K136" s="775"/>
      <c r="L136" s="775">
        <v>0</v>
      </c>
      <c r="M136" s="104">
        <f t="shared" si="10"/>
        <v>0</v>
      </c>
      <c r="N136" s="775"/>
      <c r="O136" s="775">
        <v>20</v>
      </c>
      <c r="P136" s="105">
        <f t="shared" si="11"/>
        <v>18.181818181818183</v>
      </c>
    </row>
    <row r="137" spans="1:16" ht="12" customHeight="1">
      <c r="A137" s="33" t="s">
        <v>574</v>
      </c>
      <c r="C137" s="112">
        <f t="shared" si="13"/>
        <v>70</v>
      </c>
      <c r="D137" s="112">
        <f t="shared" si="12"/>
        <v>5.5959244568808762E-2</v>
      </c>
      <c r="F137" s="76">
        <v>0</v>
      </c>
      <c r="G137" s="104">
        <f t="shared" si="8"/>
        <v>0</v>
      </c>
      <c r="H137" s="775"/>
      <c r="I137" s="775">
        <v>50</v>
      </c>
      <c r="J137" s="104">
        <f t="shared" si="9"/>
        <v>71.428571428571431</v>
      </c>
      <c r="K137" s="775"/>
      <c r="L137" s="775">
        <v>0</v>
      </c>
      <c r="M137" s="104">
        <f t="shared" si="10"/>
        <v>0</v>
      </c>
      <c r="N137" s="775"/>
      <c r="O137" s="775">
        <v>20</v>
      </c>
      <c r="P137" s="105">
        <f t="shared" si="11"/>
        <v>28.571428571428569</v>
      </c>
    </row>
    <row r="138" spans="1:16" ht="12" customHeight="1">
      <c r="A138" s="33" t="s">
        <v>575</v>
      </c>
      <c r="C138" s="112">
        <f t="shared" si="13"/>
        <v>55</v>
      </c>
      <c r="D138" s="112">
        <f t="shared" si="12"/>
        <v>4.39679778754926E-2</v>
      </c>
      <c r="F138" s="76">
        <v>0</v>
      </c>
      <c r="G138" s="104">
        <f t="shared" si="8"/>
        <v>0</v>
      </c>
      <c r="H138" s="775"/>
      <c r="I138" s="775">
        <v>30</v>
      </c>
      <c r="J138" s="104">
        <f t="shared" si="9"/>
        <v>54.54545454545454</v>
      </c>
      <c r="K138" s="775"/>
      <c r="L138" s="775">
        <v>5</v>
      </c>
      <c r="M138" s="104">
        <f t="shared" si="10"/>
        <v>9.0909090909090917</v>
      </c>
      <c r="N138" s="775"/>
      <c r="O138" s="775">
        <v>20</v>
      </c>
      <c r="P138" s="105">
        <f t="shared" si="11"/>
        <v>36.363636363636367</v>
      </c>
    </row>
    <row r="139" spans="1:16" ht="12" customHeight="1">
      <c r="A139" s="33" t="s">
        <v>576</v>
      </c>
      <c r="C139" s="112">
        <f t="shared" si="13"/>
        <v>20</v>
      </c>
      <c r="D139" s="112">
        <f t="shared" si="12"/>
        <v>1.5988355591088216E-2</v>
      </c>
      <c r="F139" s="76">
        <v>0</v>
      </c>
      <c r="G139" s="104">
        <f t="shared" si="8"/>
        <v>0</v>
      </c>
      <c r="H139" s="775"/>
      <c r="I139" s="775">
        <v>0</v>
      </c>
      <c r="J139" s="104">
        <f t="shared" si="9"/>
        <v>0</v>
      </c>
      <c r="K139" s="775"/>
      <c r="L139" s="775">
        <v>0</v>
      </c>
      <c r="M139" s="104">
        <f t="shared" si="10"/>
        <v>0</v>
      </c>
      <c r="N139" s="775"/>
      <c r="O139" s="775">
        <v>20</v>
      </c>
      <c r="P139" s="105">
        <f t="shared" si="11"/>
        <v>100</v>
      </c>
    </row>
    <row r="140" spans="1:16" ht="12" customHeight="1">
      <c r="A140" s="95" t="s">
        <v>577</v>
      </c>
      <c r="C140" s="112">
        <f t="shared" si="13"/>
        <v>50</v>
      </c>
      <c r="D140" s="112">
        <f t="shared" si="12"/>
        <v>3.9970888977720546E-2</v>
      </c>
      <c r="F140" s="76">
        <v>0</v>
      </c>
      <c r="G140" s="104">
        <f t="shared" ref="G140:G160" si="14">IF($A140&lt;&gt;0,F140/$C140*100,"")</f>
        <v>0</v>
      </c>
      <c r="H140" s="775"/>
      <c r="I140" s="775">
        <v>20</v>
      </c>
      <c r="J140" s="104">
        <f t="shared" ref="J140:J160" si="15">IF($A140&lt;&gt;0,I140/$C140*100,"")</f>
        <v>40</v>
      </c>
      <c r="K140" s="775"/>
      <c r="L140" s="775">
        <v>10</v>
      </c>
      <c r="M140" s="104">
        <f t="shared" ref="M140:M160" si="16">IF($A140&lt;&gt;0,L140/$C140*100,"")</f>
        <v>20</v>
      </c>
      <c r="N140" s="775"/>
      <c r="O140" s="775">
        <v>20</v>
      </c>
      <c r="P140" s="105">
        <f t="shared" ref="P140:P160" si="17">IF($A140&lt;&gt;0,O140/$C140*100,"")</f>
        <v>40</v>
      </c>
    </row>
    <row r="141" spans="1:16" ht="12" customHeight="1">
      <c r="A141" s="33" t="s">
        <v>578</v>
      </c>
      <c r="C141" s="112">
        <f t="shared" si="13"/>
        <v>73</v>
      </c>
      <c r="D141" s="112">
        <f t="shared" si="12"/>
        <v>5.8357497907471995E-2</v>
      </c>
      <c r="F141" s="76">
        <v>7</v>
      </c>
      <c r="G141" s="104">
        <f t="shared" si="14"/>
        <v>9.5890410958904102</v>
      </c>
      <c r="H141" s="775"/>
      <c r="I141" s="775">
        <v>31</v>
      </c>
      <c r="J141" s="104">
        <f t="shared" si="15"/>
        <v>42.465753424657535</v>
      </c>
      <c r="K141" s="775"/>
      <c r="L141" s="775">
        <v>15</v>
      </c>
      <c r="M141" s="104">
        <f t="shared" si="16"/>
        <v>20.547945205479451</v>
      </c>
      <c r="N141" s="775"/>
      <c r="O141" s="775">
        <v>20</v>
      </c>
      <c r="P141" s="105">
        <f t="shared" si="17"/>
        <v>27.397260273972602</v>
      </c>
    </row>
    <row r="142" spans="1:16" ht="12" customHeight="1">
      <c r="A142" s="33" t="s">
        <v>579</v>
      </c>
      <c r="C142" s="112">
        <f t="shared" si="13"/>
        <v>35</v>
      </c>
      <c r="D142" s="112">
        <f t="shared" si="12"/>
        <v>2.7979622284404381E-2</v>
      </c>
      <c r="F142" s="76">
        <v>0</v>
      </c>
      <c r="G142" s="104">
        <f t="shared" si="14"/>
        <v>0</v>
      </c>
      <c r="H142" s="775"/>
      <c r="I142" s="775">
        <v>15</v>
      </c>
      <c r="J142" s="104">
        <f t="shared" si="15"/>
        <v>42.857142857142854</v>
      </c>
      <c r="K142" s="775"/>
      <c r="L142" s="775">
        <v>0</v>
      </c>
      <c r="M142" s="104">
        <f t="shared" si="16"/>
        <v>0</v>
      </c>
      <c r="N142" s="775"/>
      <c r="O142" s="775">
        <v>20</v>
      </c>
      <c r="P142" s="105">
        <f t="shared" si="17"/>
        <v>57.142857142857139</v>
      </c>
    </row>
    <row r="143" spans="1:16" ht="12" customHeight="1">
      <c r="A143" s="33" t="s">
        <v>580</v>
      </c>
      <c r="C143" s="112">
        <f t="shared" si="13"/>
        <v>110</v>
      </c>
      <c r="D143" s="112">
        <f t="shared" si="12"/>
        <v>8.7935955750985201E-2</v>
      </c>
      <c r="F143" s="76">
        <v>30</v>
      </c>
      <c r="G143" s="104">
        <f t="shared" si="14"/>
        <v>27.27272727272727</v>
      </c>
      <c r="H143" s="775"/>
      <c r="I143" s="775">
        <v>80</v>
      </c>
      <c r="J143" s="104">
        <f t="shared" si="15"/>
        <v>72.727272727272734</v>
      </c>
      <c r="K143" s="775"/>
      <c r="L143" s="775">
        <v>0</v>
      </c>
      <c r="M143" s="104">
        <f t="shared" si="16"/>
        <v>0</v>
      </c>
      <c r="N143" s="775"/>
      <c r="O143" s="775">
        <v>0</v>
      </c>
      <c r="P143" s="105">
        <f t="shared" si="17"/>
        <v>0</v>
      </c>
    </row>
    <row r="144" spans="1:16" ht="12" customHeight="1">
      <c r="A144" s="33" t="s">
        <v>581</v>
      </c>
      <c r="C144" s="112">
        <f>IF(A144&lt;&gt;0,F144+I144+L144+O144,"")</f>
        <v>50</v>
      </c>
      <c r="D144" s="112">
        <f>IF(A144&lt;&gt;0,C144/$C$11*100,"")</f>
        <v>3.9970888977720546E-2</v>
      </c>
      <c r="F144" s="76">
        <v>0</v>
      </c>
      <c r="G144" s="104">
        <f t="shared" si="14"/>
        <v>0</v>
      </c>
      <c r="H144" s="775"/>
      <c r="I144" s="775">
        <v>30</v>
      </c>
      <c r="J144" s="104">
        <f t="shared" si="15"/>
        <v>60</v>
      </c>
      <c r="K144" s="775"/>
      <c r="L144" s="775">
        <v>0</v>
      </c>
      <c r="M144" s="104">
        <f t="shared" si="16"/>
        <v>0</v>
      </c>
      <c r="N144" s="775"/>
      <c r="O144" s="775">
        <v>20</v>
      </c>
    </row>
    <row r="145" spans="1:17" ht="12" customHeight="1">
      <c r="A145" s="33" t="s">
        <v>582</v>
      </c>
      <c r="C145" s="112">
        <f t="shared" si="13"/>
        <v>75</v>
      </c>
      <c r="D145" s="112">
        <f t="shared" si="12"/>
        <v>5.9956333466580823E-2</v>
      </c>
      <c r="F145" s="76">
        <v>30</v>
      </c>
      <c r="G145" s="104">
        <f t="shared" si="14"/>
        <v>40</v>
      </c>
      <c r="H145" s="775"/>
      <c r="I145" s="775">
        <v>20</v>
      </c>
      <c r="J145" s="104">
        <f t="shared" si="15"/>
        <v>26.666666666666668</v>
      </c>
      <c r="K145" s="775"/>
      <c r="L145" s="775">
        <v>5</v>
      </c>
      <c r="M145" s="104">
        <f t="shared" si="16"/>
        <v>6.666666666666667</v>
      </c>
      <c r="N145" s="775"/>
      <c r="O145" s="775">
        <v>20</v>
      </c>
      <c r="P145" s="105">
        <f t="shared" si="17"/>
        <v>26.666666666666668</v>
      </c>
    </row>
    <row r="146" spans="1:17" ht="12" customHeight="1">
      <c r="A146" s="33" t="s">
        <v>1865</v>
      </c>
      <c r="C146" s="112">
        <f t="shared" si="13"/>
        <v>186</v>
      </c>
      <c r="D146" s="112">
        <f t="shared" si="12"/>
        <v>0.14869170699712042</v>
      </c>
      <c r="F146" s="76">
        <v>19</v>
      </c>
      <c r="G146" s="104">
        <f t="shared" si="14"/>
        <v>10.21505376344086</v>
      </c>
      <c r="H146" s="775"/>
      <c r="I146" s="775">
        <v>117</v>
      </c>
      <c r="J146" s="104">
        <f t="shared" si="15"/>
        <v>62.903225806451616</v>
      </c>
      <c r="K146" s="775"/>
      <c r="L146" s="775">
        <v>0</v>
      </c>
      <c r="M146" s="104">
        <f t="shared" si="16"/>
        <v>0</v>
      </c>
      <c r="N146" s="775"/>
      <c r="O146" s="775">
        <v>50</v>
      </c>
      <c r="P146" s="105">
        <f t="shared" si="17"/>
        <v>26.881720430107524</v>
      </c>
    </row>
    <row r="147" spans="1:17" ht="12" customHeight="1">
      <c r="A147" s="33" t="s">
        <v>584</v>
      </c>
      <c r="C147" s="112">
        <f t="shared" si="13"/>
        <v>30</v>
      </c>
      <c r="F147" s="76">
        <v>0</v>
      </c>
      <c r="G147" s="104">
        <f t="shared" si="14"/>
        <v>0</v>
      </c>
      <c r="H147" s="775"/>
      <c r="I147" s="775">
        <v>0</v>
      </c>
      <c r="J147" s="104">
        <f t="shared" si="15"/>
        <v>0</v>
      </c>
      <c r="K147" s="775"/>
      <c r="L147" s="775">
        <v>0</v>
      </c>
      <c r="M147" s="104">
        <f t="shared" si="16"/>
        <v>0</v>
      </c>
      <c r="N147" s="775"/>
      <c r="O147" s="775">
        <v>30</v>
      </c>
      <c r="P147" s="105">
        <f t="shared" si="17"/>
        <v>100</v>
      </c>
    </row>
    <row r="148" spans="1:17" ht="8" customHeight="1">
      <c r="A148" s="104"/>
      <c r="C148" s="112" t="str">
        <f t="shared" si="13"/>
        <v/>
      </c>
      <c r="D148" s="112" t="str">
        <f t="shared" si="12"/>
        <v/>
      </c>
      <c r="G148" s="104" t="str">
        <f t="shared" si="14"/>
        <v/>
      </c>
      <c r="J148" s="104" t="str">
        <f t="shared" si="15"/>
        <v/>
      </c>
      <c r="M148" s="104" t="str">
        <f t="shared" si="16"/>
        <v/>
      </c>
      <c r="P148" s="105" t="str">
        <f t="shared" si="17"/>
        <v/>
      </c>
    </row>
    <row r="149" spans="1:17" ht="12" customHeight="1">
      <c r="A149" s="95" t="s">
        <v>421</v>
      </c>
      <c r="C149" s="112">
        <f t="shared" si="13"/>
        <v>998.2</v>
      </c>
      <c r="D149" s="112">
        <f t="shared" si="12"/>
        <v>0.79797882755121308</v>
      </c>
      <c r="F149" s="104">
        <f>SUM(F150:F151)</f>
        <v>251.2</v>
      </c>
      <c r="G149" s="104">
        <f t="shared" si="14"/>
        <v>25.165297535564012</v>
      </c>
      <c r="I149" s="104">
        <f>SUM(I150:I151)</f>
        <v>458</v>
      </c>
      <c r="J149" s="104">
        <f t="shared" si="15"/>
        <v>45.882588659587256</v>
      </c>
      <c r="L149" s="104">
        <f>SUM(L150:L151)</f>
        <v>142</v>
      </c>
      <c r="M149" s="104">
        <f t="shared" si="16"/>
        <v>14.225606090963733</v>
      </c>
      <c r="O149" s="104">
        <f>SUM(O150:O151)</f>
        <v>147</v>
      </c>
      <c r="P149" s="105">
        <f t="shared" si="17"/>
        <v>14.726507713884992</v>
      </c>
    </row>
    <row r="150" spans="1:17" ht="12" customHeight="1">
      <c r="A150" s="95" t="s">
        <v>585</v>
      </c>
      <c r="C150" s="112">
        <f t="shared" si="13"/>
        <v>179</v>
      </c>
      <c r="D150" s="112">
        <f t="shared" si="12"/>
        <v>0.14309578254023955</v>
      </c>
      <c r="F150" s="76">
        <v>47</v>
      </c>
      <c r="G150" s="104">
        <f t="shared" si="14"/>
        <v>26.256983240223462</v>
      </c>
      <c r="H150" s="775"/>
      <c r="I150" s="775">
        <v>85</v>
      </c>
      <c r="J150" s="104">
        <f t="shared" si="15"/>
        <v>47.486033519553075</v>
      </c>
      <c r="K150" s="775"/>
      <c r="L150" s="775">
        <v>22</v>
      </c>
      <c r="M150" s="104">
        <f t="shared" si="16"/>
        <v>12.290502793296088</v>
      </c>
      <c r="N150" s="775"/>
      <c r="O150" s="775">
        <v>25</v>
      </c>
      <c r="P150" s="105">
        <f t="shared" si="17"/>
        <v>13.966480446927374</v>
      </c>
    </row>
    <row r="151" spans="1:17" ht="12" customHeight="1">
      <c r="A151" s="95" t="s">
        <v>586</v>
      </c>
      <c r="C151" s="112">
        <f t="shared" si="13"/>
        <v>819.2</v>
      </c>
      <c r="D151" s="112">
        <f t="shared" si="12"/>
        <v>0.6548830450109735</v>
      </c>
      <c r="F151" s="76">
        <v>204.2</v>
      </c>
      <c r="G151" s="104">
        <f t="shared" si="14"/>
        <v>24.926757812499996</v>
      </c>
      <c r="H151" s="775"/>
      <c r="I151" s="775">
        <v>373</v>
      </c>
      <c r="J151" s="104">
        <f t="shared" si="15"/>
        <v>45.5322265625</v>
      </c>
      <c r="K151" s="775"/>
      <c r="L151" s="775">
        <v>120</v>
      </c>
      <c r="M151" s="104">
        <f t="shared" si="16"/>
        <v>14.6484375</v>
      </c>
      <c r="N151" s="775"/>
      <c r="O151" s="775">
        <v>122</v>
      </c>
      <c r="P151" s="105">
        <f t="shared" si="17"/>
        <v>14.892578125</v>
      </c>
    </row>
    <row r="152" spans="1:17" ht="6" customHeight="1">
      <c r="D152" s="112" t="str">
        <f t="shared" si="12"/>
        <v/>
      </c>
      <c r="F152" s="777"/>
      <c r="G152" s="104" t="str">
        <f t="shared" si="14"/>
        <v/>
      </c>
      <c r="H152" s="777"/>
      <c r="I152" s="777"/>
      <c r="J152" s="104" t="str">
        <f t="shared" si="15"/>
        <v/>
      </c>
      <c r="K152" s="777"/>
      <c r="L152" s="777"/>
      <c r="M152" s="104" t="str">
        <f t="shared" si="16"/>
        <v/>
      </c>
      <c r="N152" s="777"/>
      <c r="O152" s="777"/>
      <c r="P152" s="105" t="str">
        <f t="shared" si="17"/>
        <v/>
      </c>
    </row>
    <row r="153" spans="1:17" ht="12.75" customHeight="1">
      <c r="A153" s="95" t="s">
        <v>290</v>
      </c>
      <c r="C153" s="112">
        <f>IF(A153&lt;&gt;0,F153+I153+L153+O153,"")</f>
        <v>1012.6251</v>
      </c>
      <c r="D153" s="112">
        <f t="shared" si="12"/>
        <v>0.80951050896306331</v>
      </c>
      <c r="F153" s="76">
        <v>913.87509999999997</v>
      </c>
      <c r="G153" s="104">
        <f t="shared" si="14"/>
        <v>90.248118479385909</v>
      </c>
      <c r="H153" s="775"/>
      <c r="I153" s="775">
        <v>0</v>
      </c>
      <c r="J153" s="104">
        <f t="shared" si="15"/>
        <v>0</v>
      </c>
      <c r="K153" s="775"/>
      <c r="L153" s="775">
        <v>30</v>
      </c>
      <c r="M153" s="104">
        <f t="shared" si="16"/>
        <v>2.9625969176549147</v>
      </c>
      <c r="N153" s="775"/>
      <c r="O153" s="775">
        <v>68.75</v>
      </c>
      <c r="P153" s="105">
        <f t="shared" si="17"/>
        <v>6.7892846029591807</v>
      </c>
    </row>
    <row r="154" spans="1:17" ht="8" customHeight="1">
      <c r="D154" s="112" t="str">
        <f t="shared" si="12"/>
        <v/>
      </c>
      <c r="G154" s="104" t="str">
        <f t="shared" si="14"/>
        <v/>
      </c>
      <c r="J154" s="104" t="str">
        <f t="shared" si="15"/>
        <v/>
      </c>
      <c r="M154" s="104" t="str">
        <f t="shared" si="16"/>
        <v/>
      </c>
      <c r="P154" s="105" t="str">
        <f t="shared" si="17"/>
        <v/>
      </c>
    </row>
    <row r="155" spans="1:17" ht="12.75" customHeight="1">
      <c r="A155" s="55" t="s">
        <v>423</v>
      </c>
      <c r="C155" s="112">
        <f t="shared" ref="C155:C160" si="18">IF(A155&lt;&gt;0,F155+I155+L155+O155,"")</f>
        <v>22659.200000000001</v>
      </c>
      <c r="D155" s="112">
        <f t="shared" si="12"/>
        <v>18.114167350479306</v>
      </c>
      <c r="F155" s="104">
        <f>SUM(F156:F160)</f>
        <v>18547.2</v>
      </c>
      <c r="G155" s="104">
        <f t="shared" si="14"/>
        <v>81.852845643270726</v>
      </c>
      <c r="H155" s="104" t="s">
        <v>128</v>
      </c>
      <c r="I155" s="104">
        <f>SUM(I156:I160)</f>
        <v>475</v>
      </c>
      <c r="J155" s="104">
        <f t="shared" si="15"/>
        <v>2.0962787741844369</v>
      </c>
      <c r="K155" s="104" t="s">
        <v>128</v>
      </c>
      <c r="L155" s="104">
        <f>SUM(L156:L160)</f>
        <v>1792</v>
      </c>
      <c r="M155" s="104">
        <f t="shared" si="16"/>
        <v>7.908487501765288</v>
      </c>
      <c r="N155" s="104" t="s">
        <v>128</v>
      </c>
      <c r="O155" s="104">
        <f>SUM(O156:O160)</f>
        <v>1845</v>
      </c>
      <c r="P155" s="105">
        <f t="shared" si="17"/>
        <v>8.1423880807795506</v>
      </c>
      <c r="Q155" s="95" t="s">
        <v>128</v>
      </c>
    </row>
    <row r="156" spans="1:17" ht="12" customHeight="1">
      <c r="A156" s="95" t="s">
        <v>424</v>
      </c>
      <c r="C156" s="112">
        <f t="shared" si="18"/>
        <v>8286</v>
      </c>
      <c r="D156" s="112">
        <f t="shared" si="12"/>
        <v>6.6239757213878478</v>
      </c>
      <c r="F156" s="76">
        <v>6670</v>
      </c>
      <c r="G156" s="104">
        <f t="shared" si="14"/>
        <v>80.497224233647117</v>
      </c>
      <c r="H156" s="775"/>
      <c r="I156" s="775">
        <v>280</v>
      </c>
      <c r="J156" s="104">
        <f t="shared" si="15"/>
        <v>3.3791938209027275</v>
      </c>
      <c r="K156" s="775"/>
      <c r="L156" s="775">
        <v>596</v>
      </c>
      <c r="M156" s="104">
        <f t="shared" si="16"/>
        <v>7.1928554187786622</v>
      </c>
      <c r="N156" s="775"/>
      <c r="O156" s="775">
        <v>740</v>
      </c>
      <c r="P156" s="105">
        <f t="shared" si="17"/>
        <v>8.9307265266714939</v>
      </c>
    </row>
    <row r="157" spans="1:17" ht="12" customHeight="1">
      <c r="A157" s="95" t="s">
        <v>425</v>
      </c>
      <c r="C157" s="112">
        <f t="shared" si="18"/>
        <v>5984</v>
      </c>
      <c r="D157" s="112">
        <f>IF(A157&lt;&gt;0,C157/$C$11*100,"")</f>
        <v>4.7837159928535948</v>
      </c>
      <c r="F157" s="76">
        <v>4877</v>
      </c>
      <c r="G157" s="104">
        <f t="shared" si="14"/>
        <v>81.50066844919786</v>
      </c>
      <c r="H157" s="775"/>
      <c r="I157" s="775">
        <v>75</v>
      </c>
      <c r="J157" s="104">
        <f t="shared" si="15"/>
        <v>1.2533422459893049</v>
      </c>
      <c r="K157" s="775"/>
      <c r="L157" s="775">
        <v>497</v>
      </c>
      <c r="M157" s="104">
        <f t="shared" si="16"/>
        <v>8.3054812834224592</v>
      </c>
      <c r="N157" s="775"/>
      <c r="O157" s="775">
        <v>535</v>
      </c>
      <c r="P157" s="105">
        <f t="shared" si="17"/>
        <v>8.9405080213903734</v>
      </c>
    </row>
    <row r="158" spans="1:17" ht="12" customHeight="1">
      <c r="A158" s="95" t="s">
        <v>426</v>
      </c>
      <c r="C158" s="112">
        <f t="shared" si="18"/>
        <v>5104.2</v>
      </c>
      <c r="D158" s="112">
        <f>IF(A158&lt;&gt;0,C158/$C$11*100,"")</f>
        <v>4.0803882304016241</v>
      </c>
      <c r="F158" s="76">
        <v>4260.2</v>
      </c>
      <c r="G158" s="104">
        <f t="shared" si="14"/>
        <v>83.464597782218561</v>
      </c>
      <c r="H158" s="775"/>
      <c r="I158" s="775">
        <v>80</v>
      </c>
      <c r="J158" s="104">
        <f t="shared" si="15"/>
        <v>1.5673367031072452</v>
      </c>
      <c r="K158" s="775"/>
      <c r="L158" s="775">
        <v>389</v>
      </c>
      <c r="M158" s="104">
        <f t="shared" si="16"/>
        <v>7.6211747188589793</v>
      </c>
      <c r="N158" s="775"/>
      <c r="O158" s="775">
        <v>375</v>
      </c>
      <c r="P158" s="105">
        <f t="shared" si="17"/>
        <v>7.3468907958152112</v>
      </c>
    </row>
    <row r="159" spans="1:17" ht="12" hidden="1" customHeight="1">
      <c r="A159" s="33" t="s">
        <v>427</v>
      </c>
      <c r="C159" s="112">
        <f t="shared" si="18"/>
        <v>0</v>
      </c>
      <c r="D159" s="112">
        <f>IF(A159&lt;&gt;0,C159/$C$11*100,"")</f>
        <v>0</v>
      </c>
      <c r="F159" s="777"/>
      <c r="G159" s="104" t="e">
        <f t="shared" si="14"/>
        <v>#DIV/0!</v>
      </c>
      <c r="H159" s="777"/>
      <c r="I159" s="777"/>
      <c r="J159" s="104" t="e">
        <f t="shared" si="15"/>
        <v>#DIV/0!</v>
      </c>
      <c r="K159" s="777"/>
      <c r="L159" s="777"/>
      <c r="M159" s="104" t="e">
        <f t="shared" si="16"/>
        <v>#DIV/0!</v>
      </c>
      <c r="N159" s="777"/>
      <c r="O159" s="777"/>
      <c r="P159" s="105" t="e">
        <f t="shared" si="17"/>
        <v>#DIV/0!</v>
      </c>
    </row>
    <row r="160" spans="1:17" ht="12" customHeight="1">
      <c r="A160" s="33" t="s">
        <v>587</v>
      </c>
      <c r="C160" s="112">
        <f t="shared" si="18"/>
        <v>3285</v>
      </c>
      <c r="D160" s="112">
        <f>IF(A160&lt;&gt;0,C160/$C$11*100,"")</f>
        <v>2.6260874058362398</v>
      </c>
      <c r="F160" s="76">
        <v>2740</v>
      </c>
      <c r="G160" s="104">
        <f t="shared" si="14"/>
        <v>83.409436834094365</v>
      </c>
      <c r="H160" s="775"/>
      <c r="I160" s="775">
        <v>40</v>
      </c>
      <c r="J160" s="104">
        <f t="shared" si="15"/>
        <v>1.2176560121765601</v>
      </c>
      <c r="K160" s="775"/>
      <c r="L160" s="775">
        <v>310</v>
      </c>
      <c r="M160" s="104">
        <f t="shared" si="16"/>
        <v>9.43683409436834</v>
      </c>
      <c r="N160" s="775"/>
      <c r="O160" s="775">
        <v>195</v>
      </c>
      <c r="P160" s="105">
        <f t="shared" si="17"/>
        <v>5.93607305936073</v>
      </c>
    </row>
    <row r="161" spans="1:17" ht="9.75" customHeight="1" thickBot="1">
      <c r="A161" s="102"/>
      <c r="B161" s="103"/>
      <c r="C161" s="136"/>
      <c r="D161" s="136"/>
      <c r="E161" s="103"/>
      <c r="F161" s="103"/>
      <c r="G161" s="103"/>
      <c r="H161" s="103"/>
      <c r="I161" s="103"/>
      <c r="J161" s="103"/>
      <c r="K161" s="103"/>
      <c r="L161" s="103"/>
      <c r="M161" s="103"/>
      <c r="N161" s="103"/>
      <c r="O161" s="103"/>
      <c r="P161" s="96"/>
      <c r="Q161" s="102"/>
    </row>
    <row r="162" spans="1:17" ht="9.75" customHeight="1">
      <c r="A162" s="116"/>
      <c r="B162" s="134"/>
      <c r="C162" s="126"/>
      <c r="D162" s="126"/>
      <c r="E162" s="134"/>
      <c r="F162" s="134"/>
      <c r="G162" s="134"/>
      <c r="H162" s="134"/>
      <c r="I162" s="134"/>
      <c r="J162" s="134"/>
      <c r="K162" s="134"/>
      <c r="L162" s="134"/>
      <c r="M162" s="134"/>
      <c r="N162" s="134"/>
      <c r="O162" s="134"/>
      <c r="P162" s="135"/>
      <c r="Q162" s="116"/>
    </row>
    <row r="163" spans="1:17" ht="12" customHeight="1">
      <c r="A163" s="116" t="s">
        <v>588</v>
      </c>
      <c r="B163" s="134"/>
      <c r="C163" s="126"/>
      <c r="D163" s="126"/>
      <c r="E163" s="134"/>
      <c r="F163" s="134"/>
      <c r="G163" s="134"/>
      <c r="H163" s="134"/>
      <c r="I163" s="134"/>
      <c r="J163" s="134"/>
      <c r="K163" s="134"/>
      <c r="L163" s="134"/>
      <c r="M163" s="134"/>
      <c r="N163" s="134"/>
      <c r="O163" s="134"/>
      <c r="P163" s="135"/>
      <c r="Q163" s="116"/>
    </row>
    <row r="164" spans="1:17" ht="8" customHeight="1">
      <c r="A164" s="116"/>
      <c r="B164" s="134"/>
      <c r="C164" s="126"/>
      <c r="D164" s="126"/>
      <c r="E164" s="134"/>
      <c r="F164" s="134"/>
      <c r="G164" s="134"/>
      <c r="H164" s="134"/>
      <c r="I164" s="134"/>
      <c r="J164" s="134"/>
      <c r="K164" s="134"/>
      <c r="L164" s="134"/>
      <c r="M164" s="134"/>
      <c r="N164" s="134"/>
      <c r="O164" s="134"/>
      <c r="P164" s="135"/>
      <c r="Q164" s="116"/>
    </row>
    <row r="165" spans="1:17" ht="13.25" customHeight="1">
      <c r="A165" s="59" t="s">
        <v>647</v>
      </c>
      <c r="B165" s="134"/>
      <c r="C165" s="126"/>
      <c r="D165" s="126"/>
      <c r="E165" s="134"/>
      <c r="F165" s="134"/>
      <c r="G165" s="134"/>
      <c r="H165" s="134"/>
      <c r="I165" s="134"/>
      <c r="J165" s="134"/>
      <c r="K165" s="134"/>
      <c r="L165" s="134"/>
      <c r="M165" s="134"/>
      <c r="N165" s="134"/>
      <c r="O165" s="134"/>
      <c r="P165" s="135"/>
      <c r="Q165" s="116"/>
    </row>
    <row r="166" spans="1:17" ht="8" customHeight="1"/>
    <row r="167" spans="1:17">
      <c r="A167" s="95" t="s">
        <v>431</v>
      </c>
    </row>
    <row r="168" spans="1:17" ht="12" customHeight="1">
      <c r="A168" s="95" t="s">
        <v>471</v>
      </c>
    </row>
  </sheetData>
  <mergeCells count="4">
    <mergeCell ref="C7:D7"/>
    <mergeCell ref="F7:G7"/>
    <mergeCell ref="I7:J7"/>
    <mergeCell ref="L7:M7"/>
  </mergeCells>
  <pageMargins left="0.70866141732283472" right="0.70866141732283472" top="0.74803149606299213" bottom="0.74803149606299213" header="0.31496062992125984" footer="0.31496062992125984"/>
  <pageSetup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39"/>
  <sheetViews>
    <sheetView workbookViewId="0">
      <selection activeCell="A4" sqref="A4"/>
    </sheetView>
  </sheetViews>
  <sheetFormatPr baseColWidth="10" defaultRowHeight="13"/>
  <cols>
    <col min="1" max="1" width="22" style="95" customWidth="1"/>
    <col min="2" max="2" width="2.6640625" style="95" customWidth="1"/>
    <col min="3" max="4" width="0" style="95" hidden="1" customWidth="1"/>
    <col min="5" max="5" width="2.5" style="95" hidden="1" customWidth="1"/>
    <col min="6" max="7" width="0" style="95" hidden="1" customWidth="1"/>
    <col min="8" max="8" width="2.5" style="95" hidden="1" customWidth="1"/>
    <col min="9" max="10" width="10.83203125" style="95"/>
    <col min="11" max="11" width="3.5" style="95" customWidth="1"/>
    <col min="12" max="13" width="10.83203125" style="95"/>
    <col min="14" max="14" width="3" style="95" customWidth="1"/>
    <col min="15" max="16" width="10.83203125" style="95"/>
    <col min="17" max="17" width="2.6640625" style="95" customWidth="1"/>
    <col min="18" max="19" width="10.83203125" style="95"/>
    <col min="20" max="20" width="2.6640625" style="95" customWidth="1"/>
    <col min="21" max="22" width="10.83203125" style="95"/>
    <col min="23" max="23" width="1.6640625" style="95" customWidth="1"/>
    <col min="24" max="256" width="10.83203125" style="95"/>
    <col min="257" max="257" width="22" style="95" customWidth="1"/>
    <col min="258" max="258" width="2.6640625" style="95" customWidth="1"/>
    <col min="259" max="264" width="0" style="95" hidden="1" customWidth="1"/>
    <col min="265" max="266" width="10.83203125" style="95"/>
    <col min="267" max="267" width="3.5" style="95" customWidth="1"/>
    <col min="268" max="269" width="10.83203125" style="95"/>
    <col min="270" max="270" width="3" style="95" customWidth="1"/>
    <col min="271" max="272" width="10.83203125" style="95"/>
    <col min="273" max="273" width="2.6640625" style="95" customWidth="1"/>
    <col min="274" max="275" width="10.83203125" style="95"/>
    <col min="276" max="276" width="2.6640625" style="95" customWidth="1"/>
    <col min="277" max="278" width="10.83203125" style="95"/>
    <col min="279" max="279" width="1.6640625" style="95" customWidth="1"/>
    <col min="280" max="512" width="10.83203125" style="95"/>
    <col min="513" max="513" width="22" style="95" customWidth="1"/>
    <col min="514" max="514" width="2.6640625" style="95" customWidth="1"/>
    <col min="515" max="520" width="0" style="95" hidden="1" customWidth="1"/>
    <col min="521" max="522" width="10.83203125" style="95"/>
    <col min="523" max="523" width="3.5" style="95" customWidth="1"/>
    <col min="524" max="525" width="10.83203125" style="95"/>
    <col min="526" max="526" width="3" style="95" customWidth="1"/>
    <col min="527" max="528" width="10.83203125" style="95"/>
    <col min="529" max="529" width="2.6640625" style="95" customWidth="1"/>
    <col min="530" max="531" width="10.83203125" style="95"/>
    <col min="532" max="532" width="2.6640625" style="95" customWidth="1"/>
    <col min="533" max="534" width="10.83203125" style="95"/>
    <col min="535" max="535" width="1.6640625" style="95" customWidth="1"/>
    <col min="536" max="768" width="10.83203125" style="95"/>
    <col min="769" max="769" width="22" style="95" customWidth="1"/>
    <col min="770" max="770" width="2.6640625" style="95" customWidth="1"/>
    <col min="771" max="776" width="0" style="95" hidden="1" customWidth="1"/>
    <col min="777" max="778" width="10.83203125" style="95"/>
    <col min="779" max="779" width="3.5" style="95" customWidth="1"/>
    <col min="780" max="781" width="10.83203125" style="95"/>
    <col min="782" max="782" width="3" style="95" customWidth="1"/>
    <col min="783" max="784" width="10.83203125" style="95"/>
    <col min="785" max="785" width="2.6640625" style="95" customWidth="1"/>
    <col min="786" max="787" width="10.83203125" style="95"/>
    <col min="788" max="788" width="2.6640625" style="95" customWidth="1"/>
    <col min="789" max="790" width="10.83203125" style="95"/>
    <col min="791" max="791" width="1.6640625" style="95" customWidth="1"/>
    <col min="792" max="1024" width="10.83203125" style="95"/>
    <col min="1025" max="1025" width="22" style="95" customWidth="1"/>
    <col min="1026" max="1026" width="2.6640625" style="95" customWidth="1"/>
    <col min="1027" max="1032" width="0" style="95" hidden="1" customWidth="1"/>
    <col min="1033" max="1034" width="10.83203125" style="95"/>
    <col min="1035" max="1035" width="3.5" style="95" customWidth="1"/>
    <col min="1036" max="1037" width="10.83203125" style="95"/>
    <col min="1038" max="1038" width="3" style="95" customWidth="1"/>
    <col min="1039" max="1040" width="10.83203125" style="95"/>
    <col min="1041" max="1041" width="2.6640625" style="95" customWidth="1"/>
    <col min="1042" max="1043" width="10.83203125" style="95"/>
    <col min="1044" max="1044" width="2.6640625" style="95" customWidth="1"/>
    <col min="1045" max="1046" width="10.83203125" style="95"/>
    <col min="1047" max="1047" width="1.6640625" style="95" customWidth="1"/>
    <col min="1048" max="1280" width="10.83203125" style="95"/>
    <col min="1281" max="1281" width="22" style="95" customWidth="1"/>
    <col min="1282" max="1282" width="2.6640625" style="95" customWidth="1"/>
    <col min="1283" max="1288" width="0" style="95" hidden="1" customWidth="1"/>
    <col min="1289" max="1290" width="10.83203125" style="95"/>
    <col min="1291" max="1291" width="3.5" style="95" customWidth="1"/>
    <col min="1292" max="1293" width="10.83203125" style="95"/>
    <col min="1294" max="1294" width="3" style="95" customWidth="1"/>
    <col min="1295" max="1296" width="10.83203125" style="95"/>
    <col min="1297" max="1297" width="2.6640625" style="95" customWidth="1"/>
    <col min="1298" max="1299" width="10.83203125" style="95"/>
    <col min="1300" max="1300" width="2.6640625" style="95" customWidth="1"/>
    <col min="1301" max="1302" width="10.83203125" style="95"/>
    <col min="1303" max="1303" width="1.6640625" style="95" customWidth="1"/>
    <col min="1304" max="1536" width="10.83203125" style="95"/>
    <col min="1537" max="1537" width="22" style="95" customWidth="1"/>
    <col min="1538" max="1538" width="2.6640625" style="95" customWidth="1"/>
    <col min="1539" max="1544" width="0" style="95" hidden="1" customWidth="1"/>
    <col min="1545" max="1546" width="10.83203125" style="95"/>
    <col min="1547" max="1547" width="3.5" style="95" customWidth="1"/>
    <col min="1548" max="1549" width="10.83203125" style="95"/>
    <col min="1550" max="1550" width="3" style="95" customWidth="1"/>
    <col min="1551" max="1552" width="10.83203125" style="95"/>
    <col min="1553" max="1553" width="2.6640625" style="95" customWidth="1"/>
    <col min="1554" max="1555" width="10.83203125" style="95"/>
    <col min="1556" max="1556" width="2.6640625" style="95" customWidth="1"/>
    <col min="1557" max="1558" width="10.83203125" style="95"/>
    <col min="1559" max="1559" width="1.6640625" style="95" customWidth="1"/>
    <col min="1560" max="1792" width="10.83203125" style="95"/>
    <col min="1793" max="1793" width="22" style="95" customWidth="1"/>
    <col min="1794" max="1794" width="2.6640625" style="95" customWidth="1"/>
    <col min="1795" max="1800" width="0" style="95" hidden="1" customWidth="1"/>
    <col min="1801" max="1802" width="10.83203125" style="95"/>
    <col min="1803" max="1803" width="3.5" style="95" customWidth="1"/>
    <col min="1804" max="1805" width="10.83203125" style="95"/>
    <col min="1806" max="1806" width="3" style="95" customWidth="1"/>
    <col min="1807" max="1808" width="10.83203125" style="95"/>
    <col min="1809" max="1809" width="2.6640625" style="95" customWidth="1"/>
    <col min="1810" max="1811" width="10.83203125" style="95"/>
    <col min="1812" max="1812" width="2.6640625" style="95" customWidth="1"/>
    <col min="1813" max="1814" width="10.83203125" style="95"/>
    <col min="1815" max="1815" width="1.6640625" style="95" customWidth="1"/>
    <col min="1816" max="2048" width="10.83203125" style="95"/>
    <col min="2049" max="2049" width="22" style="95" customWidth="1"/>
    <col min="2050" max="2050" width="2.6640625" style="95" customWidth="1"/>
    <col min="2051" max="2056" width="0" style="95" hidden="1" customWidth="1"/>
    <col min="2057" max="2058" width="10.83203125" style="95"/>
    <col min="2059" max="2059" width="3.5" style="95" customWidth="1"/>
    <col min="2060" max="2061" width="10.83203125" style="95"/>
    <col min="2062" max="2062" width="3" style="95" customWidth="1"/>
    <col min="2063" max="2064" width="10.83203125" style="95"/>
    <col min="2065" max="2065" width="2.6640625" style="95" customWidth="1"/>
    <col min="2066" max="2067" width="10.83203125" style="95"/>
    <col min="2068" max="2068" width="2.6640625" style="95" customWidth="1"/>
    <col min="2069" max="2070" width="10.83203125" style="95"/>
    <col min="2071" max="2071" width="1.6640625" style="95" customWidth="1"/>
    <col min="2072" max="2304" width="10.83203125" style="95"/>
    <col min="2305" max="2305" width="22" style="95" customWidth="1"/>
    <col min="2306" max="2306" width="2.6640625" style="95" customWidth="1"/>
    <col min="2307" max="2312" width="0" style="95" hidden="1" customWidth="1"/>
    <col min="2313" max="2314" width="10.83203125" style="95"/>
    <col min="2315" max="2315" width="3.5" style="95" customWidth="1"/>
    <col min="2316" max="2317" width="10.83203125" style="95"/>
    <col min="2318" max="2318" width="3" style="95" customWidth="1"/>
    <col min="2319" max="2320" width="10.83203125" style="95"/>
    <col min="2321" max="2321" width="2.6640625" style="95" customWidth="1"/>
    <col min="2322" max="2323" width="10.83203125" style="95"/>
    <col min="2324" max="2324" width="2.6640625" style="95" customWidth="1"/>
    <col min="2325" max="2326" width="10.83203125" style="95"/>
    <col min="2327" max="2327" width="1.6640625" style="95" customWidth="1"/>
    <col min="2328" max="2560" width="10.83203125" style="95"/>
    <col min="2561" max="2561" width="22" style="95" customWidth="1"/>
    <col min="2562" max="2562" width="2.6640625" style="95" customWidth="1"/>
    <col min="2563" max="2568" width="0" style="95" hidden="1" customWidth="1"/>
    <col min="2569" max="2570" width="10.83203125" style="95"/>
    <col min="2571" max="2571" width="3.5" style="95" customWidth="1"/>
    <col min="2572" max="2573" width="10.83203125" style="95"/>
    <col min="2574" max="2574" width="3" style="95" customWidth="1"/>
    <col min="2575" max="2576" width="10.83203125" style="95"/>
    <col min="2577" max="2577" width="2.6640625" style="95" customWidth="1"/>
    <col min="2578" max="2579" width="10.83203125" style="95"/>
    <col min="2580" max="2580" width="2.6640625" style="95" customWidth="1"/>
    <col min="2581" max="2582" width="10.83203125" style="95"/>
    <col min="2583" max="2583" width="1.6640625" style="95" customWidth="1"/>
    <col min="2584" max="2816" width="10.83203125" style="95"/>
    <col min="2817" max="2817" width="22" style="95" customWidth="1"/>
    <col min="2818" max="2818" width="2.6640625" style="95" customWidth="1"/>
    <col min="2819" max="2824" width="0" style="95" hidden="1" customWidth="1"/>
    <col min="2825" max="2826" width="10.83203125" style="95"/>
    <col min="2827" max="2827" width="3.5" style="95" customWidth="1"/>
    <col min="2828" max="2829" width="10.83203125" style="95"/>
    <col min="2830" max="2830" width="3" style="95" customWidth="1"/>
    <col min="2831" max="2832" width="10.83203125" style="95"/>
    <col min="2833" max="2833" width="2.6640625" style="95" customWidth="1"/>
    <col min="2834" max="2835" width="10.83203125" style="95"/>
    <col min="2836" max="2836" width="2.6640625" style="95" customWidth="1"/>
    <col min="2837" max="2838" width="10.83203125" style="95"/>
    <col min="2839" max="2839" width="1.6640625" style="95" customWidth="1"/>
    <col min="2840" max="3072" width="10.83203125" style="95"/>
    <col min="3073" max="3073" width="22" style="95" customWidth="1"/>
    <col min="3074" max="3074" width="2.6640625" style="95" customWidth="1"/>
    <col min="3075" max="3080" width="0" style="95" hidden="1" customWidth="1"/>
    <col min="3081" max="3082" width="10.83203125" style="95"/>
    <col min="3083" max="3083" width="3.5" style="95" customWidth="1"/>
    <col min="3084" max="3085" width="10.83203125" style="95"/>
    <col min="3086" max="3086" width="3" style="95" customWidth="1"/>
    <col min="3087" max="3088" width="10.83203125" style="95"/>
    <col min="3089" max="3089" width="2.6640625" style="95" customWidth="1"/>
    <col min="3090" max="3091" width="10.83203125" style="95"/>
    <col min="3092" max="3092" width="2.6640625" style="95" customWidth="1"/>
    <col min="3093" max="3094" width="10.83203125" style="95"/>
    <col min="3095" max="3095" width="1.6640625" style="95" customWidth="1"/>
    <col min="3096" max="3328" width="10.83203125" style="95"/>
    <col min="3329" max="3329" width="22" style="95" customWidth="1"/>
    <col min="3330" max="3330" width="2.6640625" style="95" customWidth="1"/>
    <col min="3331" max="3336" width="0" style="95" hidden="1" customWidth="1"/>
    <col min="3337" max="3338" width="10.83203125" style="95"/>
    <col min="3339" max="3339" width="3.5" style="95" customWidth="1"/>
    <col min="3340" max="3341" width="10.83203125" style="95"/>
    <col min="3342" max="3342" width="3" style="95" customWidth="1"/>
    <col min="3343" max="3344" width="10.83203125" style="95"/>
    <col min="3345" max="3345" width="2.6640625" style="95" customWidth="1"/>
    <col min="3346" max="3347" width="10.83203125" style="95"/>
    <col min="3348" max="3348" width="2.6640625" style="95" customWidth="1"/>
    <col min="3349" max="3350" width="10.83203125" style="95"/>
    <col min="3351" max="3351" width="1.6640625" style="95" customWidth="1"/>
    <col min="3352" max="3584" width="10.83203125" style="95"/>
    <col min="3585" max="3585" width="22" style="95" customWidth="1"/>
    <col min="3586" max="3586" width="2.6640625" style="95" customWidth="1"/>
    <col min="3587" max="3592" width="0" style="95" hidden="1" customWidth="1"/>
    <col min="3593" max="3594" width="10.83203125" style="95"/>
    <col min="3595" max="3595" width="3.5" style="95" customWidth="1"/>
    <col min="3596" max="3597" width="10.83203125" style="95"/>
    <col min="3598" max="3598" width="3" style="95" customWidth="1"/>
    <col min="3599" max="3600" width="10.83203125" style="95"/>
    <col min="3601" max="3601" width="2.6640625" style="95" customWidth="1"/>
    <col min="3602" max="3603" width="10.83203125" style="95"/>
    <col min="3604" max="3604" width="2.6640625" style="95" customWidth="1"/>
    <col min="3605" max="3606" width="10.83203125" style="95"/>
    <col min="3607" max="3607" width="1.6640625" style="95" customWidth="1"/>
    <col min="3608" max="3840" width="10.83203125" style="95"/>
    <col min="3841" max="3841" width="22" style="95" customWidth="1"/>
    <col min="3842" max="3842" width="2.6640625" style="95" customWidth="1"/>
    <col min="3843" max="3848" width="0" style="95" hidden="1" customWidth="1"/>
    <col min="3849" max="3850" width="10.83203125" style="95"/>
    <col min="3851" max="3851" width="3.5" style="95" customWidth="1"/>
    <col min="3852" max="3853" width="10.83203125" style="95"/>
    <col min="3854" max="3854" width="3" style="95" customWidth="1"/>
    <col min="3855" max="3856" width="10.83203125" style="95"/>
    <col min="3857" max="3857" width="2.6640625" style="95" customWidth="1"/>
    <col min="3858" max="3859" width="10.83203125" style="95"/>
    <col min="3860" max="3860" width="2.6640625" style="95" customWidth="1"/>
    <col min="3861" max="3862" width="10.83203125" style="95"/>
    <col min="3863" max="3863" width="1.6640625" style="95" customWidth="1"/>
    <col min="3864" max="4096" width="10.83203125" style="95"/>
    <col min="4097" max="4097" width="22" style="95" customWidth="1"/>
    <col min="4098" max="4098" width="2.6640625" style="95" customWidth="1"/>
    <col min="4099" max="4104" width="0" style="95" hidden="1" customWidth="1"/>
    <col min="4105" max="4106" width="10.83203125" style="95"/>
    <col min="4107" max="4107" width="3.5" style="95" customWidth="1"/>
    <col min="4108" max="4109" width="10.83203125" style="95"/>
    <col min="4110" max="4110" width="3" style="95" customWidth="1"/>
    <col min="4111" max="4112" width="10.83203125" style="95"/>
    <col min="4113" max="4113" width="2.6640625" style="95" customWidth="1"/>
    <col min="4114" max="4115" width="10.83203125" style="95"/>
    <col min="4116" max="4116" width="2.6640625" style="95" customWidth="1"/>
    <col min="4117" max="4118" width="10.83203125" style="95"/>
    <col min="4119" max="4119" width="1.6640625" style="95" customWidth="1"/>
    <col min="4120" max="4352" width="10.83203125" style="95"/>
    <col min="4353" max="4353" width="22" style="95" customWidth="1"/>
    <col min="4354" max="4354" width="2.6640625" style="95" customWidth="1"/>
    <col min="4355" max="4360" width="0" style="95" hidden="1" customWidth="1"/>
    <col min="4361" max="4362" width="10.83203125" style="95"/>
    <col min="4363" max="4363" width="3.5" style="95" customWidth="1"/>
    <col min="4364" max="4365" width="10.83203125" style="95"/>
    <col min="4366" max="4366" width="3" style="95" customWidth="1"/>
    <col min="4367" max="4368" width="10.83203125" style="95"/>
    <col min="4369" max="4369" width="2.6640625" style="95" customWidth="1"/>
    <col min="4370" max="4371" width="10.83203125" style="95"/>
    <col min="4372" max="4372" width="2.6640625" style="95" customWidth="1"/>
    <col min="4373" max="4374" width="10.83203125" style="95"/>
    <col min="4375" max="4375" width="1.6640625" style="95" customWidth="1"/>
    <col min="4376" max="4608" width="10.83203125" style="95"/>
    <col min="4609" max="4609" width="22" style="95" customWidth="1"/>
    <col min="4610" max="4610" width="2.6640625" style="95" customWidth="1"/>
    <col min="4611" max="4616" width="0" style="95" hidden="1" customWidth="1"/>
    <col min="4617" max="4618" width="10.83203125" style="95"/>
    <col min="4619" max="4619" width="3.5" style="95" customWidth="1"/>
    <col min="4620" max="4621" width="10.83203125" style="95"/>
    <col min="4622" max="4622" width="3" style="95" customWidth="1"/>
    <col min="4623" max="4624" width="10.83203125" style="95"/>
    <col min="4625" max="4625" width="2.6640625" style="95" customWidth="1"/>
    <col min="4626" max="4627" width="10.83203125" style="95"/>
    <col min="4628" max="4628" width="2.6640625" style="95" customWidth="1"/>
    <col min="4629" max="4630" width="10.83203125" style="95"/>
    <col min="4631" max="4631" width="1.6640625" style="95" customWidth="1"/>
    <col min="4632" max="4864" width="10.83203125" style="95"/>
    <col min="4865" max="4865" width="22" style="95" customWidth="1"/>
    <col min="4866" max="4866" width="2.6640625" style="95" customWidth="1"/>
    <col min="4867" max="4872" width="0" style="95" hidden="1" customWidth="1"/>
    <col min="4873" max="4874" width="10.83203125" style="95"/>
    <col min="4875" max="4875" width="3.5" style="95" customWidth="1"/>
    <col min="4876" max="4877" width="10.83203125" style="95"/>
    <col min="4878" max="4878" width="3" style="95" customWidth="1"/>
    <col min="4879" max="4880" width="10.83203125" style="95"/>
    <col min="4881" max="4881" width="2.6640625" style="95" customWidth="1"/>
    <col min="4882" max="4883" width="10.83203125" style="95"/>
    <col min="4884" max="4884" width="2.6640625" style="95" customWidth="1"/>
    <col min="4885" max="4886" width="10.83203125" style="95"/>
    <col min="4887" max="4887" width="1.6640625" style="95" customWidth="1"/>
    <col min="4888" max="5120" width="10.83203125" style="95"/>
    <col min="5121" max="5121" width="22" style="95" customWidth="1"/>
    <col min="5122" max="5122" width="2.6640625" style="95" customWidth="1"/>
    <col min="5123" max="5128" width="0" style="95" hidden="1" customWidth="1"/>
    <col min="5129" max="5130" width="10.83203125" style="95"/>
    <col min="5131" max="5131" width="3.5" style="95" customWidth="1"/>
    <col min="5132" max="5133" width="10.83203125" style="95"/>
    <col min="5134" max="5134" width="3" style="95" customWidth="1"/>
    <col min="5135" max="5136" width="10.83203125" style="95"/>
    <col min="5137" max="5137" width="2.6640625" style="95" customWidth="1"/>
    <col min="5138" max="5139" width="10.83203125" style="95"/>
    <col min="5140" max="5140" width="2.6640625" style="95" customWidth="1"/>
    <col min="5141" max="5142" width="10.83203125" style="95"/>
    <col min="5143" max="5143" width="1.6640625" style="95" customWidth="1"/>
    <col min="5144" max="5376" width="10.83203125" style="95"/>
    <col min="5377" max="5377" width="22" style="95" customWidth="1"/>
    <col min="5378" max="5378" width="2.6640625" style="95" customWidth="1"/>
    <col min="5379" max="5384" width="0" style="95" hidden="1" customWidth="1"/>
    <col min="5385" max="5386" width="10.83203125" style="95"/>
    <col min="5387" max="5387" width="3.5" style="95" customWidth="1"/>
    <col min="5388" max="5389" width="10.83203125" style="95"/>
    <col min="5390" max="5390" width="3" style="95" customWidth="1"/>
    <col min="5391" max="5392" width="10.83203125" style="95"/>
    <col min="5393" max="5393" width="2.6640625" style="95" customWidth="1"/>
    <col min="5394" max="5395" width="10.83203125" style="95"/>
    <col min="5396" max="5396" width="2.6640625" style="95" customWidth="1"/>
    <col min="5397" max="5398" width="10.83203125" style="95"/>
    <col min="5399" max="5399" width="1.6640625" style="95" customWidth="1"/>
    <col min="5400" max="5632" width="10.83203125" style="95"/>
    <col min="5633" max="5633" width="22" style="95" customWidth="1"/>
    <col min="5634" max="5634" width="2.6640625" style="95" customWidth="1"/>
    <col min="5635" max="5640" width="0" style="95" hidden="1" customWidth="1"/>
    <col min="5641" max="5642" width="10.83203125" style="95"/>
    <col min="5643" max="5643" width="3.5" style="95" customWidth="1"/>
    <col min="5644" max="5645" width="10.83203125" style="95"/>
    <col min="5646" max="5646" width="3" style="95" customWidth="1"/>
    <col min="5647" max="5648" width="10.83203125" style="95"/>
    <col min="5649" max="5649" width="2.6640625" style="95" customWidth="1"/>
    <col min="5650" max="5651" width="10.83203125" style="95"/>
    <col min="5652" max="5652" width="2.6640625" style="95" customWidth="1"/>
    <col min="5653" max="5654" width="10.83203125" style="95"/>
    <col min="5655" max="5655" width="1.6640625" style="95" customWidth="1"/>
    <col min="5656" max="5888" width="10.83203125" style="95"/>
    <col min="5889" max="5889" width="22" style="95" customWidth="1"/>
    <col min="5890" max="5890" width="2.6640625" style="95" customWidth="1"/>
    <col min="5891" max="5896" width="0" style="95" hidden="1" customWidth="1"/>
    <col min="5897" max="5898" width="10.83203125" style="95"/>
    <col min="5899" max="5899" width="3.5" style="95" customWidth="1"/>
    <col min="5900" max="5901" width="10.83203125" style="95"/>
    <col min="5902" max="5902" width="3" style="95" customWidth="1"/>
    <col min="5903" max="5904" width="10.83203125" style="95"/>
    <col min="5905" max="5905" width="2.6640625" style="95" customWidth="1"/>
    <col min="5906" max="5907" width="10.83203125" style="95"/>
    <col min="5908" max="5908" width="2.6640625" style="95" customWidth="1"/>
    <col min="5909" max="5910" width="10.83203125" style="95"/>
    <col min="5911" max="5911" width="1.6640625" style="95" customWidth="1"/>
    <col min="5912" max="6144" width="10.83203125" style="95"/>
    <col min="6145" max="6145" width="22" style="95" customWidth="1"/>
    <col min="6146" max="6146" width="2.6640625" style="95" customWidth="1"/>
    <col min="6147" max="6152" width="0" style="95" hidden="1" customWidth="1"/>
    <col min="6153" max="6154" width="10.83203125" style="95"/>
    <col min="6155" max="6155" width="3.5" style="95" customWidth="1"/>
    <col min="6156" max="6157" width="10.83203125" style="95"/>
    <col min="6158" max="6158" width="3" style="95" customWidth="1"/>
    <col min="6159" max="6160" width="10.83203125" style="95"/>
    <col min="6161" max="6161" width="2.6640625" style="95" customWidth="1"/>
    <col min="6162" max="6163" width="10.83203125" style="95"/>
    <col min="6164" max="6164" width="2.6640625" style="95" customWidth="1"/>
    <col min="6165" max="6166" width="10.83203125" style="95"/>
    <col min="6167" max="6167" width="1.6640625" style="95" customWidth="1"/>
    <col min="6168" max="6400" width="10.83203125" style="95"/>
    <col min="6401" max="6401" width="22" style="95" customWidth="1"/>
    <col min="6402" max="6402" width="2.6640625" style="95" customWidth="1"/>
    <col min="6403" max="6408" width="0" style="95" hidden="1" customWidth="1"/>
    <col min="6409" max="6410" width="10.83203125" style="95"/>
    <col min="6411" max="6411" width="3.5" style="95" customWidth="1"/>
    <col min="6412" max="6413" width="10.83203125" style="95"/>
    <col min="6414" max="6414" width="3" style="95" customWidth="1"/>
    <col min="6415" max="6416" width="10.83203125" style="95"/>
    <col min="6417" max="6417" width="2.6640625" style="95" customWidth="1"/>
    <col min="6418" max="6419" width="10.83203125" style="95"/>
    <col min="6420" max="6420" width="2.6640625" style="95" customWidth="1"/>
    <col min="6421" max="6422" width="10.83203125" style="95"/>
    <col min="6423" max="6423" width="1.6640625" style="95" customWidth="1"/>
    <col min="6424" max="6656" width="10.83203125" style="95"/>
    <col min="6657" max="6657" width="22" style="95" customWidth="1"/>
    <col min="6658" max="6658" width="2.6640625" style="95" customWidth="1"/>
    <col min="6659" max="6664" width="0" style="95" hidden="1" customWidth="1"/>
    <col min="6665" max="6666" width="10.83203125" style="95"/>
    <col min="6667" max="6667" width="3.5" style="95" customWidth="1"/>
    <col min="6668" max="6669" width="10.83203125" style="95"/>
    <col min="6670" max="6670" width="3" style="95" customWidth="1"/>
    <col min="6671" max="6672" width="10.83203125" style="95"/>
    <col min="6673" max="6673" width="2.6640625" style="95" customWidth="1"/>
    <col min="6674" max="6675" width="10.83203125" style="95"/>
    <col min="6676" max="6676" width="2.6640625" style="95" customWidth="1"/>
    <col min="6677" max="6678" width="10.83203125" style="95"/>
    <col min="6679" max="6679" width="1.6640625" style="95" customWidth="1"/>
    <col min="6680" max="6912" width="10.83203125" style="95"/>
    <col min="6913" max="6913" width="22" style="95" customWidth="1"/>
    <col min="6914" max="6914" width="2.6640625" style="95" customWidth="1"/>
    <col min="6915" max="6920" width="0" style="95" hidden="1" customWidth="1"/>
    <col min="6921" max="6922" width="10.83203125" style="95"/>
    <col min="6923" max="6923" width="3.5" style="95" customWidth="1"/>
    <col min="6924" max="6925" width="10.83203125" style="95"/>
    <col min="6926" max="6926" width="3" style="95" customWidth="1"/>
    <col min="6927" max="6928" width="10.83203125" style="95"/>
    <col min="6929" max="6929" width="2.6640625" style="95" customWidth="1"/>
    <col min="6930" max="6931" width="10.83203125" style="95"/>
    <col min="6932" max="6932" width="2.6640625" style="95" customWidth="1"/>
    <col min="6933" max="6934" width="10.83203125" style="95"/>
    <col min="6935" max="6935" width="1.6640625" style="95" customWidth="1"/>
    <col min="6936" max="7168" width="10.83203125" style="95"/>
    <col min="7169" max="7169" width="22" style="95" customWidth="1"/>
    <col min="7170" max="7170" width="2.6640625" style="95" customWidth="1"/>
    <col min="7171" max="7176" width="0" style="95" hidden="1" customWidth="1"/>
    <col min="7177" max="7178" width="10.83203125" style="95"/>
    <col min="7179" max="7179" width="3.5" style="95" customWidth="1"/>
    <col min="7180" max="7181" width="10.83203125" style="95"/>
    <col min="7182" max="7182" width="3" style="95" customWidth="1"/>
    <col min="7183" max="7184" width="10.83203125" style="95"/>
    <col min="7185" max="7185" width="2.6640625" style="95" customWidth="1"/>
    <col min="7186" max="7187" width="10.83203125" style="95"/>
    <col min="7188" max="7188" width="2.6640625" style="95" customWidth="1"/>
    <col min="7189" max="7190" width="10.83203125" style="95"/>
    <col min="7191" max="7191" width="1.6640625" style="95" customWidth="1"/>
    <col min="7192" max="7424" width="10.83203125" style="95"/>
    <col min="7425" max="7425" width="22" style="95" customWidth="1"/>
    <col min="7426" max="7426" width="2.6640625" style="95" customWidth="1"/>
    <col min="7427" max="7432" width="0" style="95" hidden="1" customWidth="1"/>
    <col min="7433" max="7434" width="10.83203125" style="95"/>
    <col min="7435" max="7435" width="3.5" style="95" customWidth="1"/>
    <col min="7436" max="7437" width="10.83203125" style="95"/>
    <col min="7438" max="7438" width="3" style="95" customWidth="1"/>
    <col min="7439" max="7440" width="10.83203125" style="95"/>
    <col min="7441" max="7441" width="2.6640625" style="95" customWidth="1"/>
    <col min="7442" max="7443" width="10.83203125" style="95"/>
    <col min="7444" max="7444" width="2.6640625" style="95" customWidth="1"/>
    <col min="7445" max="7446" width="10.83203125" style="95"/>
    <col min="7447" max="7447" width="1.6640625" style="95" customWidth="1"/>
    <col min="7448" max="7680" width="10.83203125" style="95"/>
    <col min="7681" max="7681" width="22" style="95" customWidth="1"/>
    <col min="7682" max="7682" width="2.6640625" style="95" customWidth="1"/>
    <col min="7683" max="7688" width="0" style="95" hidden="1" customWidth="1"/>
    <col min="7689" max="7690" width="10.83203125" style="95"/>
    <col min="7691" max="7691" width="3.5" style="95" customWidth="1"/>
    <col min="7692" max="7693" width="10.83203125" style="95"/>
    <col min="7694" max="7694" width="3" style="95" customWidth="1"/>
    <col min="7695" max="7696" width="10.83203125" style="95"/>
    <col min="7697" max="7697" width="2.6640625" style="95" customWidth="1"/>
    <col min="7698" max="7699" width="10.83203125" style="95"/>
    <col min="7700" max="7700" width="2.6640625" style="95" customWidth="1"/>
    <col min="7701" max="7702" width="10.83203125" style="95"/>
    <col min="7703" max="7703" width="1.6640625" style="95" customWidth="1"/>
    <col min="7704" max="7936" width="10.83203125" style="95"/>
    <col min="7937" max="7937" width="22" style="95" customWidth="1"/>
    <col min="7938" max="7938" width="2.6640625" style="95" customWidth="1"/>
    <col min="7939" max="7944" width="0" style="95" hidden="1" customWidth="1"/>
    <col min="7945" max="7946" width="10.83203125" style="95"/>
    <col min="7947" max="7947" width="3.5" style="95" customWidth="1"/>
    <col min="7948" max="7949" width="10.83203125" style="95"/>
    <col min="7950" max="7950" width="3" style="95" customWidth="1"/>
    <col min="7951" max="7952" width="10.83203125" style="95"/>
    <col min="7953" max="7953" width="2.6640625" style="95" customWidth="1"/>
    <col min="7954" max="7955" width="10.83203125" style="95"/>
    <col min="7956" max="7956" width="2.6640625" style="95" customWidth="1"/>
    <col min="7957" max="7958" width="10.83203125" style="95"/>
    <col min="7959" max="7959" width="1.6640625" style="95" customWidth="1"/>
    <col min="7960" max="8192" width="10.83203125" style="95"/>
    <col min="8193" max="8193" width="22" style="95" customWidth="1"/>
    <col min="8194" max="8194" width="2.6640625" style="95" customWidth="1"/>
    <col min="8195" max="8200" width="0" style="95" hidden="1" customWidth="1"/>
    <col min="8201" max="8202" width="10.83203125" style="95"/>
    <col min="8203" max="8203" width="3.5" style="95" customWidth="1"/>
    <col min="8204" max="8205" width="10.83203125" style="95"/>
    <col min="8206" max="8206" width="3" style="95" customWidth="1"/>
    <col min="8207" max="8208" width="10.83203125" style="95"/>
    <col min="8209" max="8209" width="2.6640625" style="95" customWidth="1"/>
    <col min="8210" max="8211" width="10.83203125" style="95"/>
    <col min="8212" max="8212" width="2.6640625" style="95" customWidth="1"/>
    <col min="8213" max="8214" width="10.83203125" style="95"/>
    <col min="8215" max="8215" width="1.6640625" style="95" customWidth="1"/>
    <col min="8216" max="8448" width="10.83203125" style="95"/>
    <col min="8449" max="8449" width="22" style="95" customWidth="1"/>
    <col min="8450" max="8450" width="2.6640625" style="95" customWidth="1"/>
    <col min="8451" max="8456" width="0" style="95" hidden="1" customWidth="1"/>
    <col min="8457" max="8458" width="10.83203125" style="95"/>
    <col min="8459" max="8459" width="3.5" style="95" customWidth="1"/>
    <col min="8460" max="8461" width="10.83203125" style="95"/>
    <col min="8462" max="8462" width="3" style="95" customWidth="1"/>
    <col min="8463" max="8464" width="10.83203125" style="95"/>
    <col min="8465" max="8465" width="2.6640625" style="95" customWidth="1"/>
    <col min="8466" max="8467" width="10.83203125" style="95"/>
    <col min="8468" max="8468" width="2.6640625" style="95" customWidth="1"/>
    <col min="8469" max="8470" width="10.83203125" style="95"/>
    <col min="8471" max="8471" width="1.6640625" style="95" customWidth="1"/>
    <col min="8472" max="8704" width="10.83203125" style="95"/>
    <col min="8705" max="8705" width="22" style="95" customWidth="1"/>
    <col min="8706" max="8706" width="2.6640625" style="95" customWidth="1"/>
    <col min="8707" max="8712" width="0" style="95" hidden="1" customWidth="1"/>
    <col min="8713" max="8714" width="10.83203125" style="95"/>
    <col min="8715" max="8715" width="3.5" style="95" customWidth="1"/>
    <col min="8716" max="8717" width="10.83203125" style="95"/>
    <col min="8718" max="8718" width="3" style="95" customWidth="1"/>
    <col min="8719" max="8720" width="10.83203125" style="95"/>
    <col min="8721" max="8721" width="2.6640625" style="95" customWidth="1"/>
    <col min="8722" max="8723" width="10.83203125" style="95"/>
    <col min="8724" max="8724" width="2.6640625" style="95" customWidth="1"/>
    <col min="8725" max="8726" width="10.83203125" style="95"/>
    <col min="8727" max="8727" width="1.6640625" style="95" customWidth="1"/>
    <col min="8728" max="8960" width="10.83203125" style="95"/>
    <col min="8961" max="8961" width="22" style="95" customWidth="1"/>
    <col min="8962" max="8962" width="2.6640625" style="95" customWidth="1"/>
    <col min="8963" max="8968" width="0" style="95" hidden="1" customWidth="1"/>
    <col min="8969" max="8970" width="10.83203125" style="95"/>
    <col min="8971" max="8971" width="3.5" style="95" customWidth="1"/>
    <col min="8972" max="8973" width="10.83203125" style="95"/>
    <col min="8974" max="8974" width="3" style="95" customWidth="1"/>
    <col min="8975" max="8976" width="10.83203125" style="95"/>
    <col min="8977" max="8977" width="2.6640625" style="95" customWidth="1"/>
    <col min="8978" max="8979" width="10.83203125" style="95"/>
    <col min="8980" max="8980" width="2.6640625" style="95" customWidth="1"/>
    <col min="8981" max="8982" width="10.83203125" style="95"/>
    <col min="8983" max="8983" width="1.6640625" style="95" customWidth="1"/>
    <col min="8984" max="9216" width="10.83203125" style="95"/>
    <col min="9217" max="9217" width="22" style="95" customWidth="1"/>
    <col min="9218" max="9218" width="2.6640625" style="95" customWidth="1"/>
    <col min="9219" max="9224" width="0" style="95" hidden="1" customWidth="1"/>
    <col min="9225" max="9226" width="10.83203125" style="95"/>
    <col min="9227" max="9227" width="3.5" style="95" customWidth="1"/>
    <col min="9228" max="9229" width="10.83203125" style="95"/>
    <col min="9230" max="9230" width="3" style="95" customWidth="1"/>
    <col min="9231" max="9232" width="10.83203125" style="95"/>
    <col min="9233" max="9233" width="2.6640625" style="95" customWidth="1"/>
    <col min="9234" max="9235" width="10.83203125" style="95"/>
    <col min="9236" max="9236" width="2.6640625" style="95" customWidth="1"/>
    <col min="9237" max="9238" width="10.83203125" style="95"/>
    <col min="9239" max="9239" width="1.6640625" style="95" customWidth="1"/>
    <col min="9240" max="9472" width="10.83203125" style="95"/>
    <col min="9473" max="9473" width="22" style="95" customWidth="1"/>
    <col min="9474" max="9474" width="2.6640625" style="95" customWidth="1"/>
    <col min="9475" max="9480" width="0" style="95" hidden="1" customWidth="1"/>
    <col min="9481" max="9482" width="10.83203125" style="95"/>
    <col min="9483" max="9483" width="3.5" style="95" customWidth="1"/>
    <col min="9484" max="9485" width="10.83203125" style="95"/>
    <col min="9486" max="9486" width="3" style="95" customWidth="1"/>
    <col min="9487" max="9488" width="10.83203125" style="95"/>
    <col min="9489" max="9489" width="2.6640625" style="95" customWidth="1"/>
    <col min="9490" max="9491" width="10.83203125" style="95"/>
    <col min="9492" max="9492" width="2.6640625" style="95" customWidth="1"/>
    <col min="9493" max="9494" width="10.83203125" style="95"/>
    <col min="9495" max="9495" width="1.6640625" style="95" customWidth="1"/>
    <col min="9496" max="9728" width="10.83203125" style="95"/>
    <col min="9729" max="9729" width="22" style="95" customWidth="1"/>
    <col min="9730" max="9730" width="2.6640625" style="95" customWidth="1"/>
    <col min="9731" max="9736" width="0" style="95" hidden="1" customWidth="1"/>
    <col min="9737" max="9738" width="10.83203125" style="95"/>
    <col min="9739" max="9739" width="3.5" style="95" customWidth="1"/>
    <col min="9740" max="9741" width="10.83203125" style="95"/>
    <col min="9742" max="9742" width="3" style="95" customWidth="1"/>
    <col min="9743" max="9744" width="10.83203125" style="95"/>
    <col min="9745" max="9745" width="2.6640625" style="95" customWidth="1"/>
    <col min="9746" max="9747" width="10.83203125" style="95"/>
    <col min="9748" max="9748" width="2.6640625" style="95" customWidth="1"/>
    <col min="9749" max="9750" width="10.83203125" style="95"/>
    <col min="9751" max="9751" width="1.6640625" style="95" customWidth="1"/>
    <col min="9752" max="9984" width="10.83203125" style="95"/>
    <col min="9985" max="9985" width="22" style="95" customWidth="1"/>
    <col min="9986" max="9986" width="2.6640625" style="95" customWidth="1"/>
    <col min="9987" max="9992" width="0" style="95" hidden="1" customWidth="1"/>
    <col min="9993" max="9994" width="10.83203125" style="95"/>
    <col min="9995" max="9995" width="3.5" style="95" customWidth="1"/>
    <col min="9996" max="9997" width="10.83203125" style="95"/>
    <col min="9998" max="9998" width="3" style="95" customWidth="1"/>
    <col min="9999" max="10000" width="10.83203125" style="95"/>
    <col min="10001" max="10001" width="2.6640625" style="95" customWidth="1"/>
    <col min="10002" max="10003" width="10.83203125" style="95"/>
    <col min="10004" max="10004" width="2.6640625" style="95" customWidth="1"/>
    <col min="10005" max="10006" width="10.83203125" style="95"/>
    <col min="10007" max="10007" width="1.6640625" style="95" customWidth="1"/>
    <col min="10008" max="10240" width="10.83203125" style="95"/>
    <col min="10241" max="10241" width="22" style="95" customWidth="1"/>
    <col min="10242" max="10242" width="2.6640625" style="95" customWidth="1"/>
    <col min="10243" max="10248" width="0" style="95" hidden="1" customWidth="1"/>
    <col min="10249" max="10250" width="10.83203125" style="95"/>
    <col min="10251" max="10251" width="3.5" style="95" customWidth="1"/>
    <col min="10252" max="10253" width="10.83203125" style="95"/>
    <col min="10254" max="10254" width="3" style="95" customWidth="1"/>
    <col min="10255" max="10256" width="10.83203125" style="95"/>
    <col min="10257" max="10257" width="2.6640625" style="95" customWidth="1"/>
    <col min="10258" max="10259" width="10.83203125" style="95"/>
    <col min="10260" max="10260" width="2.6640625" style="95" customWidth="1"/>
    <col min="10261" max="10262" width="10.83203125" style="95"/>
    <col min="10263" max="10263" width="1.6640625" style="95" customWidth="1"/>
    <col min="10264" max="10496" width="10.83203125" style="95"/>
    <col min="10497" max="10497" width="22" style="95" customWidth="1"/>
    <col min="10498" max="10498" width="2.6640625" style="95" customWidth="1"/>
    <col min="10499" max="10504" width="0" style="95" hidden="1" customWidth="1"/>
    <col min="10505" max="10506" width="10.83203125" style="95"/>
    <col min="10507" max="10507" width="3.5" style="95" customWidth="1"/>
    <col min="10508" max="10509" width="10.83203125" style="95"/>
    <col min="10510" max="10510" width="3" style="95" customWidth="1"/>
    <col min="10511" max="10512" width="10.83203125" style="95"/>
    <col min="10513" max="10513" width="2.6640625" style="95" customWidth="1"/>
    <col min="10514" max="10515" width="10.83203125" style="95"/>
    <col min="10516" max="10516" width="2.6640625" style="95" customWidth="1"/>
    <col min="10517" max="10518" width="10.83203125" style="95"/>
    <col min="10519" max="10519" width="1.6640625" style="95" customWidth="1"/>
    <col min="10520" max="10752" width="10.83203125" style="95"/>
    <col min="10753" max="10753" width="22" style="95" customWidth="1"/>
    <col min="10754" max="10754" width="2.6640625" style="95" customWidth="1"/>
    <col min="10755" max="10760" width="0" style="95" hidden="1" customWidth="1"/>
    <col min="10761" max="10762" width="10.83203125" style="95"/>
    <col min="10763" max="10763" width="3.5" style="95" customWidth="1"/>
    <col min="10764" max="10765" width="10.83203125" style="95"/>
    <col min="10766" max="10766" width="3" style="95" customWidth="1"/>
    <col min="10767" max="10768" width="10.83203125" style="95"/>
    <col min="10769" max="10769" width="2.6640625" style="95" customWidth="1"/>
    <col min="10770" max="10771" width="10.83203125" style="95"/>
    <col min="10772" max="10772" width="2.6640625" style="95" customWidth="1"/>
    <col min="10773" max="10774" width="10.83203125" style="95"/>
    <col min="10775" max="10775" width="1.6640625" style="95" customWidth="1"/>
    <col min="10776" max="11008" width="10.83203125" style="95"/>
    <col min="11009" max="11009" width="22" style="95" customWidth="1"/>
    <col min="11010" max="11010" width="2.6640625" style="95" customWidth="1"/>
    <col min="11011" max="11016" width="0" style="95" hidden="1" customWidth="1"/>
    <col min="11017" max="11018" width="10.83203125" style="95"/>
    <col min="11019" max="11019" width="3.5" style="95" customWidth="1"/>
    <col min="11020" max="11021" width="10.83203125" style="95"/>
    <col min="11022" max="11022" width="3" style="95" customWidth="1"/>
    <col min="11023" max="11024" width="10.83203125" style="95"/>
    <col min="11025" max="11025" width="2.6640625" style="95" customWidth="1"/>
    <col min="11026" max="11027" width="10.83203125" style="95"/>
    <col min="11028" max="11028" width="2.6640625" style="95" customWidth="1"/>
    <col min="11029" max="11030" width="10.83203125" style="95"/>
    <col min="11031" max="11031" width="1.6640625" style="95" customWidth="1"/>
    <col min="11032" max="11264" width="10.83203125" style="95"/>
    <col min="11265" max="11265" width="22" style="95" customWidth="1"/>
    <col min="11266" max="11266" width="2.6640625" style="95" customWidth="1"/>
    <col min="11267" max="11272" width="0" style="95" hidden="1" customWidth="1"/>
    <col min="11273" max="11274" width="10.83203125" style="95"/>
    <col min="11275" max="11275" width="3.5" style="95" customWidth="1"/>
    <col min="11276" max="11277" width="10.83203125" style="95"/>
    <col min="11278" max="11278" width="3" style="95" customWidth="1"/>
    <col min="11279" max="11280" width="10.83203125" style="95"/>
    <col min="11281" max="11281" width="2.6640625" style="95" customWidth="1"/>
    <col min="11282" max="11283" width="10.83203125" style="95"/>
    <col min="11284" max="11284" width="2.6640625" style="95" customWidth="1"/>
    <col min="11285" max="11286" width="10.83203125" style="95"/>
    <col min="11287" max="11287" width="1.6640625" style="95" customWidth="1"/>
    <col min="11288" max="11520" width="10.83203125" style="95"/>
    <col min="11521" max="11521" width="22" style="95" customWidth="1"/>
    <col min="11522" max="11522" width="2.6640625" style="95" customWidth="1"/>
    <col min="11523" max="11528" width="0" style="95" hidden="1" customWidth="1"/>
    <col min="11529" max="11530" width="10.83203125" style="95"/>
    <col min="11531" max="11531" width="3.5" style="95" customWidth="1"/>
    <col min="11532" max="11533" width="10.83203125" style="95"/>
    <col min="11534" max="11534" width="3" style="95" customWidth="1"/>
    <col min="11535" max="11536" width="10.83203125" style="95"/>
    <col min="11537" max="11537" width="2.6640625" style="95" customWidth="1"/>
    <col min="11538" max="11539" width="10.83203125" style="95"/>
    <col min="11540" max="11540" width="2.6640625" style="95" customWidth="1"/>
    <col min="11541" max="11542" width="10.83203125" style="95"/>
    <col min="11543" max="11543" width="1.6640625" style="95" customWidth="1"/>
    <col min="11544" max="11776" width="10.83203125" style="95"/>
    <col min="11777" max="11777" width="22" style="95" customWidth="1"/>
    <col min="11778" max="11778" width="2.6640625" style="95" customWidth="1"/>
    <col min="11779" max="11784" width="0" style="95" hidden="1" customWidth="1"/>
    <col min="11785" max="11786" width="10.83203125" style="95"/>
    <col min="11787" max="11787" width="3.5" style="95" customWidth="1"/>
    <col min="11788" max="11789" width="10.83203125" style="95"/>
    <col min="11790" max="11790" width="3" style="95" customWidth="1"/>
    <col min="11791" max="11792" width="10.83203125" style="95"/>
    <col min="11793" max="11793" width="2.6640625" style="95" customWidth="1"/>
    <col min="11794" max="11795" width="10.83203125" style="95"/>
    <col min="11796" max="11796" width="2.6640625" style="95" customWidth="1"/>
    <col min="11797" max="11798" width="10.83203125" style="95"/>
    <col min="11799" max="11799" width="1.6640625" style="95" customWidth="1"/>
    <col min="11800" max="12032" width="10.83203125" style="95"/>
    <col min="12033" max="12033" width="22" style="95" customWidth="1"/>
    <col min="12034" max="12034" width="2.6640625" style="95" customWidth="1"/>
    <col min="12035" max="12040" width="0" style="95" hidden="1" customWidth="1"/>
    <col min="12041" max="12042" width="10.83203125" style="95"/>
    <col min="12043" max="12043" width="3.5" style="95" customWidth="1"/>
    <col min="12044" max="12045" width="10.83203125" style="95"/>
    <col min="12046" max="12046" width="3" style="95" customWidth="1"/>
    <col min="12047" max="12048" width="10.83203125" style="95"/>
    <col min="12049" max="12049" width="2.6640625" style="95" customWidth="1"/>
    <col min="12050" max="12051" width="10.83203125" style="95"/>
    <col min="12052" max="12052" width="2.6640625" style="95" customWidth="1"/>
    <col min="12053" max="12054" width="10.83203125" style="95"/>
    <col min="12055" max="12055" width="1.6640625" style="95" customWidth="1"/>
    <col min="12056" max="12288" width="10.83203125" style="95"/>
    <col min="12289" max="12289" width="22" style="95" customWidth="1"/>
    <col min="12290" max="12290" width="2.6640625" style="95" customWidth="1"/>
    <col min="12291" max="12296" width="0" style="95" hidden="1" customWidth="1"/>
    <col min="12297" max="12298" width="10.83203125" style="95"/>
    <col min="12299" max="12299" width="3.5" style="95" customWidth="1"/>
    <col min="12300" max="12301" width="10.83203125" style="95"/>
    <col min="12302" max="12302" width="3" style="95" customWidth="1"/>
    <col min="12303" max="12304" width="10.83203125" style="95"/>
    <col min="12305" max="12305" width="2.6640625" style="95" customWidth="1"/>
    <col min="12306" max="12307" width="10.83203125" style="95"/>
    <col min="12308" max="12308" width="2.6640625" style="95" customWidth="1"/>
    <col min="12309" max="12310" width="10.83203125" style="95"/>
    <col min="12311" max="12311" width="1.6640625" style="95" customWidth="1"/>
    <col min="12312" max="12544" width="10.83203125" style="95"/>
    <col min="12545" max="12545" width="22" style="95" customWidth="1"/>
    <col min="12546" max="12546" width="2.6640625" style="95" customWidth="1"/>
    <col min="12547" max="12552" width="0" style="95" hidden="1" customWidth="1"/>
    <col min="12553" max="12554" width="10.83203125" style="95"/>
    <col min="12555" max="12555" width="3.5" style="95" customWidth="1"/>
    <col min="12556" max="12557" width="10.83203125" style="95"/>
    <col min="12558" max="12558" width="3" style="95" customWidth="1"/>
    <col min="12559" max="12560" width="10.83203125" style="95"/>
    <col min="12561" max="12561" width="2.6640625" style="95" customWidth="1"/>
    <col min="12562" max="12563" width="10.83203125" style="95"/>
    <col min="12564" max="12564" width="2.6640625" style="95" customWidth="1"/>
    <col min="12565" max="12566" width="10.83203125" style="95"/>
    <col min="12567" max="12567" width="1.6640625" style="95" customWidth="1"/>
    <col min="12568" max="12800" width="10.83203125" style="95"/>
    <col min="12801" max="12801" width="22" style="95" customWidth="1"/>
    <col min="12802" max="12802" width="2.6640625" style="95" customWidth="1"/>
    <col min="12803" max="12808" width="0" style="95" hidden="1" customWidth="1"/>
    <col min="12809" max="12810" width="10.83203125" style="95"/>
    <col min="12811" max="12811" width="3.5" style="95" customWidth="1"/>
    <col min="12812" max="12813" width="10.83203125" style="95"/>
    <col min="12814" max="12814" width="3" style="95" customWidth="1"/>
    <col min="12815" max="12816" width="10.83203125" style="95"/>
    <col min="12817" max="12817" width="2.6640625" style="95" customWidth="1"/>
    <col min="12818" max="12819" width="10.83203125" style="95"/>
    <col min="12820" max="12820" width="2.6640625" style="95" customWidth="1"/>
    <col min="12821" max="12822" width="10.83203125" style="95"/>
    <col min="12823" max="12823" width="1.6640625" style="95" customWidth="1"/>
    <col min="12824" max="13056" width="10.83203125" style="95"/>
    <col min="13057" max="13057" width="22" style="95" customWidth="1"/>
    <col min="13058" max="13058" width="2.6640625" style="95" customWidth="1"/>
    <col min="13059" max="13064" width="0" style="95" hidden="1" customWidth="1"/>
    <col min="13065" max="13066" width="10.83203125" style="95"/>
    <col min="13067" max="13067" width="3.5" style="95" customWidth="1"/>
    <col min="13068" max="13069" width="10.83203125" style="95"/>
    <col min="13070" max="13070" width="3" style="95" customWidth="1"/>
    <col min="13071" max="13072" width="10.83203125" style="95"/>
    <col min="13073" max="13073" width="2.6640625" style="95" customWidth="1"/>
    <col min="13074" max="13075" width="10.83203125" style="95"/>
    <col min="13076" max="13076" width="2.6640625" style="95" customWidth="1"/>
    <col min="13077" max="13078" width="10.83203125" style="95"/>
    <col min="13079" max="13079" width="1.6640625" style="95" customWidth="1"/>
    <col min="13080" max="13312" width="10.83203125" style="95"/>
    <col min="13313" max="13313" width="22" style="95" customWidth="1"/>
    <col min="13314" max="13314" width="2.6640625" style="95" customWidth="1"/>
    <col min="13315" max="13320" width="0" style="95" hidden="1" customWidth="1"/>
    <col min="13321" max="13322" width="10.83203125" style="95"/>
    <col min="13323" max="13323" width="3.5" style="95" customWidth="1"/>
    <col min="13324" max="13325" width="10.83203125" style="95"/>
    <col min="13326" max="13326" width="3" style="95" customWidth="1"/>
    <col min="13327" max="13328" width="10.83203125" style="95"/>
    <col min="13329" max="13329" width="2.6640625" style="95" customWidth="1"/>
    <col min="13330" max="13331" width="10.83203125" style="95"/>
    <col min="13332" max="13332" width="2.6640625" style="95" customWidth="1"/>
    <col min="13333" max="13334" width="10.83203125" style="95"/>
    <col min="13335" max="13335" width="1.6640625" style="95" customWidth="1"/>
    <col min="13336" max="13568" width="10.83203125" style="95"/>
    <col min="13569" max="13569" width="22" style="95" customWidth="1"/>
    <col min="13570" max="13570" width="2.6640625" style="95" customWidth="1"/>
    <col min="13571" max="13576" width="0" style="95" hidden="1" customWidth="1"/>
    <col min="13577" max="13578" width="10.83203125" style="95"/>
    <col min="13579" max="13579" width="3.5" style="95" customWidth="1"/>
    <col min="13580" max="13581" width="10.83203125" style="95"/>
    <col min="13582" max="13582" width="3" style="95" customWidth="1"/>
    <col min="13583" max="13584" width="10.83203125" style="95"/>
    <col min="13585" max="13585" width="2.6640625" style="95" customWidth="1"/>
    <col min="13586" max="13587" width="10.83203125" style="95"/>
    <col min="13588" max="13588" width="2.6640625" style="95" customWidth="1"/>
    <col min="13589" max="13590" width="10.83203125" style="95"/>
    <col min="13591" max="13591" width="1.6640625" style="95" customWidth="1"/>
    <col min="13592" max="13824" width="10.83203125" style="95"/>
    <col min="13825" max="13825" width="22" style="95" customWidth="1"/>
    <col min="13826" max="13826" width="2.6640625" style="95" customWidth="1"/>
    <col min="13827" max="13832" width="0" style="95" hidden="1" customWidth="1"/>
    <col min="13833" max="13834" width="10.83203125" style="95"/>
    <col min="13835" max="13835" width="3.5" style="95" customWidth="1"/>
    <col min="13836" max="13837" width="10.83203125" style="95"/>
    <col min="13838" max="13838" width="3" style="95" customWidth="1"/>
    <col min="13839" max="13840" width="10.83203125" style="95"/>
    <col min="13841" max="13841" width="2.6640625" style="95" customWidth="1"/>
    <col min="13842" max="13843" width="10.83203125" style="95"/>
    <col min="13844" max="13844" width="2.6640625" style="95" customWidth="1"/>
    <col min="13845" max="13846" width="10.83203125" style="95"/>
    <col min="13847" max="13847" width="1.6640625" style="95" customWidth="1"/>
    <col min="13848" max="14080" width="10.83203125" style="95"/>
    <col min="14081" max="14081" width="22" style="95" customWidth="1"/>
    <col min="14082" max="14082" width="2.6640625" style="95" customWidth="1"/>
    <col min="14083" max="14088" width="0" style="95" hidden="1" customWidth="1"/>
    <col min="14089" max="14090" width="10.83203125" style="95"/>
    <col min="14091" max="14091" width="3.5" style="95" customWidth="1"/>
    <col min="14092" max="14093" width="10.83203125" style="95"/>
    <col min="14094" max="14094" width="3" style="95" customWidth="1"/>
    <col min="14095" max="14096" width="10.83203125" style="95"/>
    <col min="14097" max="14097" width="2.6640625" style="95" customWidth="1"/>
    <col min="14098" max="14099" width="10.83203125" style="95"/>
    <col min="14100" max="14100" width="2.6640625" style="95" customWidth="1"/>
    <col min="14101" max="14102" width="10.83203125" style="95"/>
    <col min="14103" max="14103" width="1.6640625" style="95" customWidth="1"/>
    <col min="14104" max="14336" width="10.83203125" style="95"/>
    <col min="14337" max="14337" width="22" style="95" customWidth="1"/>
    <col min="14338" max="14338" width="2.6640625" style="95" customWidth="1"/>
    <col min="14339" max="14344" width="0" style="95" hidden="1" customWidth="1"/>
    <col min="14345" max="14346" width="10.83203125" style="95"/>
    <col min="14347" max="14347" width="3.5" style="95" customWidth="1"/>
    <col min="14348" max="14349" width="10.83203125" style="95"/>
    <col min="14350" max="14350" width="3" style="95" customWidth="1"/>
    <col min="14351" max="14352" width="10.83203125" style="95"/>
    <col min="14353" max="14353" width="2.6640625" style="95" customWidth="1"/>
    <col min="14354" max="14355" width="10.83203125" style="95"/>
    <col min="14356" max="14356" width="2.6640625" style="95" customWidth="1"/>
    <col min="14357" max="14358" width="10.83203125" style="95"/>
    <col min="14359" max="14359" width="1.6640625" style="95" customWidth="1"/>
    <col min="14360" max="14592" width="10.83203125" style="95"/>
    <col min="14593" max="14593" width="22" style="95" customWidth="1"/>
    <col min="14594" max="14594" width="2.6640625" style="95" customWidth="1"/>
    <col min="14595" max="14600" width="0" style="95" hidden="1" customWidth="1"/>
    <col min="14601" max="14602" width="10.83203125" style="95"/>
    <col min="14603" max="14603" width="3.5" style="95" customWidth="1"/>
    <col min="14604" max="14605" width="10.83203125" style="95"/>
    <col min="14606" max="14606" width="3" style="95" customWidth="1"/>
    <col min="14607" max="14608" width="10.83203125" style="95"/>
    <col min="14609" max="14609" width="2.6640625" style="95" customWidth="1"/>
    <col min="14610" max="14611" width="10.83203125" style="95"/>
    <col min="14612" max="14612" width="2.6640625" style="95" customWidth="1"/>
    <col min="14613" max="14614" width="10.83203125" style="95"/>
    <col min="14615" max="14615" width="1.6640625" style="95" customWidth="1"/>
    <col min="14616" max="14848" width="10.83203125" style="95"/>
    <col min="14849" max="14849" width="22" style="95" customWidth="1"/>
    <col min="14850" max="14850" width="2.6640625" style="95" customWidth="1"/>
    <col min="14851" max="14856" width="0" style="95" hidden="1" customWidth="1"/>
    <col min="14857" max="14858" width="10.83203125" style="95"/>
    <col min="14859" max="14859" width="3.5" style="95" customWidth="1"/>
    <col min="14860" max="14861" width="10.83203125" style="95"/>
    <col min="14862" max="14862" width="3" style="95" customWidth="1"/>
    <col min="14863" max="14864" width="10.83203125" style="95"/>
    <col min="14865" max="14865" width="2.6640625" style="95" customWidth="1"/>
    <col min="14866" max="14867" width="10.83203125" style="95"/>
    <col min="14868" max="14868" width="2.6640625" style="95" customWidth="1"/>
    <col min="14869" max="14870" width="10.83203125" style="95"/>
    <col min="14871" max="14871" width="1.6640625" style="95" customWidth="1"/>
    <col min="14872" max="15104" width="10.83203125" style="95"/>
    <col min="15105" max="15105" width="22" style="95" customWidth="1"/>
    <col min="15106" max="15106" width="2.6640625" style="95" customWidth="1"/>
    <col min="15107" max="15112" width="0" style="95" hidden="1" customWidth="1"/>
    <col min="15113" max="15114" width="10.83203125" style="95"/>
    <col min="15115" max="15115" width="3.5" style="95" customWidth="1"/>
    <col min="15116" max="15117" width="10.83203125" style="95"/>
    <col min="15118" max="15118" width="3" style="95" customWidth="1"/>
    <col min="15119" max="15120" width="10.83203125" style="95"/>
    <col min="15121" max="15121" width="2.6640625" style="95" customWidth="1"/>
    <col min="15122" max="15123" width="10.83203125" style="95"/>
    <col min="15124" max="15124" width="2.6640625" style="95" customWidth="1"/>
    <col min="15125" max="15126" width="10.83203125" style="95"/>
    <col min="15127" max="15127" width="1.6640625" style="95" customWidth="1"/>
    <col min="15128" max="15360" width="10.83203125" style="95"/>
    <col min="15361" max="15361" width="22" style="95" customWidth="1"/>
    <col min="15362" max="15362" width="2.6640625" style="95" customWidth="1"/>
    <col min="15363" max="15368" width="0" style="95" hidden="1" customWidth="1"/>
    <col min="15369" max="15370" width="10.83203125" style="95"/>
    <col min="15371" max="15371" width="3.5" style="95" customWidth="1"/>
    <col min="15372" max="15373" width="10.83203125" style="95"/>
    <col min="15374" max="15374" width="3" style="95" customWidth="1"/>
    <col min="15375" max="15376" width="10.83203125" style="95"/>
    <col min="15377" max="15377" width="2.6640625" style="95" customWidth="1"/>
    <col min="15378" max="15379" width="10.83203125" style="95"/>
    <col min="15380" max="15380" width="2.6640625" style="95" customWidth="1"/>
    <col min="15381" max="15382" width="10.83203125" style="95"/>
    <col min="15383" max="15383" width="1.6640625" style="95" customWidth="1"/>
    <col min="15384" max="15616" width="10.83203125" style="95"/>
    <col min="15617" max="15617" width="22" style="95" customWidth="1"/>
    <col min="15618" max="15618" width="2.6640625" style="95" customWidth="1"/>
    <col min="15619" max="15624" width="0" style="95" hidden="1" customWidth="1"/>
    <col min="15625" max="15626" width="10.83203125" style="95"/>
    <col min="15627" max="15627" width="3.5" style="95" customWidth="1"/>
    <col min="15628" max="15629" width="10.83203125" style="95"/>
    <col min="15630" max="15630" width="3" style="95" customWidth="1"/>
    <col min="15631" max="15632" width="10.83203125" style="95"/>
    <col min="15633" max="15633" width="2.6640625" style="95" customWidth="1"/>
    <col min="15634" max="15635" width="10.83203125" style="95"/>
    <col min="15636" max="15636" width="2.6640625" style="95" customWidth="1"/>
    <col min="15637" max="15638" width="10.83203125" style="95"/>
    <col min="15639" max="15639" width="1.6640625" style="95" customWidth="1"/>
    <col min="15640" max="15872" width="10.83203125" style="95"/>
    <col min="15873" max="15873" width="22" style="95" customWidth="1"/>
    <col min="15874" max="15874" width="2.6640625" style="95" customWidth="1"/>
    <col min="15875" max="15880" width="0" style="95" hidden="1" customWidth="1"/>
    <col min="15881" max="15882" width="10.83203125" style="95"/>
    <col min="15883" max="15883" width="3.5" style="95" customWidth="1"/>
    <col min="15884" max="15885" width="10.83203125" style="95"/>
    <col min="15886" max="15886" width="3" style="95" customWidth="1"/>
    <col min="15887" max="15888" width="10.83203125" style="95"/>
    <col min="15889" max="15889" width="2.6640625" style="95" customWidth="1"/>
    <col min="15890" max="15891" width="10.83203125" style="95"/>
    <col min="15892" max="15892" width="2.6640625" style="95" customWidth="1"/>
    <col min="15893" max="15894" width="10.83203125" style="95"/>
    <col min="15895" max="15895" width="1.6640625" style="95" customWidth="1"/>
    <col min="15896" max="16128" width="10.83203125" style="95"/>
    <col min="16129" max="16129" width="22" style="95" customWidth="1"/>
    <col min="16130" max="16130" width="2.6640625" style="95" customWidth="1"/>
    <col min="16131" max="16136" width="0" style="95" hidden="1" customWidth="1"/>
    <col min="16137" max="16138" width="10.83203125" style="95"/>
    <col min="16139" max="16139" width="3.5" style="95" customWidth="1"/>
    <col min="16140" max="16141" width="10.83203125" style="95"/>
    <col min="16142" max="16142" width="3" style="95" customWidth="1"/>
    <col min="16143" max="16144" width="10.83203125" style="95"/>
    <col min="16145" max="16145" width="2.6640625" style="95" customWidth="1"/>
    <col min="16146" max="16147" width="10.83203125" style="95"/>
    <col min="16148" max="16148" width="2.6640625" style="95" customWidth="1"/>
    <col min="16149" max="16150" width="10.83203125" style="95"/>
    <col min="16151" max="16151" width="1.6640625" style="95" customWidth="1"/>
    <col min="16152" max="16384" width="10.83203125" style="95"/>
  </cols>
  <sheetData>
    <row r="1" spans="1:23">
      <c r="A1" s="95" t="s">
        <v>128</v>
      </c>
    </row>
    <row r="2" spans="1:23">
      <c r="A2" s="95" t="s">
        <v>589</v>
      </c>
    </row>
    <row r="3" spans="1:23">
      <c r="A3" s="95" t="s">
        <v>590</v>
      </c>
    </row>
    <row r="4" spans="1:23">
      <c r="A4" s="111"/>
    </row>
    <row r="5" spans="1:23">
      <c r="A5" s="14" t="s">
        <v>1866</v>
      </c>
    </row>
    <row r="7" spans="1:23" ht="14" thickBot="1">
      <c r="E7" s="96"/>
      <c r="H7" s="96"/>
      <c r="K7" s="96"/>
      <c r="N7" s="96"/>
      <c r="Q7" s="96"/>
      <c r="T7" s="96"/>
      <c r="W7" s="96"/>
    </row>
    <row r="8" spans="1:23">
      <c r="A8" s="97"/>
      <c r="B8" s="97"/>
      <c r="C8" s="98"/>
      <c r="D8" s="99"/>
      <c r="F8" s="98"/>
      <c r="G8" s="99"/>
      <c r="I8" s="98"/>
      <c r="J8" s="99"/>
      <c r="L8" s="98"/>
      <c r="M8" s="99"/>
      <c r="O8" s="98"/>
      <c r="P8" s="99"/>
      <c r="R8" s="98"/>
      <c r="S8" s="99"/>
      <c r="U8" s="98"/>
      <c r="V8" s="99"/>
    </row>
    <row r="9" spans="1:23">
      <c r="A9" s="33" t="s">
        <v>591</v>
      </c>
      <c r="C9" s="1026">
        <v>2013</v>
      </c>
      <c r="D9" s="1026"/>
      <c r="F9" s="1026">
        <v>2014</v>
      </c>
      <c r="G9" s="1026"/>
      <c r="I9" s="1026">
        <v>2015</v>
      </c>
      <c r="J9" s="1026"/>
      <c r="L9" s="1026">
        <v>2016</v>
      </c>
      <c r="M9" s="1026"/>
      <c r="O9" s="1026">
        <v>2017</v>
      </c>
      <c r="P9" s="1026"/>
      <c r="R9" s="1026">
        <v>2018</v>
      </c>
      <c r="S9" s="1026"/>
      <c r="U9" s="1026">
        <v>2019</v>
      </c>
      <c r="V9" s="1026"/>
    </row>
    <row r="10" spans="1:23">
      <c r="A10" s="33" t="s">
        <v>592</v>
      </c>
      <c r="C10" s="100" t="s">
        <v>152</v>
      </c>
      <c r="D10" s="101" t="s">
        <v>153</v>
      </c>
      <c r="F10" s="100" t="s">
        <v>152</v>
      </c>
      <c r="G10" s="101" t="s">
        <v>153</v>
      </c>
      <c r="I10" s="100" t="s">
        <v>152</v>
      </c>
      <c r="J10" s="101" t="s">
        <v>153</v>
      </c>
      <c r="L10" s="100" t="s">
        <v>152</v>
      </c>
      <c r="M10" s="101" t="s">
        <v>153</v>
      </c>
      <c r="O10" s="100" t="s">
        <v>152</v>
      </c>
      <c r="P10" s="101" t="s">
        <v>153</v>
      </c>
      <c r="R10" s="100" t="s">
        <v>152</v>
      </c>
      <c r="S10" s="101" t="s">
        <v>153</v>
      </c>
      <c r="U10" s="100" t="s">
        <v>152</v>
      </c>
      <c r="V10" s="101" t="s">
        <v>153</v>
      </c>
    </row>
    <row r="11" spans="1:23" ht="14" thickBot="1">
      <c r="A11" s="102"/>
      <c r="B11" s="102"/>
      <c r="C11" s="103"/>
      <c r="D11" s="96"/>
      <c r="E11" s="96"/>
      <c r="F11" s="103"/>
      <c r="G11" s="96"/>
      <c r="H11" s="96"/>
      <c r="I11" s="103"/>
      <c r="J11" s="96"/>
      <c r="K11" s="96"/>
      <c r="L11" s="103"/>
      <c r="M11" s="96"/>
      <c r="N11" s="96"/>
      <c r="O11" s="103"/>
      <c r="P11" s="96"/>
      <c r="Q11" s="96"/>
      <c r="R11" s="103"/>
      <c r="S11" s="96"/>
      <c r="T11" s="96"/>
      <c r="U11" s="103"/>
      <c r="V11" s="96"/>
      <c r="W11" s="96"/>
    </row>
    <row r="12" spans="1:23">
      <c r="C12" s="104"/>
      <c r="D12" s="105"/>
      <c r="F12" s="104"/>
      <c r="G12" s="105"/>
      <c r="I12" s="104"/>
      <c r="J12" s="105"/>
      <c r="L12" s="104"/>
      <c r="M12" s="105"/>
      <c r="O12" s="104"/>
      <c r="P12" s="105"/>
      <c r="R12" s="104"/>
      <c r="S12" s="105"/>
      <c r="U12" s="104"/>
      <c r="V12" s="105"/>
    </row>
    <row r="13" spans="1:23">
      <c r="A13" s="106" t="s">
        <v>593</v>
      </c>
      <c r="C13" s="104">
        <f>SUM(C15:C21)</f>
        <v>131620.4571</v>
      </c>
      <c r="D13" s="105">
        <f>SUM(D14:D21)</f>
        <v>99.999999999999986</v>
      </c>
      <c r="F13" s="104">
        <f>SUM(F15:F21)</f>
        <v>132270.06519999998</v>
      </c>
      <c r="G13" s="105">
        <f>SUM(G14:G21)</f>
        <v>100</v>
      </c>
      <c r="I13" s="104">
        <f>SUM(I15:I21)</f>
        <v>124606.38375000001</v>
      </c>
      <c r="J13" s="105">
        <f>SUM(J14:J21)</f>
        <v>100</v>
      </c>
      <c r="L13" s="104">
        <f>SUM(L15:L21)</f>
        <v>122239.73097</v>
      </c>
      <c r="M13" s="105">
        <f>SUM(M14:M21)</f>
        <v>100</v>
      </c>
      <c r="O13" s="104">
        <f>SUM(O15:O21)</f>
        <v>126089.47742</v>
      </c>
      <c r="P13" s="105">
        <f>SUM(P14:P21)</f>
        <v>100</v>
      </c>
      <c r="R13" s="104">
        <f>SUM(R15:R21)</f>
        <v>128737.01083000001</v>
      </c>
      <c r="S13" s="105">
        <f>SUM(S14:S21)</f>
        <v>100.00000000000001</v>
      </c>
      <c r="U13" s="104">
        <f>SUM(U15:U21)</f>
        <v>125091.03820000001</v>
      </c>
      <c r="V13" s="105">
        <f>SUM(V14:V21)</f>
        <v>100</v>
      </c>
    </row>
    <row r="14" spans="1:23">
      <c r="A14" s="107"/>
      <c r="C14" s="104"/>
      <c r="D14" s="105" t="str">
        <f t="shared" ref="D14:D21" si="0">IF($A14&lt;&gt;0,C14/C$13*100,"")</f>
        <v/>
      </c>
      <c r="F14" s="104"/>
      <c r="G14" s="105" t="str">
        <f>IF($A14&lt;&gt;0,F14/F$13*100,"")</f>
        <v/>
      </c>
      <c r="I14" s="104"/>
      <c r="J14" s="105" t="str">
        <f>IF($A14&lt;&gt;0,I14/I$13*100,"")</f>
        <v/>
      </c>
      <c r="L14" s="104"/>
      <c r="M14" s="105" t="str">
        <f>IF($A14&lt;&gt;0,L14/L$13*100,"")</f>
        <v/>
      </c>
      <c r="O14" s="104"/>
      <c r="P14" s="105" t="str">
        <f>IF($A14&lt;&gt;0,O14/O$13*100,"")</f>
        <v/>
      </c>
      <c r="R14" s="104"/>
      <c r="S14" s="105" t="str">
        <f>IF($A14&lt;&gt;0,R14/R$13*100,"")</f>
        <v/>
      </c>
      <c r="U14" s="104"/>
      <c r="V14" s="105" t="str">
        <f>IF($A14&lt;&gt;0,U14/U$13*100,"")</f>
        <v/>
      </c>
    </row>
    <row r="15" spans="1:23">
      <c r="A15" s="108" t="s">
        <v>594</v>
      </c>
      <c r="C15" s="104">
        <v>92336.127099999998</v>
      </c>
      <c r="D15" s="105">
        <f>IF($A15&lt;&gt;0,C15/C$13*100,"")</f>
        <v>70.153325048739703</v>
      </c>
      <c r="F15" s="104">
        <v>93036.595199999996</v>
      </c>
      <c r="G15" s="105">
        <f>IF($A15&lt;&gt;0,F15/F$13*100,"")</f>
        <v>70.33836042896273</v>
      </c>
      <c r="I15" s="104">
        <v>86974.033750000002</v>
      </c>
      <c r="J15" s="105">
        <f>IF($A15&lt;&gt;0,I15/I$13*100,"")</f>
        <v>69.799019225610095</v>
      </c>
      <c r="L15" s="104">
        <v>84003.720969999995</v>
      </c>
      <c r="M15" s="105">
        <f>IF($A15&lt;&gt;0,L15/L$13*100,"")</f>
        <v>68.720472716531205</v>
      </c>
      <c r="O15" s="104">
        <v>87833.927419999993</v>
      </c>
      <c r="P15" s="105">
        <f>IF($A15&lt;&gt;0,O15/O$13*100,"")</f>
        <v>69.65999797701437</v>
      </c>
      <c r="R15" s="104">
        <v>89999.760830000014</v>
      </c>
      <c r="S15" s="105">
        <f>IF($A15&lt;&gt;0,R15/R$13*100,"")</f>
        <v>69.909779829241671</v>
      </c>
      <c r="U15" s="104">
        <v>86470.298200000005</v>
      </c>
      <c r="V15" s="105">
        <f>IF($A15&lt;&gt;0,U15/U$13*100,"")</f>
        <v>69.125893784451776</v>
      </c>
    </row>
    <row r="16" spans="1:23">
      <c r="A16" s="106"/>
      <c r="C16" s="104"/>
      <c r="D16" s="105" t="str">
        <f t="shared" si="0"/>
        <v/>
      </c>
      <c r="F16" s="104"/>
      <c r="G16" s="105" t="str">
        <f t="shared" ref="G16:G21" si="1">IF($A16&lt;&gt;0,F16/F$13*100,"")</f>
        <v/>
      </c>
      <c r="I16" s="104"/>
      <c r="J16" s="105" t="str">
        <f t="shared" ref="J16:J21" si="2">IF($A16&lt;&gt;0,I16/I$13*100,"")</f>
        <v/>
      </c>
      <c r="L16" s="104"/>
      <c r="M16" s="105" t="str">
        <f t="shared" ref="M16:M21" si="3">IF($A16&lt;&gt;0,L16/L$13*100,"")</f>
        <v/>
      </c>
      <c r="O16" s="104"/>
      <c r="P16" s="105" t="str">
        <f t="shared" ref="P16:P21" si="4">IF($A16&lt;&gt;0,O16/O$13*100,"")</f>
        <v/>
      </c>
      <c r="S16" s="105" t="str">
        <f t="shared" ref="S16:S21" si="5">IF($A16&lt;&gt;0,R16/R$13*100,"")</f>
        <v/>
      </c>
      <c r="V16" s="105" t="str">
        <f t="shared" ref="V16:V21" si="6">IF($A16&lt;&gt;0,U16/U$13*100,"")</f>
        <v/>
      </c>
    </row>
    <row r="17" spans="1:23">
      <c r="A17" s="108" t="s">
        <v>595</v>
      </c>
      <c r="C17" s="104">
        <v>12359.7</v>
      </c>
      <c r="D17" s="105">
        <f t="shared" si="0"/>
        <v>9.3904095703068347</v>
      </c>
      <c r="F17" s="104">
        <v>12846.34</v>
      </c>
      <c r="G17" s="105">
        <f t="shared" si="1"/>
        <v>9.7122050862949152</v>
      </c>
      <c r="I17" s="104">
        <v>13278.3</v>
      </c>
      <c r="J17" s="105">
        <f t="shared" si="2"/>
        <v>10.656195614054965</v>
      </c>
      <c r="L17" s="104">
        <v>13770.849999999999</v>
      </c>
      <c r="M17" s="105">
        <f t="shared" si="3"/>
        <v>11.265445277672962</v>
      </c>
      <c r="O17" s="104">
        <v>13400.17</v>
      </c>
      <c r="P17" s="105">
        <f t="shared" si="4"/>
        <v>10.627508555186143</v>
      </c>
      <c r="R17" s="104">
        <v>14087.07</v>
      </c>
      <c r="S17" s="105">
        <f t="shared" si="5"/>
        <v>10.942517547344856</v>
      </c>
      <c r="U17" s="104">
        <v>14474.11</v>
      </c>
      <c r="V17" s="105">
        <f t="shared" si="6"/>
        <v>11.570860877226295</v>
      </c>
    </row>
    <row r="18" spans="1:23">
      <c r="A18" s="106"/>
      <c r="C18" s="104"/>
      <c r="D18" s="105" t="str">
        <f t="shared" si="0"/>
        <v/>
      </c>
      <c r="F18" s="104"/>
      <c r="G18" s="105" t="str">
        <f t="shared" si="1"/>
        <v/>
      </c>
      <c r="I18" s="104"/>
      <c r="J18" s="105" t="str">
        <f t="shared" si="2"/>
        <v/>
      </c>
      <c r="L18" s="104"/>
      <c r="M18" s="105" t="str">
        <f t="shared" si="3"/>
        <v/>
      </c>
      <c r="O18" s="104"/>
      <c r="P18" s="105" t="str">
        <f t="shared" si="4"/>
        <v/>
      </c>
      <c r="S18" s="105" t="str">
        <f t="shared" si="5"/>
        <v/>
      </c>
      <c r="V18" s="105" t="str">
        <f t="shared" si="6"/>
        <v/>
      </c>
    </row>
    <row r="19" spans="1:23">
      <c r="A19" s="108" t="s">
        <v>596</v>
      </c>
      <c r="C19" s="104">
        <v>6731.35</v>
      </c>
      <c r="D19" s="105">
        <f t="shared" si="0"/>
        <v>5.1142125990990808</v>
      </c>
      <c r="F19" s="104">
        <v>6675</v>
      </c>
      <c r="G19" s="105">
        <f t="shared" si="1"/>
        <v>5.0464933164635655</v>
      </c>
      <c r="I19" s="104">
        <v>6794</v>
      </c>
      <c r="J19" s="105">
        <f t="shared" si="2"/>
        <v>5.4523691287205018</v>
      </c>
      <c r="L19" s="104">
        <v>6813.25</v>
      </c>
      <c r="M19" s="105">
        <f t="shared" si="3"/>
        <v>5.5736788243358486</v>
      </c>
      <c r="O19" s="104">
        <v>7071.5</v>
      </c>
      <c r="P19" s="105">
        <f t="shared" si="4"/>
        <v>5.6083189055063345</v>
      </c>
      <c r="R19" s="104">
        <v>8110.5</v>
      </c>
      <c r="S19" s="105">
        <f t="shared" si="5"/>
        <v>6.3000530676528514</v>
      </c>
      <c r="U19" s="104">
        <v>8126.34</v>
      </c>
      <c r="V19" s="105">
        <f t="shared" si="6"/>
        <v>6.4963406787041915</v>
      </c>
    </row>
    <row r="20" spans="1:23">
      <c r="A20" s="106"/>
      <c r="C20" s="104"/>
      <c r="D20" s="105" t="str">
        <f t="shared" si="0"/>
        <v/>
      </c>
      <c r="F20" s="104"/>
      <c r="G20" s="105" t="str">
        <f t="shared" si="1"/>
        <v/>
      </c>
      <c r="I20" s="104"/>
      <c r="J20" s="105" t="str">
        <f t="shared" si="2"/>
        <v/>
      </c>
      <c r="L20" s="104"/>
      <c r="M20" s="105" t="str">
        <f t="shared" si="3"/>
        <v/>
      </c>
      <c r="O20" s="104"/>
      <c r="P20" s="105" t="str">
        <f t="shared" si="4"/>
        <v/>
      </c>
      <c r="S20" s="105" t="str">
        <f t="shared" si="5"/>
        <v/>
      </c>
      <c r="V20" s="105" t="str">
        <f t="shared" si="6"/>
        <v/>
      </c>
    </row>
    <row r="21" spans="1:23">
      <c r="A21" s="108" t="s">
        <v>597</v>
      </c>
      <c r="C21" s="104">
        <v>20193.28</v>
      </c>
      <c r="D21" s="105">
        <f t="shared" si="0"/>
        <v>15.342052781854379</v>
      </c>
      <c r="F21" s="104">
        <v>19712.13</v>
      </c>
      <c r="G21" s="105">
        <f t="shared" si="1"/>
        <v>14.902941168278794</v>
      </c>
      <c r="I21" s="104">
        <v>17560.05</v>
      </c>
      <c r="J21" s="105">
        <f t="shared" si="2"/>
        <v>14.09241603161443</v>
      </c>
      <c r="L21" s="104">
        <v>17651.910000000003</v>
      </c>
      <c r="M21" s="105">
        <f t="shared" si="3"/>
        <v>14.440403181459981</v>
      </c>
      <c r="O21" s="104">
        <v>17783.88</v>
      </c>
      <c r="P21" s="105">
        <f t="shared" si="4"/>
        <v>14.104174562293148</v>
      </c>
      <c r="R21" s="104">
        <v>16539.68</v>
      </c>
      <c r="S21" s="105">
        <f t="shared" si="5"/>
        <v>12.84764955576062</v>
      </c>
      <c r="U21" s="104">
        <v>16020.29</v>
      </c>
      <c r="V21" s="105">
        <f t="shared" si="6"/>
        <v>12.806904659617736</v>
      </c>
    </row>
    <row r="22" spans="1:23" ht="14" thickBot="1">
      <c r="A22" s="109"/>
      <c r="B22" s="102"/>
      <c r="C22" s="96"/>
      <c r="D22" s="96"/>
      <c r="E22" s="96"/>
      <c r="F22" s="96"/>
      <c r="G22" s="96"/>
      <c r="H22" s="96"/>
      <c r="I22" s="96"/>
      <c r="J22" s="96"/>
      <c r="K22" s="96"/>
      <c r="L22" s="96"/>
      <c r="M22" s="96"/>
      <c r="N22" s="96"/>
      <c r="O22" s="96"/>
      <c r="P22" s="96"/>
      <c r="Q22" s="96"/>
      <c r="R22" s="96"/>
      <c r="S22" s="96"/>
      <c r="T22" s="96"/>
      <c r="U22" s="96"/>
      <c r="V22" s="96"/>
      <c r="W22" s="96"/>
    </row>
    <row r="23" spans="1:23">
      <c r="A23" s="107"/>
    </row>
    <row r="24" spans="1:23">
      <c r="A24" s="106" t="s">
        <v>598</v>
      </c>
    </row>
    <row r="25" spans="1:23">
      <c r="A25" s="106" t="s">
        <v>599</v>
      </c>
    </row>
    <row r="27" spans="1:23">
      <c r="A27" s="95" t="s">
        <v>600</v>
      </c>
    </row>
    <row r="28" spans="1:23">
      <c r="A28" s="95" t="s">
        <v>452</v>
      </c>
    </row>
    <row r="32" spans="1:23">
      <c r="G32" s="104"/>
    </row>
    <row r="33" spans="7:12">
      <c r="I33" s="104"/>
      <c r="J33" s="104"/>
      <c r="K33" s="104"/>
      <c r="L33" s="104"/>
    </row>
    <row r="34" spans="7:12">
      <c r="G34" s="104"/>
    </row>
    <row r="35" spans="7:12">
      <c r="I35" s="104"/>
    </row>
    <row r="36" spans="7:12">
      <c r="G36" s="104"/>
    </row>
    <row r="37" spans="7:12">
      <c r="I37" s="104"/>
    </row>
    <row r="38" spans="7:12">
      <c r="G38" s="104"/>
    </row>
    <row r="39" spans="7:12">
      <c r="I39" s="104"/>
    </row>
  </sheetData>
  <mergeCells count="7">
    <mergeCell ref="U9:V9"/>
    <mergeCell ref="R9:S9"/>
    <mergeCell ref="C9:D9"/>
    <mergeCell ref="F9:G9"/>
    <mergeCell ref="I9:J9"/>
    <mergeCell ref="L9:M9"/>
    <mergeCell ref="O9:P9"/>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249977111117893"/>
  </sheetPr>
  <dimension ref="B2:J20"/>
  <sheetViews>
    <sheetView workbookViewId="0">
      <selection activeCell="A4" sqref="A4"/>
    </sheetView>
  </sheetViews>
  <sheetFormatPr baseColWidth="10" defaultRowHeight="15"/>
  <sheetData>
    <row r="2" spans="2:10">
      <c r="B2" s="28"/>
      <c r="C2" s="28"/>
      <c r="D2" s="28"/>
      <c r="E2" s="28"/>
      <c r="F2" s="28"/>
    </row>
    <row r="3" spans="2:10">
      <c r="C3" s="33" t="s">
        <v>80</v>
      </c>
      <c r="D3" s="33" t="s">
        <v>84</v>
      </c>
      <c r="E3" s="33" t="s">
        <v>20</v>
      </c>
      <c r="F3" s="33" t="s">
        <v>611</v>
      </c>
      <c r="J3" s="36"/>
    </row>
    <row r="4" spans="2:10">
      <c r="B4">
        <v>2015</v>
      </c>
      <c r="C4" s="28">
        <v>69.8</v>
      </c>
      <c r="D4" s="28">
        <v>10.66</v>
      </c>
      <c r="E4" s="28">
        <v>5.45</v>
      </c>
      <c r="F4" s="28">
        <v>14.09</v>
      </c>
      <c r="H4" s="28"/>
      <c r="J4" s="36"/>
    </row>
    <row r="5" spans="2:10">
      <c r="B5">
        <v>2016</v>
      </c>
      <c r="C5" s="28">
        <v>68.72</v>
      </c>
      <c r="D5" s="28">
        <v>11.27</v>
      </c>
      <c r="E5" s="28">
        <v>5.57</v>
      </c>
      <c r="F5" s="28">
        <v>14.44</v>
      </c>
      <c r="G5" s="28"/>
      <c r="H5" s="28"/>
      <c r="J5" s="36"/>
    </row>
    <row r="6" spans="2:10">
      <c r="B6">
        <v>2017</v>
      </c>
      <c r="C6" s="28">
        <v>69.66</v>
      </c>
      <c r="D6" s="28">
        <v>10.63</v>
      </c>
      <c r="E6" s="28">
        <v>5.61</v>
      </c>
      <c r="F6" s="28">
        <v>14.1</v>
      </c>
      <c r="H6" s="28"/>
      <c r="J6" s="36"/>
    </row>
    <row r="7" spans="2:10">
      <c r="B7">
        <v>2018</v>
      </c>
      <c r="C7" s="28">
        <v>69.909779829241671</v>
      </c>
      <c r="D7" s="28">
        <v>10.942517547344856</v>
      </c>
      <c r="E7" s="28">
        <v>6.3000530676528514</v>
      </c>
      <c r="F7" s="28">
        <v>12.84764955576062</v>
      </c>
      <c r="H7" s="28"/>
      <c r="J7" s="36"/>
    </row>
    <row r="8" spans="2:10">
      <c r="B8">
        <v>2019</v>
      </c>
      <c r="C8" s="28">
        <v>69.13</v>
      </c>
      <c r="D8" s="28">
        <v>11.57</v>
      </c>
      <c r="E8" s="28">
        <v>6.5</v>
      </c>
      <c r="F8" s="28">
        <v>12.81</v>
      </c>
    </row>
    <row r="9" spans="2:10">
      <c r="C9" s="28"/>
      <c r="D9" s="28"/>
      <c r="E9" s="28"/>
      <c r="F9" s="28"/>
      <c r="H9" s="28"/>
    </row>
    <row r="14" spans="2:10">
      <c r="C14" s="28"/>
    </row>
    <row r="15" spans="2:10">
      <c r="C15" s="28"/>
    </row>
    <row r="16" spans="2:10">
      <c r="C16" s="28"/>
    </row>
    <row r="17" spans="3:3">
      <c r="C17" s="28"/>
    </row>
    <row r="18" spans="3:3">
      <c r="C18" s="28"/>
    </row>
    <row r="19" spans="3:3">
      <c r="C19" s="28"/>
    </row>
    <row r="20" spans="3:3">
      <c r="C20" s="28"/>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B8"/>
  <sheetViews>
    <sheetView workbookViewId="0">
      <selection activeCell="A4" sqref="A4"/>
    </sheetView>
  </sheetViews>
  <sheetFormatPr baseColWidth="10" defaultRowHeight="15"/>
  <cols>
    <col min="1" max="1" width="14.83203125" customWidth="1"/>
    <col min="2" max="2" width="110.1640625" customWidth="1"/>
  </cols>
  <sheetData>
    <row r="1" spans="1:2" ht="16">
      <c r="A1" s="5" t="s">
        <v>126</v>
      </c>
    </row>
    <row r="2" spans="1:2" ht="16">
      <c r="A2" s="7" t="s">
        <v>612</v>
      </c>
    </row>
    <row r="3" spans="1:2">
      <c r="A3" s="8"/>
    </row>
    <row r="4" spans="1:2" ht="17">
      <c r="A4" s="9" t="s">
        <v>613</v>
      </c>
      <c r="B4" s="10" t="s">
        <v>1868</v>
      </c>
    </row>
    <row r="5" spans="1:2" ht="17">
      <c r="A5" s="9" t="s">
        <v>614</v>
      </c>
      <c r="B5" s="10" t="s">
        <v>1869</v>
      </c>
    </row>
    <row r="6" spans="1:2" ht="17">
      <c r="A6" s="9" t="s">
        <v>615</v>
      </c>
      <c r="B6" s="10" t="s">
        <v>1867</v>
      </c>
    </row>
    <row r="7" spans="1:2" ht="17">
      <c r="A7" s="9" t="s">
        <v>616</v>
      </c>
      <c r="B7" s="10" t="s">
        <v>1870</v>
      </c>
    </row>
    <row r="8" spans="1:2" ht="16">
      <c r="A8" s="9"/>
      <c r="B8" s="9"/>
    </row>
  </sheetData>
  <pageMargins left="0.70866141732283472" right="0.70866141732283472" top="0.74803149606299213" bottom="0.74803149606299213" header="0.31496062992125984" footer="0.31496062992125984"/>
  <pageSetup scale="9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327"/>
  <sheetViews>
    <sheetView topLeftCell="B175" workbookViewId="0">
      <selection activeCell="B4" sqref="B4"/>
    </sheetView>
  </sheetViews>
  <sheetFormatPr baseColWidth="10" defaultColWidth="8" defaultRowHeight="13"/>
  <cols>
    <col min="1" max="1" width="7.5" style="242" hidden="1" customWidth="1"/>
    <col min="2" max="2" width="57.5" style="242" customWidth="1"/>
    <col min="3" max="3" width="2.6640625" style="14" hidden="1" customWidth="1"/>
    <col min="4" max="4" width="14.33203125" style="14" hidden="1" customWidth="1"/>
    <col min="5" max="5" width="8.33203125" style="14" hidden="1" customWidth="1"/>
    <col min="6" max="6" width="8.6640625" style="14" hidden="1" customWidth="1"/>
    <col min="7" max="7" width="2.6640625" style="14" customWidth="1"/>
    <col min="8" max="8" width="14.5" style="14" customWidth="1"/>
    <col min="9" max="9" width="9" style="14" customWidth="1"/>
    <col min="10" max="10" width="8.6640625" style="14" customWidth="1"/>
    <col min="11" max="11" width="2.6640625" style="14" customWidth="1"/>
    <col min="12" max="12" width="13.5" style="14" customWidth="1"/>
    <col min="13" max="13" width="8.6640625" style="14" customWidth="1"/>
    <col min="14" max="14" width="10.1640625" style="14" customWidth="1"/>
    <col min="15" max="15" width="2.1640625" style="14" customWidth="1"/>
    <col min="16" max="16" width="13.83203125" style="14" customWidth="1"/>
    <col min="17" max="17" width="8" style="14" customWidth="1"/>
    <col min="18" max="18" width="9.33203125" style="14" customWidth="1"/>
    <col min="19" max="19" width="1.6640625" style="14" customWidth="1"/>
    <col min="20" max="20" width="13.5" style="14" customWidth="1"/>
    <col min="21" max="21" width="8" style="14" customWidth="1"/>
    <col min="22" max="22" width="8.1640625" style="14" customWidth="1"/>
    <col min="23" max="23" width="1.83203125" style="14" customWidth="1"/>
    <col min="24" max="24" width="13.5" style="14" customWidth="1"/>
    <col min="25" max="25" width="8.5" style="14" bestFit="1" customWidth="1"/>
    <col min="26" max="26" width="8.83203125" style="14" customWidth="1"/>
    <col min="27" max="27" width="1.83203125" style="14" customWidth="1"/>
    <col min="28" max="256" width="8" style="14"/>
    <col min="257" max="257" width="7.5" style="14" customWidth="1"/>
    <col min="258" max="258" width="57.5" style="14" customWidth="1"/>
    <col min="259" max="262" width="0" style="14" hidden="1" customWidth="1"/>
    <col min="263" max="263" width="2.6640625" style="14" customWidth="1"/>
    <col min="264" max="264" width="14.5" style="14" customWidth="1"/>
    <col min="265" max="265" width="9" style="14" customWidth="1"/>
    <col min="266" max="266" width="8.6640625" style="14" customWidth="1"/>
    <col min="267" max="267" width="2.6640625" style="14" customWidth="1"/>
    <col min="268" max="268" width="13.5" style="14" customWidth="1"/>
    <col min="269" max="269" width="8.6640625" style="14" customWidth="1"/>
    <col min="270" max="270" width="10.1640625" style="14" customWidth="1"/>
    <col min="271" max="271" width="2.1640625" style="14" customWidth="1"/>
    <col min="272" max="272" width="13.83203125" style="14" customWidth="1"/>
    <col min="273" max="273" width="8" style="14" customWidth="1"/>
    <col min="274" max="274" width="9.33203125" style="14" customWidth="1"/>
    <col min="275" max="275" width="1.6640625" style="14" customWidth="1"/>
    <col min="276" max="276" width="13.5" style="14" customWidth="1"/>
    <col min="277" max="277" width="8" style="14" customWidth="1"/>
    <col min="278" max="278" width="8.1640625" style="14" customWidth="1"/>
    <col min="279" max="279" width="1.83203125" style="14" customWidth="1"/>
    <col min="280" max="280" width="13.5" style="14" customWidth="1"/>
    <col min="281" max="281" width="8.5" style="14" bestFit="1" customWidth="1"/>
    <col min="282" max="282" width="8.83203125" style="14" customWidth="1"/>
    <col min="283" max="283" width="1.83203125" style="14" customWidth="1"/>
    <col min="284" max="512" width="8" style="14"/>
    <col min="513" max="513" width="7.5" style="14" customWidth="1"/>
    <col min="514" max="514" width="57.5" style="14" customWidth="1"/>
    <col min="515" max="518" width="0" style="14" hidden="1" customWidth="1"/>
    <col min="519" max="519" width="2.6640625" style="14" customWidth="1"/>
    <col min="520" max="520" width="14.5" style="14" customWidth="1"/>
    <col min="521" max="521" width="9" style="14" customWidth="1"/>
    <col min="522" max="522" width="8.6640625" style="14" customWidth="1"/>
    <col min="523" max="523" width="2.6640625" style="14" customWidth="1"/>
    <col min="524" max="524" width="13.5" style="14" customWidth="1"/>
    <col min="525" max="525" width="8.6640625" style="14" customWidth="1"/>
    <col min="526" max="526" width="10.1640625" style="14" customWidth="1"/>
    <col min="527" max="527" width="2.1640625" style="14" customWidth="1"/>
    <col min="528" max="528" width="13.83203125" style="14" customWidth="1"/>
    <col min="529" max="529" width="8" style="14" customWidth="1"/>
    <col min="530" max="530" width="9.33203125" style="14" customWidth="1"/>
    <col min="531" max="531" width="1.6640625" style="14" customWidth="1"/>
    <col min="532" max="532" width="13.5" style="14" customWidth="1"/>
    <col min="533" max="533" width="8" style="14" customWidth="1"/>
    <col min="534" max="534" width="8.1640625" style="14" customWidth="1"/>
    <col min="535" max="535" width="1.83203125" style="14" customWidth="1"/>
    <col min="536" max="536" width="13.5" style="14" customWidth="1"/>
    <col min="537" max="537" width="8.5" style="14" bestFit="1" customWidth="1"/>
    <col min="538" max="538" width="8.83203125" style="14" customWidth="1"/>
    <col min="539" max="539" width="1.83203125" style="14" customWidth="1"/>
    <col min="540" max="768" width="8" style="14"/>
    <col min="769" max="769" width="7.5" style="14" customWidth="1"/>
    <col min="770" max="770" width="57.5" style="14" customWidth="1"/>
    <col min="771" max="774" width="0" style="14" hidden="1" customWidth="1"/>
    <col min="775" max="775" width="2.6640625" style="14" customWidth="1"/>
    <col min="776" max="776" width="14.5" style="14" customWidth="1"/>
    <col min="777" max="777" width="9" style="14" customWidth="1"/>
    <col min="778" max="778" width="8.6640625" style="14" customWidth="1"/>
    <col min="779" max="779" width="2.6640625" style="14" customWidth="1"/>
    <col min="780" max="780" width="13.5" style="14" customWidth="1"/>
    <col min="781" max="781" width="8.6640625" style="14" customWidth="1"/>
    <col min="782" max="782" width="10.1640625" style="14" customWidth="1"/>
    <col min="783" max="783" width="2.1640625" style="14" customWidth="1"/>
    <col min="784" max="784" width="13.83203125" style="14" customWidth="1"/>
    <col min="785" max="785" width="8" style="14" customWidth="1"/>
    <col min="786" max="786" width="9.33203125" style="14" customWidth="1"/>
    <col min="787" max="787" width="1.6640625" style="14" customWidth="1"/>
    <col min="788" max="788" width="13.5" style="14" customWidth="1"/>
    <col min="789" max="789" width="8" style="14" customWidth="1"/>
    <col min="790" max="790" width="8.1640625" style="14" customWidth="1"/>
    <col min="791" max="791" width="1.83203125" style="14" customWidth="1"/>
    <col min="792" max="792" width="13.5" style="14" customWidth="1"/>
    <col min="793" max="793" width="8.5" style="14" bestFit="1" customWidth="1"/>
    <col min="794" max="794" width="8.83203125" style="14" customWidth="1"/>
    <col min="795" max="795" width="1.83203125" style="14" customWidth="1"/>
    <col min="796" max="1024" width="8" style="14"/>
    <col min="1025" max="1025" width="7.5" style="14" customWidth="1"/>
    <col min="1026" max="1026" width="57.5" style="14" customWidth="1"/>
    <col min="1027" max="1030" width="0" style="14" hidden="1" customWidth="1"/>
    <col min="1031" max="1031" width="2.6640625" style="14" customWidth="1"/>
    <col min="1032" max="1032" width="14.5" style="14" customWidth="1"/>
    <col min="1033" max="1033" width="9" style="14" customWidth="1"/>
    <col min="1034" max="1034" width="8.6640625" style="14" customWidth="1"/>
    <col min="1035" max="1035" width="2.6640625" style="14" customWidth="1"/>
    <col min="1036" max="1036" width="13.5" style="14" customWidth="1"/>
    <col min="1037" max="1037" width="8.6640625" style="14" customWidth="1"/>
    <col min="1038" max="1038" width="10.1640625" style="14" customWidth="1"/>
    <col min="1039" max="1039" width="2.1640625" style="14" customWidth="1"/>
    <col min="1040" max="1040" width="13.83203125" style="14" customWidth="1"/>
    <col min="1041" max="1041" width="8" style="14" customWidth="1"/>
    <col min="1042" max="1042" width="9.33203125" style="14" customWidth="1"/>
    <col min="1043" max="1043" width="1.6640625" style="14" customWidth="1"/>
    <col min="1044" max="1044" width="13.5" style="14" customWidth="1"/>
    <col min="1045" max="1045" width="8" style="14" customWidth="1"/>
    <col min="1046" max="1046" width="8.1640625" style="14" customWidth="1"/>
    <col min="1047" max="1047" width="1.83203125" style="14" customWidth="1"/>
    <col min="1048" max="1048" width="13.5" style="14" customWidth="1"/>
    <col min="1049" max="1049" width="8.5" style="14" bestFit="1" customWidth="1"/>
    <col min="1050" max="1050" width="8.83203125" style="14" customWidth="1"/>
    <col min="1051" max="1051" width="1.83203125" style="14" customWidth="1"/>
    <col min="1052" max="1280" width="8" style="14"/>
    <col min="1281" max="1281" width="7.5" style="14" customWidth="1"/>
    <col min="1282" max="1282" width="57.5" style="14" customWidth="1"/>
    <col min="1283" max="1286" width="0" style="14" hidden="1" customWidth="1"/>
    <col min="1287" max="1287" width="2.6640625" style="14" customWidth="1"/>
    <col min="1288" max="1288" width="14.5" style="14" customWidth="1"/>
    <col min="1289" max="1289" width="9" style="14" customWidth="1"/>
    <col min="1290" max="1290" width="8.6640625" style="14" customWidth="1"/>
    <col min="1291" max="1291" width="2.6640625" style="14" customWidth="1"/>
    <col min="1292" max="1292" width="13.5" style="14" customWidth="1"/>
    <col min="1293" max="1293" width="8.6640625" style="14" customWidth="1"/>
    <col min="1294" max="1294" width="10.1640625" style="14" customWidth="1"/>
    <col min="1295" max="1295" width="2.1640625" style="14" customWidth="1"/>
    <col min="1296" max="1296" width="13.83203125" style="14" customWidth="1"/>
    <col min="1297" max="1297" width="8" style="14" customWidth="1"/>
    <col min="1298" max="1298" width="9.33203125" style="14" customWidth="1"/>
    <col min="1299" max="1299" width="1.6640625" style="14" customWidth="1"/>
    <col min="1300" max="1300" width="13.5" style="14" customWidth="1"/>
    <col min="1301" max="1301" width="8" style="14" customWidth="1"/>
    <col min="1302" max="1302" width="8.1640625" style="14" customWidth="1"/>
    <col min="1303" max="1303" width="1.83203125" style="14" customWidth="1"/>
    <col min="1304" max="1304" width="13.5" style="14" customWidth="1"/>
    <col min="1305" max="1305" width="8.5" style="14" bestFit="1" customWidth="1"/>
    <col min="1306" max="1306" width="8.83203125" style="14" customWidth="1"/>
    <col min="1307" max="1307" width="1.83203125" style="14" customWidth="1"/>
    <col min="1308" max="1536" width="8" style="14"/>
    <col min="1537" max="1537" width="7.5" style="14" customWidth="1"/>
    <col min="1538" max="1538" width="57.5" style="14" customWidth="1"/>
    <col min="1539" max="1542" width="0" style="14" hidden="1" customWidth="1"/>
    <col min="1543" max="1543" width="2.6640625" style="14" customWidth="1"/>
    <col min="1544" max="1544" width="14.5" style="14" customWidth="1"/>
    <col min="1545" max="1545" width="9" style="14" customWidth="1"/>
    <col min="1546" max="1546" width="8.6640625" style="14" customWidth="1"/>
    <col min="1547" max="1547" width="2.6640625" style="14" customWidth="1"/>
    <col min="1548" max="1548" width="13.5" style="14" customWidth="1"/>
    <col min="1549" max="1549" width="8.6640625" style="14" customWidth="1"/>
    <col min="1550" max="1550" width="10.1640625" style="14" customWidth="1"/>
    <col min="1551" max="1551" width="2.1640625" style="14" customWidth="1"/>
    <col min="1552" max="1552" width="13.83203125" style="14" customWidth="1"/>
    <col min="1553" max="1553" width="8" style="14" customWidth="1"/>
    <col min="1554" max="1554" width="9.33203125" style="14" customWidth="1"/>
    <col min="1555" max="1555" width="1.6640625" style="14" customWidth="1"/>
    <col min="1556" max="1556" width="13.5" style="14" customWidth="1"/>
    <col min="1557" max="1557" width="8" style="14" customWidth="1"/>
    <col min="1558" max="1558" width="8.1640625" style="14" customWidth="1"/>
    <col min="1559" max="1559" width="1.83203125" style="14" customWidth="1"/>
    <col min="1560" max="1560" width="13.5" style="14" customWidth="1"/>
    <col min="1561" max="1561" width="8.5" style="14" bestFit="1" customWidth="1"/>
    <col min="1562" max="1562" width="8.83203125" style="14" customWidth="1"/>
    <col min="1563" max="1563" width="1.83203125" style="14" customWidth="1"/>
    <col min="1564" max="1792" width="8" style="14"/>
    <col min="1793" max="1793" width="7.5" style="14" customWidth="1"/>
    <col min="1794" max="1794" width="57.5" style="14" customWidth="1"/>
    <col min="1795" max="1798" width="0" style="14" hidden="1" customWidth="1"/>
    <col min="1799" max="1799" width="2.6640625" style="14" customWidth="1"/>
    <col min="1800" max="1800" width="14.5" style="14" customWidth="1"/>
    <col min="1801" max="1801" width="9" style="14" customWidth="1"/>
    <col min="1802" max="1802" width="8.6640625" style="14" customWidth="1"/>
    <col min="1803" max="1803" width="2.6640625" style="14" customWidth="1"/>
    <col min="1804" max="1804" width="13.5" style="14" customWidth="1"/>
    <col min="1805" max="1805" width="8.6640625" style="14" customWidth="1"/>
    <col min="1806" max="1806" width="10.1640625" style="14" customWidth="1"/>
    <col min="1807" max="1807" width="2.1640625" style="14" customWidth="1"/>
    <col min="1808" max="1808" width="13.83203125" style="14" customWidth="1"/>
    <col min="1809" max="1809" width="8" style="14" customWidth="1"/>
    <col min="1810" max="1810" width="9.33203125" style="14" customWidth="1"/>
    <col min="1811" max="1811" width="1.6640625" style="14" customWidth="1"/>
    <col min="1812" max="1812" width="13.5" style="14" customWidth="1"/>
    <col min="1813" max="1813" width="8" style="14" customWidth="1"/>
    <col min="1814" max="1814" width="8.1640625" style="14" customWidth="1"/>
    <col min="1815" max="1815" width="1.83203125" style="14" customWidth="1"/>
    <col min="1816" max="1816" width="13.5" style="14" customWidth="1"/>
    <col min="1817" max="1817" width="8.5" style="14" bestFit="1" customWidth="1"/>
    <col min="1818" max="1818" width="8.83203125" style="14" customWidth="1"/>
    <col min="1819" max="1819" width="1.83203125" style="14" customWidth="1"/>
    <col min="1820" max="2048" width="8" style="14"/>
    <col min="2049" max="2049" width="7.5" style="14" customWidth="1"/>
    <col min="2050" max="2050" width="57.5" style="14" customWidth="1"/>
    <col min="2051" max="2054" width="0" style="14" hidden="1" customWidth="1"/>
    <col min="2055" max="2055" width="2.6640625" style="14" customWidth="1"/>
    <col min="2056" max="2056" width="14.5" style="14" customWidth="1"/>
    <col min="2057" max="2057" width="9" style="14" customWidth="1"/>
    <col min="2058" max="2058" width="8.6640625" style="14" customWidth="1"/>
    <col min="2059" max="2059" width="2.6640625" style="14" customWidth="1"/>
    <col min="2060" max="2060" width="13.5" style="14" customWidth="1"/>
    <col min="2061" max="2061" width="8.6640625" style="14" customWidth="1"/>
    <col min="2062" max="2062" width="10.1640625" style="14" customWidth="1"/>
    <col min="2063" max="2063" width="2.1640625" style="14" customWidth="1"/>
    <col min="2064" max="2064" width="13.83203125" style="14" customWidth="1"/>
    <col min="2065" max="2065" width="8" style="14" customWidth="1"/>
    <col min="2066" max="2066" width="9.33203125" style="14" customWidth="1"/>
    <col min="2067" max="2067" width="1.6640625" style="14" customWidth="1"/>
    <col min="2068" max="2068" width="13.5" style="14" customWidth="1"/>
    <col min="2069" max="2069" width="8" style="14" customWidth="1"/>
    <col min="2070" max="2070" width="8.1640625" style="14" customWidth="1"/>
    <col min="2071" max="2071" width="1.83203125" style="14" customWidth="1"/>
    <col min="2072" max="2072" width="13.5" style="14" customWidth="1"/>
    <col min="2073" max="2073" width="8.5" style="14" bestFit="1" customWidth="1"/>
    <col min="2074" max="2074" width="8.83203125" style="14" customWidth="1"/>
    <col min="2075" max="2075" width="1.83203125" style="14" customWidth="1"/>
    <col min="2076" max="2304" width="8" style="14"/>
    <col min="2305" max="2305" width="7.5" style="14" customWidth="1"/>
    <col min="2306" max="2306" width="57.5" style="14" customWidth="1"/>
    <col min="2307" max="2310" width="0" style="14" hidden="1" customWidth="1"/>
    <col min="2311" max="2311" width="2.6640625" style="14" customWidth="1"/>
    <col min="2312" max="2312" width="14.5" style="14" customWidth="1"/>
    <col min="2313" max="2313" width="9" style="14" customWidth="1"/>
    <col min="2314" max="2314" width="8.6640625" style="14" customWidth="1"/>
    <col min="2315" max="2315" width="2.6640625" style="14" customWidth="1"/>
    <col min="2316" max="2316" width="13.5" style="14" customWidth="1"/>
    <col min="2317" max="2317" width="8.6640625" style="14" customWidth="1"/>
    <col min="2318" max="2318" width="10.1640625" style="14" customWidth="1"/>
    <col min="2319" max="2319" width="2.1640625" style="14" customWidth="1"/>
    <col min="2320" max="2320" width="13.83203125" style="14" customWidth="1"/>
    <col min="2321" max="2321" width="8" style="14" customWidth="1"/>
    <col min="2322" max="2322" width="9.33203125" style="14" customWidth="1"/>
    <col min="2323" max="2323" width="1.6640625" style="14" customWidth="1"/>
    <col min="2324" max="2324" width="13.5" style="14" customWidth="1"/>
    <col min="2325" max="2325" width="8" style="14" customWidth="1"/>
    <col min="2326" max="2326" width="8.1640625" style="14" customWidth="1"/>
    <col min="2327" max="2327" width="1.83203125" style="14" customWidth="1"/>
    <col min="2328" max="2328" width="13.5" style="14" customWidth="1"/>
    <col min="2329" max="2329" width="8.5" style="14" bestFit="1" customWidth="1"/>
    <col min="2330" max="2330" width="8.83203125" style="14" customWidth="1"/>
    <col min="2331" max="2331" width="1.83203125" style="14" customWidth="1"/>
    <col min="2332" max="2560" width="8" style="14"/>
    <col min="2561" max="2561" width="7.5" style="14" customWidth="1"/>
    <col min="2562" max="2562" width="57.5" style="14" customWidth="1"/>
    <col min="2563" max="2566" width="0" style="14" hidden="1" customWidth="1"/>
    <col min="2567" max="2567" width="2.6640625" style="14" customWidth="1"/>
    <col min="2568" max="2568" width="14.5" style="14" customWidth="1"/>
    <col min="2569" max="2569" width="9" style="14" customWidth="1"/>
    <col min="2570" max="2570" width="8.6640625" style="14" customWidth="1"/>
    <col min="2571" max="2571" width="2.6640625" style="14" customWidth="1"/>
    <col min="2572" max="2572" width="13.5" style="14" customWidth="1"/>
    <col min="2573" max="2573" width="8.6640625" style="14" customWidth="1"/>
    <col min="2574" max="2574" width="10.1640625" style="14" customWidth="1"/>
    <col min="2575" max="2575" width="2.1640625" style="14" customWidth="1"/>
    <col min="2576" max="2576" width="13.83203125" style="14" customWidth="1"/>
    <col min="2577" max="2577" width="8" style="14" customWidth="1"/>
    <col min="2578" max="2578" width="9.33203125" style="14" customWidth="1"/>
    <col min="2579" max="2579" width="1.6640625" style="14" customWidth="1"/>
    <col min="2580" max="2580" width="13.5" style="14" customWidth="1"/>
    <col min="2581" max="2581" width="8" style="14" customWidth="1"/>
    <col min="2582" max="2582" width="8.1640625" style="14" customWidth="1"/>
    <col min="2583" max="2583" width="1.83203125" style="14" customWidth="1"/>
    <col min="2584" max="2584" width="13.5" style="14" customWidth="1"/>
    <col min="2585" max="2585" width="8.5" style="14" bestFit="1" customWidth="1"/>
    <col min="2586" max="2586" width="8.83203125" style="14" customWidth="1"/>
    <col min="2587" max="2587" width="1.83203125" style="14" customWidth="1"/>
    <col min="2588" max="2816" width="8" style="14"/>
    <col min="2817" max="2817" width="7.5" style="14" customWidth="1"/>
    <col min="2818" max="2818" width="57.5" style="14" customWidth="1"/>
    <col min="2819" max="2822" width="0" style="14" hidden="1" customWidth="1"/>
    <col min="2823" max="2823" width="2.6640625" style="14" customWidth="1"/>
    <col min="2824" max="2824" width="14.5" style="14" customWidth="1"/>
    <col min="2825" max="2825" width="9" style="14" customWidth="1"/>
    <col min="2826" max="2826" width="8.6640625" style="14" customWidth="1"/>
    <col min="2827" max="2827" width="2.6640625" style="14" customWidth="1"/>
    <col min="2828" max="2828" width="13.5" style="14" customWidth="1"/>
    <col min="2829" max="2829" width="8.6640625" style="14" customWidth="1"/>
    <col min="2830" max="2830" width="10.1640625" style="14" customWidth="1"/>
    <col min="2831" max="2831" width="2.1640625" style="14" customWidth="1"/>
    <col min="2832" max="2832" width="13.83203125" style="14" customWidth="1"/>
    <col min="2833" max="2833" width="8" style="14" customWidth="1"/>
    <col min="2834" max="2834" width="9.33203125" style="14" customWidth="1"/>
    <col min="2835" max="2835" width="1.6640625" style="14" customWidth="1"/>
    <col min="2836" max="2836" width="13.5" style="14" customWidth="1"/>
    <col min="2837" max="2837" width="8" style="14" customWidth="1"/>
    <col min="2838" max="2838" width="8.1640625" style="14" customWidth="1"/>
    <col min="2839" max="2839" width="1.83203125" style="14" customWidth="1"/>
    <col min="2840" max="2840" width="13.5" style="14" customWidth="1"/>
    <col min="2841" max="2841" width="8.5" style="14" bestFit="1" customWidth="1"/>
    <col min="2842" max="2842" width="8.83203125" style="14" customWidth="1"/>
    <col min="2843" max="2843" width="1.83203125" style="14" customWidth="1"/>
    <col min="2844" max="3072" width="8" style="14"/>
    <col min="3073" max="3073" width="7.5" style="14" customWidth="1"/>
    <col min="3074" max="3074" width="57.5" style="14" customWidth="1"/>
    <col min="3075" max="3078" width="0" style="14" hidden="1" customWidth="1"/>
    <col min="3079" max="3079" width="2.6640625" style="14" customWidth="1"/>
    <col min="3080" max="3080" width="14.5" style="14" customWidth="1"/>
    <col min="3081" max="3081" width="9" style="14" customWidth="1"/>
    <col min="3082" max="3082" width="8.6640625" style="14" customWidth="1"/>
    <col min="3083" max="3083" width="2.6640625" style="14" customWidth="1"/>
    <col min="3084" max="3084" width="13.5" style="14" customWidth="1"/>
    <col min="3085" max="3085" width="8.6640625" style="14" customWidth="1"/>
    <col min="3086" max="3086" width="10.1640625" style="14" customWidth="1"/>
    <col min="3087" max="3087" width="2.1640625" style="14" customWidth="1"/>
    <col min="3088" max="3088" width="13.83203125" style="14" customWidth="1"/>
    <col min="3089" max="3089" width="8" style="14" customWidth="1"/>
    <col min="3090" max="3090" width="9.33203125" style="14" customWidth="1"/>
    <col min="3091" max="3091" width="1.6640625" style="14" customWidth="1"/>
    <col min="3092" max="3092" width="13.5" style="14" customWidth="1"/>
    <col min="3093" max="3093" width="8" style="14" customWidth="1"/>
    <col min="3094" max="3094" width="8.1640625" style="14" customWidth="1"/>
    <col min="3095" max="3095" width="1.83203125" style="14" customWidth="1"/>
    <col min="3096" max="3096" width="13.5" style="14" customWidth="1"/>
    <col min="3097" max="3097" width="8.5" style="14" bestFit="1" customWidth="1"/>
    <col min="3098" max="3098" width="8.83203125" style="14" customWidth="1"/>
    <col min="3099" max="3099" width="1.83203125" style="14" customWidth="1"/>
    <col min="3100" max="3328" width="8" style="14"/>
    <col min="3329" max="3329" width="7.5" style="14" customWidth="1"/>
    <col min="3330" max="3330" width="57.5" style="14" customWidth="1"/>
    <col min="3331" max="3334" width="0" style="14" hidden="1" customWidth="1"/>
    <col min="3335" max="3335" width="2.6640625" style="14" customWidth="1"/>
    <col min="3336" max="3336" width="14.5" style="14" customWidth="1"/>
    <col min="3337" max="3337" width="9" style="14" customWidth="1"/>
    <col min="3338" max="3338" width="8.6640625" style="14" customWidth="1"/>
    <col min="3339" max="3339" width="2.6640625" style="14" customWidth="1"/>
    <col min="3340" max="3340" width="13.5" style="14" customWidth="1"/>
    <col min="3341" max="3341" width="8.6640625" style="14" customWidth="1"/>
    <col min="3342" max="3342" width="10.1640625" style="14" customWidth="1"/>
    <col min="3343" max="3343" width="2.1640625" style="14" customWidth="1"/>
    <col min="3344" max="3344" width="13.83203125" style="14" customWidth="1"/>
    <col min="3345" max="3345" width="8" style="14" customWidth="1"/>
    <col min="3346" max="3346" width="9.33203125" style="14" customWidth="1"/>
    <col min="3347" max="3347" width="1.6640625" style="14" customWidth="1"/>
    <col min="3348" max="3348" width="13.5" style="14" customWidth="1"/>
    <col min="3349" max="3349" width="8" style="14" customWidth="1"/>
    <col min="3350" max="3350" width="8.1640625" style="14" customWidth="1"/>
    <col min="3351" max="3351" width="1.83203125" style="14" customWidth="1"/>
    <col min="3352" max="3352" width="13.5" style="14" customWidth="1"/>
    <col min="3353" max="3353" width="8.5" style="14" bestFit="1" customWidth="1"/>
    <col min="3354" max="3354" width="8.83203125" style="14" customWidth="1"/>
    <col min="3355" max="3355" width="1.83203125" style="14" customWidth="1"/>
    <col min="3356" max="3584" width="8" style="14"/>
    <col min="3585" max="3585" width="7.5" style="14" customWidth="1"/>
    <col min="3586" max="3586" width="57.5" style="14" customWidth="1"/>
    <col min="3587" max="3590" width="0" style="14" hidden="1" customWidth="1"/>
    <col min="3591" max="3591" width="2.6640625" style="14" customWidth="1"/>
    <col min="3592" max="3592" width="14.5" style="14" customWidth="1"/>
    <col min="3593" max="3593" width="9" style="14" customWidth="1"/>
    <col min="3594" max="3594" width="8.6640625" style="14" customWidth="1"/>
    <col min="3595" max="3595" width="2.6640625" style="14" customWidth="1"/>
    <col min="3596" max="3596" width="13.5" style="14" customWidth="1"/>
    <col min="3597" max="3597" width="8.6640625" style="14" customWidth="1"/>
    <col min="3598" max="3598" width="10.1640625" style="14" customWidth="1"/>
    <col min="3599" max="3599" width="2.1640625" style="14" customWidth="1"/>
    <col min="3600" max="3600" width="13.83203125" style="14" customWidth="1"/>
    <col min="3601" max="3601" width="8" style="14" customWidth="1"/>
    <col min="3602" max="3602" width="9.33203125" style="14" customWidth="1"/>
    <col min="3603" max="3603" width="1.6640625" style="14" customWidth="1"/>
    <col min="3604" max="3604" width="13.5" style="14" customWidth="1"/>
    <col min="3605" max="3605" width="8" style="14" customWidth="1"/>
    <col min="3606" max="3606" width="8.1640625" style="14" customWidth="1"/>
    <col min="3607" max="3607" width="1.83203125" style="14" customWidth="1"/>
    <col min="3608" max="3608" width="13.5" style="14" customWidth="1"/>
    <col min="3609" max="3609" width="8.5" style="14" bestFit="1" customWidth="1"/>
    <col min="3610" max="3610" width="8.83203125" style="14" customWidth="1"/>
    <col min="3611" max="3611" width="1.83203125" style="14" customWidth="1"/>
    <col min="3612" max="3840" width="8" style="14"/>
    <col min="3841" max="3841" width="7.5" style="14" customWidth="1"/>
    <col min="3842" max="3842" width="57.5" style="14" customWidth="1"/>
    <col min="3843" max="3846" width="0" style="14" hidden="1" customWidth="1"/>
    <col min="3847" max="3847" width="2.6640625" style="14" customWidth="1"/>
    <col min="3848" max="3848" width="14.5" style="14" customWidth="1"/>
    <col min="3849" max="3849" width="9" style="14" customWidth="1"/>
    <col min="3850" max="3850" width="8.6640625" style="14" customWidth="1"/>
    <col min="3851" max="3851" width="2.6640625" style="14" customWidth="1"/>
    <col min="3852" max="3852" width="13.5" style="14" customWidth="1"/>
    <col min="3853" max="3853" width="8.6640625" style="14" customWidth="1"/>
    <col min="3854" max="3854" width="10.1640625" style="14" customWidth="1"/>
    <col min="3855" max="3855" width="2.1640625" style="14" customWidth="1"/>
    <col min="3856" max="3856" width="13.83203125" style="14" customWidth="1"/>
    <col min="3857" max="3857" width="8" style="14" customWidth="1"/>
    <col min="3858" max="3858" width="9.33203125" style="14" customWidth="1"/>
    <col min="3859" max="3859" width="1.6640625" style="14" customWidth="1"/>
    <col min="3860" max="3860" width="13.5" style="14" customWidth="1"/>
    <col min="3861" max="3861" width="8" style="14" customWidth="1"/>
    <col min="3862" max="3862" width="8.1640625" style="14" customWidth="1"/>
    <col min="3863" max="3863" width="1.83203125" style="14" customWidth="1"/>
    <col min="3864" max="3864" width="13.5" style="14" customWidth="1"/>
    <col min="3865" max="3865" width="8.5" style="14" bestFit="1" customWidth="1"/>
    <col min="3866" max="3866" width="8.83203125" style="14" customWidth="1"/>
    <col min="3867" max="3867" width="1.83203125" style="14" customWidth="1"/>
    <col min="3868" max="4096" width="8" style="14"/>
    <col min="4097" max="4097" width="7.5" style="14" customWidth="1"/>
    <col min="4098" max="4098" width="57.5" style="14" customWidth="1"/>
    <col min="4099" max="4102" width="0" style="14" hidden="1" customWidth="1"/>
    <col min="4103" max="4103" width="2.6640625" style="14" customWidth="1"/>
    <col min="4104" max="4104" width="14.5" style="14" customWidth="1"/>
    <col min="4105" max="4105" width="9" style="14" customWidth="1"/>
    <col min="4106" max="4106" width="8.6640625" style="14" customWidth="1"/>
    <col min="4107" max="4107" width="2.6640625" style="14" customWidth="1"/>
    <col min="4108" max="4108" width="13.5" style="14" customWidth="1"/>
    <col min="4109" max="4109" width="8.6640625" style="14" customWidth="1"/>
    <col min="4110" max="4110" width="10.1640625" style="14" customWidth="1"/>
    <col min="4111" max="4111" width="2.1640625" style="14" customWidth="1"/>
    <col min="4112" max="4112" width="13.83203125" style="14" customWidth="1"/>
    <col min="4113" max="4113" width="8" style="14" customWidth="1"/>
    <col min="4114" max="4114" width="9.33203125" style="14" customWidth="1"/>
    <col min="4115" max="4115" width="1.6640625" style="14" customWidth="1"/>
    <col min="4116" max="4116" width="13.5" style="14" customWidth="1"/>
    <col min="4117" max="4117" width="8" style="14" customWidth="1"/>
    <col min="4118" max="4118" width="8.1640625" style="14" customWidth="1"/>
    <col min="4119" max="4119" width="1.83203125" style="14" customWidth="1"/>
    <col min="4120" max="4120" width="13.5" style="14" customWidth="1"/>
    <col min="4121" max="4121" width="8.5" style="14" bestFit="1" customWidth="1"/>
    <col min="4122" max="4122" width="8.83203125" style="14" customWidth="1"/>
    <col min="4123" max="4123" width="1.83203125" style="14" customWidth="1"/>
    <col min="4124" max="4352" width="8" style="14"/>
    <col min="4353" max="4353" width="7.5" style="14" customWidth="1"/>
    <col min="4354" max="4354" width="57.5" style="14" customWidth="1"/>
    <col min="4355" max="4358" width="0" style="14" hidden="1" customWidth="1"/>
    <col min="4359" max="4359" width="2.6640625" style="14" customWidth="1"/>
    <col min="4360" max="4360" width="14.5" style="14" customWidth="1"/>
    <col min="4361" max="4361" width="9" style="14" customWidth="1"/>
    <col min="4362" max="4362" width="8.6640625" style="14" customWidth="1"/>
    <col min="4363" max="4363" width="2.6640625" style="14" customWidth="1"/>
    <col min="4364" max="4364" width="13.5" style="14" customWidth="1"/>
    <col min="4365" max="4365" width="8.6640625" style="14" customWidth="1"/>
    <col min="4366" max="4366" width="10.1640625" style="14" customWidth="1"/>
    <col min="4367" max="4367" width="2.1640625" style="14" customWidth="1"/>
    <col min="4368" max="4368" width="13.83203125" style="14" customWidth="1"/>
    <col min="4369" max="4369" width="8" style="14" customWidth="1"/>
    <col min="4370" max="4370" width="9.33203125" style="14" customWidth="1"/>
    <col min="4371" max="4371" width="1.6640625" style="14" customWidth="1"/>
    <col min="4372" max="4372" width="13.5" style="14" customWidth="1"/>
    <col min="4373" max="4373" width="8" style="14" customWidth="1"/>
    <col min="4374" max="4374" width="8.1640625" style="14" customWidth="1"/>
    <col min="4375" max="4375" width="1.83203125" style="14" customWidth="1"/>
    <col min="4376" max="4376" width="13.5" style="14" customWidth="1"/>
    <col min="4377" max="4377" width="8.5" style="14" bestFit="1" customWidth="1"/>
    <col min="4378" max="4378" width="8.83203125" style="14" customWidth="1"/>
    <col min="4379" max="4379" width="1.83203125" style="14" customWidth="1"/>
    <col min="4380" max="4608" width="8" style="14"/>
    <col min="4609" max="4609" width="7.5" style="14" customWidth="1"/>
    <col min="4610" max="4610" width="57.5" style="14" customWidth="1"/>
    <col min="4611" max="4614" width="0" style="14" hidden="1" customWidth="1"/>
    <col min="4615" max="4615" width="2.6640625" style="14" customWidth="1"/>
    <col min="4616" max="4616" width="14.5" style="14" customWidth="1"/>
    <col min="4617" max="4617" width="9" style="14" customWidth="1"/>
    <col min="4618" max="4618" width="8.6640625" style="14" customWidth="1"/>
    <col min="4619" max="4619" width="2.6640625" style="14" customWidth="1"/>
    <col min="4620" max="4620" width="13.5" style="14" customWidth="1"/>
    <col min="4621" max="4621" width="8.6640625" style="14" customWidth="1"/>
    <col min="4622" max="4622" width="10.1640625" style="14" customWidth="1"/>
    <col min="4623" max="4623" width="2.1640625" style="14" customWidth="1"/>
    <col min="4624" max="4624" width="13.83203125" style="14" customWidth="1"/>
    <col min="4625" max="4625" width="8" style="14" customWidth="1"/>
    <col min="4626" max="4626" width="9.33203125" style="14" customWidth="1"/>
    <col min="4627" max="4627" width="1.6640625" style="14" customWidth="1"/>
    <col min="4628" max="4628" width="13.5" style="14" customWidth="1"/>
    <col min="4629" max="4629" width="8" style="14" customWidth="1"/>
    <col min="4630" max="4630" width="8.1640625" style="14" customWidth="1"/>
    <col min="4631" max="4631" width="1.83203125" style="14" customWidth="1"/>
    <col min="4632" max="4632" width="13.5" style="14" customWidth="1"/>
    <col min="4633" max="4633" width="8.5" style="14" bestFit="1" customWidth="1"/>
    <col min="4634" max="4634" width="8.83203125" style="14" customWidth="1"/>
    <col min="4635" max="4635" width="1.83203125" style="14" customWidth="1"/>
    <col min="4636" max="4864" width="8" style="14"/>
    <col min="4865" max="4865" width="7.5" style="14" customWidth="1"/>
    <col min="4866" max="4866" width="57.5" style="14" customWidth="1"/>
    <col min="4867" max="4870" width="0" style="14" hidden="1" customWidth="1"/>
    <col min="4871" max="4871" width="2.6640625" style="14" customWidth="1"/>
    <col min="4872" max="4872" width="14.5" style="14" customWidth="1"/>
    <col min="4873" max="4873" width="9" style="14" customWidth="1"/>
    <col min="4874" max="4874" width="8.6640625" style="14" customWidth="1"/>
    <col min="4875" max="4875" width="2.6640625" style="14" customWidth="1"/>
    <col min="4876" max="4876" width="13.5" style="14" customWidth="1"/>
    <col min="4877" max="4877" width="8.6640625" style="14" customWidth="1"/>
    <col min="4878" max="4878" width="10.1640625" style="14" customWidth="1"/>
    <col min="4879" max="4879" width="2.1640625" style="14" customWidth="1"/>
    <col min="4880" max="4880" width="13.83203125" style="14" customWidth="1"/>
    <col min="4881" max="4881" width="8" style="14" customWidth="1"/>
    <col min="4882" max="4882" width="9.33203125" style="14" customWidth="1"/>
    <col min="4883" max="4883" width="1.6640625" style="14" customWidth="1"/>
    <col min="4884" max="4884" width="13.5" style="14" customWidth="1"/>
    <col min="4885" max="4885" width="8" style="14" customWidth="1"/>
    <col min="4886" max="4886" width="8.1640625" style="14" customWidth="1"/>
    <col min="4887" max="4887" width="1.83203125" style="14" customWidth="1"/>
    <col min="4888" max="4888" width="13.5" style="14" customWidth="1"/>
    <col min="4889" max="4889" width="8.5" style="14" bestFit="1" customWidth="1"/>
    <col min="4890" max="4890" width="8.83203125" style="14" customWidth="1"/>
    <col min="4891" max="4891" width="1.83203125" style="14" customWidth="1"/>
    <col min="4892" max="5120" width="8" style="14"/>
    <col min="5121" max="5121" width="7.5" style="14" customWidth="1"/>
    <col min="5122" max="5122" width="57.5" style="14" customWidth="1"/>
    <col min="5123" max="5126" width="0" style="14" hidden="1" customWidth="1"/>
    <col min="5127" max="5127" width="2.6640625" style="14" customWidth="1"/>
    <col min="5128" max="5128" width="14.5" style="14" customWidth="1"/>
    <col min="5129" max="5129" width="9" style="14" customWidth="1"/>
    <col min="5130" max="5130" width="8.6640625" style="14" customWidth="1"/>
    <col min="5131" max="5131" width="2.6640625" style="14" customWidth="1"/>
    <col min="5132" max="5132" width="13.5" style="14" customWidth="1"/>
    <col min="5133" max="5133" width="8.6640625" style="14" customWidth="1"/>
    <col min="5134" max="5134" width="10.1640625" style="14" customWidth="1"/>
    <col min="5135" max="5135" width="2.1640625" style="14" customWidth="1"/>
    <col min="5136" max="5136" width="13.83203125" style="14" customWidth="1"/>
    <col min="5137" max="5137" width="8" style="14" customWidth="1"/>
    <col min="5138" max="5138" width="9.33203125" style="14" customWidth="1"/>
    <col min="5139" max="5139" width="1.6640625" style="14" customWidth="1"/>
    <col min="5140" max="5140" width="13.5" style="14" customWidth="1"/>
    <col min="5141" max="5141" width="8" style="14" customWidth="1"/>
    <col min="5142" max="5142" width="8.1640625" style="14" customWidth="1"/>
    <col min="5143" max="5143" width="1.83203125" style="14" customWidth="1"/>
    <col min="5144" max="5144" width="13.5" style="14" customWidth="1"/>
    <col min="5145" max="5145" width="8.5" style="14" bestFit="1" customWidth="1"/>
    <col min="5146" max="5146" width="8.83203125" style="14" customWidth="1"/>
    <col min="5147" max="5147" width="1.83203125" style="14" customWidth="1"/>
    <col min="5148" max="5376" width="8" style="14"/>
    <col min="5377" max="5377" width="7.5" style="14" customWidth="1"/>
    <col min="5378" max="5378" width="57.5" style="14" customWidth="1"/>
    <col min="5379" max="5382" width="0" style="14" hidden="1" customWidth="1"/>
    <col min="5383" max="5383" width="2.6640625" style="14" customWidth="1"/>
    <col min="5384" max="5384" width="14.5" style="14" customWidth="1"/>
    <col min="5385" max="5385" width="9" style="14" customWidth="1"/>
    <col min="5386" max="5386" width="8.6640625" style="14" customWidth="1"/>
    <col min="5387" max="5387" width="2.6640625" style="14" customWidth="1"/>
    <col min="5388" max="5388" width="13.5" style="14" customWidth="1"/>
    <col min="5389" max="5389" width="8.6640625" style="14" customWidth="1"/>
    <col min="5390" max="5390" width="10.1640625" style="14" customWidth="1"/>
    <col min="5391" max="5391" width="2.1640625" style="14" customWidth="1"/>
    <col min="5392" max="5392" width="13.83203125" style="14" customWidth="1"/>
    <col min="5393" max="5393" width="8" style="14" customWidth="1"/>
    <col min="5394" max="5394" width="9.33203125" style="14" customWidth="1"/>
    <col min="5395" max="5395" width="1.6640625" style="14" customWidth="1"/>
    <col min="5396" max="5396" width="13.5" style="14" customWidth="1"/>
    <col min="5397" max="5397" width="8" style="14" customWidth="1"/>
    <col min="5398" max="5398" width="8.1640625" style="14" customWidth="1"/>
    <col min="5399" max="5399" width="1.83203125" style="14" customWidth="1"/>
    <col min="5400" max="5400" width="13.5" style="14" customWidth="1"/>
    <col min="5401" max="5401" width="8.5" style="14" bestFit="1" customWidth="1"/>
    <col min="5402" max="5402" width="8.83203125" style="14" customWidth="1"/>
    <col min="5403" max="5403" width="1.83203125" style="14" customWidth="1"/>
    <col min="5404" max="5632" width="8" style="14"/>
    <col min="5633" max="5633" width="7.5" style="14" customWidth="1"/>
    <col min="5634" max="5634" width="57.5" style="14" customWidth="1"/>
    <col min="5635" max="5638" width="0" style="14" hidden="1" customWidth="1"/>
    <col min="5639" max="5639" width="2.6640625" style="14" customWidth="1"/>
    <col min="5640" max="5640" width="14.5" style="14" customWidth="1"/>
    <col min="5641" max="5641" width="9" style="14" customWidth="1"/>
    <col min="5642" max="5642" width="8.6640625" style="14" customWidth="1"/>
    <col min="5643" max="5643" width="2.6640625" style="14" customWidth="1"/>
    <col min="5644" max="5644" width="13.5" style="14" customWidth="1"/>
    <col min="5645" max="5645" width="8.6640625" style="14" customWidth="1"/>
    <col min="5646" max="5646" width="10.1640625" style="14" customWidth="1"/>
    <col min="5647" max="5647" width="2.1640625" style="14" customWidth="1"/>
    <col min="5648" max="5648" width="13.83203125" style="14" customWidth="1"/>
    <col min="5649" max="5649" width="8" style="14" customWidth="1"/>
    <col min="5650" max="5650" width="9.33203125" style="14" customWidth="1"/>
    <col min="5651" max="5651" width="1.6640625" style="14" customWidth="1"/>
    <col min="5652" max="5652" width="13.5" style="14" customWidth="1"/>
    <col min="5653" max="5653" width="8" style="14" customWidth="1"/>
    <col min="5654" max="5654" width="8.1640625" style="14" customWidth="1"/>
    <col min="5655" max="5655" width="1.83203125" style="14" customWidth="1"/>
    <col min="5656" max="5656" width="13.5" style="14" customWidth="1"/>
    <col min="5657" max="5657" width="8.5" style="14" bestFit="1" customWidth="1"/>
    <col min="5658" max="5658" width="8.83203125" style="14" customWidth="1"/>
    <col min="5659" max="5659" width="1.83203125" style="14" customWidth="1"/>
    <col min="5660" max="5888" width="8" style="14"/>
    <col min="5889" max="5889" width="7.5" style="14" customWidth="1"/>
    <col min="5890" max="5890" width="57.5" style="14" customWidth="1"/>
    <col min="5891" max="5894" width="0" style="14" hidden="1" customWidth="1"/>
    <col min="5895" max="5895" width="2.6640625" style="14" customWidth="1"/>
    <col min="5896" max="5896" width="14.5" style="14" customWidth="1"/>
    <col min="5897" max="5897" width="9" style="14" customWidth="1"/>
    <col min="5898" max="5898" width="8.6640625" style="14" customWidth="1"/>
    <col min="5899" max="5899" width="2.6640625" style="14" customWidth="1"/>
    <col min="5900" max="5900" width="13.5" style="14" customWidth="1"/>
    <col min="5901" max="5901" width="8.6640625" style="14" customWidth="1"/>
    <col min="5902" max="5902" width="10.1640625" style="14" customWidth="1"/>
    <col min="5903" max="5903" width="2.1640625" style="14" customWidth="1"/>
    <col min="5904" max="5904" width="13.83203125" style="14" customWidth="1"/>
    <col min="5905" max="5905" width="8" style="14" customWidth="1"/>
    <col min="5906" max="5906" width="9.33203125" style="14" customWidth="1"/>
    <col min="5907" max="5907" width="1.6640625" style="14" customWidth="1"/>
    <col min="5908" max="5908" width="13.5" style="14" customWidth="1"/>
    <col min="5909" max="5909" width="8" style="14" customWidth="1"/>
    <col min="5910" max="5910" width="8.1640625" style="14" customWidth="1"/>
    <col min="5911" max="5911" width="1.83203125" style="14" customWidth="1"/>
    <col min="5912" max="5912" width="13.5" style="14" customWidth="1"/>
    <col min="5913" max="5913" width="8.5" style="14" bestFit="1" customWidth="1"/>
    <col min="5914" max="5914" width="8.83203125" style="14" customWidth="1"/>
    <col min="5915" max="5915" width="1.83203125" style="14" customWidth="1"/>
    <col min="5916" max="6144" width="8" style="14"/>
    <col min="6145" max="6145" width="7.5" style="14" customWidth="1"/>
    <col min="6146" max="6146" width="57.5" style="14" customWidth="1"/>
    <col min="6147" max="6150" width="0" style="14" hidden="1" customWidth="1"/>
    <col min="6151" max="6151" width="2.6640625" style="14" customWidth="1"/>
    <col min="6152" max="6152" width="14.5" style="14" customWidth="1"/>
    <col min="6153" max="6153" width="9" style="14" customWidth="1"/>
    <col min="6154" max="6154" width="8.6640625" style="14" customWidth="1"/>
    <col min="6155" max="6155" width="2.6640625" style="14" customWidth="1"/>
    <col min="6156" max="6156" width="13.5" style="14" customWidth="1"/>
    <col min="6157" max="6157" width="8.6640625" style="14" customWidth="1"/>
    <col min="6158" max="6158" width="10.1640625" style="14" customWidth="1"/>
    <col min="6159" max="6159" width="2.1640625" style="14" customWidth="1"/>
    <col min="6160" max="6160" width="13.83203125" style="14" customWidth="1"/>
    <col min="6161" max="6161" width="8" style="14" customWidth="1"/>
    <col min="6162" max="6162" width="9.33203125" style="14" customWidth="1"/>
    <col min="6163" max="6163" width="1.6640625" style="14" customWidth="1"/>
    <col min="6164" max="6164" width="13.5" style="14" customWidth="1"/>
    <col min="6165" max="6165" width="8" style="14" customWidth="1"/>
    <col min="6166" max="6166" width="8.1640625" style="14" customWidth="1"/>
    <col min="6167" max="6167" width="1.83203125" style="14" customWidth="1"/>
    <col min="6168" max="6168" width="13.5" style="14" customWidth="1"/>
    <col min="6169" max="6169" width="8.5" style="14" bestFit="1" customWidth="1"/>
    <col min="6170" max="6170" width="8.83203125" style="14" customWidth="1"/>
    <col min="6171" max="6171" width="1.83203125" style="14" customWidth="1"/>
    <col min="6172" max="6400" width="8" style="14"/>
    <col min="6401" max="6401" width="7.5" style="14" customWidth="1"/>
    <col min="6402" max="6402" width="57.5" style="14" customWidth="1"/>
    <col min="6403" max="6406" width="0" style="14" hidden="1" customWidth="1"/>
    <col min="6407" max="6407" width="2.6640625" style="14" customWidth="1"/>
    <col min="6408" max="6408" width="14.5" style="14" customWidth="1"/>
    <col min="6409" max="6409" width="9" style="14" customWidth="1"/>
    <col min="6410" max="6410" width="8.6640625" style="14" customWidth="1"/>
    <col min="6411" max="6411" width="2.6640625" style="14" customWidth="1"/>
    <col min="6412" max="6412" width="13.5" style="14" customWidth="1"/>
    <col min="6413" max="6413" width="8.6640625" style="14" customWidth="1"/>
    <col min="6414" max="6414" width="10.1640625" style="14" customWidth="1"/>
    <col min="6415" max="6415" width="2.1640625" style="14" customWidth="1"/>
    <col min="6416" max="6416" width="13.83203125" style="14" customWidth="1"/>
    <col min="6417" max="6417" width="8" style="14" customWidth="1"/>
    <col min="6418" max="6418" width="9.33203125" style="14" customWidth="1"/>
    <col min="6419" max="6419" width="1.6640625" style="14" customWidth="1"/>
    <col min="6420" max="6420" width="13.5" style="14" customWidth="1"/>
    <col min="6421" max="6421" width="8" style="14" customWidth="1"/>
    <col min="6422" max="6422" width="8.1640625" style="14" customWidth="1"/>
    <col min="6423" max="6423" width="1.83203125" style="14" customWidth="1"/>
    <col min="6424" max="6424" width="13.5" style="14" customWidth="1"/>
    <col min="6425" max="6425" width="8.5" style="14" bestFit="1" customWidth="1"/>
    <col min="6426" max="6426" width="8.83203125" style="14" customWidth="1"/>
    <col min="6427" max="6427" width="1.83203125" style="14" customWidth="1"/>
    <col min="6428" max="6656" width="8" style="14"/>
    <col min="6657" max="6657" width="7.5" style="14" customWidth="1"/>
    <col min="6658" max="6658" width="57.5" style="14" customWidth="1"/>
    <col min="6659" max="6662" width="0" style="14" hidden="1" customWidth="1"/>
    <col min="6663" max="6663" width="2.6640625" style="14" customWidth="1"/>
    <col min="6664" max="6664" width="14.5" style="14" customWidth="1"/>
    <col min="6665" max="6665" width="9" style="14" customWidth="1"/>
    <col min="6666" max="6666" width="8.6640625" style="14" customWidth="1"/>
    <col min="6667" max="6667" width="2.6640625" style="14" customWidth="1"/>
    <col min="6668" max="6668" width="13.5" style="14" customWidth="1"/>
    <col min="6669" max="6669" width="8.6640625" style="14" customWidth="1"/>
    <col min="6670" max="6670" width="10.1640625" style="14" customWidth="1"/>
    <col min="6671" max="6671" width="2.1640625" style="14" customWidth="1"/>
    <col min="6672" max="6672" width="13.83203125" style="14" customWidth="1"/>
    <col min="6673" max="6673" width="8" style="14" customWidth="1"/>
    <col min="6674" max="6674" width="9.33203125" style="14" customWidth="1"/>
    <col min="6675" max="6675" width="1.6640625" style="14" customWidth="1"/>
    <col min="6676" max="6676" width="13.5" style="14" customWidth="1"/>
    <col min="6677" max="6677" width="8" style="14" customWidth="1"/>
    <col min="6678" max="6678" width="8.1640625" style="14" customWidth="1"/>
    <col min="6679" max="6679" width="1.83203125" style="14" customWidth="1"/>
    <col min="6680" max="6680" width="13.5" style="14" customWidth="1"/>
    <col min="6681" max="6681" width="8.5" style="14" bestFit="1" customWidth="1"/>
    <col min="6682" max="6682" width="8.83203125" style="14" customWidth="1"/>
    <col min="6683" max="6683" width="1.83203125" style="14" customWidth="1"/>
    <col min="6684" max="6912" width="8" style="14"/>
    <col min="6913" max="6913" width="7.5" style="14" customWidth="1"/>
    <col min="6914" max="6914" width="57.5" style="14" customWidth="1"/>
    <col min="6915" max="6918" width="0" style="14" hidden="1" customWidth="1"/>
    <col min="6919" max="6919" width="2.6640625" style="14" customWidth="1"/>
    <col min="6920" max="6920" width="14.5" style="14" customWidth="1"/>
    <col min="6921" max="6921" width="9" style="14" customWidth="1"/>
    <col min="6922" max="6922" width="8.6640625" style="14" customWidth="1"/>
    <col min="6923" max="6923" width="2.6640625" style="14" customWidth="1"/>
    <col min="6924" max="6924" width="13.5" style="14" customWidth="1"/>
    <col min="6925" max="6925" width="8.6640625" style="14" customWidth="1"/>
    <col min="6926" max="6926" width="10.1640625" style="14" customWidth="1"/>
    <col min="6927" max="6927" width="2.1640625" style="14" customWidth="1"/>
    <col min="6928" max="6928" width="13.83203125" style="14" customWidth="1"/>
    <col min="6929" max="6929" width="8" style="14" customWidth="1"/>
    <col min="6930" max="6930" width="9.33203125" style="14" customWidth="1"/>
    <col min="6931" max="6931" width="1.6640625" style="14" customWidth="1"/>
    <col min="6932" max="6932" width="13.5" style="14" customWidth="1"/>
    <col min="6933" max="6933" width="8" style="14" customWidth="1"/>
    <col min="6934" max="6934" width="8.1640625" style="14" customWidth="1"/>
    <col min="6935" max="6935" width="1.83203125" style="14" customWidth="1"/>
    <col min="6936" max="6936" width="13.5" style="14" customWidth="1"/>
    <col min="6937" max="6937" width="8.5" style="14" bestFit="1" customWidth="1"/>
    <col min="6938" max="6938" width="8.83203125" style="14" customWidth="1"/>
    <col min="6939" max="6939" width="1.83203125" style="14" customWidth="1"/>
    <col min="6940" max="7168" width="8" style="14"/>
    <col min="7169" max="7169" width="7.5" style="14" customWidth="1"/>
    <col min="7170" max="7170" width="57.5" style="14" customWidth="1"/>
    <col min="7171" max="7174" width="0" style="14" hidden="1" customWidth="1"/>
    <col min="7175" max="7175" width="2.6640625" style="14" customWidth="1"/>
    <col min="7176" max="7176" width="14.5" style="14" customWidth="1"/>
    <col min="7177" max="7177" width="9" style="14" customWidth="1"/>
    <col min="7178" max="7178" width="8.6640625" style="14" customWidth="1"/>
    <col min="7179" max="7179" width="2.6640625" style="14" customWidth="1"/>
    <col min="7180" max="7180" width="13.5" style="14" customWidth="1"/>
    <col min="7181" max="7181" width="8.6640625" style="14" customWidth="1"/>
    <col min="7182" max="7182" width="10.1640625" style="14" customWidth="1"/>
    <col min="7183" max="7183" width="2.1640625" style="14" customWidth="1"/>
    <col min="7184" max="7184" width="13.83203125" style="14" customWidth="1"/>
    <col min="7185" max="7185" width="8" style="14" customWidth="1"/>
    <col min="7186" max="7186" width="9.33203125" style="14" customWidth="1"/>
    <col min="7187" max="7187" width="1.6640625" style="14" customWidth="1"/>
    <col min="7188" max="7188" width="13.5" style="14" customWidth="1"/>
    <col min="7189" max="7189" width="8" style="14" customWidth="1"/>
    <col min="7190" max="7190" width="8.1640625" style="14" customWidth="1"/>
    <col min="7191" max="7191" width="1.83203125" style="14" customWidth="1"/>
    <col min="7192" max="7192" width="13.5" style="14" customWidth="1"/>
    <col min="7193" max="7193" width="8.5" style="14" bestFit="1" customWidth="1"/>
    <col min="7194" max="7194" width="8.83203125" style="14" customWidth="1"/>
    <col min="7195" max="7195" width="1.83203125" style="14" customWidth="1"/>
    <col min="7196" max="7424" width="8" style="14"/>
    <col min="7425" max="7425" width="7.5" style="14" customWidth="1"/>
    <col min="7426" max="7426" width="57.5" style="14" customWidth="1"/>
    <col min="7427" max="7430" width="0" style="14" hidden="1" customWidth="1"/>
    <col min="7431" max="7431" width="2.6640625" style="14" customWidth="1"/>
    <col min="7432" max="7432" width="14.5" style="14" customWidth="1"/>
    <col min="7433" max="7433" width="9" style="14" customWidth="1"/>
    <col min="7434" max="7434" width="8.6640625" style="14" customWidth="1"/>
    <col min="7435" max="7435" width="2.6640625" style="14" customWidth="1"/>
    <col min="7436" max="7436" width="13.5" style="14" customWidth="1"/>
    <col min="7437" max="7437" width="8.6640625" style="14" customWidth="1"/>
    <col min="7438" max="7438" width="10.1640625" style="14" customWidth="1"/>
    <col min="7439" max="7439" width="2.1640625" style="14" customWidth="1"/>
    <col min="7440" max="7440" width="13.83203125" style="14" customWidth="1"/>
    <col min="7441" max="7441" width="8" style="14" customWidth="1"/>
    <col min="7442" max="7442" width="9.33203125" style="14" customWidth="1"/>
    <col min="7443" max="7443" width="1.6640625" style="14" customWidth="1"/>
    <col min="7444" max="7444" width="13.5" style="14" customWidth="1"/>
    <col min="7445" max="7445" width="8" style="14" customWidth="1"/>
    <col min="7446" max="7446" width="8.1640625" style="14" customWidth="1"/>
    <col min="7447" max="7447" width="1.83203125" style="14" customWidth="1"/>
    <col min="7448" max="7448" width="13.5" style="14" customWidth="1"/>
    <col min="7449" max="7449" width="8.5" style="14" bestFit="1" customWidth="1"/>
    <col min="7450" max="7450" width="8.83203125" style="14" customWidth="1"/>
    <col min="7451" max="7451" width="1.83203125" style="14" customWidth="1"/>
    <col min="7452" max="7680" width="8" style="14"/>
    <col min="7681" max="7681" width="7.5" style="14" customWidth="1"/>
    <col min="7682" max="7682" width="57.5" style="14" customWidth="1"/>
    <col min="7683" max="7686" width="0" style="14" hidden="1" customWidth="1"/>
    <col min="7687" max="7687" width="2.6640625" style="14" customWidth="1"/>
    <col min="7688" max="7688" width="14.5" style="14" customWidth="1"/>
    <col min="7689" max="7689" width="9" style="14" customWidth="1"/>
    <col min="7690" max="7690" width="8.6640625" style="14" customWidth="1"/>
    <col min="7691" max="7691" width="2.6640625" style="14" customWidth="1"/>
    <col min="7692" max="7692" width="13.5" style="14" customWidth="1"/>
    <col min="7693" max="7693" width="8.6640625" style="14" customWidth="1"/>
    <col min="7694" max="7694" width="10.1640625" style="14" customWidth="1"/>
    <col min="7695" max="7695" width="2.1640625" style="14" customWidth="1"/>
    <col min="7696" max="7696" width="13.83203125" style="14" customWidth="1"/>
    <col min="7697" max="7697" width="8" style="14" customWidth="1"/>
    <col min="7698" max="7698" width="9.33203125" style="14" customWidth="1"/>
    <col min="7699" max="7699" width="1.6640625" style="14" customWidth="1"/>
    <col min="7700" max="7700" width="13.5" style="14" customWidth="1"/>
    <col min="7701" max="7701" width="8" style="14" customWidth="1"/>
    <col min="7702" max="7702" width="8.1640625" style="14" customWidth="1"/>
    <col min="7703" max="7703" width="1.83203125" style="14" customWidth="1"/>
    <col min="7704" max="7704" width="13.5" style="14" customWidth="1"/>
    <col min="7705" max="7705" width="8.5" style="14" bestFit="1" customWidth="1"/>
    <col min="7706" max="7706" width="8.83203125" style="14" customWidth="1"/>
    <col min="7707" max="7707" width="1.83203125" style="14" customWidth="1"/>
    <col min="7708" max="7936" width="8" style="14"/>
    <col min="7937" max="7937" width="7.5" style="14" customWidth="1"/>
    <col min="7938" max="7938" width="57.5" style="14" customWidth="1"/>
    <col min="7939" max="7942" width="0" style="14" hidden="1" customWidth="1"/>
    <col min="7943" max="7943" width="2.6640625" style="14" customWidth="1"/>
    <col min="7944" max="7944" width="14.5" style="14" customWidth="1"/>
    <col min="7945" max="7945" width="9" style="14" customWidth="1"/>
    <col min="7946" max="7946" width="8.6640625" style="14" customWidth="1"/>
    <col min="7947" max="7947" width="2.6640625" style="14" customWidth="1"/>
    <col min="7948" max="7948" width="13.5" style="14" customWidth="1"/>
    <col min="7949" max="7949" width="8.6640625" style="14" customWidth="1"/>
    <col min="7950" max="7950" width="10.1640625" style="14" customWidth="1"/>
    <col min="7951" max="7951" width="2.1640625" style="14" customWidth="1"/>
    <col min="7952" max="7952" width="13.83203125" style="14" customWidth="1"/>
    <col min="7953" max="7953" width="8" style="14" customWidth="1"/>
    <col min="7954" max="7954" width="9.33203125" style="14" customWidth="1"/>
    <col min="7955" max="7955" width="1.6640625" style="14" customWidth="1"/>
    <col min="7956" max="7956" width="13.5" style="14" customWidth="1"/>
    <col min="7957" max="7957" width="8" style="14" customWidth="1"/>
    <col min="7958" max="7958" width="8.1640625" style="14" customWidth="1"/>
    <col min="7959" max="7959" width="1.83203125" style="14" customWidth="1"/>
    <col min="7960" max="7960" width="13.5" style="14" customWidth="1"/>
    <col min="7961" max="7961" width="8.5" style="14" bestFit="1" customWidth="1"/>
    <col min="7962" max="7962" width="8.83203125" style="14" customWidth="1"/>
    <col min="7963" max="7963" width="1.83203125" style="14" customWidth="1"/>
    <col min="7964" max="8192" width="8" style="14"/>
    <col min="8193" max="8193" width="7.5" style="14" customWidth="1"/>
    <col min="8194" max="8194" width="57.5" style="14" customWidth="1"/>
    <col min="8195" max="8198" width="0" style="14" hidden="1" customWidth="1"/>
    <col min="8199" max="8199" width="2.6640625" style="14" customWidth="1"/>
    <col min="8200" max="8200" width="14.5" style="14" customWidth="1"/>
    <col min="8201" max="8201" width="9" style="14" customWidth="1"/>
    <col min="8202" max="8202" width="8.6640625" style="14" customWidth="1"/>
    <col min="8203" max="8203" width="2.6640625" style="14" customWidth="1"/>
    <col min="8204" max="8204" width="13.5" style="14" customWidth="1"/>
    <col min="8205" max="8205" width="8.6640625" style="14" customWidth="1"/>
    <col min="8206" max="8206" width="10.1640625" style="14" customWidth="1"/>
    <col min="8207" max="8207" width="2.1640625" style="14" customWidth="1"/>
    <col min="8208" max="8208" width="13.83203125" style="14" customWidth="1"/>
    <col min="8209" max="8209" width="8" style="14" customWidth="1"/>
    <col min="8210" max="8210" width="9.33203125" style="14" customWidth="1"/>
    <col min="8211" max="8211" width="1.6640625" style="14" customWidth="1"/>
    <col min="8212" max="8212" width="13.5" style="14" customWidth="1"/>
    <col min="8213" max="8213" width="8" style="14" customWidth="1"/>
    <col min="8214" max="8214" width="8.1640625" style="14" customWidth="1"/>
    <col min="8215" max="8215" width="1.83203125" style="14" customWidth="1"/>
    <col min="8216" max="8216" width="13.5" style="14" customWidth="1"/>
    <col min="8217" max="8217" width="8.5" style="14" bestFit="1" customWidth="1"/>
    <col min="8218" max="8218" width="8.83203125" style="14" customWidth="1"/>
    <col min="8219" max="8219" width="1.83203125" style="14" customWidth="1"/>
    <col min="8220" max="8448" width="8" style="14"/>
    <col min="8449" max="8449" width="7.5" style="14" customWidth="1"/>
    <col min="8450" max="8450" width="57.5" style="14" customWidth="1"/>
    <col min="8451" max="8454" width="0" style="14" hidden="1" customWidth="1"/>
    <col min="8455" max="8455" width="2.6640625" style="14" customWidth="1"/>
    <col min="8456" max="8456" width="14.5" style="14" customWidth="1"/>
    <col min="8457" max="8457" width="9" style="14" customWidth="1"/>
    <col min="8458" max="8458" width="8.6640625" style="14" customWidth="1"/>
    <col min="8459" max="8459" width="2.6640625" style="14" customWidth="1"/>
    <col min="8460" max="8460" width="13.5" style="14" customWidth="1"/>
    <col min="8461" max="8461" width="8.6640625" style="14" customWidth="1"/>
    <col min="8462" max="8462" width="10.1640625" style="14" customWidth="1"/>
    <col min="8463" max="8463" width="2.1640625" style="14" customWidth="1"/>
    <col min="8464" max="8464" width="13.83203125" style="14" customWidth="1"/>
    <col min="8465" max="8465" width="8" style="14" customWidth="1"/>
    <col min="8466" max="8466" width="9.33203125" style="14" customWidth="1"/>
    <col min="8467" max="8467" width="1.6640625" style="14" customWidth="1"/>
    <col min="8468" max="8468" width="13.5" style="14" customWidth="1"/>
    <col min="8469" max="8469" width="8" style="14" customWidth="1"/>
    <col min="8470" max="8470" width="8.1640625" style="14" customWidth="1"/>
    <col min="8471" max="8471" width="1.83203125" style="14" customWidth="1"/>
    <col min="8472" max="8472" width="13.5" style="14" customWidth="1"/>
    <col min="8473" max="8473" width="8.5" style="14" bestFit="1" customWidth="1"/>
    <col min="8474" max="8474" width="8.83203125" style="14" customWidth="1"/>
    <col min="8475" max="8475" width="1.83203125" style="14" customWidth="1"/>
    <col min="8476" max="8704" width="8" style="14"/>
    <col min="8705" max="8705" width="7.5" style="14" customWidth="1"/>
    <col min="8706" max="8706" width="57.5" style="14" customWidth="1"/>
    <col min="8707" max="8710" width="0" style="14" hidden="1" customWidth="1"/>
    <col min="8711" max="8711" width="2.6640625" style="14" customWidth="1"/>
    <col min="8712" max="8712" width="14.5" style="14" customWidth="1"/>
    <col min="8713" max="8713" width="9" style="14" customWidth="1"/>
    <col min="8714" max="8714" width="8.6640625" style="14" customWidth="1"/>
    <col min="8715" max="8715" width="2.6640625" style="14" customWidth="1"/>
    <col min="8716" max="8716" width="13.5" style="14" customWidth="1"/>
    <col min="8717" max="8717" width="8.6640625" style="14" customWidth="1"/>
    <col min="8718" max="8718" width="10.1640625" style="14" customWidth="1"/>
    <col min="8719" max="8719" width="2.1640625" style="14" customWidth="1"/>
    <col min="8720" max="8720" width="13.83203125" style="14" customWidth="1"/>
    <col min="8721" max="8721" width="8" style="14" customWidth="1"/>
    <col min="8722" max="8722" width="9.33203125" style="14" customWidth="1"/>
    <col min="8723" max="8723" width="1.6640625" style="14" customWidth="1"/>
    <col min="8724" max="8724" width="13.5" style="14" customWidth="1"/>
    <col min="8725" max="8725" width="8" style="14" customWidth="1"/>
    <col min="8726" max="8726" width="8.1640625" style="14" customWidth="1"/>
    <col min="8727" max="8727" width="1.83203125" style="14" customWidth="1"/>
    <col min="8728" max="8728" width="13.5" style="14" customWidth="1"/>
    <col min="8729" max="8729" width="8.5" style="14" bestFit="1" customWidth="1"/>
    <col min="8730" max="8730" width="8.83203125" style="14" customWidth="1"/>
    <col min="8731" max="8731" width="1.83203125" style="14" customWidth="1"/>
    <col min="8732" max="8960" width="8" style="14"/>
    <col min="8961" max="8961" width="7.5" style="14" customWidth="1"/>
    <col min="8962" max="8962" width="57.5" style="14" customWidth="1"/>
    <col min="8963" max="8966" width="0" style="14" hidden="1" customWidth="1"/>
    <col min="8967" max="8967" width="2.6640625" style="14" customWidth="1"/>
    <col min="8968" max="8968" width="14.5" style="14" customWidth="1"/>
    <col min="8969" max="8969" width="9" style="14" customWidth="1"/>
    <col min="8970" max="8970" width="8.6640625" style="14" customWidth="1"/>
    <col min="8971" max="8971" width="2.6640625" style="14" customWidth="1"/>
    <col min="8972" max="8972" width="13.5" style="14" customWidth="1"/>
    <col min="8973" max="8973" width="8.6640625" style="14" customWidth="1"/>
    <col min="8974" max="8974" width="10.1640625" style="14" customWidth="1"/>
    <col min="8975" max="8975" width="2.1640625" style="14" customWidth="1"/>
    <col min="8976" max="8976" width="13.83203125" style="14" customWidth="1"/>
    <col min="8977" max="8977" width="8" style="14" customWidth="1"/>
    <col min="8978" max="8978" width="9.33203125" style="14" customWidth="1"/>
    <col min="8979" max="8979" width="1.6640625" style="14" customWidth="1"/>
    <col min="8980" max="8980" width="13.5" style="14" customWidth="1"/>
    <col min="8981" max="8981" width="8" style="14" customWidth="1"/>
    <col min="8982" max="8982" width="8.1640625" style="14" customWidth="1"/>
    <col min="8983" max="8983" width="1.83203125" style="14" customWidth="1"/>
    <col min="8984" max="8984" width="13.5" style="14" customWidth="1"/>
    <col min="8985" max="8985" width="8.5" style="14" bestFit="1" customWidth="1"/>
    <col min="8986" max="8986" width="8.83203125" style="14" customWidth="1"/>
    <col min="8987" max="8987" width="1.83203125" style="14" customWidth="1"/>
    <col min="8988" max="9216" width="8" style="14"/>
    <col min="9217" max="9217" width="7.5" style="14" customWidth="1"/>
    <col min="9218" max="9218" width="57.5" style="14" customWidth="1"/>
    <col min="9219" max="9222" width="0" style="14" hidden="1" customWidth="1"/>
    <col min="9223" max="9223" width="2.6640625" style="14" customWidth="1"/>
    <col min="9224" max="9224" width="14.5" style="14" customWidth="1"/>
    <col min="9225" max="9225" width="9" style="14" customWidth="1"/>
    <col min="9226" max="9226" width="8.6640625" style="14" customWidth="1"/>
    <col min="9227" max="9227" width="2.6640625" style="14" customWidth="1"/>
    <col min="9228" max="9228" width="13.5" style="14" customWidth="1"/>
    <col min="9229" max="9229" width="8.6640625" style="14" customWidth="1"/>
    <col min="9230" max="9230" width="10.1640625" style="14" customWidth="1"/>
    <col min="9231" max="9231" width="2.1640625" style="14" customWidth="1"/>
    <col min="9232" max="9232" width="13.83203125" style="14" customWidth="1"/>
    <col min="9233" max="9233" width="8" style="14" customWidth="1"/>
    <col min="9234" max="9234" width="9.33203125" style="14" customWidth="1"/>
    <col min="9235" max="9235" width="1.6640625" style="14" customWidth="1"/>
    <col min="9236" max="9236" width="13.5" style="14" customWidth="1"/>
    <col min="9237" max="9237" width="8" style="14" customWidth="1"/>
    <col min="9238" max="9238" width="8.1640625" style="14" customWidth="1"/>
    <col min="9239" max="9239" width="1.83203125" style="14" customWidth="1"/>
    <col min="9240" max="9240" width="13.5" style="14" customWidth="1"/>
    <col min="9241" max="9241" width="8.5" style="14" bestFit="1" customWidth="1"/>
    <col min="9242" max="9242" width="8.83203125" style="14" customWidth="1"/>
    <col min="9243" max="9243" width="1.83203125" style="14" customWidth="1"/>
    <col min="9244" max="9472" width="8" style="14"/>
    <col min="9473" max="9473" width="7.5" style="14" customWidth="1"/>
    <col min="9474" max="9474" width="57.5" style="14" customWidth="1"/>
    <col min="9475" max="9478" width="0" style="14" hidden="1" customWidth="1"/>
    <col min="9479" max="9479" width="2.6640625" style="14" customWidth="1"/>
    <col min="9480" max="9480" width="14.5" style="14" customWidth="1"/>
    <col min="9481" max="9481" width="9" style="14" customWidth="1"/>
    <col min="9482" max="9482" width="8.6640625" style="14" customWidth="1"/>
    <col min="9483" max="9483" width="2.6640625" style="14" customWidth="1"/>
    <col min="9484" max="9484" width="13.5" style="14" customWidth="1"/>
    <col min="9485" max="9485" width="8.6640625" style="14" customWidth="1"/>
    <col min="9486" max="9486" width="10.1640625" style="14" customWidth="1"/>
    <col min="9487" max="9487" width="2.1640625" style="14" customWidth="1"/>
    <col min="9488" max="9488" width="13.83203125" style="14" customWidth="1"/>
    <col min="9489" max="9489" width="8" style="14" customWidth="1"/>
    <col min="9490" max="9490" width="9.33203125" style="14" customWidth="1"/>
    <col min="9491" max="9491" width="1.6640625" style="14" customWidth="1"/>
    <col min="9492" max="9492" width="13.5" style="14" customWidth="1"/>
    <col min="9493" max="9493" width="8" style="14" customWidth="1"/>
    <col min="9494" max="9494" width="8.1640625" style="14" customWidth="1"/>
    <col min="9495" max="9495" width="1.83203125" style="14" customWidth="1"/>
    <col min="9496" max="9496" width="13.5" style="14" customWidth="1"/>
    <col min="9497" max="9497" width="8.5" style="14" bestFit="1" customWidth="1"/>
    <col min="9498" max="9498" width="8.83203125" style="14" customWidth="1"/>
    <col min="9499" max="9499" width="1.83203125" style="14" customWidth="1"/>
    <col min="9500" max="9728" width="8" style="14"/>
    <col min="9729" max="9729" width="7.5" style="14" customWidth="1"/>
    <col min="9730" max="9730" width="57.5" style="14" customWidth="1"/>
    <col min="9731" max="9734" width="0" style="14" hidden="1" customWidth="1"/>
    <col min="9735" max="9735" width="2.6640625" style="14" customWidth="1"/>
    <col min="9736" max="9736" width="14.5" style="14" customWidth="1"/>
    <col min="9737" max="9737" width="9" style="14" customWidth="1"/>
    <col min="9738" max="9738" width="8.6640625" style="14" customWidth="1"/>
    <col min="9739" max="9739" width="2.6640625" style="14" customWidth="1"/>
    <col min="9740" max="9740" width="13.5" style="14" customWidth="1"/>
    <col min="9741" max="9741" width="8.6640625" style="14" customWidth="1"/>
    <col min="9742" max="9742" width="10.1640625" style="14" customWidth="1"/>
    <col min="9743" max="9743" width="2.1640625" style="14" customWidth="1"/>
    <col min="9744" max="9744" width="13.83203125" style="14" customWidth="1"/>
    <col min="9745" max="9745" width="8" style="14" customWidth="1"/>
    <col min="9746" max="9746" width="9.33203125" style="14" customWidth="1"/>
    <col min="9747" max="9747" width="1.6640625" style="14" customWidth="1"/>
    <col min="9748" max="9748" width="13.5" style="14" customWidth="1"/>
    <col min="9749" max="9749" width="8" style="14" customWidth="1"/>
    <col min="9750" max="9750" width="8.1640625" style="14" customWidth="1"/>
    <col min="9751" max="9751" width="1.83203125" style="14" customWidth="1"/>
    <col min="9752" max="9752" width="13.5" style="14" customWidth="1"/>
    <col min="9753" max="9753" width="8.5" style="14" bestFit="1" customWidth="1"/>
    <col min="9754" max="9754" width="8.83203125" style="14" customWidth="1"/>
    <col min="9755" max="9755" width="1.83203125" style="14" customWidth="1"/>
    <col min="9756" max="9984" width="8" style="14"/>
    <col min="9985" max="9985" width="7.5" style="14" customWidth="1"/>
    <col min="9986" max="9986" width="57.5" style="14" customWidth="1"/>
    <col min="9987" max="9990" width="0" style="14" hidden="1" customWidth="1"/>
    <col min="9991" max="9991" width="2.6640625" style="14" customWidth="1"/>
    <col min="9992" max="9992" width="14.5" style="14" customWidth="1"/>
    <col min="9993" max="9993" width="9" style="14" customWidth="1"/>
    <col min="9994" max="9994" width="8.6640625" style="14" customWidth="1"/>
    <col min="9995" max="9995" width="2.6640625" style="14" customWidth="1"/>
    <col min="9996" max="9996" width="13.5" style="14" customWidth="1"/>
    <col min="9997" max="9997" width="8.6640625" style="14" customWidth="1"/>
    <col min="9998" max="9998" width="10.1640625" style="14" customWidth="1"/>
    <col min="9999" max="9999" width="2.1640625" style="14" customWidth="1"/>
    <col min="10000" max="10000" width="13.83203125" style="14" customWidth="1"/>
    <col min="10001" max="10001" width="8" style="14" customWidth="1"/>
    <col min="10002" max="10002" width="9.33203125" style="14" customWidth="1"/>
    <col min="10003" max="10003" width="1.6640625" style="14" customWidth="1"/>
    <col min="10004" max="10004" width="13.5" style="14" customWidth="1"/>
    <col min="10005" max="10005" width="8" style="14" customWidth="1"/>
    <col min="10006" max="10006" width="8.1640625" style="14" customWidth="1"/>
    <col min="10007" max="10007" width="1.83203125" style="14" customWidth="1"/>
    <col min="10008" max="10008" width="13.5" style="14" customWidth="1"/>
    <col min="10009" max="10009" width="8.5" style="14" bestFit="1" customWidth="1"/>
    <col min="10010" max="10010" width="8.83203125" style="14" customWidth="1"/>
    <col min="10011" max="10011" width="1.83203125" style="14" customWidth="1"/>
    <col min="10012" max="10240" width="8" style="14"/>
    <col min="10241" max="10241" width="7.5" style="14" customWidth="1"/>
    <col min="10242" max="10242" width="57.5" style="14" customWidth="1"/>
    <col min="10243" max="10246" width="0" style="14" hidden="1" customWidth="1"/>
    <col min="10247" max="10247" width="2.6640625" style="14" customWidth="1"/>
    <col min="10248" max="10248" width="14.5" style="14" customWidth="1"/>
    <col min="10249" max="10249" width="9" style="14" customWidth="1"/>
    <col min="10250" max="10250" width="8.6640625" style="14" customWidth="1"/>
    <col min="10251" max="10251" width="2.6640625" style="14" customWidth="1"/>
    <col min="10252" max="10252" width="13.5" style="14" customWidth="1"/>
    <col min="10253" max="10253" width="8.6640625" style="14" customWidth="1"/>
    <col min="10254" max="10254" width="10.1640625" style="14" customWidth="1"/>
    <col min="10255" max="10255" width="2.1640625" style="14" customWidth="1"/>
    <col min="10256" max="10256" width="13.83203125" style="14" customWidth="1"/>
    <col min="10257" max="10257" width="8" style="14" customWidth="1"/>
    <col min="10258" max="10258" width="9.33203125" style="14" customWidth="1"/>
    <col min="10259" max="10259" width="1.6640625" style="14" customWidth="1"/>
    <col min="10260" max="10260" width="13.5" style="14" customWidth="1"/>
    <col min="10261" max="10261" width="8" style="14" customWidth="1"/>
    <col min="10262" max="10262" width="8.1640625" style="14" customWidth="1"/>
    <col min="10263" max="10263" width="1.83203125" style="14" customWidth="1"/>
    <col min="10264" max="10264" width="13.5" style="14" customWidth="1"/>
    <col min="10265" max="10265" width="8.5" style="14" bestFit="1" customWidth="1"/>
    <col min="10266" max="10266" width="8.83203125" style="14" customWidth="1"/>
    <col min="10267" max="10267" width="1.83203125" style="14" customWidth="1"/>
    <col min="10268" max="10496" width="8" style="14"/>
    <col min="10497" max="10497" width="7.5" style="14" customWidth="1"/>
    <col min="10498" max="10498" width="57.5" style="14" customWidth="1"/>
    <col min="10499" max="10502" width="0" style="14" hidden="1" customWidth="1"/>
    <col min="10503" max="10503" width="2.6640625" style="14" customWidth="1"/>
    <col min="10504" max="10504" width="14.5" style="14" customWidth="1"/>
    <col min="10505" max="10505" width="9" style="14" customWidth="1"/>
    <col min="10506" max="10506" width="8.6640625" style="14" customWidth="1"/>
    <col min="10507" max="10507" width="2.6640625" style="14" customWidth="1"/>
    <col min="10508" max="10508" width="13.5" style="14" customWidth="1"/>
    <col min="10509" max="10509" width="8.6640625" style="14" customWidth="1"/>
    <col min="10510" max="10510" width="10.1640625" style="14" customWidth="1"/>
    <col min="10511" max="10511" width="2.1640625" style="14" customWidth="1"/>
    <col min="10512" max="10512" width="13.83203125" style="14" customWidth="1"/>
    <col min="10513" max="10513" width="8" style="14" customWidth="1"/>
    <col min="10514" max="10514" width="9.33203125" style="14" customWidth="1"/>
    <col min="10515" max="10515" width="1.6640625" style="14" customWidth="1"/>
    <col min="10516" max="10516" width="13.5" style="14" customWidth="1"/>
    <col min="10517" max="10517" width="8" style="14" customWidth="1"/>
    <col min="10518" max="10518" width="8.1640625" style="14" customWidth="1"/>
    <col min="10519" max="10519" width="1.83203125" style="14" customWidth="1"/>
    <col min="10520" max="10520" width="13.5" style="14" customWidth="1"/>
    <col min="10521" max="10521" width="8.5" style="14" bestFit="1" customWidth="1"/>
    <col min="10522" max="10522" width="8.83203125" style="14" customWidth="1"/>
    <col min="10523" max="10523" width="1.83203125" style="14" customWidth="1"/>
    <col min="10524" max="10752" width="8" style="14"/>
    <col min="10753" max="10753" width="7.5" style="14" customWidth="1"/>
    <col min="10754" max="10754" width="57.5" style="14" customWidth="1"/>
    <col min="10755" max="10758" width="0" style="14" hidden="1" customWidth="1"/>
    <col min="10759" max="10759" width="2.6640625" style="14" customWidth="1"/>
    <col min="10760" max="10760" width="14.5" style="14" customWidth="1"/>
    <col min="10761" max="10761" width="9" style="14" customWidth="1"/>
    <col min="10762" max="10762" width="8.6640625" style="14" customWidth="1"/>
    <col min="10763" max="10763" width="2.6640625" style="14" customWidth="1"/>
    <col min="10764" max="10764" width="13.5" style="14" customWidth="1"/>
    <col min="10765" max="10765" width="8.6640625" style="14" customWidth="1"/>
    <col min="10766" max="10766" width="10.1640625" style="14" customWidth="1"/>
    <col min="10767" max="10767" width="2.1640625" style="14" customWidth="1"/>
    <col min="10768" max="10768" width="13.83203125" style="14" customWidth="1"/>
    <col min="10769" max="10769" width="8" style="14" customWidth="1"/>
    <col min="10770" max="10770" width="9.33203125" style="14" customWidth="1"/>
    <col min="10771" max="10771" width="1.6640625" style="14" customWidth="1"/>
    <col min="10772" max="10772" width="13.5" style="14" customWidth="1"/>
    <col min="10773" max="10773" width="8" style="14" customWidth="1"/>
    <col min="10774" max="10774" width="8.1640625" style="14" customWidth="1"/>
    <col min="10775" max="10775" width="1.83203125" style="14" customWidth="1"/>
    <col min="10776" max="10776" width="13.5" style="14" customWidth="1"/>
    <col min="10777" max="10777" width="8.5" style="14" bestFit="1" customWidth="1"/>
    <col min="10778" max="10778" width="8.83203125" style="14" customWidth="1"/>
    <col min="10779" max="10779" width="1.83203125" style="14" customWidth="1"/>
    <col min="10780" max="11008" width="8" style="14"/>
    <col min="11009" max="11009" width="7.5" style="14" customWidth="1"/>
    <col min="11010" max="11010" width="57.5" style="14" customWidth="1"/>
    <col min="11011" max="11014" width="0" style="14" hidden="1" customWidth="1"/>
    <col min="11015" max="11015" width="2.6640625" style="14" customWidth="1"/>
    <col min="11016" max="11016" width="14.5" style="14" customWidth="1"/>
    <col min="11017" max="11017" width="9" style="14" customWidth="1"/>
    <col min="11018" max="11018" width="8.6640625" style="14" customWidth="1"/>
    <col min="11019" max="11019" width="2.6640625" style="14" customWidth="1"/>
    <col min="11020" max="11020" width="13.5" style="14" customWidth="1"/>
    <col min="11021" max="11021" width="8.6640625" style="14" customWidth="1"/>
    <col min="11022" max="11022" width="10.1640625" style="14" customWidth="1"/>
    <col min="11023" max="11023" width="2.1640625" style="14" customWidth="1"/>
    <col min="11024" max="11024" width="13.83203125" style="14" customWidth="1"/>
    <col min="11025" max="11025" width="8" style="14" customWidth="1"/>
    <col min="11026" max="11026" width="9.33203125" style="14" customWidth="1"/>
    <col min="11027" max="11027" width="1.6640625" style="14" customWidth="1"/>
    <col min="11028" max="11028" width="13.5" style="14" customWidth="1"/>
    <col min="11029" max="11029" width="8" style="14" customWidth="1"/>
    <col min="11030" max="11030" width="8.1640625" style="14" customWidth="1"/>
    <col min="11031" max="11031" width="1.83203125" style="14" customWidth="1"/>
    <col min="11032" max="11032" width="13.5" style="14" customWidth="1"/>
    <col min="11033" max="11033" width="8.5" style="14" bestFit="1" customWidth="1"/>
    <col min="11034" max="11034" width="8.83203125" style="14" customWidth="1"/>
    <col min="11035" max="11035" width="1.83203125" style="14" customWidth="1"/>
    <col min="11036" max="11264" width="8" style="14"/>
    <col min="11265" max="11265" width="7.5" style="14" customWidth="1"/>
    <col min="11266" max="11266" width="57.5" style="14" customWidth="1"/>
    <col min="11267" max="11270" width="0" style="14" hidden="1" customWidth="1"/>
    <col min="11271" max="11271" width="2.6640625" style="14" customWidth="1"/>
    <col min="11272" max="11272" width="14.5" style="14" customWidth="1"/>
    <col min="11273" max="11273" width="9" style="14" customWidth="1"/>
    <col min="11274" max="11274" width="8.6640625" style="14" customWidth="1"/>
    <col min="11275" max="11275" width="2.6640625" style="14" customWidth="1"/>
    <col min="11276" max="11276" width="13.5" style="14" customWidth="1"/>
    <col min="11277" max="11277" width="8.6640625" style="14" customWidth="1"/>
    <col min="11278" max="11278" width="10.1640625" style="14" customWidth="1"/>
    <col min="11279" max="11279" width="2.1640625" style="14" customWidth="1"/>
    <col min="11280" max="11280" width="13.83203125" style="14" customWidth="1"/>
    <col min="11281" max="11281" width="8" style="14" customWidth="1"/>
    <col min="11282" max="11282" width="9.33203125" style="14" customWidth="1"/>
    <col min="11283" max="11283" width="1.6640625" style="14" customWidth="1"/>
    <col min="11284" max="11284" width="13.5" style="14" customWidth="1"/>
    <col min="11285" max="11285" width="8" style="14" customWidth="1"/>
    <col min="11286" max="11286" width="8.1640625" style="14" customWidth="1"/>
    <col min="11287" max="11287" width="1.83203125" style="14" customWidth="1"/>
    <col min="11288" max="11288" width="13.5" style="14" customWidth="1"/>
    <col min="11289" max="11289" width="8.5" style="14" bestFit="1" customWidth="1"/>
    <col min="11290" max="11290" width="8.83203125" style="14" customWidth="1"/>
    <col min="11291" max="11291" width="1.83203125" style="14" customWidth="1"/>
    <col min="11292" max="11520" width="8" style="14"/>
    <col min="11521" max="11521" width="7.5" style="14" customWidth="1"/>
    <col min="11522" max="11522" width="57.5" style="14" customWidth="1"/>
    <col min="11523" max="11526" width="0" style="14" hidden="1" customWidth="1"/>
    <col min="11527" max="11527" width="2.6640625" style="14" customWidth="1"/>
    <col min="11528" max="11528" width="14.5" style="14" customWidth="1"/>
    <col min="11529" max="11529" width="9" style="14" customWidth="1"/>
    <col min="11530" max="11530" width="8.6640625" style="14" customWidth="1"/>
    <col min="11531" max="11531" width="2.6640625" style="14" customWidth="1"/>
    <col min="11532" max="11532" width="13.5" style="14" customWidth="1"/>
    <col min="11533" max="11533" width="8.6640625" style="14" customWidth="1"/>
    <col min="11534" max="11534" width="10.1640625" style="14" customWidth="1"/>
    <col min="11535" max="11535" width="2.1640625" style="14" customWidth="1"/>
    <col min="11536" max="11536" width="13.83203125" style="14" customWidth="1"/>
    <col min="11537" max="11537" width="8" style="14" customWidth="1"/>
    <col min="11538" max="11538" width="9.33203125" style="14" customWidth="1"/>
    <col min="11539" max="11539" width="1.6640625" style="14" customWidth="1"/>
    <col min="11540" max="11540" width="13.5" style="14" customWidth="1"/>
    <col min="11541" max="11541" width="8" style="14" customWidth="1"/>
    <col min="11542" max="11542" width="8.1640625" style="14" customWidth="1"/>
    <col min="11543" max="11543" width="1.83203125" style="14" customWidth="1"/>
    <col min="11544" max="11544" width="13.5" style="14" customWidth="1"/>
    <col min="11545" max="11545" width="8.5" style="14" bestFit="1" customWidth="1"/>
    <col min="11546" max="11546" width="8.83203125" style="14" customWidth="1"/>
    <col min="11547" max="11547" width="1.83203125" style="14" customWidth="1"/>
    <col min="11548" max="11776" width="8" style="14"/>
    <col min="11777" max="11777" width="7.5" style="14" customWidth="1"/>
    <col min="11778" max="11778" width="57.5" style="14" customWidth="1"/>
    <col min="11779" max="11782" width="0" style="14" hidden="1" customWidth="1"/>
    <col min="11783" max="11783" width="2.6640625" style="14" customWidth="1"/>
    <col min="11784" max="11784" width="14.5" style="14" customWidth="1"/>
    <col min="11785" max="11785" width="9" style="14" customWidth="1"/>
    <col min="11786" max="11786" width="8.6640625" style="14" customWidth="1"/>
    <col min="11787" max="11787" width="2.6640625" style="14" customWidth="1"/>
    <col min="11788" max="11788" width="13.5" style="14" customWidth="1"/>
    <col min="11789" max="11789" width="8.6640625" style="14" customWidth="1"/>
    <col min="11790" max="11790" width="10.1640625" style="14" customWidth="1"/>
    <col min="11791" max="11791" width="2.1640625" style="14" customWidth="1"/>
    <col min="11792" max="11792" width="13.83203125" style="14" customWidth="1"/>
    <col min="11793" max="11793" width="8" style="14" customWidth="1"/>
    <col min="11794" max="11794" width="9.33203125" style="14" customWidth="1"/>
    <col min="11795" max="11795" width="1.6640625" style="14" customWidth="1"/>
    <col min="11796" max="11796" width="13.5" style="14" customWidth="1"/>
    <col min="11797" max="11797" width="8" style="14" customWidth="1"/>
    <col min="11798" max="11798" width="8.1640625" style="14" customWidth="1"/>
    <col min="11799" max="11799" width="1.83203125" style="14" customWidth="1"/>
    <col min="11800" max="11800" width="13.5" style="14" customWidth="1"/>
    <col min="11801" max="11801" width="8.5" style="14" bestFit="1" customWidth="1"/>
    <col min="11802" max="11802" width="8.83203125" style="14" customWidth="1"/>
    <col min="11803" max="11803" width="1.83203125" style="14" customWidth="1"/>
    <col min="11804" max="12032" width="8" style="14"/>
    <col min="12033" max="12033" width="7.5" style="14" customWidth="1"/>
    <col min="12034" max="12034" width="57.5" style="14" customWidth="1"/>
    <col min="12035" max="12038" width="0" style="14" hidden="1" customWidth="1"/>
    <col min="12039" max="12039" width="2.6640625" style="14" customWidth="1"/>
    <col min="12040" max="12040" width="14.5" style="14" customWidth="1"/>
    <col min="12041" max="12041" width="9" style="14" customWidth="1"/>
    <col min="12042" max="12042" width="8.6640625" style="14" customWidth="1"/>
    <col min="12043" max="12043" width="2.6640625" style="14" customWidth="1"/>
    <col min="12044" max="12044" width="13.5" style="14" customWidth="1"/>
    <col min="12045" max="12045" width="8.6640625" style="14" customWidth="1"/>
    <col min="12046" max="12046" width="10.1640625" style="14" customWidth="1"/>
    <col min="12047" max="12047" width="2.1640625" style="14" customWidth="1"/>
    <col min="12048" max="12048" width="13.83203125" style="14" customWidth="1"/>
    <col min="12049" max="12049" width="8" style="14" customWidth="1"/>
    <col min="12050" max="12050" width="9.33203125" style="14" customWidth="1"/>
    <col min="12051" max="12051" width="1.6640625" style="14" customWidth="1"/>
    <col min="12052" max="12052" width="13.5" style="14" customWidth="1"/>
    <col min="12053" max="12053" width="8" style="14" customWidth="1"/>
    <col min="12054" max="12054" width="8.1640625" style="14" customWidth="1"/>
    <col min="12055" max="12055" width="1.83203125" style="14" customWidth="1"/>
    <col min="12056" max="12056" width="13.5" style="14" customWidth="1"/>
    <col min="12057" max="12057" width="8.5" style="14" bestFit="1" customWidth="1"/>
    <col min="12058" max="12058" width="8.83203125" style="14" customWidth="1"/>
    <col min="12059" max="12059" width="1.83203125" style="14" customWidth="1"/>
    <col min="12060" max="12288" width="8" style="14"/>
    <col min="12289" max="12289" width="7.5" style="14" customWidth="1"/>
    <col min="12290" max="12290" width="57.5" style="14" customWidth="1"/>
    <col min="12291" max="12294" width="0" style="14" hidden="1" customWidth="1"/>
    <col min="12295" max="12295" width="2.6640625" style="14" customWidth="1"/>
    <col min="12296" max="12296" width="14.5" style="14" customWidth="1"/>
    <col min="12297" max="12297" width="9" style="14" customWidth="1"/>
    <col min="12298" max="12298" width="8.6640625" style="14" customWidth="1"/>
    <col min="12299" max="12299" width="2.6640625" style="14" customWidth="1"/>
    <col min="12300" max="12300" width="13.5" style="14" customWidth="1"/>
    <col min="12301" max="12301" width="8.6640625" style="14" customWidth="1"/>
    <col min="12302" max="12302" width="10.1640625" style="14" customWidth="1"/>
    <col min="12303" max="12303" width="2.1640625" style="14" customWidth="1"/>
    <col min="12304" max="12304" width="13.83203125" style="14" customWidth="1"/>
    <col min="12305" max="12305" width="8" style="14" customWidth="1"/>
    <col min="12306" max="12306" width="9.33203125" style="14" customWidth="1"/>
    <col min="12307" max="12307" width="1.6640625" style="14" customWidth="1"/>
    <col min="12308" max="12308" width="13.5" style="14" customWidth="1"/>
    <col min="12309" max="12309" width="8" style="14" customWidth="1"/>
    <col min="12310" max="12310" width="8.1640625" style="14" customWidth="1"/>
    <col min="12311" max="12311" width="1.83203125" style="14" customWidth="1"/>
    <col min="12312" max="12312" width="13.5" style="14" customWidth="1"/>
    <col min="12313" max="12313" width="8.5" style="14" bestFit="1" customWidth="1"/>
    <col min="12314" max="12314" width="8.83203125" style="14" customWidth="1"/>
    <col min="12315" max="12315" width="1.83203125" style="14" customWidth="1"/>
    <col min="12316" max="12544" width="8" style="14"/>
    <col min="12545" max="12545" width="7.5" style="14" customWidth="1"/>
    <col min="12546" max="12546" width="57.5" style="14" customWidth="1"/>
    <col min="12547" max="12550" width="0" style="14" hidden="1" customWidth="1"/>
    <col min="12551" max="12551" width="2.6640625" style="14" customWidth="1"/>
    <col min="12552" max="12552" width="14.5" style="14" customWidth="1"/>
    <col min="12553" max="12553" width="9" style="14" customWidth="1"/>
    <col min="12554" max="12554" width="8.6640625" style="14" customWidth="1"/>
    <col min="12555" max="12555" width="2.6640625" style="14" customWidth="1"/>
    <col min="12556" max="12556" width="13.5" style="14" customWidth="1"/>
    <col min="12557" max="12557" width="8.6640625" style="14" customWidth="1"/>
    <col min="12558" max="12558" width="10.1640625" style="14" customWidth="1"/>
    <col min="12559" max="12559" width="2.1640625" style="14" customWidth="1"/>
    <col min="12560" max="12560" width="13.83203125" style="14" customWidth="1"/>
    <col min="12561" max="12561" width="8" style="14" customWidth="1"/>
    <col min="12562" max="12562" width="9.33203125" style="14" customWidth="1"/>
    <col min="12563" max="12563" width="1.6640625" style="14" customWidth="1"/>
    <col min="12564" max="12564" width="13.5" style="14" customWidth="1"/>
    <col min="12565" max="12565" width="8" style="14" customWidth="1"/>
    <col min="12566" max="12566" width="8.1640625" style="14" customWidth="1"/>
    <col min="12567" max="12567" width="1.83203125" style="14" customWidth="1"/>
    <col min="12568" max="12568" width="13.5" style="14" customWidth="1"/>
    <col min="12569" max="12569" width="8.5" style="14" bestFit="1" customWidth="1"/>
    <col min="12570" max="12570" width="8.83203125" style="14" customWidth="1"/>
    <col min="12571" max="12571" width="1.83203125" style="14" customWidth="1"/>
    <col min="12572" max="12800" width="8" style="14"/>
    <col min="12801" max="12801" width="7.5" style="14" customWidth="1"/>
    <col min="12802" max="12802" width="57.5" style="14" customWidth="1"/>
    <col min="12803" max="12806" width="0" style="14" hidden="1" customWidth="1"/>
    <col min="12807" max="12807" width="2.6640625" style="14" customWidth="1"/>
    <col min="12808" max="12808" width="14.5" style="14" customWidth="1"/>
    <col min="12809" max="12809" width="9" style="14" customWidth="1"/>
    <col min="12810" max="12810" width="8.6640625" style="14" customWidth="1"/>
    <col min="12811" max="12811" width="2.6640625" style="14" customWidth="1"/>
    <col min="12812" max="12812" width="13.5" style="14" customWidth="1"/>
    <col min="12813" max="12813" width="8.6640625" style="14" customWidth="1"/>
    <col min="12814" max="12814" width="10.1640625" style="14" customWidth="1"/>
    <col min="12815" max="12815" width="2.1640625" style="14" customWidth="1"/>
    <col min="12816" max="12816" width="13.83203125" style="14" customWidth="1"/>
    <col min="12817" max="12817" width="8" style="14" customWidth="1"/>
    <col min="12818" max="12818" width="9.33203125" style="14" customWidth="1"/>
    <col min="12819" max="12819" width="1.6640625" style="14" customWidth="1"/>
    <col min="12820" max="12820" width="13.5" style="14" customWidth="1"/>
    <col min="12821" max="12821" width="8" style="14" customWidth="1"/>
    <col min="12822" max="12822" width="8.1640625" style="14" customWidth="1"/>
    <col min="12823" max="12823" width="1.83203125" style="14" customWidth="1"/>
    <col min="12824" max="12824" width="13.5" style="14" customWidth="1"/>
    <col min="12825" max="12825" width="8.5" style="14" bestFit="1" customWidth="1"/>
    <col min="12826" max="12826" width="8.83203125" style="14" customWidth="1"/>
    <col min="12827" max="12827" width="1.83203125" style="14" customWidth="1"/>
    <col min="12828" max="13056" width="8" style="14"/>
    <col min="13057" max="13057" width="7.5" style="14" customWidth="1"/>
    <col min="13058" max="13058" width="57.5" style="14" customWidth="1"/>
    <col min="13059" max="13062" width="0" style="14" hidden="1" customWidth="1"/>
    <col min="13063" max="13063" width="2.6640625" style="14" customWidth="1"/>
    <col min="13064" max="13064" width="14.5" style="14" customWidth="1"/>
    <col min="13065" max="13065" width="9" style="14" customWidth="1"/>
    <col min="13066" max="13066" width="8.6640625" style="14" customWidth="1"/>
    <col min="13067" max="13067" width="2.6640625" style="14" customWidth="1"/>
    <col min="13068" max="13068" width="13.5" style="14" customWidth="1"/>
    <col min="13069" max="13069" width="8.6640625" style="14" customWidth="1"/>
    <col min="13070" max="13070" width="10.1640625" style="14" customWidth="1"/>
    <col min="13071" max="13071" width="2.1640625" style="14" customWidth="1"/>
    <col min="13072" max="13072" width="13.83203125" style="14" customWidth="1"/>
    <col min="13073" max="13073" width="8" style="14" customWidth="1"/>
    <col min="13074" max="13074" width="9.33203125" style="14" customWidth="1"/>
    <col min="13075" max="13075" width="1.6640625" style="14" customWidth="1"/>
    <col min="13076" max="13076" width="13.5" style="14" customWidth="1"/>
    <col min="13077" max="13077" width="8" style="14" customWidth="1"/>
    <col min="13078" max="13078" width="8.1640625" style="14" customWidth="1"/>
    <col min="13079" max="13079" width="1.83203125" style="14" customWidth="1"/>
    <col min="13080" max="13080" width="13.5" style="14" customWidth="1"/>
    <col min="13081" max="13081" width="8.5" style="14" bestFit="1" customWidth="1"/>
    <col min="13082" max="13082" width="8.83203125" style="14" customWidth="1"/>
    <col min="13083" max="13083" width="1.83203125" style="14" customWidth="1"/>
    <col min="13084" max="13312" width="8" style="14"/>
    <col min="13313" max="13313" width="7.5" style="14" customWidth="1"/>
    <col min="13314" max="13314" width="57.5" style="14" customWidth="1"/>
    <col min="13315" max="13318" width="0" style="14" hidden="1" customWidth="1"/>
    <col min="13319" max="13319" width="2.6640625" style="14" customWidth="1"/>
    <col min="13320" max="13320" width="14.5" style="14" customWidth="1"/>
    <col min="13321" max="13321" width="9" style="14" customWidth="1"/>
    <col min="13322" max="13322" width="8.6640625" style="14" customWidth="1"/>
    <col min="13323" max="13323" width="2.6640625" style="14" customWidth="1"/>
    <col min="13324" max="13324" width="13.5" style="14" customWidth="1"/>
    <col min="13325" max="13325" width="8.6640625" style="14" customWidth="1"/>
    <col min="13326" max="13326" width="10.1640625" style="14" customWidth="1"/>
    <col min="13327" max="13327" width="2.1640625" style="14" customWidth="1"/>
    <col min="13328" max="13328" width="13.83203125" style="14" customWidth="1"/>
    <col min="13329" max="13329" width="8" style="14" customWidth="1"/>
    <col min="13330" max="13330" width="9.33203125" style="14" customWidth="1"/>
    <col min="13331" max="13331" width="1.6640625" style="14" customWidth="1"/>
    <col min="13332" max="13332" width="13.5" style="14" customWidth="1"/>
    <col min="13333" max="13333" width="8" style="14" customWidth="1"/>
    <col min="13334" max="13334" width="8.1640625" style="14" customWidth="1"/>
    <col min="13335" max="13335" width="1.83203125" style="14" customWidth="1"/>
    <col min="13336" max="13336" width="13.5" style="14" customWidth="1"/>
    <col min="13337" max="13337" width="8.5" style="14" bestFit="1" customWidth="1"/>
    <col min="13338" max="13338" width="8.83203125" style="14" customWidth="1"/>
    <col min="13339" max="13339" width="1.83203125" style="14" customWidth="1"/>
    <col min="13340" max="13568" width="8" style="14"/>
    <col min="13569" max="13569" width="7.5" style="14" customWidth="1"/>
    <col min="13570" max="13570" width="57.5" style="14" customWidth="1"/>
    <col min="13571" max="13574" width="0" style="14" hidden="1" customWidth="1"/>
    <col min="13575" max="13575" width="2.6640625" style="14" customWidth="1"/>
    <col min="13576" max="13576" width="14.5" style="14" customWidth="1"/>
    <col min="13577" max="13577" width="9" style="14" customWidth="1"/>
    <col min="13578" max="13578" width="8.6640625" style="14" customWidth="1"/>
    <col min="13579" max="13579" width="2.6640625" style="14" customWidth="1"/>
    <col min="13580" max="13580" width="13.5" style="14" customWidth="1"/>
    <col min="13581" max="13581" width="8.6640625" style="14" customWidth="1"/>
    <col min="13582" max="13582" width="10.1640625" style="14" customWidth="1"/>
    <col min="13583" max="13583" width="2.1640625" style="14" customWidth="1"/>
    <col min="13584" max="13584" width="13.83203125" style="14" customWidth="1"/>
    <col min="13585" max="13585" width="8" style="14" customWidth="1"/>
    <col min="13586" max="13586" width="9.33203125" style="14" customWidth="1"/>
    <col min="13587" max="13587" width="1.6640625" style="14" customWidth="1"/>
    <col min="13588" max="13588" width="13.5" style="14" customWidth="1"/>
    <col min="13589" max="13589" width="8" style="14" customWidth="1"/>
    <col min="13590" max="13590" width="8.1640625" style="14" customWidth="1"/>
    <col min="13591" max="13591" width="1.83203125" style="14" customWidth="1"/>
    <col min="13592" max="13592" width="13.5" style="14" customWidth="1"/>
    <col min="13593" max="13593" width="8.5" style="14" bestFit="1" customWidth="1"/>
    <col min="13594" max="13594" width="8.83203125" style="14" customWidth="1"/>
    <col min="13595" max="13595" width="1.83203125" style="14" customWidth="1"/>
    <col min="13596" max="13824" width="8" style="14"/>
    <col min="13825" max="13825" width="7.5" style="14" customWidth="1"/>
    <col min="13826" max="13826" width="57.5" style="14" customWidth="1"/>
    <col min="13827" max="13830" width="0" style="14" hidden="1" customWidth="1"/>
    <col min="13831" max="13831" width="2.6640625" style="14" customWidth="1"/>
    <col min="13832" max="13832" width="14.5" style="14" customWidth="1"/>
    <col min="13833" max="13833" width="9" style="14" customWidth="1"/>
    <col min="13834" max="13834" width="8.6640625" style="14" customWidth="1"/>
    <col min="13835" max="13835" width="2.6640625" style="14" customWidth="1"/>
    <col min="13836" max="13836" width="13.5" style="14" customWidth="1"/>
    <col min="13837" max="13837" width="8.6640625" style="14" customWidth="1"/>
    <col min="13838" max="13838" width="10.1640625" style="14" customWidth="1"/>
    <col min="13839" max="13839" width="2.1640625" style="14" customWidth="1"/>
    <col min="13840" max="13840" width="13.83203125" style="14" customWidth="1"/>
    <col min="13841" max="13841" width="8" style="14" customWidth="1"/>
    <col min="13842" max="13842" width="9.33203125" style="14" customWidth="1"/>
    <col min="13843" max="13843" width="1.6640625" style="14" customWidth="1"/>
    <col min="13844" max="13844" width="13.5" style="14" customWidth="1"/>
    <col min="13845" max="13845" width="8" style="14" customWidth="1"/>
    <col min="13846" max="13846" width="8.1640625" style="14" customWidth="1"/>
    <col min="13847" max="13847" width="1.83203125" style="14" customWidth="1"/>
    <col min="13848" max="13848" width="13.5" style="14" customWidth="1"/>
    <col min="13849" max="13849" width="8.5" style="14" bestFit="1" customWidth="1"/>
    <col min="13850" max="13850" width="8.83203125" style="14" customWidth="1"/>
    <col min="13851" max="13851" width="1.83203125" style="14" customWidth="1"/>
    <col min="13852" max="14080" width="8" style="14"/>
    <col min="14081" max="14081" width="7.5" style="14" customWidth="1"/>
    <col min="14082" max="14082" width="57.5" style="14" customWidth="1"/>
    <col min="14083" max="14086" width="0" style="14" hidden="1" customWidth="1"/>
    <col min="14087" max="14087" width="2.6640625" style="14" customWidth="1"/>
    <col min="14088" max="14088" width="14.5" style="14" customWidth="1"/>
    <col min="14089" max="14089" width="9" style="14" customWidth="1"/>
    <col min="14090" max="14090" width="8.6640625" style="14" customWidth="1"/>
    <col min="14091" max="14091" width="2.6640625" style="14" customWidth="1"/>
    <col min="14092" max="14092" width="13.5" style="14" customWidth="1"/>
    <col min="14093" max="14093" width="8.6640625" style="14" customWidth="1"/>
    <col min="14094" max="14094" width="10.1640625" style="14" customWidth="1"/>
    <col min="14095" max="14095" width="2.1640625" style="14" customWidth="1"/>
    <col min="14096" max="14096" width="13.83203125" style="14" customWidth="1"/>
    <col min="14097" max="14097" width="8" style="14" customWidth="1"/>
    <col min="14098" max="14098" width="9.33203125" style="14" customWidth="1"/>
    <col min="14099" max="14099" width="1.6640625" style="14" customWidth="1"/>
    <col min="14100" max="14100" width="13.5" style="14" customWidth="1"/>
    <col min="14101" max="14101" width="8" style="14" customWidth="1"/>
    <col min="14102" max="14102" width="8.1640625" style="14" customWidth="1"/>
    <col min="14103" max="14103" width="1.83203125" style="14" customWidth="1"/>
    <col min="14104" max="14104" width="13.5" style="14" customWidth="1"/>
    <col min="14105" max="14105" width="8.5" style="14" bestFit="1" customWidth="1"/>
    <col min="14106" max="14106" width="8.83203125" style="14" customWidth="1"/>
    <col min="14107" max="14107" width="1.83203125" style="14" customWidth="1"/>
    <col min="14108" max="14336" width="8" style="14"/>
    <col min="14337" max="14337" width="7.5" style="14" customWidth="1"/>
    <col min="14338" max="14338" width="57.5" style="14" customWidth="1"/>
    <col min="14339" max="14342" width="0" style="14" hidden="1" customWidth="1"/>
    <col min="14343" max="14343" width="2.6640625" style="14" customWidth="1"/>
    <col min="14344" max="14344" width="14.5" style="14" customWidth="1"/>
    <col min="14345" max="14345" width="9" style="14" customWidth="1"/>
    <col min="14346" max="14346" width="8.6640625" style="14" customWidth="1"/>
    <col min="14347" max="14347" width="2.6640625" style="14" customWidth="1"/>
    <col min="14348" max="14348" width="13.5" style="14" customWidth="1"/>
    <col min="14349" max="14349" width="8.6640625" style="14" customWidth="1"/>
    <col min="14350" max="14350" width="10.1640625" style="14" customWidth="1"/>
    <col min="14351" max="14351" width="2.1640625" style="14" customWidth="1"/>
    <col min="14352" max="14352" width="13.83203125" style="14" customWidth="1"/>
    <col min="14353" max="14353" width="8" style="14" customWidth="1"/>
    <col min="14354" max="14354" width="9.33203125" style="14" customWidth="1"/>
    <col min="14355" max="14355" width="1.6640625" style="14" customWidth="1"/>
    <col min="14356" max="14356" width="13.5" style="14" customWidth="1"/>
    <col min="14357" max="14357" width="8" style="14" customWidth="1"/>
    <col min="14358" max="14358" width="8.1640625" style="14" customWidth="1"/>
    <col min="14359" max="14359" width="1.83203125" style="14" customWidth="1"/>
    <col min="14360" max="14360" width="13.5" style="14" customWidth="1"/>
    <col min="14361" max="14361" width="8.5" style="14" bestFit="1" customWidth="1"/>
    <col min="14362" max="14362" width="8.83203125" style="14" customWidth="1"/>
    <col min="14363" max="14363" width="1.83203125" style="14" customWidth="1"/>
    <col min="14364" max="14592" width="8" style="14"/>
    <col min="14593" max="14593" width="7.5" style="14" customWidth="1"/>
    <col min="14594" max="14594" width="57.5" style="14" customWidth="1"/>
    <col min="14595" max="14598" width="0" style="14" hidden="1" customWidth="1"/>
    <col min="14599" max="14599" width="2.6640625" style="14" customWidth="1"/>
    <col min="14600" max="14600" width="14.5" style="14" customWidth="1"/>
    <col min="14601" max="14601" width="9" style="14" customWidth="1"/>
    <col min="14602" max="14602" width="8.6640625" style="14" customWidth="1"/>
    <col min="14603" max="14603" width="2.6640625" style="14" customWidth="1"/>
    <col min="14604" max="14604" width="13.5" style="14" customWidth="1"/>
    <col min="14605" max="14605" width="8.6640625" style="14" customWidth="1"/>
    <col min="14606" max="14606" width="10.1640625" style="14" customWidth="1"/>
    <col min="14607" max="14607" width="2.1640625" style="14" customWidth="1"/>
    <col min="14608" max="14608" width="13.83203125" style="14" customWidth="1"/>
    <col min="14609" max="14609" width="8" style="14" customWidth="1"/>
    <col min="14610" max="14610" width="9.33203125" style="14" customWidth="1"/>
    <col min="14611" max="14611" width="1.6640625" style="14" customWidth="1"/>
    <col min="14612" max="14612" width="13.5" style="14" customWidth="1"/>
    <col min="14613" max="14613" width="8" style="14" customWidth="1"/>
    <col min="14614" max="14614" width="8.1640625" style="14" customWidth="1"/>
    <col min="14615" max="14615" width="1.83203125" style="14" customWidth="1"/>
    <col min="14616" max="14616" width="13.5" style="14" customWidth="1"/>
    <col min="14617" max="14617" width="8.5" style="14" bestFit="1" customWidth="1"/>
    <col min="14618" max="14618" width="8.83203125" style="14" customWidth="1"/>
    <col min="14619" max="14619" width="1.83203125" style="14" customWidth="1"/>
    <col min="14620" max="14848" width="8" style="14"/>
    <col min="14849" max="14849" width="7.5" style="14" customWidth="1"/>
    <col min="14850" max="14850" width="57.5" style="14" customWidth="1"/>
    <col min="14851" max="14854" width="0" style="14" hidden="1" customWidth="1"/>
    <col min="14855" max="14855" width="2.6640625" style="14" customWidth="1"/>
    <col min="14856" max="14856" width="14.5" style="14" customWidth="1"/>
    <col min="14857" max="14857" width="9" style="14" customWidth="1"/>
    <col min="14858" max="14858" width="8.6640625" style="14" customWidth="1"/>
    <col min="14859" max="14859" width="2.6640625" style="14" customWidth="1"/>
    <col min="14860" max="14860" width="13.5" style="14" customWidth="1"/>
    <col min="14861" max="14861" width="8.6640625" style="14" customWidth="1"/>
    <col min="14862" max="14862" width="10.1640625" style="14" customWidth="1"/>
    <col min="14863" max="14863" width="2.1640625" style="14" customWidth="1"/>
    <col min="14864" max="14864" width="13.83203125" style="14" customWidth="1"/>
    <col min="14865" max="14865" width="8" style="14" customWidth="1"/>
    <col min="14866" max="14866" width="9.33203125" style="14" customWidth="1"/>
    <col min="14867" max="14867" width="1.6640625" style="14" customWidth="1"/>
    <col min="14868" max="14868" width="13.5" style="14" customWidth="1"/>
    <col min="14869" max="14869" width="8" style="14" customWidth="1"/>
    <col min="14870" max="14870" width="8.1640625" style="14" customWidth="1"/>
    <col min="14871" max="14871" width="1.83203125" style="14" customWidth="1"/>
    <col min="14872" max="14872" width="13.5" style="14" customWidth="1"/>
    <col min="14873" max="14873" width="8.5" style="14" bestFit="1" customWidth="1"/>
    <col min="14874" max="14874" width="8.83203125" style="14" customWidth="1"/>
    <col min="14875" max="14875" width="1.83203125" style="14" customWidth="1"/>
    <col min="14876" max="15104" width="8" style="14"/>
    <col min="15105" max="15105" width="7.5" style="14" customWidth="1"/>
    <col min="15106" max="15106" width="57.5" style="14" customWidth="1"/>
    <col min="15107" max="15110" width="0" style="14" hidden="1" customWidth="1"/>
    <col min="15111" max="15111" width="2.6640625" style="14" customWidth="1"/>
    <col min="15112" max="15112" width="14.5" style="14" customWidth="1"/>
    <col min="15113" max="15113" width="9" style="14" customWidth="1"/>
    <col min="15114" max="15114" width="8.6640625" style="14" customWidth="1"/>
    <col min="15115" max="15115" width="2.6640625" style="14" customWidth="1"/>
    <col min="15116" max="15116" width="13.5" style="14" customWidth="1"/>
    <col min="15117" max="15117" width="8.6640625" style="14" customWidth="1"/>
    <col min="15118" max="15118" width="10.1640625" style="14" customWidth="1"/>
    <col min="15119" max="15119" width="2.1640625" style="14" customWidth="1"/>
    <col min="15120" max="15120" width="13.83203125" style="14" customWidth="1"/>
    <col min="15121" max="15121" width="8" style="14" customWidth="1"/>
    <col min="15122" max="15122" width="9.33203125" style="14" customWidth="1"/>
    <col min="15123" max="15123" width="1.6640625" style="14" customWidth="1"/>
    <col min="15124" max="15124" width="13.5" style="14" customWidth="1"/>
    <col min="15125" max="15125" width="8" style="14" customWidth="1"/>
    <col min="15126" max="15126" width="8.1640625" style="14" customWidth="1"/>
    <col min="15127" max="15127" width="1.83203125" style="14" customWidth="1"/>
    <col min="15128" max="15128" width="13.5" style="14" customWidth="1"/>
    <col min="15129" max="15129" width="8.5" style="14" bestFit="1" customWidth="1"/>
    <col min="15130" max="15130" width="8.83203125" style="14" customWidth="1"/>
    <col min="15131" max="15131" width="1.83203125" style="14" customWidth="1"/>
    <col min="15132" max="15360" width="8" style="14"/>
    <col min="15361" max="15361" width="7.5" style="14" customWidth="1"/>
    <col min="15362" max="15362" width="57.5" style="14" customWidth="1"/>
    <col min="15363" max="15366" width="0" style="14" hidden="1" customWidth="1"/>
    <col min="15367" max="15367" width="2.6640625" style="14" customWidth="1"/>
    <col min="15368" max="15368" width="14.5" style="14" customWidth="1"/>
    <col min="15369" max="15369" width="9" style="14" customWidth="1"/>
    <col min="15370" max="15370" width="8.6640625" style="14" customWidth="1"/>
    <col min="15371" max="15371" width="2.6640625" style="14" customWidth="1"/>
    <col min="15372" max="15372" width="13.5" style="14" customWidth="1"/>
    <col min="15373" max="15373" width="8.6640625" style="14" customWidth="1"/>
    <col min="15374" max="15374" width="10.1640625" style="14" customWidth="1"/>
    <col min="15375" max="15375" width="2.1640625" style="14" customWidth="1"/>
    <col min="15376" max="15376" width="13.83203125" style="14" customWidth="1"/>
    <col min="15377" max="15377" width="8" style="14" customWidth="1"/>
    <col min="15378" max="15378" width="9.33203125" style="14" customWidth="1"/>
    <col min="15379" max="15379" width="1.6640625" style="14" customWidth="1"/>
    <col min="15380" max="15380" width="13.5" style="14" customWidth="1"/>
    <col min="15381" max="15381" width="8" style="14" customWidth="1"/>
    <col min="15382" max="15382" width="8.1640625" style="14" customWidth="1"/>
    <col min="15383" max="15383" width="1.83203125" style="14" customWidth="1"/>
    <col min="15384" max="15384" width="13.5" style="14" customWidth="1"/>
    <col min="15385" max="15385" width="8.5" style="14" bestFit="1" customWidth="1"/>
    <col min="15386" max="15386" width="8.83203125" style="14" customWidth="1"/>
    <col min="15387" max="15387" width="1.83203125" style="14" customWidth="1"/>
    <col min="15388" max="15616" width="8" style="14"/>
    <col min="15617" max="15617" width="7.5" style="14" customWidth="1"/>
    <col min="15618" max="15618" width="57.5" style="14" customWidth="1"/>
    <col min="15619" max="15622" width="0" style="14" hidden="1" customWidth="1"/>
    <col min="15623" max="15623" width="2.6640625" style="14" customWidth="1"/>
    <col min="15624" max="15624" width="14.5" style="14" customWidth="1"/>
    <col min="15625" max="15625" width="9" style="14" customWidth="1"/>
    <col min="15626" max="15626" width="8.6640625" style="14" customWidth="1"/>
    <col min="15627" max="15627" width="2.6640625" style="14" customWidth="1"/>
    <col min="15628" max="15628" width="13.5" style="14" customWidth="1"/>
    <col min="15629" max="15629" width="8.6640625" style="14" customWidth="1"/>
    <col min="15630" max="15630" width="10.1640625" style="14" customWidth="1"/>
    <col min="15631" max="15631" width="2.1640625" style="14" customWidth="1"/>
    <col min="15632" max="15632" width="13.83203125" style="14" customWidth="1"/>
    <col min="15633" max="15633" width="8" style="14" customWidth="1"/>
    <col min="15634" max="15634" width="9.33203125" style="14" customWidth="1"/>
    <col min="15635" max="15635" width="1.6640625" style="14" customWidth="1"/>
    <col min="15636" max="15636" width="13.5" style="14" customWidth="1"/>
    <col min="15637" max="15637" width="8" style="14" customWidth="1"/>
    <col min="15638" max="15638" width="8.1640625" style="14" customWidth="1"/>
    <col min="15639" max="15639" width="1.83203125" style="14" customWidth="1"/>
    <col min="15640" max="15640" width="13.5" style="14" customWidth="1"/>
    <col min="15641" max="15641" width="8.5" style="14" bestFit="1" customWidth="1"/>
    <col min="15642" max="15642" width="8.83203125" style="14" customWidth="1"/>
    <col min="15643" max="15643" width="1.83203125" style="14" customWidth="1"/>
    <col min="15644" max="15872" width="8" style="14"/>
    <col min="15873" max="15873" width="7.5" style="14" customWidth="1"/>
    <col min="15874" max="15874" width="57.5" style="14" customWidth="1"/>
    <col min="15875" max="15878" width="0" style="14" hidden="1" customWidth="1"/>
    <col min="15879" max="15879" width="2.6640625" style="14" customWidth="1"/>
    <col min="15880" max="15880" width="14.5" style="14" customWidth="1"/>
    <col min="15881" max="15881" width="9" style="14" customWidth="1"/>
    <col min="15882" max="15882" width="8.6640625" style="14" customWidth="1"/>
    <col min="15883" max="15883" width="2.6640625" style="14" customWidth="1"/>
    <col min="15884" max="15884" width="13.5" style="14" customWidth="1"/>
    <col min="15885" max="15885" width="8.6640625" style="14" customWidth="1"/>
    <col min="15886" max="15886" width="10.1640625" style="14" customWidth="1"/>
    <col min="15887" max="15887" width="2.1640625" style="14" customWidth="1"/>
    <col min="15888" max="15888" width="13.83203125" style="14" customWidth="1"/>
    <col min="15889" max="15889" width="8" style="14" customWidth="1"/>
    <col min="15890" max="15890" width="9.33203125" style="14" customWidth="1"/>
    <col min="15891" max="15891" width="1.6640625" style="14" customWidth="1"/>
    <col min="15892" max="15892" width="13.5" style="14" customWidth="1"/>
    <col min="15893" max="15893" width="8" style="14" customWidth="1"/>
    <col min="15894" max="15894" width="8.1640625" style="14" customWidth="1"/>
    <col min="15895" max="15895" width="1.83203125" style="14" customWidth="1"/>
    <col min="15896" max="15896" width="13.5" style="14" customWidth="1"/>
    <col min="15897" max="15897" width="8.5" style="14" bestFit="1" customWidth="1"/>
    <col min="15898" max="15898" width="8.83203125" style="14" customWidth="1"/>
    <col min="15899" max="15899" width="1.83203125" style="14" customWidth="1"/>
    <col min="15900" max="16128" width="8" style="14"/>
    <col min="16129" max="16129" width="7.5" style="14" customWidth="1"/>
    <col min="16130" max="16130" width="57.5" style="14" customWidth="1"/>
    <col min="16131" max="16134" width="0" style="14" hidden="1" customWidth="1"/>
    <col min="16135" max="16135" width="2.6640625" style="14" customWidth="1"/>
    <col min="16136" max="16136" width="14.5" style="14" customWidth="1"/>
    <col min="16137" max="16137" width="9" style="14" customWidth="1"/>
    <col min="16138" max="16138" width="8.6640625" style="14" customWidth="1"/>
    <col min="16139" max="16139" width="2.6640625" style="14" customWidth="1"/>
    <col min="16140" max="16140" width="13.5" style="14" customWidth="1"/>
    <col min="16141" max="16141" width="8.6640625" style="14" customWidth="1"/>
    <col min="16142" max="16142" width="10.1640625" style="14" customWidth="1"/>
    <col min="16143" max="16143" width="2.1640625" style="14" customWidth="1"/>
    <col min="16144" max="16144" width="13.83203125" style="14" customWidth="1"/>
    <col min="16145" max="16145" width="8" style="14" customWidth="1"/>
    <col min="16146" max="16146" width="9.33203125" style="14" customWidth="1"/>
    <col min="16147" max="16147" width="1.6640625" style="14" customWidth="1"/>
    <col min="16148" max="16148" width="13.5" style="14" customWidth="1"/>
    <col min="16149" max="16149" width="8" style="14" customWidth="1"/>
    <col min="16150" max="16150" width="8.1640625" style="14" customWidth="1"/>
    <col min="16151" max="16151" width="1.83203125" style="14" customWidth="1"/>
    <col min="16152" max="16152" width="13.5" style="14" customWidth="1"/>
    <col min="16153" max="16153" width="8.5" style="14" bestFit="1" customWidth="1"/>
    <col min="16154" max="16154" width="8.83203125" style="14" customWidth="1"/>
    <col min="16155" max="16155" width="1.83203125" style="14" customWidth="1"/>
    <col min="16156" max="16384" width="8" style="14"/>
  </cols>
  <sheetData>
    <row r="1" spans="1:27">
      <c r="B1" s="243" t="s">
        <v>144</v>
      </c>
    </row>
    <row r="2" spans="1:27">
      <c r="B2" s="243" t="s">
        <v>796</v>
      </c>
    </row>
    <row r="3" spans="1:27" ht="6.75" customHeight="1">
      <c r="A3" s="14"/>
      <c r="B3" s="243"/>
    </row>
    <row r="4" spans="1:27">
      <c r="B4" s="26" t="s">
        <v>1871</v>
      </c>
    </row>
    <row r="5" spans="1:27" ht="6.75" customHeight="1">
      <c r="A5" s="244"/>
      <c r="B5" s="245"/>
      <c r="C5" s="246"/>
      <c r="D5" s="246"/>
      <c r="E5" s="246"/>
      <c r="F5" s="246"/>
      <c r="G5" s="246"/>
      <c r="H5" s="246"/>
      <c r="I5" s="246"/>
      <c r="J5" s="246"/>
      <c r="K5" s="246"/>
      <c r="L5" s="246"/>
      <c r="M5" s="246"/>
      <c r="N5" s="246"/>
      <c r="O5" s="246"/>
      <c r="P5" s="246"/>
      <c r="Q5" s="246"/>
      <c r="R5" s="246"/>
      <c r="S5" s="246"/>
      <c r="T5" s="246"/>
      <c r="U5" s="246"/>
      <c r="V5" s="246"/>
      <c r="W5" s="246"/>
      <c r="X5" s="246"/>
      <c r="Y5" s="246"/>
      <c r="Z5" s="246"/>
      <c r="AA5" s="246"/>
    </row>
    <row r="6" spans="1:27" s="64" customFormat="1" ht="6.75" customHeight="1">
      <c r="A6" s="247"/>
      <c r="B6" s="766"/>
      <c r="C6" s="75"/>
      <c r="D6" s="248"/>
      <c r="E6" s="249"/>
      <c r="F6" s="249"/>
      <c r="G6" s="249"/>
      <c r="H6" s="249"/>
      <c r="I6" s="249"/>
      <c r="J6" s="249"/>
      <c r="K6" s="249"/>
      <c r="L6" s="249"/>
      <c r="M6" s="249"/>
      <c r="N6" s="249"/>
      <c r="P6" s="249"/>
      <c r="Q6" s="249"/>
      <c r="R6" s="249"/>
      <c r="T6" s="249"/>
      <c r="U6" s="249"/>
      <c r="V6" s="249"/>
      <c r="X6" s="249"/>
      <c r="Y6" s="249"/>
      <c r="Z6" s="249"/>
      <c r="AA6" s="249"/>
    </row>
    <row r="7" spans="1:27" s="64" customFormat="1" ht="11" customHeight="1">
      <c r="A7" s="247"/>
      <c r="B7" s="250" t="s">
        <v>797</v>
      </c>
      <c r="C7" s="249"/>
      <c r="D7" s="1027" t="s">
        <v>618</v>
      </c>
      <c r="E7" s="1027"/>
      <c r="F7" s="1027"/>
      <c r="H7" s="1027" t="s">
        <v>619</v>
      </c>
      <c r="I7" s="1027"/>
      <c r="J7" s="1027"/>
      <c r="L7" s="1027" t="s">
        <v>620</v>
      </c>
      <c r="M7" s="1027"/>
      <c r="N7" s="1027"/>
      <c r="P7" s="1027" t="s">
        <v>621</v>
      </c>
      <c r="Q7" s="1027"/>
      <c r="R7" s="1027"/>
      <c r="T7" s="1027" t="s">
        <v>622</v>
      </c>
      <c r="U7" s="1027"/>
      <c r="V7" s="1027"/>
      <c r="X7" s="1027" t="s">
        <v>1872</v>
      </c>
      <c r="Y7" s="1027"/>
      <c r="Z7" s="1027"/>
    </row>
    <row r="8" spans="1:27" s="255" customFormat="1" ht="11" customHeight="1">
      <c r="A8" s="251"/>
      <c r="B8" s="252" t="s">
        <v>800</v>
      </c>
      <c r="C8" s="254"/>
      <c r="D8" s="253" t="s">
        <v>152</v>
      </c>
      <c r="E8" s="253" t="s">
        <v>801</v>
      </c>
      <c r="F8" s="253" t="s">
        <v>802</v>
      </c>
      <c r="H8" s="253" t="s">
        <v>152</v>
      </c>
      <c r="I8" s="253" t="s">
        <v>801</v>
      </c>
      <c r="J8" s="253" t="s">
        <v>802</v>
      </c>
      <c r="L8" s="253" t="s">
        <v>152</v>
      </c>
      <c r="M8" s="253" t="s">
        <v>801</v>
      </c>
      <c r="N8" s="253" t="s">
        <v>802</v>
      </c>
      <c r="P8" s="253" t="s">
        <v>152</v>
      </c>
      <c r="Q8" s="253" t="s">
        <v>801</v>
      </c>
      <c r="R8" s="253" t="s">
        <v>802</v>
      </c>
      <c r="T8" s="253" t="s">
        <v>152</v>
      </c>
      <c r="U8" s="253" t="s">
        <v>801</v>
      </c>
      <c r="V8" s="253" t="s">
        <v>802</v>
      </c>
      <c r="X8" s="253" t="s">
        <v>152</v>
      </c>
      <c r="Y8" s="253" t="s">
        <v>801</v>
      </c>
      <c r="Z8" s="253" t="s">
        <v>802</v>
      </c>
    </row>
    <row r="9" spans="1:27" s="64" customFormat="1" ht="11" customHeight="1" thickBot="1">
      <c r="A9" s="256"/>
      <c r="B9" s="257"/>
      <c r="C9" s="259"/>
      <c r="D9" s="260"/>
      <c r="E9" s="258"/>
      <c r="F9" s="258"/>
      <c r="H9" s="260"/>
      <c r="I9" s="258"/>
      <c r="J9" s="258"/>
      <c r="L9" s="260"/>
      <c r="M9" s="258"/>
      <c r="N9" s="258"/>
      <c r="O9" s="260"/>
      <c r="P9" s="260"/>
      <c r="Q9" s="258"/>
      <c r="R9" s="258"/>
      <c r="S9" s="260"/>
      <c r="T9" s="260"/>
      <c r="U9" s="258"/>
      <c r="V9" s="258"/>
      <c r="W9" s="260"/>
      <c r="X9" s="260"/>
      <c r="Y9" s="258"/>
      <c r="Z9" s="258"/>
      <c r="AA9" s="246"/>
    </row>
    <row r="10" spans="1:27" ht="11" customHeight="1">
      <c r="A10" s="261"/>
      <c r="B10" s="243"/>
      <c r="C10" s="248"/>
      <c r="D10" s="248"/>
      <c r="E10" s="75"/>
      <c r="F10" s="75"/>
      <c r="H10" s="248"/>
      <c r="I10" s="75"/>
      <c r="J10" s="75"/>
      <c r="L10" s="248"/>
      <c r="M10" s="75"/>
      <c r="N10" s="75"/>
      <c r="P10" s="248"/>
      <c r="Q10" s="75"/>
      <c r="R10" s="75"/>
      <c r="T10" s="248"/>
      <c r="U10" s="75"/>
      <c r="V10" s="75"/>
      <c r="X10" s="248"/>
      <c r="Y10" s="75"/>
      <c r="Z10" s="75"/>
      <c r="AA10" s="249"/>
    </row>
    <row r="11" spans="1:27" s="17" customFormat="1" ht="11" customHeight="1">
      <c r="A11" s="263" t="s">
        <v>803</v>
      </c>
      <c r="B11" s="264" t="s">
        <v>804</v>
      </c>
      <c r="C11" s="265"/>
      <c r="D11" s="262">
        <v>267020207.86085001</v>
      </c>
      <c r="E11" s="265">
        <v>1</v>
      </c>
      <c r="F11" s="265">
        <v>7.1860970548924222E-2</v>
      </c>
      <c r="H11" s="262">
        <f>+H13+H230+H255</f>
        <v>298055159.70216</v>
      </c>
      <c r="I11" s="265">
        <v>1</v>
      </c>
      <c r="J11" s="265">
        <f>IF(B11&lt;&gt;0,(H11-D11)/D11,"")</f>
        <v>0.11622697806258535</v>
      </c>
      <c r="L11" s="262">
        <f>+L13+L230+L255</f>
        <v>333079759.08392</v>
      </c>
      <c r="M11" s="265">
        <v>1</v>
      </c>
      <c r="N11" s="265">
        <f t="shared" ref="N11:N66" si="0">IF(B11&lt;&gt;0,(L11-H11)/H11,"")</f>
        <v>0.11751046154261956</v>
      </c>
      <c r="P11" s="181">
        <v>375575442.93955004</v>
      </c>
      <c r="Q11" s="265">
        <v>1</v>
      </c>
      <c r="R11" s="265">
        <f t="shared" ref="R11:R66" si="1">IF(B11&lt;&gt;0,(P11-L11)/L11,"")</f>
        <v>0.12758410769993137</v>
      </c>
      <c r="T11" s="181">
        <v>404644048.05499995</v>
      </c>
      <c r="U11" s="265">
        <v>1</v>
      </c>
      <c r="V11" s="265">
        <f t="shared" ref="V11:V22" si="2">IF(B11&lt;&gt;0,(T11-P11)/P11,"")</f>
        <v>7.7397512701938245E-2</v>
      </c>
      <c r="X11" s="778">
        <v>393911902.60580999</v>
      </c>
      <c r="Y11" s="265">
        <f>IF(B11&lt;&gt;0,X11/$X$11,"")</f>
        <v>1</v>
      </c>
      <c r="Z11" s="265">
        <f>IF(B11&lt;&gt;0,(X11-T11)/T11,"")</f>
        <v>-2.6522434966672805E-2</v>
      </c>
    </row>
    <row r="12" spans="1:27" ht="11" customHeight="1">
      <c r="A12" s="261"/>
      <c r="B12" s="266"/>
      <c r="C12" s="265"/>
      <c r="D12" s="262" t="s">
        <v>154</v>
      </c>
      <c r="E12" s="265" t="s">
        <v>154</v>
      </c>
      <c r="F12" s="265" t="s">
        <v>154</v>
      </c>
      <c r="H12" s="262" t="s">
        <v>154</v>
      </c>
      <c r="I12" s="265" t="s">
        <v>154</v>
      </c>
      <c r="J12" s="265" t="str">
        <f t="shared" ref="J12:J75" si="3">IF(B12&lt;&gt;0,(H12-D12)/D12,"")</f>
        <v/>
      </c>
      <c r="L12" s="262" t="s">
        <v>154</v>
      </c>
      <c r="M12" s="265"/>
      <c r="N12" s="265" t="str">
        <f t="shared" si="0"/>
        <v/>
      </c>
      <c r="P12" s="25"/>
      <c r="Q12" s="25" t="s">
        <v>154</v>
      </c>
      <c r="R12" s="265" t="str">
        <f t="shared" si="1"/>
        <v/>
      </c>
      <c r="U12" s="181"/>
      <c r="V12" s="265" t="str">
        <f t="shared" si="2"/>
        <v/>
      </c>
      <c r="X12" s="778"/>
      <c r="Z12" s="265" t="str">
        <f t="shared" ref="Z12:Z75" si="4">IF(B12&lt;&gt;0,(X12-T12)/T12,"")</f>
        <v/>
      </c>
    </row>
    <row r="13" spans="1:27" s="17" customFormat="1" ht="11" customHeight="1">
      <c r="A13" s="263" t="s">
        <v>805</v>
      </c>
      <c r="B13" s="264" t="s">
        <v>806</v>
      </c>
      <c r="C13" s="265"/>
      <c r="D13" s="262">
        <v>221935203.82312</v>
      </c>
      <c r="E13" s="265">
        <v>0.8311550859805158</v>
      </c>
      <c r="F13" s="265">
        <v>7.6643073078384194E-2</v>
      </c>
      <c r="H13" s="262">
        <f>+H15+H38+H182</f>
        <v>249805651.55084002</v>
      </c>
      <c r="I13" s="265">
        <f>+H13/H11</f>
        <v>0.8381188629663896</v>
      </c>
      <c r="J13" s="265">
        <f t="shared" si="3"/>
        <v>0.12557921072283995</v>
      </c>
      <c r="L13" s="262">
        <f>+L15+L38+L182</f>
        <v>271263906.36694998</v>
      </c>
      <c r="M13" s="265">
        <f t="shared" ref="M13:M76" si="5">IF(B13&lt;&gt;0,L13/$L$11,"")</f>
        <v>0.8144112602729624</v>
      </c>
      <c r="N13" s="265">
        <f t="shared" si="0"/>
        <v>8.5899797233942116E-2</v>
      </c>
      <c r="P13" s="181">
        <v>299337537.76995003</v>
      </c>
      <c r="Q13" s="265">
        <f t="shared" ref="Q13:Q76" si="6">IF(B13&lt;&gt;0,P13/$P$11,"")</f>
        <v>0.79701041001801942</v>
      </c>
      <c r="R13" s="265">
        <f t="shared" si="1"/>
        <v>0.10349195283291278</v>
      </c>
      <c r="T13" s="181">
        <v>307472759.41218996</v>
      </c>
      <c r="U13" s="265">
        <f t="shared" ref="U13:U76" si="7">IF(B13&lt;&gt;0,T13/$T$11,"")</f>
        <v>0.75985983456353157</v>
      </c>
      <c r="V13" s="265">
        <f t="shared" si="2"/>
        <v>2.717741885246645E-2</v>
      </c>
      <c r="X13" s="778">
        <v>306187347.69354004</v>
      </c>
      <c r="Y13" s="265">
        <f>IF(B13&lt;&gt;0,X13/$X$11,"")</f>
        <v>0.77729905003643307</v>
      </c>
      <c r="Z13" s="265">
        <f t="shared" si="4"/>
        <v>-4.1805710564646621E-3</v>
      </c>
    </row>
    <row r="14" spans="1:27" ht="11" customHeight="1">
      <c r="A14" s="261"/>
      <c r="B14" s="266"/>
      <c r="C14" s="265"/>
      <c r="D14" s="262" t="s">
        <v>154</v>
      </c>
      <c r="E14" s="265" t="s">
        <v>154</v>
      </c>
      <c r="F14" s="265" t="s">
        <v>154</v>
      </c>
      <c r="H14" s="262" t="s">
        <v>154</v>
      </c>
      <c r="I14" s="265" t="s">
        <v>154</v>
      </c>
      <c r="J14" s="265" t="str">
        <f t="shared" si="3"/>
        <v/>
      </c>
      <c r="L14" s="262" t="s">
        <v>154</v>
      </c>
      <c r="M14" s="265" t="str">
        <f t="shared" si="5"/>
        <v/>
      </c>
      <c r="N14" s="265" t="str">
        <f t="shared" si="0"/>
        <v/>
      </c>
      <c r="P14" s="25"/>
      <c r="Q14" s="265" t="str">
        <f t="shared" si="6"/>
        <v/>
      </c>
      <c r="R14" s="265" t="str">
        <f t="shared" si="1"/>
        <v/>
      </c>
      <c r="T14" s="181"/>
      <c r="U14" s="265" t="str">
        <f t="shared" si="7"/>
        <v/>
      </c>
      <c r="V14" s="265" t="str">
        <f t="shared" si="2"/>
        <v/>
      </c>
      <c r="X14" s="778"/>
      <c r="Y14" s="265" t="str">
        <f t="shared" ref="Y14:Y77" si="8">IF(B14&lt;&gt;0,X14/$X$11,"")</f>
        <v/>
      </c>
      <c r="Z14" s="265" t="str">
        <f t="shared" si="4"/>
        <v/>
      </c>
    </row>
    <row r="15" spans="1:27" s="17" customFormat="1" ht="11" customHeight="1">
      <c r="A15" s="263" t="s">
        <v>807</v>
      </c>
      <c r="B15" s="264" t="s">
        <v>808</v>
      </c>
      <c r="C15" s="265"/>
      <c r="D15" s="262">
        <v>550952.65290999995</v>
      </c>
      <c r="E15" s="265">
        <v>2.0633369186691414E-3</v>
      </c>
      <c r="F15" s="265">
        <v>4.3738997542367979E-2</v>
      </c>
      <c r="H15" s="262">
        <f>+H17+H31</f>
        <v>596515.40727999993</v>
      </c>
      <c r="I15" s="265">
        <f>+H15/$H$11</f>
        <v>2.0013591037178645E-3</v>
      </c>
      <c r="J15" s="265">
        <f t="shared" si="3"/>
        <v>8.2698130464293848E-2</v>
      </c>
      <c r="L15" s="262">
        <f>+L17+L31</f>
        <v>583889.26518999995</v>
      </c>
      <c r="M15" s="265">
        <f t="shared" si="5"/>
        <v>1.7530013435697487E-3</v>
      </c>
      <c r="N15" s="265">
        <f t="shared" si="0"/>
        <v>-2.1166497857235331E-2</v>
      </c>
      <c r="P15" s="181">
        <v>522712.80794999999</v>
      </c>
      <c r="Q15" s="265">
        <f t="shared" si="6"/>
        <v>1.3917651374084437E-3</v>
      </c>
      <c r="R15" s="265">
        <f t="shared" si="1"/>
        <v>-0.10477407427604084</v>
      </c>
      <c r="T15" s="181">
        <v>530311.01188000001</v>
      </c>
      <c r="U15" s="265">
        <f t="shared" si="7"/>
        <v>1.3105617503310445E-3</v>
      </c>
      <c r="V15" s="265">
        <f t="shared" si="2"/>
        <v>1.4536096713985288E-2</v>
      </c>
      <c r="X15" s="778">
        <v>469367.78292999999</v>
      </c>
      <c r="Y15" s="265">
        <f t="shared" si="8"/>
        <v>1.191555217867329E-3</v>
      </c>
      <c r="Z15" s="265">
        <f t="shared" si="4"/>
        <v>-0.11491978779386612</v>
      </c>
    </row>
    <row r="16" spans="1:27" ht="11" customHeight="1">
      <c r="A16" s="261"/>
      <c r="B16" s="266"/>
      <c r="C16" s="265"/>
      <c r="D16" s="262" t="s">
        <v>154</v>
      </c>
      <c r="E16" s="265" t="s">
        <v>154</v>
      </c>
      <c r="F16" s="265" t="s">
        <v>154</v>
      </c>
      <c r="H16" s="262" t="s">
        <v>154</v>
      </c>
      <c r="I16" s="265"/>
      <c r="J16" s="265" t="str">
        <f t="shared" si="3"/>
        <v/>
      </c>
      <c r="L16" s="262" t="s">
        <v>154</v>
      </c>
      <c r="M16" s="265" t="str">
        <f t="shared" si="5"/>
        <v/>
      </c>
      <c r="N16" s="265" t="str">
        <f t="shared" si="0"/>
        <v/>
      </c>
      <c r="P16" s="25"/>
      <c r="Q16" s="265" t="str">
        <f t="shared" si="6"/>
        <v/>
      </c>
      <c r="R16" s="265" t="str">
        <f t="shared" si="1"/>
        <v/>
      </c>
      <c r="T16" s="181"/>
      <c r="U16" s="265" t="str">
        <f t="shared" si="7"/>
        <v/>
      </c>
      <c r="V16" s="265" t="str">
        <f t="shared" si="2"/>
        <v/>
      </c>
      <c r="X16" s="778"/>
      <c r="Y16" s="265" t="str">
        <f t="shared" si="8"/>
        <v/>
      </c>
      <c r="Z16" s="265" t="str">
        <f t="shared" si="4"/>
        <v/>
      </c>
    </row>
    <row r="17" spans="1:26" s="17" customFormat="1" ht="11" customHeight="1">
      <c r="A17" s="263" t="s">
        <v>809</v>
      </c>
      <c r="B17" s="264" t="s">
        <v>810</v>
      </c>
      <c r="C17" s="265"/>
      <c r="D17" s="262">
        <v>513191.59084999998</v>
      </c>
      <c r="E17" s="265">
        <v>1.9219204230319347E-3</v>
      </c>
      <c r="F17" s="265">
        <v>0.24828928102000572</v>
      </c>
      <c r="H17" s="262">
        <f>+H19</f>
        <v>418210.33757999999</v>
      </c>
      <c r="I17" s="265">
        <f t="shared" ref="I17:I80" si="9">+H17/$H$11</f>
        <v>1.4031306755363955E-3</v>
      </c>
      <c r="J17" s="265">
        <f t="shared" si="3"/>
        <v>-0.18507951993656482</v>
      </c>
      <c r="L17" s="262">
        <f>+L19</f>
        <v>485574.79655999993</v>
      </c>
      <c r="M17" s="265">
        <f t="shared" si="5"/>
        <v>1.4578333967080195E-3</v>
      </c>
      <c r="N17" s="265">
        <f t="shared" si="0"/>
        <v>0.16107793836424167</v>
      </c>
      <c r="P17" s="181">
        <v>412193.47209</v>
      </c>
      <c r="Q17" s="265">
        <f t="shared" si="6"/>
        <v>1.0974984649258438E-3</v>
      </c>
      <c r="R17" s="265">
        <f t="shared" si="1"/>
        <v>-0.1511225973626755</v>
      </c>
      <c r="T17" s="181">
        <v>385529.89237000002</v>
      </c>
      <c r="U17" s="265">
        <f t="shared" si="7"/>
        <v>9.527630375959419E-4</v>
      </c>
      <c r="V17" s="265">
        <f t="shared" si="2"/>
        <v>-6.4687049954488721E-2</v>
      </c>
      <c r="X17" s="778">
        <v>345968.74731999997</v>
      </c>
      <c r="Y17" s="265">
        <f t="shared" si="8"/>
        <v>8.7828965063341323E-4</v>
      </c>
      <c r="Z17" s="265">
        <f t="shared" si="4"/>
        <v>-0.10261498740552263</v>
      </c>
    </row>
    <row r="18" spans="1:26" ht="11" customHeight="1">
      <c r="A18" s="261"/>
      <c r="B18" s="26"/>
      <c r="C18" s="265"/>
      <c r="D18" s="262" t="s">
        <v>154</v>
      </c>
      <c r="E18" s="265" t="s">
        <v>154</v>
      </c>
      <c r="F18" s="265" t="s">
        <v>154</v>
      </c>
      <c r="H18" s="262"/>
      <c r="I18" s="265"/>
      <c r="J18" s="265" t="str">
        <f t="shared" si="3"/>
        <v/>
      </c>
      <c r="L18" s="262"/>
      <c r="M18" s="265" t="str">
        <f t="shared" si="5"/>
        <v/>
      </c>
      <c r="N18" s="265" t="str">
        <f t="shared" si="0"/>
        <v/>
      </c>
      <c r="P18" s="25"/>
      <c r="Q18" s="265" t="str">
        <f t="shared" si="6"/>
        <v/>
      </c>
      <c r="R18" s="265" t="str">
        <f t="shared" si="1"/>
        <v/>
      </c>
      <c r="T18" s="181"/>
      <c r="U18" s="265" t="str">
        <f t="shared" si="7"/>
        <v/>
      </c>
      <c r="V18" s="265" t="str">
        <f t="shared" si="2"/>
        <v/>
      </c>
      <c r="X18" s="778"/>
      <c r="Y18" s="265" t="str">
        <f t="shared" si="8"/>
        <v/>
      </c>
      <c r="Z18" s="265" t="str">
        <f t="shared" si="4"/>
        <v/>
      </c>
    </row>
    <row r="19" spans="1:26" ht="11" customHeight="1">
      <c r="A19" s="268" t="s">
        <v>811</v>
      </c>
      <c r="B19" s="269" t="s">
        <v>1873</v>
      </c>
      <c r="C19" s="265"/>
      <c r="D19" s="262">
        <v>513191.59084999998</v>
      </c>
      <c r="E19" s="265">
        <v>1.9219204230319347E-3</v>
      </c>
      <c r="F19" s="265">
        <v>0.24828928102000572</v>
      </c>
      <c r="H19" s="262">
        <f>+H21</f>
        <v>418210.33757999999</v>
      </c>
      <c r="I19" s="265">
        <f t="shared" si="9"/>
        <v>1.4031306755363955E-3</v>
      </c>
      <c r="J19" s="265">
        <f t="shared" si="3"/>
        <v>-0.18507951993656482</v>
      </c>
      <c r="L19" s="262">
        <f>+L21</f>
        <v>485574.79655999993</v>
      </c>
      <c r="M19" s="265">
        <f t="shared" si="5"/>
        <v>1.4578333967080195E-3</v>
      </c>
      <c r="N19" s="265">
        <f t="shared" si="0"/>
        <v>0.16107793836424167</v>
      </c>
      <c r="P19" s="25">
        <v>412193.47209</v>
      </c>
      <c r="Q19" s="265">
        <f t="shared" si="6"/>
        <v>1.0974984649258438E-3</v>
      </c>
      <c r="R19" s="265">
        <f t="shared" si="1"/>
        <v>-0.1511225973626755</v>
      </c>
      <c r="T19" s="181">
        <v>385529.89237000002</v>
      </c>
      <c r="U19" s="265">
        <f t="shared" si="7"/>
        <v>9.527630375959419E-4</v>
      </c>
      <c r="V19" s="265">
        <f t="shared" si="2"/>
        <v>-6.4687049954488721E-2</v>
      </c>
      <c r="X19" s="778">
        <v>345968.74731999997</v>
      </c>
      <c r="Y19" s="265">
        <f t="shared" si="8"/>
        <v>8.7828965063341323E-4</v>
      </c>
      <c r="Z19" s="265">
        <f t="shared" si="4"/>
        <v>-0.10261498740552263</v>
      </c>
    </row>
    <row r="20" spans="1:26" ht="11" customHeight="1">
      <c r="A20" s="261"/>
      <c r="B20" s="243"/>
      <c r="C20" s="265"/>
      <c r="D20" s="262" t="s">
        <v>154</v>
      </c>
      <c r="E20" s="265" t="s">
        <v>154</v>
      </c>
      <c r="F20" s="265" t="s">
        <v>154</v>
      </c>
      <c r="H20" s="262" t="s">
        <v>154</v>
      </c>
      <c r="I20" s="265"/>
      <c r="J20" s="265" t="str">
        <f t="shared" si="3"/>
        <v/>
      </c>
      <c r="L20" s="262" t="s">
        <v>154</v>
      </c>
      <c r="M20" s="265" t="str">
        <f t="shared" si="5"/>
        <v/>
      </c>
      <c r="N20" s="265" t="str">
        <f t="shared" si="0"/>
        <v/>
      </c>
      <c r="P20" s="25"/>
      <c r="Q20" s="265" t="str">
        <f t="shared" si="6"/>
        <v/>
      </c>
      <c r="R20" s="265" t="str">
        <f t="shared" si="1"/>
        <v/>
      </c>
      <c r="T20" s="181"/>
      <c r="U20" s="265" t="str">
        <f t="shared" si="7"/>
        <v/>
      </c>
      <c r="V20" s="265" t="str">
        <f t="shared" si="2"/>
        <v/>
      </c>
      <c r="X20" s="778"/>
      <c r="Y20" s="265" t="str">
        <f t="shared" si="8"/>
        <v/>
      </c>
      <c r="Z20" s="265" t="str">
        <f t="shared" si="4"/>
        <v/>
      </c>
    </row>
    <row r="21" spans="1:26" ht="11" customHeight="1">
      <c r="A21" s="268" t="s">
        <v>812</v>
      </c>
      <c r="B21" s="269" t="s">
        <v>813</v>
      </c>
      <c r="C21" s="265"/>
      <c r="D21" s="262">
        <v>513191.59084999998</v>
      </c>
      <c r="E21" s="265">
        <v>1.9219204230319347E-3</v>
      </c>
      <c r="F21" s="265">
        <v>0.24828928102000572</v>
      </c>
      <c r="H21" s="262">
        <f>+H23+H27</f>
        <v>418210.33757999999</v>
      </c>
      <c r="I21" s="265">
        <f t="shared" si="9"/>
        <v>1.4031306755363955E-3</v>
      </c>
      <c r="J21" s="265">
        <f t="shared" si="3"/>
        <v>-0.18507951993656482</v>
      </c>
      <c r="L21" s="262">
        <f>+L23+L27</f>
        <v>485574.79655999993</v>
      </c>
      <c r="M21" s="265">
        <f t="shared" si="5"/>
        <v>1.4578333967080195E-3</v>
      </c>
      <c r="N21" s="265">
        <f t="shared" si="0"/>
        <v>0.16107793836424167</v>
      </c>
      <c r="P21" s="25">
        <v>412193.47209</v>
      </c>
      <c r="Q21" s="265">
        <f t="shared" si="6"/>
        <v>1.0974984649258438E-3</v>
      </c>
      <c r="R21" s="265">
        <f t="shared" si="1"/>
        <v>-0.1511225973626755</v>
      </c>
      <c r="T21" s="181">
        <v>385529.89237000002</v>
      </c>
      <c r="U21" s="265">
        <f t="shared" si="7"/>
        <v>9.527630375959419E-4</v>
      </c>
      <c r="V21" s="265">
        <f t="shared" si="2"/>
        <v>-6.4687049954488721E-2</v>
      </c>
      <c r="X21" s="778">
        <v>345968.74731999997</v>
      </c>
      <c r="Y21" s="265">
        <f t="shared" si="8"/>
        <v>8.7828965063341323E-4</v>
      </c>
      <c r="Z21" s="265">
        <f t="shared" si="4"/>
        <v>-0.10261498740552263</v>
      </c>
    </row>
    <row r="22" spans="1:26" ht="11" customHeight="1">
      <c r="A22" s="261"/>
      <c r="B22" s="243"/>
      <c r="C22" s="265"/>
      <c r="D22" s="262" t="s">
        <v>154</v>
      </c>
      <c r="E22" s="265" t="s">
        <v>154</v>
      </c>
      <c r="F22" s="265" t="s">
        <v>154</v>
      </c>
      <c r="H22" s="262" t="s">
        <v>154</v>
      </c>
      <c r="I22" s="265"/>
      <c r="J22" s="265" t="str">
        <f t="shared" si="3"/>
        <v/>
      </c>
      <c r="L22" s="262" t="s">
        <v>154</v>
      </c>
      <c r="M22" s="265" t="str">
        <f t="shared" si="5"/>
        <v/>
      </c>
      <c r="N22" s="265" t="str">
        <f t="shared" si="0"/>
        <v/>
      </c>
      <c r="P22" s="25"/>
      <c r="Q22" s="265" t="str">
        <f t="shared" si="6"/>
        <v/>
      </c>
      <c r="R22" s="265" t="str">
        <f t="shared" si="1"/>
        <v/>
      </c>
      <c r="T22" s="181"/>
      <c r="U22" s="265" t="str">
        <f t="shared" si="7"/>
        <v/>
      </c>
      <c r="V22" s="265" t="str">
        <f t="shared" si="2"/>
        <v/>
      </c>
      <c r="X22" s="778"/>
      <c r="Y22" s="265" t="str">
        <f t="shared" si="8"/>
        <v/>
      </c>
      <c r="Z22" s="265" t="str">
        <f t="shared" si="4"/>
        <v/>
      </c>
    </row>
    <row r="23" spans="1:26" ht="11" customHeight="1">
      <c r="A23" s="268" t="s">
        <v>814</v>
      </c>
      <c r="B23" s="270" t="s">
        <v>815</v>
      </c>
      <c r="C23" s="265"/>
      <c r="D23" s="262">
        <v>220272.30533</v>
      </c>
      <c r="E23" s="265">
        <v>8.2492747307270713E-4</v>
      </c>
      <c r="F23" s="265">
        <v>0.72793961539883978</v>
      </c>
      <c r="H23" s="262">
        <f>+H25</f>
        <v>108370.63258999999</v>
      </c>
      <c r="I23" s="265">
        <f t="shared" si="9"/>
        <v>3.6359254004625314E-4</v>
      </c>
      <c r="J23" s="265">
        <f t="shared" si="3"/>
        <v>-0.50801517046073952</v>
      </c>
      <c r="L23" s="262">
        <f>+L25</f>
        <v>162142.14291999998</v>
      </c>
      <c r="M23" s="265">
        <f t="shared" si="5"/>
        <v>4.8679674611854152E-4</v>
      </c>
      <c r="N23" s="265">
        <f t="shared" si="0"/>
        <v>0.49618156732031304</v>
      </c>
      <c r="P23" s="25">
        <v>120672.56678000001</v>
      </c>
      <c r="Q23" s="265">
        <f t="shared" si="6"/>
        <v>3.2130047117969482E-4</v>
      </c>
      <c r="R23" s="265">
        <f t="shared" si="1"/>
        <v>-0.25576062702255531</v>
      </c>
      <c r="T23" s="181">
        <v>0</v>
      </c>
      <c r="U23" s="265">
        <f t="shared" si="7"/>
        <v>0</v>
      </c>
      <c r="V23" s="265"/>
      <c r="X23" s="778">
        <v>0</v>
      </c>
      <c r="Y23" s="265">
        <f t="shared" si="8"/>
        <v>0</v>
      </c>
      <c r="Z23" s="265"/>
    </row>
    <row r="24" spans="1:26" ht="11" customHeight="1">
      <c r="A24" s="268"/>
      <c r="B24" s="264"/>
      <c r="C24" s="265"/>
      <c r="D24" s="262" t="s">
        <v>154</v>
      </c>
      <c r="E24" s="265" t="s">
        <v>154</v>
      </c>
      <c r="F24" s="265" t="s">
        <v>154</v>
      </c>
      <c r="H24" s="262" t="s">
        <v>154</v>
      </c>
      <c r="I24" s="265"/>
      <c r="J24" s="265" t="str">
        <f t="shared" si="3"/>
        <v/>
      </c>
      <c r="L24" s="262" t="s">
        <v>154</v>
      </c>
      <c r="M24" s="265" t="str">
        <f t="shared" si="5"/>
        <v/>
      </c>
      <c r="N24" s="265" t="str">
        <f t="shared" si="0"/>
        <v/>
      </c>
      <c r="P24" s="25"/>
      <c r="Q24" s="265" t="str">
        <f t="shared" si="6"/>
        <v/>
      </c>
      <c r="R24" s="265" t="str">
        <f t="shared" si="1"/>
        <v/>
      </c>
      <c r="T24" s="181"/>
      <c r="U24" s="265" t="str">
        <f t="shared" si="7"/>
        <v/>
      </c>
      <c r="V24" s="265" t="str">
        <f>IF(B24&lt;&gt;0,(T24-P24)/P24,"")</f>
        <v/>
      </c>
      <c r="X24" s="778"/>
      <c r="Y24" s="265" t="str">
        <f t="shared" si="8"/>
        <v/>
      </c>
      <c r="Z24" s="265" t="str">
        <f t="shared" si="4"/>
        <v/>
      </c>
    </row>
    <row r="25" spans="1:26" s="75" customFormat="1" ht="11" customHeight="1">
      <c r="A25" s="268" t="s">
        <v>814</v>
      </c>
      <c r="B25" s="243" t="s">
        <v>816</v>
      </c>
      <c r="C25" s="272"/>
      <c r="D25" s="271">
        <v>220272.30533</v>
      </c>
      <c r="E25" s="272">
        <v>8.2492747307270713E-4</v>
      </c>
      <c r="F25" s="272">
        <v>0.72793961539883978</v>
      </c>
      <c r="H25" s="271">
        <v>108370.63258999999</v>
      </c>
      <c r="I25" s="272">
        <f t="shared" si="9"/>
        <v>3.6359254004625314E-4</v>
      </c>
      <c r="J25" s="265">
        <f t="shared" si="3"/>
        <v>-0.50801517046073952</v>
      </c>
      <c r="L25" s="271">
        <f>162142142.92/1000</f>
        <v>162142.14291999998</v>
      </c>
      <c r="M25" s="272">
        <f t="shared" si="5"/>
        <v>4.8679674611854152E-4</v>
      </c>
      <c r="N25" s="272">
        <f t="shared" si="0"/>
        <v>0.49618156732031304</v>
      </c>
      <c r="P25" s="273">
        <v>120672.56678000001</v>
      </c>
      <c r="Q25" s="272">
        <f t="shared" si="6"/>
        <v>3.2130047117969482E-4</v>
      </c>
      <c r="R25" s="272">
        <f t="shared" si="1"/>
        <v>-0.25576062702255531</v>
      </c>
      <c r="T25" s="25">
        <v>0</v>
      </c>
      <c r="U25" s="272">
        <f t="shared" si="7"/>
        <v>0</v>
      </c>
      <c r="V25" s="272"/>
      <c r="X25" s="84">
        <v>0</v>
      </c>
      <c r="Y25" s="272">
        <f t="shared" si="8"/>
        <v>0</v>
      </c>
      <c r="Z25" s="265"/>
    </row>
    <row r="26" spans="1:26" s="75" customFormat="1" ht="11" customHeight="1">
      <c r="A26" s="268"/>
      <c r="B26" s="243"/>
      <c r="C26" s="265"/>
      <c r="D26" s="262" t="s">
        <v>154</v>
      </c>
      <c r="E26" s="265" t="s">
        <v>154</v>
      </c>
      <c r="F26" s="265" t="s">
        <v>154</v>
      </c>
      <c r="H26" s="262" t="s">
        <v>154</v>
      </c>
      <c r="I26" s="265"/>
      <c r="J26" s="265" t="str">
        <f t="shared" si="3"/>
        <v/>
      </c>
      <c r="L26" s="262" t="s">
        <v>154</v>
      </c>
      <c r="M26" s="265" t="str">
        <f t="shared" si="5"/>
        <v/>
      </c>
      <c r="N26" s="265" t="str">
        <f t="shared" si="0"/>
        <v/>
      </c>
      <c r="P26" s="273"/>
      <c r="Q26" s="265" t="str">
        <f t="shared" si="6"/>
        <v/>
      </c>
      <c r="R26" s="265" t="str">
        <f t="shared" si="1"/>
        <v/>
      </c>
      <c r="T26" s="181"/>
      <c r="U26" s="265" t="str">
        <f t="shared" si="7"/>
        <v/>
      </c>
      <c r="V26" s="265" t="str">
        <f t="shared" ref="V26:V35" si="10">IF(B26&lt;&gt;0,(T26-P26)/P26,"")</f>
        <v/>
      </c>
      <c r="X26" s="778"/>
      <c r="Y26" s="265" t="str">
        <f t="shared" si="8"/>
        <v/>
      </c>
      <c r="Z26" s="265" t="str">
        <f t="shared" si="4"/>
        <v/>
      </c>
    </row>
    <row r="27" spans="1:26" s="275" customFormat="1" ht="11" customHeight="1">
      <c r="A27" s="263" t="s">
        <v>814</v>
      </c>
      <c r="B27" s="274" t="s">
        <v>817</v>
      </c>
      <c r="C27" s="265"/>
      <c r="D27" s="262">
        <v>292919.28551999998</v>
      </c>
      <c r="E27" s="265">
        <v>1.0969929499592276E-3</v>
      </c>
      <c r="F27" s="265">
        <v>3.2718424957604249E-2</v>
      </c>
      <c r="H27" s="262">
        <f>+H29</f>
        <v>309839.70499</v>
      </c>
      <c r="I27" s="265">
        <f t="shared" si="9"/>
        <v>1.0395381354901423E-3</v>
      </c>
      <c r="J27" s="265">
        <f t="shared" si="3"/>
        <v>5.7764784725465708E-2</v>
      </c>
      <c r="L27" s="262">
        <f>+L29</f>
        <v>323432.65363999997</v>
      </c>
      <c r="M27" s="265">
        <f t="shared" si="5"/>
        <v>9.7103665058947812E-4</v>
      </c>
      <c r="N27" s="265">
        <f t="shared" si="0"/>
        <v>4.3870906249535338E-2</v>
      </c>
      <c r="P27" s="276">
        <v>291520.90531</v>
      </c>
      <c r="Q27" s="265">
        <f t="shared" si="6"/>
        <v>7.7619799374614902E-4</v>
      </c>
      <c r="R27" s="265">
        <f t="shared" si="1"/>
        <v>-9.8665821063075684E-2</v>
      </c>
      <c r="T27" s="181">
        <v>385529.89237000002</v>
      </c>
      <c r="U27" s="265">
        <f t="shared" si="7"/>
        <v>9.527630375959419E-4</v>
      </c>
      <c r="V27" s="265">
        <f t="shared" si="10"/>
        <v>0.32247768632589807</v>
      </c>
      <c r="X27" s="778">
        <v>345968.74731999997</v>
      </c>
      <c r="Y27" s="265">
        <f t="shared" si="8"/>
        <v>8.7828965063341323E-4</v>
      </c>
      <c r="Z27" s="265">
        <f t="shared" si="4"/>
        <v>-0.10261498740552263</v>
      </c>
    </row>
    <row r="28" spans="1:26" s="75" customFormat="1" ht="11" customHeight="1">
      <c r="A28" s="268"/>
      <c r="B28" s="264"/>
      <c r="C28" s="265"/>
      <c r="D28" s="262" t="s">
        <v>154</v>
      </c>
      <c r="E28" s="265" t="s">
        <v>154</v>
      </c>
      <c r="F28" s="265" t="s">
        <v>154</v>
      </c>
      <c r="H28" s="262" t="s">
        <v>154</v>
      </c>
      <c r="I28" s="265"/>
      <c r="J28" s="265" t="str">
        <f t="shared" si="3"/>
        <v/>
      </c>
      <c r="L28" s="262" t="s">
        <v>154</v>
      </c>
      <c r="M28" s="265" t="str">
        <f t="shared" si="5"/>
        <v/>
      </c>
      <c r="N28" s="265" t="str">
        <f t="shared" si="0"/>
        <v/>
      </c>
      <c r="P28" s="273"/>
      <c r="Q28" s="265" t="str">
        <f t="shared" si="6"/>
        <v/>
      </c>
      <c r="R28" s="265" t="str">
        <f t="shared" si="1"/>
        <v/>
      </c>
      <c r="T28" s="181"/>
      <c r="U28" s="265" t="str">
        <f t="shared" si="7"/>
        <v/>
      </c>
      <c r="V28" s="265" t="str">
        <f t="shared" si="10"/>
        <v/>
      </c>
      <c r="X28" s="778"/>
      <c r="Y28" s="265" t="str">
        <f t="shared" si="8"/>
        <v/>
      </c>
      <c r="Z28" s="265" t="str">
        <f t="shared" si="4"/>
        <v/>
      </c>
    </row>
    <row r="29" spans="1:26" ht="11" customHeight="1">
      <c r="A29" s="268" t="s">
        <v>814</v>
      </c>
      <c r="B29" s="243" t="s">
        <v>818</v>
      </c>
      <c r="C29" s="272"/>
      <c r="D29" s="271">
        <v>292919.28551999998</v>
      </c>
      <c r="E29" s="272">
        <v>1.0969929499592276E-3</v>
      </c>
      <c r="F29" s="272">
        <v>3.2718424957604249E-2</v>
      </c>
      <c r="H29" s="271">
        <v>309839.70499</v>
      </c>
      <c r="I29" s="272">
        <f t="shared" si="9"/>
        <v>1.0395381354901423E-3</v>
      </c>
      <c r="J29" s="265">
        <f t="shared" si="3"/>
        <v>5.7764784725465708E-2</v>
      </c>
      <c r="L29" s="271">
        <f>323432653.64/1000</f>
        <v>323432.65363999997</v>
      </c>
      <c r="M29" s="272">
        <f t="shared" si="5"/>
        <v>9.7103665058947812E-4</v>
      </c>
      <c r="N29" s="272">
        <f t="shared" si="0"/>
        <v>4.3870906249535338E-2</v>
      </c>
      <c r="P29" s="25">
        <v>291520.90531</v>
      </c>
      <c r="Q29" s="272">
        <f t="shared" si="6"/>
        <v>7.7619799374614902E-4</v>
      </c>
      <c r="R29" s="272">
        <f t="shared" si="1"/>
        <v>-9.8665821063075684E-2</v>
      </c>
      <c r="T29" s="25">
        <v>385529.89237000002</v>
      </c>
      <c r="U29" s="272">
        <f t="shared" si="7"/>
        <v>9.527630375959419E-4</v>
      </c>
      <c r="V29" s="272">
        <f t="shared" si="10"/>
        <v>0.32247768632589807</v>
      </c>
      <c r="X29" s="84">
        <v>345968.74731999997</v>
      </c>
      <c r="Y29" s="272">
        <f t="shared" si="8"/>
        <v>8.7828965063341323E-4</v>
      </c>
      <c r="Z29" s="272">
        <f t="shared" si="4"/>
        <v>-0.10261498740552263</v>
      </c>
    </row>
    <row r="30" spans="1:26" ht="11" customHeight="1">
      <c r="A30" s="268"/>
      <c r="B30" s="243"/>
      <c r="C30" s="265"/>
      <c r="D30" s="262" t="s">
        <v>154</v>
      </c>
      <c r="E30" s="265" t="s">
        <v>154</v>
      </c>
      <c r="F30" s="265" t="s">
        <v>154</v>
      </c>
      <c r="H30" s="262" t="s">
        <v>154</v>
      </c>
      <c r="I30" s="265"/>
      <c r="J30" s="265" t="str">
        <f t="shared" si="3"/>
        <v/>
      </c>
      <c r="L30" s="262" t="s">
        <v>154</v>
      </c>
      <c r="M30" s="265" t="str">
        <f t="shared" si="5"/>
        <v/>
      </c>
      <c r="N30" s="265" t="str">
        <f t="shared" si="0"/>
        <v/>
      </c>
      <c r="P30" s="25"/>
      <c r="Q30" s="265" t="str">
        <f t="shared" si="6"/>
        <v/>
      </c>
      <c r="R30" s="265" t="str">
        <f t="shared" si="1"/>
        <v/>
      </c>
      <c r="T30" s="181"/>
      <c r="U30" s="265" t="str">
        <f t="shared" si="7"/>
        <v/>
      </c>
      <c r="V30" s="265" t="str">
        <f t="shared" si="10"/>
        <v/>
      </c>
      <c r="X30" s="778"/>
      <c r="Y30" s="265" t="str">
        <f t="shared" si="8"/>
        <v/>
      </c>
      <c r="Z30" s="265" t="str">
        <f t="shared" si="4"/>
        <v/>
      </c>
    </row>
    <row r="31" spans="1:26" s="17" customFormat="1" ht="11" customHeight="1">
      <c r="A31" s="263" t="s">
        <v>809</v>
      </c>
      <c r="B31" s="264" t="s">
        <v>819</v>
      </c>
      <c r="C31" s="265"/>
      <c r="D31" s="262">
        <v>37761.062060000004</v>
      </c>
      <c r="E31" s="265">
        <v>1.4141649563720701E-4</v>
      </c>
      <c r="F31" s="265">
        <v>-0.67656056183313429</v>
      </c>
      <c r="H31" s="262">
        <f>+H33</f>
        <v>178305.06969999999</v>
      </c>
      <c r="I31" s="265">
        <f t="shared" si="9"/>
        <v>5.9822842818146936E-4</v>
      </c>
      <c r="J31" s="265">
        <f t="shared" si="3"/>
        <v>3.7219294154567004</v>
      </c>
      <c r="L31" s="262">
        <f>+L33</f>
        <v>98314.468630000003</v>
      </c>
      <c r="M31" s="265">
        <f t="shared" si="5"/>
        <v>2.9516794686172904E-4</v>
      </c>
      <c r="N31" s="265">
        <f t="shared" si="0"/>
        <v>-0.44861652674590213</v>
      </c>
      <c r="P31" s="181">
        <v>110519.33586000001</v>
      </c>
      <c r="Q31" s="265">
        <f t="shared" si="6"/>
        <v>2.9426667248260005E-4</v>
      </c>
      <c r="R31" s="265">
        <f t="shared" si="1"/>
        <v>0.12414110964615202</v>
      </c>
      <c r="T31" s="181">
        <v>144781.11950999999</v>
      </c>
      <c r="U31" s="265">
        <f t="shared" si="7"/>
        <v>3.5779871273510265E-4</v>
      </c>
      <c r="V31" s="265">
        <f t="shared" si="10"/>
        <v>0.31000714384857486</v>
      </c>
      <c r="X31" s="778">
        <v>123399.03561000001</v>
      </c>
      <c r="Y31" s="265">
        <f t="shared" si="8"/>
        <v>3.1326556723391567E-4</v>
      </c>
      <c r="Z31" s="265">
        <f t="shared" si="4"/>
        <v>-0.14768558201764098</v>
      </c>
    </row>
    <row r="32" spans="1:26" s="17" customFormat="1" ht="11" customHeight="1">
      <c r="A32" s="263"/>
      <c r="B32" s="264"/>
      <c r="C32" s="265"/>
      <c r="D32" s="262" t="s">
        <v>154</v>
      </c>
      <c r="E32" s="265" t="s">
        <v>154</v>
      </c>
      <c r="F32" s="265" t="s">
        <v>154</v>
      </c>
      <c r="H32" s="262" t="s">
        <v>154</v>
      </c>
      <c r="I32" s="265"/>
      <c r="J32" s="265" t="str">
        <f t="shared" si="3"/>
        <v/>
      </c>
      <c r="L32" s="262" t="s">
        <v>154</v>
      </c>
      <c r="M32" s="265" t="str">
        <f t="shared" si="5"/>
        <v/>
      </c>
      <c r="N32" s="265" t="str">
        <f t="shared" si="0"/>
        <v/>
      </c>
      <c r="P32" s="181"/>
      <c r="Q32" s="265" t="str">
        <f t="shared" si="6"/>
        <v/>
      </c>
      <c r="R32" s="265" t="str">
        <f t="shared" si="1"/>
        <v/>
      </c>
      <c r="T32" s="181"/>
      <c r="U32" s="265" t="str">
        <f t="shared" si="7"/>
        <v/>
      </c>
      <c r="V32" s="265" t="str">
        <f t="shared" si="10"/>
        <v/>
      </c>
      <c r="X32" s="778"/>
      <c r="Y32" s="265" t="str">
        <f t="shared" si="8"/>
        <v/>
      </c>
      <c r="Z32" s="265" t="str">
        <f t="shared" si="4"/>
        <v/>
      </c>
    </row>
    <row r="33" spans="1:26" s="17" customFormat="1" ht="11" customHeight="1">
      <c r="A33" s="263" t="s">
        <v>809</v>
      </c>
      <c r="B33" s="275" t="s">
        <v>820</v>
      </c>
      <c r="C33" s="265"/>
      <c r="D33" s="262">
        <v>37761.062060000004</v>
      </c>
      <c r="E33" s="265">
        <v>1.4141649563720701E-4</v>
      </c>
      <c r="F33" s="265">
        <v>-0.67656056183313429</v>
      </c>
      <c r="H33" s="262">
        <f>SUM(H35:H36)</f>
        <v>178305.06969999999</v>
      </c>
      <c r="I33" s="265">
        <f t="shared" si="9"/>
        <v>5.9822842818146936E-4</v>
      </c>
      <c r="J33" s="265">
        <f t="shared" si="3"/>
        <v>3.7219294154567004</v>
      </c>
      <c r="L33" s="262">
        <f>SUM(L35:L36)</f>
        <v>98314.468630000003</v>
      </c>
      <c r="M33" s="265">
        <f t="shared" si="5"/>
        <v>2.9516794686172904E-4</v>
      </c>
      <c r="N33" s="265">
        <f t="shared" si="0"/>
        <v>-0.44861652674590213</v>
      </c>
      <c r="P33" s="181">
        <v>110519.33586000001</v>
      </c>
      <c r="Q33" s="265">
        <f t="shared" si="6"/>
        <v>2.9426667248260005E-4</v>
      </c>
      <c r="R33" s="265">
        <f t="shared" si="1"/>
        <v>0.12414110964615202</v>
      </c>
      <c r="T33" s="181">
        <v>144781.11950999999</v>
      </c>
      <c r="U33" s="265">
        <f t="shared" si="7"/>
        <v>3.5779871273510265E-4</v>
      </c>
      <c r="V33" s="265">
        <f t="shared" si="10"/>
        <v>0.31000714384857486</v>
      </c>
      <c r="X33" s="778">
        <v>123399.03561000001</v>
      </c>
      <c r="Y33" s="265">
        <f t="shared" si="8"/>
        <v>3.1326556723391567E-4</v>
      </c>
      <c r="Z33" s="265">
        <f t="shared" si="4"/>
        <v>-0.14768558201764098</v>
      </c>
    </row>
    <row r="34" spans="1:26" ht="11" customHeight="1">
      <c r="A34" s="261"/>
      <c r="B34" s="275"/>
      <c r="C34" s="265"/>
      <c r="D34" s="262" t="s">
        <v>154</v>
      </c>
      <c r="E34" s="265" t="s">
        <v>154</v>
      </c>
      <c r="F34" s="265" t="s">
        <v>154</v>
      </c>
      <c r="H34" s="262" t="s">
        <v>154</v>
      </c>
      <c r="I34" s="265"/>
      <c r="J34" s="265" t="str">
        <f t="shared" si="3"/>
        <v/>
      </c>
      <c r="L34" s="262" t="s">
        <v>154</v>
      </c>
      <c r="M34" s="265" t="str">
        <f t="shared" si="5"/>
        <v/>
      </c>
      <c r="N34" s="265" t="str">
        <f t="shared" si="0"/>
        <v/>
      </c>
      <c r="P34" s="25"/>
      <c r="Q34" s="265" t="str">
        <f t="shared" si="6"/>
        <v/>
      </c>
      <c r="R34" s="265" t="str">
        <f t="shared" si="1"/>
        <v/>
      </c>
      <c r="T34" s="181"/>
      <c r="U34" s="265" t="str">
        <f t="shared" si="7"/>
        <v/>
      </c>
      <c r="V34" s="265" t="str">
        <f t="shared" si="10"/>
        <v/>
      </c>
      <c r="X34" s="778"/>
      <c r="Y34" s="265" t="str">
        <f t="shared" si="8"/>
        <v/>
      </c>
      <c r="Z34" s="265" t="str">
        <f t="shared" si="4"/>
        <v/>
      </c>
    </row>
    <row r="35" spans="1:26" ht="11" customHeight="1">
      <c r="A35" s="268" t="s">
        <v>814</v>
      </c>
      <c r="B35" s="243" t="s">
        <v>821</v>
      </c>
      <c r="C35" s="272"/>
      <c r="D35" s="271">
        <v>37472.135350000004</v>
      </c>
      <c r="E35" s="272">
        <v>1.4033445502194928E-4</v>
      </c>
      <c r="F35" s="272">
        <v>-0.6742775485955107</v>
      </c>
      <c r="H35" s="271">
        <v>177709.50401999999</v>
      </c>
      <c r="I35" s="272">
        <f t="shared" si="9"/>
        <v>5.9623025549224249E-4</v>
      </c>
      <c r="J35" s="265">
        <f t="shared" si="3"/>
        <v>3.7424440150032705</v>
      </c>
      <c r="L35" s="271">
        <f>98021258.59/1000</f>
        <v>98021.258589999998</v>
      </c>
      <c r="M35" s="272">
        <f t="shared" si="5"/>
        <v>2.9428764707765801E-4</v>
      </c>
      <c r="N35" s="272">
        <f t="shared" si="0"/>
        <v>-0.44841859116905547</v>
      </c>
      <c r="P35" s="25">
        <v>109611.62152</v>
      </c>
      <c r="Q35" s="272">
        <f t="shared" si="6"/>
        <v>2.9184980962038647E-4</v>
      </c>
      <c r="R35" s="272">
        <f t="shared" si="1"/>
        <v>0.11824335962140398</v>
      </c>
      <c r="T35" s="25">
        <v>144781.11950999999</v>
      </c>
      <c r="U35" s="272">
        <f t="shared" si="7"/>
        <v>3.5779871273510265E-4</v>
      </c>
      <c r="V35" s="272">
        <f t="shared" si="10"/>
        <v>0.3208555580357223</v>
      </c>
      <c r="X35" s="84">
        <v>121959.06771999999</v>
      </c>
      <c r="Y35" s="272">
        <f t="shared" si="8"/>
        <v>3.0961000902286816E-4</v>
      </c>
      <c r="Z35" s="272">
        <f t="shared" si="4"/>
        <v>-0.15763140848226198</v>
      </c>
    </row>
    <row r="36" spans="1:26" ht="11" customHeight="1">
      <c r="A36" s="268"/>
      <c r="B36" s="243" t="s">
        <v>822</v>
      </c>
      <c r="C36" s="272"/>
      <c r="D36" s="271">
        <v>288.92671000000001</v>
      </c>
      <c r="E36" s="272">
        <v>1.0820406152577259E-6</v>
      </c>
      <c r="F36" s="272">
        <v>-0.83057454361066074</v>
      </c>
      <c r="H36" s="271">
        <v>595.56568000000004</v>
      </c>
      <c r="I36" s="272">
        <f t="shared" si="9"/>
        <v>1.9981726892268389E-6</v>
      </c>
      <c r="J36" s="265">
        <f t="shared" si="3"/>
        <v>1.0613036434049314</v>
      </c>
      <c r="L36" s="271">
        <f>293210.04/1000</f>
        <v>293.21003999999999</v>
      </c>
      <c r="M36" s="272">
        <f t="shared" si="5"/>
        <v>8.8029978407101357E-7</v>
      </c>
      <c r="N36" s="272">
        <f t="shared" si="0"/>
        <v>-0.5076780784278907</v>
      </c>
      <c r="P36" s="25">
        <v>907.71433999999999</v>
      </c>
      <c r="Q36" s="272">
        <f t="shared" si="6"/>
        <v>2.4168628622135428E-6</v>
      </c>
      <c r="R36" s="272">
        <f t="shared" si="1"/>
        <v>2.0957819179725226</v>
      </c>
      <c r="T36" s="25"/>
      <c r="U36" s="272">
        <f t="shared" si="7"/>
        <v>0</v>
      </c>
      <c r="V36" s="272"/>
      <c r="X36" s="84">
        <v>1439.9678899999999</v>
      </c>
      <c r="Y36" s="272">
        <f t="shared" si="8"/>
        <v>3.6555582110474698E-6</v>
      </c>
      <c r="Z36" s="272"/>
    </row>
    <row r="37" spans="1:26" ht="11" customHeight="1">
      <c r="A37" s="261"/>
      <c r="B37" s="243"/>
      <c r="C37" s="265"/>
      <c r="D37" s="262" t="s">
        <v>154</v>
      </c>
      <c r="E37" s="265" t="s">
        <v>154</v>
      </c>
      <c r="F37" s="265" t="s">
        <v>154</v>
      </c>
      <c r="H37" s="262" t="s">
        <v>154</v>
      </c>
      <c r="I37" s="265"/>
      <c r="J37" s="265" t="str">
        <f t="shared" si="3"/>
        <v/>
      </c>
      <c r="L37" s="262" t="s">
        <v>154</v>
      </c>
      <c r="M37" s="265" t="str">
        <f t="shared" si="5"/>
        <v/>
      </c>
      <c r="N37" s="265" t="str">
        <f t="shared" si="0"/>
        <v/>
      </c>
      <c r="P37" s="25"/>
      <c r="Q37" s="265" t="str">
        <f t="shared" si="6"/>
        <v/>
      </c>
      <c r="R37" s="265" t="str">
        <f t="shared" si="1"/>
        <v/>
      </c>
      <c r="T37" s="181"/>
      <c r="U37" s="265" t="str">
        <f t="shared" si="7"/>
        <v/>
      </c>
      <c r="V37" s="265" t="str">
        <f t="shared" ref="V37:V66" si="11">IF(B37&lt;&gt;0,(T37-P37)/P37,"")</f>
        <v/>
      </c>
      <c r="X37" s="778"/>
      <c r="Y37" s="265" t="str">
        <f t="shared" si="8"/>
        <v/>
      </c>
      <c r="Z37" s="265" t="str">
        <f t="shared" si="4"/>
        <v/>
      </c>
    </row>
    <row r="38" spans="1:26" s="17" customFormat="1">
      <c r="A38" s="263" t="s">
        <v>807</v>
      </c>
      <c r="B38" s="264" t="s">
        <v>823</v>
      </c>
      <c r="C38" s="265"/>
      <c r="D38" s="262">
        <v>15226397.202379998</v>
      </c>
      <c r="E38" s="265">
        <v>5.702338906991939E-2</v>
      </c>
      <c r="F38" s="265">
        <v>-0.3592086626039438</v>
      </c>
      <c r="H38" s="262">
        <f>+H40+H96+H127+H139+H150</f>
        <v>16632615.41726</v>
      </c>
      <c r="I38" s="265">
        <f t="shared" si="9"/>
        <v>5.5803816427404271E-2</v>
      </c>
      <c r="J38" s="265">
        <f t="shared" si="3"/>
        <v>9.2353968978308304E-2</v>
      </c>
      <c r="L38" s="262">
        <f>+L40+L96+L127+L139+L150</f>
        <v>16905815.423720002</v>
      </c>
      <c r="M38" s="265">
        <f t="shared" si="5"/>
        <v>5.0756057558755931E-2</v>
      </c>
      <c r="N38" s="265">
        <f t="shared" si="0"/>
        <v>1.6425559036042914E-2</v>
      </c>
      <c r="P38" s="181">
        <v>19905776.668120001</v>
      </c>
      <c r="Q38" s="265">
        <f t="shared" si="6"/>
        <v>5.3000740709567354E-2</v>
      </c>
      <c r="R38" s="265">
        <f t="shared" si="1"/>
        <v>0.17745143722501844</v>
      </c>
      <c r="T38" s="181">
        <v>22242907.627599999</v>
      </c>
      <c r="U38" s="265">
        <f t="shared" si="7"/>
        <v>5.4969071544521284E-2</v>
      </c>
      <c r="V38" s="265">
        <f t="shared" si="11"/>
        <v>0.11740968455770025</v>
      </c>
      <c r="X38" s="778">
        <v>19305044.382599998</v>
      </c>
      <c r="Y38" s="265">
        <f t="shared" si="8"/>
        <v>4.9008532757941752E-2</v>
      </c>
      <c r="Z38" s="265">
        <f t="shared" si="4"/>
        <v>-0.13208089941238474</v>
      </c>
    </row>
    <row r="39" spans="1:26" ht="11" customHeight="1">
      <c r="A39" s="261"/>
      <c r="B39" s="264"/>
      <c r="C39" s="265"/>
      <c r="D39" s="262" t="s">
        <v>154</v>
      </c>
      <c r="E39" s="265" t="s">
        <v>154</v>
      </c>
      <c r="F39" s="265" t="s">
        <v>154</v>
      </c>
      <c r="H39" s="262" t="s">
        <v>154</v>
      </c>
      <c r="I39" s="265"/>
      <c r="J39" s="265" t="str">
        <f t="shared" si="3"/>
        <v/>
      </c>
      <c r="L39" s="262" t="s">
        <v>154</v>
      </c>
      <c r="M39" s="265" t="str">
        <f t="shared" si="5"/>
        <v/>
      </c>
      <c r="N39" s="265" t="str">
        <f t="shared" si="0"/>
        <v/>
      </c>
      <c r="P39" s="25"/>
      <c r="Q39" s="265" t="str">
        <f t="shared" si="6"/>
        <v/>
      </c>
      <c r="R39" s="265" t="str">
        <f t="shared" si="1"/>
        <v/>
      </c>
      <c r="T39" s="181"/>
      <c r="U39" s="265" t="str">
        <f t="shared" si="7"/>
        <v/>
      </c>
      <c r="V39" s="265" t="str">
        <f t="shared" si="11"/>
        <v/>
      </c>
      <c r="X39" s="778"/>
      <c r="Y39" s="265" t="str">
        <f t="shared" si="8"/>
        <v/>
      </c>
      <c r="Z39" s="265" t="str">
        <f t="shared" si="4"/>
        <v/>
      </c>
    </row>
    <row r="40" spans="1:26" s="17" customFormat="1" ht="11" customHeight="1">
      <c r="A40" s="263" t="s">
        <v>809</v>
      </c>
      <c r="B40" s="264" t="s">
        <v>824</v>
      </c>
      <c r="C40" s="265"/>
      <c r="D40" s="262">
        <v>4544285.53761</v>
      </c>
      <c r="E40" s="265">
        <v>1.7018507977411678E-2</v>
      </c>
      <c r="F40" s="265">
        <v>-0.64851618396963495</v>
      </c>
      <c r="H40" s="262">
        <f>+H42+H53</f>
        <v>3989438.2129799998</v>
      </c>
      <c r="I40" s="265">
        <f t="shared" si="9"/>
        <v>1.3384899013211373E-2</v>
      </c>
      <c r="J40" s="265">
        <f t="shared" si="3"/>
        <v>-0.12209781274479815</v>
      </c>
      <c r="L40" s="262">
        <f>+L42+L53</f>
        <v>4422395.91555</v>
      </c>
      <c r="M40" s="265">
        <f t="shared" si="5"/>
        <v>1.3277288081728707E-2</v>
      </c>
      <c r="N40" s="265">
        <f t="shared" si="0"/>
        <v>0.10852598272140998</v>
      </c>
      <c r="P40" s="181">
        <v>5141764.5852799993</v>
      </c>
      <c r="Q40" s="265">
        <f t="shared" si="6"/>
        <v>1.369036416501699E-2</v>
      </c>
      <c r="R40" s="265">
        <f t="shared" si="1"/>
        <v>0.1626649181726493</v>
      </c>
      <c r="T40" s="181">
        <v>5322055.2507699998</v>
      </c>
      <c r="U40" s="265">
        <f t="shared" si="7"/>
        <v>1.3152436756085972E-2</v>
      </c>
      <c r="V40" s="265">
        <f t="shared" si="11"/>
        <v>3.5063967340345011E-2</v>
      </c>
      <c r="X40" s="778">
        <v>4224669.4404299995</v>
      </c>
      <c r="Y40" s="265">
        <f t="shared" si="8"/>
        <v>1.072490933247491E-2</v>
      </c>
      <c r="Z40" s="265">
        <f t="shared" si="4"/>
        <v>-0.20619586957148359</v>
      </c>
    </row>
    <row r="41" spans="1:26" ht="11" customHeight="1">
      <c r="A41" s="261"/>
      <c r="B41" s="264"/>
      <c r="C41" s="265"/>
      <c r="D41" s="262" t="s">
        <v>154</v>
      </c>
      <c r="E41" s="265" t="s">
        <v>154</v>
      </c>
      <c r="F41" s="265" t="s">
        <v>154</v>
      </c>
      <c r="H41" s="262" t="s">
        <v>154</v>
      </c>
      <c r="I41" s="265"/>
      <c r="J41" s="265" t="str">
        <f t="shared" si="3"/>
        <v/>
      </c>
      <c r="L41" s="262" t="s">
        <v>154</v>
      </c>
      <c r="M41" s="265" t="str">
        <f t="shared" si="5"/>
        <v/>
      </c>
      <c r="N41" s="265" t="str">
        <f t="shared" si="0"/>
        <v/>
      </c>
      <c r="P41" s="25"/>
      <c r="Q41" s="265" t="str">
        <f t="shared" si="6"/>
        <v/>
      </c>
      <c r="R41" s="265" t="str">
        <f t="shared" si="1"/>
        <v/>
      </c>
      <c r="T41" s="181"/>
      <c r="U41" s="265" t="str">
        <f t="shared" si="7"/>
        <v/>
      </c>
      <c r="V41" s="265" t="str">
        <f t="shared" si="11"/>
        <v/>
      </c>
      <c r="X41" s="778"/>
      <c r="Y41" s="265" t="str">
        <f t="shared" si="8"/>
        <v/>
      </c>
      <c r="Z41" s="265" t="str">
        <f t="shared" si="4"/>
        <v/>
      </c>
    </row>
    <row r="42" spans="1:26" s="17" customFormat="1" ht="11" customHeight="1">
      <c r="A42" s="263" t="s">
        <v>811</v>
      </c>
      <c r="B42" s="264" t="s">
        <v>825</v>
      </c>
      <c r="C42" s="265"/>
      <c r="D42" s="262">
        <v>643640.18280999991</v>
      </c>
      <c r="E42" s="265">
        <v>2.4104549538266208E-3</v>
      </c>
      <c r="F42" s="265">
        <v>3.4751950486857155E-2</v>
      </c>
      <c r="H42" s="262">
        <f>+H44+H49</f>
        <v>889144.01008000004</v>
      </c>
      <c r="I42" s="265">
        <f t="shared" si="9"/>
        <v>2.9831525512542785E-3</v>
      </c>
      <c r="J42" s="265">
        <f t="shared" si="3"/>
        <v>0.38143023668625098</v>
      </c>
      <c r="L42" s="262">
        <f>+L44+L49</f>
        <v>746324.34912000003</v>
      </c>
      <c r="M42" s="265">
        <f t="shared" si="5"/>
        <v>2.2406775817679224E-3</v>
      </c>
      <c r="N42" s="265">
        <f t="shared" si="0"/>
        <v>-0.16062601709159569</v>
      </c>
      <c r="P42" s="181">
        <v>792973.53376999986</v>
      </c>
      <c r="Q42" s="265">
        <f t="shared" si="6"/>
        <v>2.1113561833637543E-3</v>
      </c>
      <c r="R42" s="265">
        <f t="shared" si="1"/>
        <v>6.2505242800940969E-2</v>
      </c>
      <c r="T42" s="181">
        <v>993741.19417999999</v>
      </c>
      <c r="U42" s="265">
        <f t="shared" si="7"/>
        <v>2.4558403835583638E-3</v>
      </c>
      <c r="V42" s="265">
        <f t="shared" si="11"/>
        <v>0.2531833054446333</v>
      </c>
      <c r="X42" s="778">
        <v>650179.71855999995</v>
      </c>
      <c r="Y42" s="265">
        <f t="shared" si="8"/>
        <v>1.6505713949208555E-3</v>
      </c>
      <c r="Z42" s="265">
        <f t="shared" si="4"/>
        <v>-0.3457253031595362</v>
      </c>
    </row>
    <row r="43" spans="1:26" ht="11" customHeight="1">
      <c r="A43" s="261"/>
      <c r="B43" s="264"/>
      <c r="C43" s="265"/>
      <c r="D43" s="262" t="s">
        <v>154</v>
      </c>
      <c r="E43" s="265" t="s">
        <v>154</v>
      </c>
      <c r="F43" s="265" t="s">
        <v>154</v>
      </c>
      <c r="H43" s="262" t="s">
        <v>154</v>
      </c>
      <c r="I43" s="265"/>
      <c r="J43" s="265" t="str">
        <f t="shared" si="3"/>
        <v/>
      </c>
      <c r="L43" s="262" t="s">
        <v>154</v>
      </c>
      <c r="M43" s="265" t="str">
        <f t="shared" si="5"/>
        <v/>
      </c>
      <c r="N43" s="265" t="str">
        <f t="shared" si="0"/>
        <v/>
      </c>
      <c r="P43" s="181"/>
      <c r="Q43" s="265" t="str">
        <f t="shared" si="6"/>
        <v/>
      </c>
      <c r="R43" s="265" t="str">
        <f t="shared" si="1"/>
        <v/>
      </c>
      <c r="T43" s="181"/>
      <c r="U43" s="265" t="str">
        <f t="shared" si="7"/>
        <v/>
      </c>
      <c r="V43" s="265" t="str">
        <f t="shared" si="11"/>
        <v/>
      </c>
      <c r="X43" s="778"/>
      <c r="Y43" s="265" t="str">
        <f t="shared" si="8"/>
        <v/>
      </c>
      <c r="Z43" s="265" t="str">
        <f t="shared" si="4"/>
        <v/>
      </c>
    </row>
    <row r="44" spans="1:26" s="17" customFormat="1" ht="11" customHeight="1">
      <c r="A44" s="263" t="s">
        <v>814</v>
      </c>
      <c r="B44" s="264" t="s">
        <v>826</v>
      </c>
      <c r="C44" s="265"/>
      <c r="D44" s="262">
        <v>131405.08785000001</v>
      </c>
      <c r="E44" s="265">
        <v>4.9211664129359843E-4</v>
      </c>
      <c r="F44" s="265">
        <v>7.2384352675066627E-2</v>
      </c>
      <c r="H44" s="262">
        <f>SUM(H46:H47)</f>
        <v>117850.91593</v>
      </c>
      <c r="I44" s="265">
        <f t="shared" si="9"/>
        <v>3.9539968389665133E-4</v>
      </c>
      <c r="J44" s="265">
        <f t="shared" si="3"/>
        <v>-0.10314799937938633</v>
      </c>
      <c r="L44" s="262">
        <f>SUM(L46:L47)</f>
        <v>132985.34042999998</v>
      </c>
      <c r="M44" s="265">
        <f t="shared" si="5"/>
        <v>3.9925974726219885E-4</v>
      </c>
      <c r="N44" s="265">
        <f t="shared" si="0"/>
        <v>0.12842008380307698</v>
      </c>
      <c r="P44" s="181">
        <v>116889.09396999999</v>
      </c>
      <c r="Q44" s="265">
        <f t="shared" si="6"/>
        <v>3.1122666874898322E-4</v>
      </c>
      <c r="R44" s="265">
        <f t="shared" si="1"/>
        <v>-0.12103775053666641</v>
      </c>
      <c r="T44" s="181">
        <v>125137.95053</v>
      </c>
      <c r="U44" s="265">
        <f t="shared" si="7"/>
        <v>3.0925439563858609E-4</v>
      </c>
      <c r="V44" s="265">
        <f t="shared" si="11"/>
        <v>7.0569941812681974E-2</v>
      </c>
      <c r="X44" s="778">
        <v>115306.16947999998</v>
      </c>
      <c r="Y44" s="265">
        <f t="shared" si="8"/>
        <v>2.9272070408948154E-4</v>
      </c>
      <c r="Z44" s="265">
        <f t="shared" si="4"/>
        <v>-7.8567540928704868E-2</v>
      </c>
    </row>
    <row r="45" spans="1:26" ht="11" customHeight="1">
      <c r="A45" s="243"/>
      <c r="B45" s="264"/>
      <c r="C45" s="265"/>
      <c r="D45" s="262" t="s">
        <v>154</v>
      </c>
      <c r="E45" s="265" t="s">
        <v>154</v>
      </c>
      <c r="F45" s="265" t="s">
        <v>154</v>
      </c>
      <c r="H45" s="262" t="s">
        <v>154</v>
      </c>
      <c r="I45" s="265"/>
      <c r="J45" s="265" t="str">
        <f t="shared" si="3"/>
        <v/>
      </c>
      <c r="L45" s="262" t="s">
        <v>154</v>
      </c>
      <c r="M45" s="265" t="str">
        <f t="shared" si="5"/>
        <v/>
      </c>
      <c r="N45" s="265" t="str">
        <f t="shared" si="0"/>
        <v/>
      </c>
      <c r="P45" s="25"/>
      <c r="Q45" s="265" t="str">
        <f t="shared" si="6"/>
        <v/>
      </c>
      <c r="R45" s="265" t="str">
        <f t="shared" si="1"/>
        <v/>
      </c>
      <c r="T45" s="181"/>
      <c r="U45" s="265" t="str">
        <f t="shared" si="7"/>
        <v/>
      </c>
      <c r="V45" s="265" t="str">
        <f t="shared" si="11"/>
        <v/>
      </c>
      <c r="X45" s="778"/>
      <c r="Y45" s="265" t="str">
        <f t="shared" si="8"/>
        <v/>
      </c>
      <c r="Z45" s="265" t="str">
        <f t="shared" si="4"/>
        <v/>
      </c>
    </row>
    <row r="46" spans="1:26" ht="11" customHeight="1">
      <c r="A46" s="261"/>
      <c r="B46" s="243" t="s">
        <v>827</v>
      </c>
      <c r="C46" s="272"/>
      <c r="D46" s="271">
        <v>63731.041960000002</v>
      </c>
      <c r="E46" s="272">
        <v>2.3867497696358482E-4</v>
      </c>
      <c r="F46" s="272">
        <v>-4.1975423315092672E-2</v>
      </c>
      <c r="H46" s="271">
        <v>52426.29479</v>
      </c>
      <c r="I46" s="272">
        <f t="shared" si="9"/>
        <v>1.7589460569106889E-4</v>
      </c>
      <c r="J46" s="265">
        <f t="shared" si="3"/>
        <v>-0.1773821174474958</v>
      </c>
      <c r="L46" s="271">
        <f>58531408.83/1000</f>
        <v>58531.40883</v>
      </c>
      <c r="M46" s="272">
        <f t="shared" si="5"/>
        <v>1.7572790670613195E-4</v>
      </c>
      <c r="N46" s="272">
        <f t="shared" si="0"/>
        <v>0.11645137357989514</v>
      </c>
      <c r="P46" s="25">
        <v>45984.318340000005</v>
      </c>
      <c r="Q46" s="272">
        <f t="shared" si="6"/>
        <v>1.2243696760387318E-4</v>
      </c>
      <c r="R46" s="272">
        <f t="shared" si="1"/>
        <v>-0.21436508604195842</v>
      </c>
      <c r="T46" s="25">
        <v>57221.761380000004</v>
      </c>
      <c r="U46" s="272">
        <f t="shared" si="7"/>
        <v>1.4141258633371104E-4</v>
      </c>
      <c r="V46" s="272">
        <f t="shared" si="11"/>
        <v>0.24437554900590916</v>
      </c>
      <c r="X46" s="84">
        <v>53918.153729999998</v>
      </c>
      <c r="Y46" s="272">
        <f t="shared" si="8"/>
        <v>1.368787116442029E-4</v>
      </c>
      <c r="Z46" s="272">
        <f t="shared" si="4"/>
        <v>-5.7733414182435029E-2</v>
      </c>
    </row>
    <row r="47" spans="1:26" ht="11" customHeight="1">
      <c r="A47" s="261"/>
      <c r="B47" s="243" t="s">
        <v>828</v>
      </c>
      <c r="C47" s="272"/>
      <c r="D47" s="271">
        <v>67674.045889999994</v>
      </c>
      <c r="E47" s="272">
        <v>2.5344166433001355E-4</v>
      </c>
      <c r="F47" s="272">
        <v>0.208205125325711</v>
      </c>
      <c r="H47" s="271">
        <v>65424.621140000003</v>
      </c>
      <c r="I47" s="272">
        <f t="shared" si="9"/>
        <v>2.1950507820558247E-4</v>
      </c>
      <c r="J47" s="265">
        <f t="shared" si="3"/>
        <v>-3.3239105485968624E-2</v>
      </c>
      <c r="L47" s="271">
        <f>74453931.6/1000</f>
        <v>74453.931599999996</v>
      </c>
      <c r="M47" s="272">
        <f t="shared" si="5"/>
        <v>2.2353184055606695E-4</v>
      </c>
      <c r="N47" s="272">
        <f t="shared" si="0"/>
        <v>0.13801089410481213</v>
      </c>
      <c r="P47" s="25">
        <v>70904.775629999989</v>
      </c>
      <c r="Q47" s="272">
        <f t="shared" si="6"/>
        <v>1.8878970114511007E-4</v>
      </c>
      <c r="R47" s="272">
        <f t="shared" si="1"/>
        <v>-4.7669154519168568E-2</v>
      </c>
      <c r="T47" s="25">
        <v>67916.189150000006</v>
      </c>
      <c r="U47" s="272">
        <f t="shared" si="7"/>
        <v>1.6784180930487508E-4</v>
      </c>
      <c r="V47" s="272">
        <f t="shared" si="11"/>
        <v>-4.2149297468977609E-2</v>
      </c>
      <c r="X47" s="84">
        <v>61388.015749999999</v>
      </c>
      <c r="Y47" s="272">
        <f t="shared" si="8"/>
        <v>1.558419924452787E-4</v>
      </c>
      <c r="Z47" s="272">
        <f t="shared" si="4"/>
        <v>-9.6121020359105441E-2</v>
      </c>
    </row>
    <row r="48" spans="1:26" ht="11" customHeight="1">
      <c r="A48" s="261"/>
      <c r="B48" s="14"/>
      <c r="C48" s="265"/>
      <c r="D48" s="262" t="s">
        <v>154</v>
      </c>
      <c r="E48" s="265" t="s">
        <v>154</v>
      </c>
      <c r="F48" s="265" t="s">
        <v>154</v>
      </c>
      <c r="H48" s="262" t="s">
        <v>154</v>
      </c>
      <c r="I48" s="265"/>
      <c r="J48" s="265" t="str">
        <f t="shared" si="3"/>
        <v/>
      </c>
      <c r="L48" s="262" t="s">
        <v>154</v>
      </c>
      <c r="M48" s="265" t="str">
        <f t="shared" si="5"/>
        <v/>
      </c>
      <c r="N48" s="265" t="str">
        <f t="shared" si="0"/>
        <v/>
      </c>
      <c r="P48" s="25"/>
      <c r="Q48" s="265" t="str">
        <f t="shared" si="6"/>
        <v/>
      </c>
      <c r="R48" s="265" t="str">
        <f t="shared" si="1"/>
        <v/>
      </c>
      <c r="T48" s="181"/>
      <c r="U48" s="265" t="str">
        <f t="shared" si="7"/>
        <v/>
      </c>
      <c r="V48" s="265" t="str">
        <f t="shared" si="11"/>
        <v/>
      </c>
      <c r="X48" s="778"/>
      <c r="Y48" s="265" t="str">
        <f t="shared" si="8"/>
        <v/>
      </c>
      <c r="Z48" s="265" t="str">
        <f t="shared" si="4"/>
        <v/>
      </c>
    </row>
    <row r="49" spans="1:26" s="17" customFormat="1" ht="11" customHeight="1">
      <c r="A49" s="263" t="s">
        <v>814</v>
      </c>
      <c r="B49" s="264" t="s">
        <v>829</v>
      </c>
      <c r="C49" s="265"/>
      <c r="D49" s="262">
        <v>512235.09495999996</v>
      </c>
      <c r="E49" s="265">
        <v>1.9183383125330226E-3</v>
      </c>
      <c r="F49" s="265">
        <v>2.5519894835108459E-2</v>
      </c>
      <c r="H49" s="262">
        <f>+H51</f>
        <v>771293.09415000002</v>
      </c>
      <c r="I49" s="265">
        <f t="shared" si="9"/>
        <v>2.5877528673576271E-3</v>
      </c>
      <c r="J49" s="265">
        <f t="shared" si="3"/>
        <v>0.50574043391195145</v>
      </c>
      <c r="L49" s="262">
        <f>+L51</f>
        <v>613339.00869000005</v>
      </c>
      <c r="M49" s="265">
        <f t="shared" si="5"/>
        <v>1.8414178345057236E-3</v>
      </c>
      <c r="N49" s="265">
        <f t="shared" si="0"/>
        <v>-0.20479126114058177</v>
      </c>
      <c r="P49" s="181">
        <v>676084.43979999993</v>
      </c>
      <c r="Q49" s="265">
        <f t="shared" si="6"/>
        <v>1.8001295146147713E-3</v>
      </c>
      <c r="R49" s="265">
        <f t="shared" si="1"/>
        <v>0.10230138670621114</v>
      </c>
      <c r="T49" s="181">
        <v>868603.24364999996</v>
      </c>
      <c r="U49" s="265">
        <f t="shared" si="7"/>
        <v>2.1465859879197776E-3</v>
      </c>
      <c r="V49" s="265">
        <f t="shared" si="11"/>
        <v>0.28475556086892218</v>
      </c>
      <c r="X49" s="778">
        <v>534873.54908000003</v>
      </c>
      <c r="Y49" s="265">
        <f t="shared" si="8"/>
        <v>1.3578506908313742E-3</v>
      </c>
      <c r="Z49" s="265">
        <f t="shared" si="4"/>
        <v>-0.38421419331525652</v>
      </c>
    </row>
    <row r="50" spans="1:26" ht="11" customHeight="1">
      <c r="A50" s="268"/>
      <c r="B50" s="266"/>
      <c r="C50" s="265"/>
      <c r="D50" s="262" t="s">
        <v>154</v>
      </c>
      <c r="E50" s="265" t="s">
        <v>154</v>
      </c>
      <c r="F50" s="265" t="s">
        <v>154</v>
      </c>
      <c r="H50" s="262" t="s">
        <v>154</v>
      </c>
      <c r="I50" s="265"/>
      <c r="J50" s="265" t="str">
        <f t="shared" si="3"/>
        <v/>
      </c>
      <c r="L50" s="262" t="s">
        <v>154</v>
      </c>
      <c r="M50" s="265" t="str">
        <f t="shared" si="5"/>
        <v/>
      </c>
      <c r="N50" s="265" t="str">
        <f t="shared" si="0"/>
        <v/>
      </c>
      <c r="P50" s="25"/>
      <c r="Q50" s="265" t="str">
        <f t="shared" si="6"/>
        <v/>
      </c>
      <c r="R50" s="265" t="str">
        <f t="shared" si="1"/>
        <v/>
      </c>
      <c r="T50" s="181"/>
      <c r="U50" s="265" t="str">
        <f t="shared" si="7"/>
        <v/>
      </c>
      <c r="V50" s="265" t="str">
        <f t="shared" si="11"/>
        <v/>
      </c>
      <c r="X50" s="778"/>
      <c r="Y50" s="265" t="str">
        <f t="shared" si="8"/>
        <v/>
      </c>
      <c r="Z50" s="265" t="str">
        <f t="shared" si="4"/>
        <v/>
      </c>
    </row>
    <row r="51" spans="1:26" ht="11" customHeight="1">
      <c r="A51" s="261"/>
      <c r="B51" s="243" t="s">
        <v>830</v>
      </c>
      <c r="C51" s="272"/>
      <c r="D51" s="271">
        <v>512235.09495999996</v>
      </c>
      <c r="E51" s="272">
        <v>1.9183383125330226E-3</v>
      </c>
      <c r="F51" s="272">
        <v>2.5519894835108459E-2</v>
      </c>
      <c r="H51" s="271">
        <v>771293.09415000002</v>
      </c>
      <c r="I51" s="272">
        <f t="shared" si="9"/>
        <v>2.5877528673576271E-3</v>
      </c>
      <c r="J51" s="265">
        <f t="shared" si="3"/>
        <v>0.50574043391195145</v>
      </c>
      <c r="L51" s="271">
        <f>613339008.69/1000</f>
        <v>613339.00869000005</v>
      </c>
      <c r="M51" s="272">
        <f t="shared" si="5"/>
        <v>1.8414178345057236E-3</v>
      </c>
      <c r="N51" s="272">
        <f t="shared" si="0"/>
        <v>-0.20479126114058177</v>
      </c>
      <c r="P51" s="25">
        <v>676084.43979999993</v>
      </c>
      <c r="Q51" s="272">
        <f t="shared" si="6"/>
        <v>1.8001295146147713E-3</v>
      </c>
      <c r="R51" s="272">
        <f t="shared" si="1"/>
        <v>0.10230138670621114</v>
      </c>
      <c r="T51" s="25">
        <v>868603.24364999996</v>
      </c>
      <c r="U51" s="272">
        <f t="shared" si="7"/>
        <v>2.1465859879197776E-3</v>
      </c>
      <c r="V51" s="272">
        <f t="shared" si="11"/>
        <v>0.28475556086892218</v>
      </c>
      <c r="X51" s="84">
        <v>534873.54908000003</v>
      </c>
      <c r="Y51" s="272">
        <f t="shared" si="8"/>
        <v>1.3578506908313742E-3</v>
      </c>
      <c r="Z51" s="272">
        <f t="shared" si="4"/>
        <v>-0.38421419331525652</v>
      </c>
    </row>
    <row r="52" spans="1:26" ht="11" customHeight="1">
      <c r="A52" s="261"/>
      <c r="B52" s="14"/>
      <c r="C52" s="265"/>
      <c r="D52" s="262" t="s">
        <v>154</v>
      </c>
      <c r="E52" s="265" t="s">
        <v>154</v>
      </c>
      <c r="F52" s="265" t="s">
        <v>154</v>
      </c>
      <c r="H52" s="262" t="s">
        <v>154</v>
      </c>
      <c r="I52" s="265"/>
      <c r="J52" s="265" t="str">
        <f t="shared" si="3"/>
        <v/>
      </c>
      <c r="L52" s="262" t="s">
        <v>154</v>
      </c>
      <c r="M52" s="265" t="str">
        <f t="shared" si="5"/>
        <v/>
      </c>
      <c r="N52" s="265" t="str">
        <f t="shared" si="0"/>
        <v/>
      </c>
      <c r="P52" s="25"/>
      <c r="Q52" s="265" t="str">
        <f t="shared" si="6"/>
        <v/>
      </c>
      <c r="R52" s="265" t="str">
        <f t="shared" si="1"/>
        <v/>
      </c>
      <c r="T52" s="181"/>
      <c r="U52" s="265" t="str">
        <f t="shared" si="7"/>
        <v/>
      </c>
      <c r="V52" s="265" t="str">
        <f t="shared" si="11"/>
        <v/>
      </c>
      <c r="X52" s="778"/>
      <c r="Y52" s="265" t="str">
        <f t="shared" si="8"/>
        <v/>
      </c>
      <c r="Z52" s="265" t="str">
        <f t="shared" si="4"/>
        <v/>
      </c>
    </row>
    <row r="53" spans="1:26" s="17" customFormat="1" ht="11" customHeight="1">
      <c r="A53" s="263" t="s">
        <v>811</v>
      </c>
      <c r="B53" s="264" t="s">
        <v>831</v>
      </c>
      <c r="C53" s="265"/>
      <c r="D53" s="262">
        <v>3900645.3547999999</v>
      </c>
      <c r="E53" s="265">
        <v>1.4608053023585055E-2</v>
      </c>
      <c r="F53" s="265">
        <v>-0.68305055798100944</v>
      </c>
      <c r="H53" s="262">
        <f>+H55+H61</f>
        <v>3100294.2028999999</v>
      </c>
      <c r="I53" s="265">
        <f t="shared" si="9"/>
        <v>1.0401746461957096E-2</v>
      </c>
      <c r="J53" s="265">
        <f t="shared" si="3"/>
        <v>-0.20518429108534961</v>
      </c>
      <c r="L53" s="262">
        <f>+L55+L61</f>
        <v>3676071.5664300001</v>
      </c>
      <c r="M53" s="265">
        <f t="shared" si="5"/>
        <v>1.1036610499960785E-2</v>
      </c>
      <c r="N53" s="265">
        <f t="shared" si="0"/>
        <v>0.18571700807988509</v>
      </c>
      <c r="P53" s="181">
        <v>4348791.0515099997</v>
      </c>
      <c r="Q53" s="265">
        <f t="shared" si="6"/>
        <v>1.1579007981653237E-2</v>
      </c>
      <c r="R53" s="265">
        <f t="shared" si="1"/>
        <v>0.18299956160355929</v>
      </c>
      <c r="T53" s="181">
        <v>4328314.0565900002</v>
      </c>
      <c r="U53" s="265">
        <f t="shared" si="7"/>
        <v>1.069659637252761E-2</v>
      </c>
      <c r="V53" s="265">
        <f t="shared" si="11"/>
        <v>-4.7086637820617809E-3</v>
      </c>
      <c r="X53" s="778">
        <v>3574489.72187</v>
      </c>
      <c r="Y53" s="265">
        <f t="shared" si="8"/>
        <v>9.0743379375540553E-3</v>
      </c>
      <c r="Z53" s="265">
        <f t="shared" si="4"/>
        <v>-0.17416119183225115</v>
      </c>
    </row>
    <row r="54" spans="1:26" ht="11" customHeight="1">
      <c r="A54" s="261"/>
      <c r="B54" s="264"/>
      <c r="C54" s="265"/>
      <c r="D54" s="262" t="s">
        <v>154</v>
      </c>
      <c r="E54" s="265" t="s">
        <v>154</v>
      </c>
      <c r="F54" s="265" t="s">
        <v>154</v>
      </c>
      <c r="H54" s="262" t="s">
        <v>154</v>
      </c>
      <c r="I54" s="265"/>
      <c r="J54" s="265" t="str">
        <f t="shared" si="3"/>
        <v/>
      </c>
      <c r="L54" s="262" t="s">
        <v>154</v>
      </c>
      <c r="M54" s="265" t="str">
        <f t="shared" si="5"/>
        <v/>
      </c>
      <c r="N54" s="265" t="str">
        <f t="shared" si="0"/>
        <v/>
      </c>
      <c r="P54" s="181"/>
      <c r="Q54" s="265" t="str">
        <f t="shared" si="6"/>
        <v/>
      </c>
      <c r="R54" s="265" t="str">
        <f t="shared" si="1"/>
        <v/>
      </c>
      <c r="S54" s="17"/>
      <c r="T54" s="181"/>
      <c r="U54" s="265" t="str">
        <f t="shared" si="7"/>
        <v/>
      </c>
      <c r="V54" s="265" t="str">
        <f t="shared" si="11"/>
        <v/>
      </c>
      <c r="X54" s="778"/>
      <c r="Y54" s="265" t="str">
        <f t="shared" si="8"/>
        <v/>
      </c>
      <c r="Z54" s="265" t="str">
        <f t="shared" si="4"/>
        <v/>
      </c>
    </row>
    <row r="55" spans="1:26" s="17" customFormat="1" ht="11" customHeight="1">
      <c r="A55" s="263" t="s">
        <v>811</v>
      </c>
      <c r="B55" s="264" t="s">
        <v>832</v>
      </c>
      <c r="C55" s="265"/>
      <c r="D55" s="262">
        <v>123072.62613999998</v>
      </c>
      <c r="E55" s="265">
        <v>4.6091128130697803E-4</v>
      </c>
      <c r="F55" s="265">
        <v>0.16298932689513845</v>
      </c>
      <c r="H55" s="262">
        <f>+H57</f>
        <v>135210.10834000001</v>
      </c>
      <c r="I55" s="265">
        <f t="shared" si="9"/>
        <v>4.5364122692964789E-4</v>
      </c>
      <c r="J55" s="265">
        <f t="shared" si="3"/>
        <v>9.8620485973811609E-2</v>
      </c>
      <c r="L55" s="262">
        <f>+L57</f>
        <v>148073.00933999999</v>
      </c>
      <c r="M55" s="265">
        <f t="shared" si="5"/>
        <v>4.4455721280467464E-4</v>
      </c>
      <c r="N55" s="265">
        <f t="shared" si="0"/>
        <v>9.513268762165969E-2</v>
      </c>
      <c r="P55" s="181">
        <v>152651.29816000001</v>
      </c>
      <c r="Q55" s="265">
        <f t="shared" si="6"/>
        <v>4.0644643048339473E-4</v>
      </c>
      <c r="R55" s="265">
        <f t="shared" si="1"/>
        <v>3.0919131315063044E-2</v>
      </c>
      <c r="T55" s="181">
        <v>150435.1004</v>
      </c>
      <c r="U55" s="265">
        <f t="shared" si="7"/>
        <v>3.7177143991885082E-4</v>
      </c>
      <c r="V55" s="265">
        <f t="shared" si="11"/>
        <v>-1.4518040702655038E-2</v>
      </c>
      <c r="X55" s="778">
        <v>140211.61459000001</v>
      </c>
      <c r="Y55" s="265">
        <f t="shared" si="8"/>
        <v>3.5594663086459363E-4</v>
      </c>
      <c r="Z55" s="265">
        <f t="shared" si="4"/>
        <v>-6.7959444190991369E-2</v>
      </c>
    </row>
    <row r="56" spans="1:26" ht="11" customHeight="1">
      <c r="A56" s="268"/>
      <c r="B56" s="264"/>
      <c r="C56" s="265"/>
      <c r="D56" s="262" t="s">
        <v>154</v>
      </c>
      <c r="E56" s="265" t="s">
        <v>154</v>
      </c>
      <c r="F56" s="265" t="s">
        <v>154</v>
      </c>
      <c r="H56" s="262" t="s">
        <v>154</v>
      </c>
      <c r="I56" s="265"/>
      <c r="J56" s="265" t="str">
        <f t="shared" si="3"/>
        <v/>
      </c>
      <c r="L56" s="262" t="s">
        <v>154</v>
      </c>
      <c r="M56" s="265" t="str">
        <f t="shared" si="5"/>
        <v/>
      </c>
      <c r="N56" s="265" t="str">
        <f t="shared" si="0"/>
        <v/>
      </c>
      <c r="P56" s="181"/>
      <c r="Q56" s="265" t="str">
        <f t="shared" si="6"/>
        <v/>
      </c>
      <c r="R56" s="265" t="str">
        <f t="shared" si="1"/>
        <v/>
      </c>
      <c r="S56" s="17"/>
      <c r="T56" s="181"/>
      <c r="U56" s="265" t="str">
        <f t="shared" si="7"/>
        <v/>
      </c>
      <c r="V56" s="265" t="str">
        <f t="shared" si="11"/>
        <v/>
      </c>
      <c r="X56" s="778"/>
      <c r="Y56" s="265" t="str">
        <f t="shared" si="8"/>
        <v/>
      </c>
      <c r="Z56" s="265" t="str">
        <f t="shared" si="4"/>
        <v/>
      </c>
    </row>
    <row r="57" spans="1:26" s="17" customFormat="1" ht="11" customHeight="1">
      <c r="A57" s="263" t="s">
        <v>811</v>
      </c>
      <c r="B57" s="264" t="s">
        <v>833</v>
      </c>
      <c r="C57" s="265"/>
      <c r="D57" s="262">
        <v>123072.62613999998</v>
      </c>
      <c r="E57" s="265">
        <v>4.6091128130697803E-4</v>
      </c>
      <c r="F57" s="265">
        <v>0.16298932689513845</v>
      </c>
      <c r="H57" s="262">
        <f>+H59</f>
        <v>135210.10834000001</v>
      </c>
      <c r="I57" s="265">
        <f t="shared" si="9"/>
        <v>4.5364122692964789E-4</v>
      </c>
      <c r="J57" s="265">
        <f t="shared" si="3"/>
        <v>9.8620485973811609E-2</v>
      </c>
      <c r="L57" s="262">
        <f>+L59</f>
        <v>148073.00933999999</v>
      </c>
      <c r="M57" s="265">
        <f t="shared" si="5"/>
        <v>4.4455721280467464E-4</v>
      </c>
      <c r="N57" s="265">
        <f t="shared" si="0"/>
        <v>9.513268762165969E-2</v>
      </c>
      <c r="P57" s="181">
        <v>152651.29816000001</v>
      </c>
      <c r="Q57" s="265">
        <f t="shared" si="6"/>
        <v>4.0644643048339473E-4</v>
      </c>
      <c r="R57" s="265">
        <f t="shared" si="1"/>
        <v>3.0919131315063044E-2</v>
      </c>
      <c r="T57" s="181">
        <v>150435.1004</v>
      </c>
      <c r="U57" s="265">
        <f t="shared" si="7"/>
        <v>3.7177143991885082E-4</v>
      </c>
      <c r="V57" s="265">
        <f t="shared" si="11"/>
        <v>-1.4518040702655038E-2</v>
      </c>
      <c r="X57" s="778">
        <v>140211.61459000001</v>
      </c>
      <c r="Y57" s="265">
        <f t="shared" si="8"/>
        <v>3.5594663086459363E-4</v>
      </c>
      <c r="Z57" s="265">
        <f t="shared" si="4"/>
        <v>-6.7959444190991369E-2</v>
      </c>
    </row>
    <row r="58" spans="1:26" ht="11" customHeight="1">
      <c r="A58" s="268"/>
      <c r="B58" s="264"/>
      <c r="C58" s="265"/>
      <c r="D58" s="262" t="s">
        <v>154</v>
      </c>
      <c r="E58" s="265" t="s">
        <v>154</v>
      </c>
      <c r="F58" s="265" t="s">
        <v>154</v>
      </c>
      <c r="H58" s="262" t="s">
        <v>154</v>
      </c>
      <c r="I58" s="265"/>
      <c r="J58" s="265" t="str">
        <f t="shared" si="3"/>
        <v/>
      </c>
      <c r="L58" s="262" t="s">
        <v>154</v>
      </c>
      <c r="M58" s="265" t="str">
        <f t="shared" si="5"/>
        <v/>
      </c>
      <c r="N58" s="265" t="str">
        <f t="shared" si="0"/>
        <v/>
      </c>
      <c r="P58" s="25"/>
      <c r="Q58" s="265" t="str">
        <f t="shared" si="6"/>
        <v/>
      </c>
      <c r="R58" s="265" t="str">
        <f t="shared" si="1"/>
        <v/>
      </c>
      <c r="T58" s="181"/>
      <c r="U58" s="265" t="str">
        <f t="shared" si="7"/>
        <v/>
      </c>
      <c r="V58" s="265" t="str">
        <f t="shared" si="11"/>
        <v/>
      </c>
      <c r="X58" s="778"/>
      <c r="Y58" s="265" t="str">
        <f t="shared" si="8"/>
        <v/>
      </c>
      <c r="Z58" s="265" t="str">
        <f t="shared" si="4"/>
        <v/>
      </c>
    </row>
    <row r="59" spans="1:26" ht="11" customHeight="1">
      <c r="A59" s="268" t="s">
        <v>814</v>
      </c>
      <c r="B59" s="243" t="s">
        <v>834</v>
      </c>
      <c r="C59" s="272"/>
      <c r="D59" s="271">
        <v>123072.62613999998</v>
      </c>
      <c r="E59" s="272">
        <v>4.6091128130697803E-4</v>
      </c>
      <c r="F59" s="272">
        <v>0.16298932689513845</v>
      </c>
      <c r="H59" s="271">
        <v>135210.10834000001</v>
      </c>
      <c r="I59" s="272">
        <f t="shared" si="9"/>
        <v>4.5364122692964789E-4</v>
      </c>
      <c r="J59" s="265">
        <f t="shared" si="3"/>
        <v>9.8620485973811609E-2</v>
      </c>
      <c r="L59" s="271">
        <f>148073009.34/1000</f>
        <v>148073.00933999999</v>
      </c>
      <c r="M59" s="272">
        <f t="shared" si="5"/>
        <v>4.4455721280467464E-4</v>
      </c>
      <c r="N59" s="272">
        <f t="shared" si="0"/>
        <v>9.513268762165969E-2</v>
      </c>
      <c r="P59" s="25">
        <v>152651.29816000001</v>
      </c>
      <c r="Q59" s="272">
        <f t="shared" si="6"/>
        <v>4.0644643048339473E-4</v>
      </c>
      <c r="R59" s="272">
        <f t="shared" si="1"/>
        <v>3.0919131315063044E-2</v>
      </c>
      <c r="T59" s="25">
        <v>150435.1004</v>
      </c>
      <c r="U59" s="272">
        <f t="shared" si="7"/>
        <v>3.7177143991885082E-4</v>
      </c>
      <c r="V59" s="272">
        <f t="shared" si="11"/>
        <v>-1.4518040702655038E-2</v>
      </c>
      <c r="X59" s="84">
        <v>140211.61459000001</v>
      </c>
      <c r="Y59" s="272">
        <f t="shared" si="8"/>
        <v>3.5594663086459363E-4</v>
      </c>
      <c r="Z59" s="272">
        <f t="shared" si="4"/>
        <v>-6.7959444190991369E-2</v>
      </c>
    </row>
    <row r="60" spans="1:26" ht="11" customHeight="1">
      <c r="A60" s="261"/>
      <c r="B60" s="243"/>
      <c r="C60" s="265"/>
      <c r="D60" s="262" t="s">
        <v>154</v>
      </c>
      <c r="E60" s="265" t="s">
        <v>154</v>
      </c>
      <c r="F60" s="265" t="s">
        <v>154</v>
      </c>
      <c r="H60" s="262" t="s">
        <v>154</v>
      </c>
      <c r="I60" s="265"/>
      <c r="J60" s="265" t="str">
        <f t="shared" si="3"/>
        <v/>
      </c>
      <c r="L60" s="262" t="s">
        <v>154</v>
      </c>
      <c r="M60" s="265" t="str">
        <f t="shared" si="5"/>
        <v/>
      </c>
      <c r="N60" s="265" t="str">
        <f t="shared" si="0"/>
        <v/>
      </c>
      <c r="P60" s="25"/>
      <c r="Q60" s="265" t="str">
        <f t="shared" si="6"/>
        <v/>
      </c>
      <c r="R60" s="265" t="str">
        <f t="shared" si="1"/>
        <v/>
      </c>
      <c r="T60" s="181"/>
      <c r="U60" s="265" t="str">
        <f t="shared" si="7"/>
        <v/>
      </c>
      <c r="V60" s="265" t="str">
        <f t="shared" si="11"/>
        <v/>
      </c>
      <c r="X60" s="778"/>
      <c r="Y60" s="265" t="str">
        <f t="shared" si="8"/>
        <v/>
      </c>
      <c r="Z60" s="265" t="str">
        <f t="shared" si="4"/>
        <v/>
      </c>
    </row>
    <row r="61" spans="1:26" s="17" customFormat="1" ht="11" customHeight="1">
      <c r="A61" s="263" t="s">
        <v>814</v>
      </c>
      <c r="B61" s="264" t="s">
        <v>835</v>
      </c>
      <c r="C61" s="265"/>
      <c r="D61" s="262">
        <v>3777572.72866</v>
      </c>
      <c r="E61" s="265">
        <v>1.4147141742278078E-2</v>
      </c>
      <c r="F61" s="265">
        <v>-0.69038860809679903</v>
      </c>
      <c r="H61" s="262">
        <f>+H63+H71+H67</f>
        <v>2965084.0945600001</v>
      </c>
      <c r="I61" s="265">
        <f t="shared" si="9"/>
        <v>9.9481052350274476E-3</v>
      </c>
      <c r="J61" s="265">
        <f t="shared" si="3"/>
        <v>-0.21508219495967457</v>
      </c>
      <c r="L61" s="262">
        <f>+L63+L71+L67</f>
        <v>3527998.5570900002</v>
      </c>
      <c r="M61" s="265">
        <f t="shared" si="5"/>
        <v>1.059205328715611E-2</v>
      </c>
      <c r="N61" s="265">
        <f t="shared" si="0"/>
        <v>0.18984772255288535</v>
      </c>
      <c r="P61" s="181">
        <v>4196139.7533499999</v>
      </c>
      <c r="Q61" s="265">
        <f t="shared" si="6"/>
        <v>1.1172561551169842E-2</v>
      </c>
      <c r="R61" s="265">
        <f t="shared" si="1"/>
        <v>0.1893825026989531</v>
      </c>
      <c r="T61" s="181">
        <v>4177878.9561899998</v>
      </c>
      <c r="U61" s="265">
        <f t="shared" si="7"/>
        <v>1.0324824932608757E-2</v>
      </c>
      <c r="V61" s="265">
        <f t="shared" si="11"/>
        <v>-4.3518086225373016E-3</v>
      </c>
      <c r="X61" s="778">
        <v>3434278.1072799996</v>
      </c>
      <c r="Y61" s="265">
        <f t="shared" si="8"/>
        <v>8.718391306689461E-3</v>
      </c>
      <c r="Z61" s="265">
        <f t="shared" si="4"/>
        <v>-0.17798525440960214</v>
      </c>
    </row>
    <row r="62" spans="1:26" ht="11" customHeight="1">
      <c r="A62" s="268"/>
      <c r="B62" s="264"/>
      <c r="C62" s="265"/>
      <c r="D62" s="262" t="s">
        <v>154</v>
      </c>
      <c r="E62" s="265" t="s">
        <v>154</v>
      </c>
      <c r="F62" s="265" t="s">
        <v>154</v>
      </c>
      <c r="H62" s="262" t="s">
        <v>154</v>
      </c>
      <c r="I62" s="265"/>
      <c r="J62" s="265" t="str">
        <f t="shared" si="3"/>
        <v/>
      </c>
      <c r="L62" s="262" t="s">
        <v>154</v>
      </c>
      <c r="M62" s="265" t="str">
        <f t="shared" si="5"/>
        <v/>
      </c>
      <c r="N62" s="265" t="str">
        <f t="shared" si="0"/>
        <v/>
      </c>
      <c r="P62" s="181"/>
      <c r="Q62" s="265" t="str">
        <f t="shared" si="6"/>
        <v/>
      </c>
      <c r="R62" s="265" t="str">
        <f t="shared" si="1"/>
        <v/>
      </c>
      <c r="S62" s="17"/>
      <c r="T62" s="181"/>
      <c r="U62" s="265" t="str">
        <f t="shared" si="7"/>
        <v/>
      </c>
      <c r="V62" s="265" t="str">
        <f t="shared" si="11"/>
        <v/>
      </c>
      <c r="X62" s="778"/>
      <c r="Y62" s="265" t="str">
        <f t="shared" si="8"/>
        <v/>
      </c>
      <c r="Z62" s="265" t="str">
        <f t="shared" si="4"/>
        <v/>
      </c>
    </row>
    <row r="63" spans="1:26" s="17" customFormat="1" ht="11" customHeight="1">
      <c r="A63" s="263" t="s">
        <v>814</v>
      </c>
      <c r="B63" s="264" t="s">
        <v>836</v>
      </c>
      <c r="C63" s="265"/>
      <c r="D63" s="262">
        <v>4322.7492000000002</v>
      </c>
      <c r="E63" s="265">
        <v>1.6188846659323544E-5</v>
      </c>
      <c r="F63" s="265">
        <v>-0.47836489728586301</v>
      </c>
      <c r="H63" s="262">
        <f>+H65</f>
        <v>3050.1565999999998</v>
      </c>
      <c r="I63" s="265">
        <f t="shared" si="9"/>
        <v>1.0233530609058922E-5</v>
      </c>
      <c r="J63" s="265">
        <f t="shared" si="3"/>
        <v>-0.29439427112727251</v>
      </c>
      <c r="L63" s="262">
        <f>+L65</f>
        <v>2318.6244999999999</v>
      </c>
      <c r="M63" s="265">
        <f t="shared" si="5"/>
        <v>6.9611690196275742E-6</v>
      </c>
      <c r="N63" s="265">
        <f t="shared" si="0"/>
        <v>-0.23983427604995755</v>
      </c>
      <c r="P63" s="181">
        <v>2107.6610499999997</v>
      </c>
      <c r="Q63" s="265">
        <f t="shared" si="6"/>
        <v>5.6118180504661852E-6</v>
      </c>
      <c r="R63" s="265">
        <f t="shared" si="1"/>
        <v>-9.0986466329498458E-2</v>
      </c>
      <c r="T63" s="181">
        <v>1436.0250000000001</v>
      </c>
      <c r="U63" s="265">
        <f t="shared" si="7"/>
        <v>3.5488598112403545E-6</v>
      </c>
      <c r="V63" s="265">
        <f t="shared" si="11"/>
        <v>-0.3186641656636392</v>
      </c>
      <c r="X63" s="778">
        <v>1446.9282499999999</v>
      </c>
      <c r="Y63" s="265">
        <f t="shared" si="8"/>
        <v>3.6732280503032926E-6</v>
      </c>
      <c r="Z63" s="265">
        <f t="shared" si="4"/>
        <v>7.5926602949111912E-3</v>
      </c>
    </row>
    <row r="64" spans="1:26" ht="11" customHeight="1">
      <c r="A64" s="268"/>
      <c r="B64" s="266"/>
      <c r="C64" s="265"/>
      <c r="D64" s="262" t="s">
        <v>154</v>
      </c>
      <c r="E64" s="265" t="s">
        <v>154</v>
      </c>
      <c r="F64" s="265" t="s">
        <v>154</v>
      </c>
      <c r="H64" s="262" t="s">
        <v>154</v>
      </c>
      <c r="I64" s="265"/>
      <c r="J64" s="265" t="str">
        <f t="shared" si="3"/>
        <v/>
      </c>
      <c r="L64" s="262" t="s">
        <v>154</v>
      </c>
      <c r="M64" s="265" t="str">
        <f t="shared" si="5"/>
        <v/>
      </c>
      <c r="N64" s="265" t="str">
        <f t="shared" si="0"/>
        <v/>
      </c>
      <c r="P64" s="181"/>
      <c r="Q64" s="265" t="str">
        <f t="shared" si="6"/>
        <v/>
      </c>
      <c r="R64" s="265" t="str">
        <f t="shared" si="1"/>
        <v/>
      </c>
      <c r="S64" s="17"/>
      <c r="T64" s="181"/>
      <c r="U64" s="265" t="str">
        <f t="shared" si="7"/>
        <v/>
      </c>
      <c r="V64" s="265" t="str">
        <f t="shared" si="11"/>
        <v/>
      </c>
      <c r="X64" s="778"/>
      <c r="Y64" s="265" t="str">
        <f t="shared" si="8"/>
        <v/>
      </c>
      <c r="Z64" s="265" t="str">
        <f t="shared" si="4"/>
        <v/>
      </c>
    </row>
    <row r="65" spans="1:26" ht="11" customHeight="1">
      <c r="A65" s="268" t="s">
        <v>814</v>
      </c>
      <c r="B65" s="243" t="s">
        <v>837</v>
      </c>
      <c r="C65" s="272"/>
      <c r="D65" s="271">
        <v>4322.7492000000002</v>
      </c>
      <c r="E65" s="272">
        <v>1.6188846659323544E-5</v>
      </c>
      <c r="F65" s="272">
        <v>-0.47836489728586301</v>
      </c>
      <c r="H65" s="271">
        <v>3050.1565999999998</v>
      </c>
      <c r="I65" s="272">
        <f t="shared" si="9"/>
        <v>1.0233530609058922E-5</v>
      </c>
      <c r="J65" s="265">
        <f t="shared" si="3"/>
        <v>-0.29439427112727251</v>
      </c>
      <c r="L65" s="271">
        <f>2318624.5/1000</f>
        <v>2318.6244999999999</v>
      </c>
      <c r="M65" s="272">
        <f t="shared" si="5"/>
        <v>6.9611690196275742E-6</v>
      </c>
      <c r="N65" s="272">
        <f t="shared" si="0"/>
        <v>-0.23983427604995755</v>
      </c>
      <c r="P65" s="25">
        <v>2107.6610499999997</v>
      </c>
      <c r="Q65" s="272">
        <f t="shared" si="6"/>
        <v>5.6118180504661852E-6</v>
      </c>
      <c r="R65" s="272">
        <f t="shared" si="1"/>
        <v>-9.0986466329498458E-2</v>
      </c>
      <c r="T65" s="25">
        <v>1436.0250000000001</v>
      </c>
      <c r="U65" s="272">
        <f t="shared" si="7"/>
        <v>3.5488598112403545E-6</v>
      </c>
      <c r="V65" s="272">
        <f t="shared" si="11"/>
        <v>-0.3186641656636392</v>
      </c>
      <c r="X65" s="84">
        <v>1446.9282499999999</v>
      </c>
      <c r="Y65" s="272">
        <f t="shared" si="8"/>
        <v>3.6732280503032926E-6</v>
      </c>
      <c r="Z65" s="272">
        <f t="shared" si="4"/>
        <v>7.5926602949111912E-3</v>
      </c>
    </row>
    <row r="66" spans="1:26" ht="11" customHeight="1">
      <c r="A66" s="268"/>
      <c r="B66" s="14"/>
      <c r="C66" s="265"/>
      <c r="D66" s="262" t="s">
        <v>154</v>
      </c>
      <c r="E66" s="265" t="s">
        <v>154</v>
      </c>
      <c r="F66" s="265" t="s">
        <v>154</v>
      </c>
      <c r="H66" s="262" t="s">
        <v>154</v>
      </c>
      <c r="I66" s="265"/>
      <c r="J66" s="265" t="str">
        <f t="shared" si="3"/>
        <v/>
      </c>
      <c r="L66" s="262" t="s">
        <v>154</v>
      </c>
      <c r="M66" s="265" t="str">
        <f t="shared" si="5"/>
        <v/>
      </c>
      <c r="N66" s="265" t="str">
        <f t="shared" si="0"/>
        <v/>
      </c>
      <c r="P66" s="25"/>
      <c r="Q66" s="265" t="str">
        <f t="shared" si="6"/>
        <v/>
      </c>
      <c r="R66" s="265" t="str">
        <f t="shared" si="1"/>
        <v/>
      </c>
      <c r="T66" s="181"/>
      <c r="U66" s="265" t="str">
        <f t="shared" si="7"/>
        <v/>
      </c>
      <c r="V66" s="265" t="str">
        <f t="shared" si="11"/>
        <v/>
      </c>
      <c r="X66" s="778"/>
      <c r="Y66" s="265" t="str">
        <f t="shared" si="8"/>
        <v/>
      </c>
      <c r="Z66" s="265" t="str">
        <f t="shared" si="4"/>
        <v/>
      </c>
    </row>
    <row r="67" spans="1:26" s="17" customFormat="1" ht="11" hidden="1" customHeight="1">
      <c r="A67" s="263" t="s">
        <v>814</v>
      </c>
      <c r="B67" s="264" t="s">
        <v>838</v>
      </c>
      <c r="C67" s="265"/>
      <c r="D67" s="262">
        <v>0</v>
      </c>
      <c r="E67" s="265">
        <v>0</v>
      </c>
      <c r="F67" s="265">
        <v>0</v>
      </c>
      <c r="H67" s="262">
        <f>+H69</f>
        <v>0</v>
      </c>
      <c r="I67" s="265">
        <f t="shared" si="9"/>
        <v>0</v>
      </c>
      <c r="J67" s="265" t="e">
        <f t="shared" si="3"/>
        <v>#DIV/0!</v>
      </c>
      <c r="L67" s="262">
        <f>+L69</f>
        <v>0</v>
      </c>
      <c r="M67" s="265">
        <f t="shared" si="5"/>
        <v>0</v>
      </c>
      <c r="N67" s="265"/>
      <c r="P67" s="181">
        <v>0</v>
      </c>
      <c r="Q67" s="265">
        <f t="shared" si="6"/>
        <v>0</v>
      </c>
      <c r="R67" s="265"/>
      <c r="T67" s="181">
        <v>0</v>
      </c>
      <c r="U67" s="265">
        <f t="shared" si="7"/>
        <v>0</v>
      </c>
      <c r="V67" s="265"/>
      <c r="X67" s="778">
        <v>0</v>
      </c>
      <c r="Y67" s="265">
        <f t="shared" si="8"/>
        <v>0</v>
      </c>
      <c r="Z67" s="265" t="e">
        <f t="shared" si="4"/>
        <v>#DIV/0!</v>
      </c>
    </row>
    <row r="68" spans="1:26" ht="6.75" hidden="1" customHeight="1">
      <c r="A68" s="261"/>
      <c r="B68" s="266"/>
      <c r="C68" s="265"/>
      <c r="D68" s="262" t="s">
        <v>154</v>
      </c>
      <c r="E68" s="265" t="s">
        <v>154</v>
      </c>
      <c r="F68" s="265" t="s">
        <v>154</v>
      </c>
      <c r="H68" s="262" t="s">
        <v>154</v>
      </c>
      <c r="I68" s="265"/>
      <c r="J68" s="265" t="str">
        <f t="shared" si="3"/>
        <v/>
      </c>
      <c r="L68" s="262" t="s">
        <v>154</v>
      </c>
      <c r="M68" s="265" t="str">
        <f t="shared" si="5"/>
        <v/>
      </c>
      <c r="N68" s="265" t="str">
        <f>IF(B68&lt;&gt;0,(L68-H68)/H68,"")</f>
        <v/>
      </c>
      <c r="P68" s="25"/>
      <c r="Q68" s="265" t="str">
        <f t="shared" si="6"/>
        <v/>
      </c>
      <c r="R68" s="265" t="str">
        <f>IF(B68&lt;&gt;0,(P68-L68)/L68,"")</f>
        <v/>
      </c>
      <c r="T68" s="181"/>
      <c r="U68" s="265" t="str">
        <f t="shared" si="7"/>
        <v/>
      </c>
      <c r="V68" s="265" t="str">
        <f>IF(B68&lt;&gt;0,(T68-P68)/P68,"")</f>
        <v/>
      </c>
      <c r="X68" s="778"/>
      <c r="Y68" s="265" t="str">
        <f t="shared" si="8"/>
        <v/>
      </c>
      <c r="Z68" s="265" t="str">
        <f t="shared" si="4"/>
        <v/>
      </c>
    </row>
    <row r="69" spans="1:26" ht="11" hidden="1" customHeight="1">
      <c r="A69" s="261"/>
      <c r="B69" s="243" t="s">
        <v>839</v>
      </c>
      <c r="C69" s="272"/>
      <c r="D69" s="271">
        <v>0</v>
      </c>
      <c r="E69" s="272">
        <v>0</v>
      </c>
      <c r="F69" s="272">
        <v>0</v>
      </c>
      <c r="H69" s="271">
        <v>0</v>
      </c>
      <c r="I69" s="272">
        <f t="shared" si="9"/>
        <v>0</v>
      </c>
      <c r="J69" s="265" t="e">
        <f t="shared" si="3"/>
        <v>#DIV/0!</v>
      </c>
      <c r="L69" s="271">
        <v>0</v>
      </c>
      <c r="M69" s="272">
        <f t="shared" si="5"/>
        <v>0</v>
      </c>
      <c r="N69" s="272"/>
      <c r="P69" s="25">
        <v>0</v>
      </c>
      <c r="Q69" s="272">
        <f t="shared" si="6"/>
        <v>0</v>
      </c>
      <c r="R69" s="272"/>
      <c r="T69" s="25">
        <v>0</v>
      </c>
      <c r="U69" s="272">
        <f t="shared" si="7"/>
        <v>0</v>
      </c>
      <c r="V69" s="272"/>
      <c r="X69" s="778">
        <v>0</v>
      </c>
      <c r="Y69" s="265">
        <f t="shared" si="8"/>
        <v>0</v>
      </c>
      <c r="Z69" s="265" t="e">
        <f t="shared" si="4"/>
        <v>#DIV/0!</v>
      </c>
    </row>
    <row r="70" spans="1:26" ht="11" hidden="1" customHeight="1">
      <c r="A70" s="261"/>
      <c r="B70" s="14"/>
      <c r="C70" s="265"/>
      <c r="D70" s="262" t="s">
        <v>154</v>
      </c>
      <c r="E70" s="265" t="s">
        <v>154</v>
      </c>
      <c r="F70" s="265" t="s">
        <v>154</v>
      </c>
      <c r="H70" s="262" t="s">
        <v>154</v>
      </c>
      <c r="I70" s="265"/>
      <c r="J70" s="265" t="str">
        <f t="shared" si="3"/>
        <v/>
      </c>
      <c r="L70" s="262" t="s">
        <v>154</v>
      </c>
      <c r="M70" s="265" t="str">
        <f t="shared" si="5"/>
        <v/>
      </c>
      <c r="N70" s="265" t="str">
        <f>IF(B70&lt;&gt;0,(L70-H70)/H70,"")</f>
        <v/>
      </c>
      <c r="P70" s="25"/>
      <c r="Q70" s="265" t="str">
        <f t="shared" si="6"/>
        <v/>
      </c>
      <c r="R70" s="265" t="str">
        <f>IF(B70&lt;&gt;0,(P70-L70)/L70,"")</f>
        <v/>
      </c>
      <c r="T70" s="181"/>
      <c r="U70" s="265" t="str">
        <f t="shared" si="7"/>
        <v/>
      </c>
      <c r="V70" s="265" t="str">
        <f>IF(B70&lt;&gt;0,(T70-P70)/P70,"")</f>
        <v/>
      </c>
      <c r="X70" s="778"/>
      <c r="Y70" s="265" t="str">
        <f t="shared" si="8"/>
        <v/>
      </c>
      <c r="Z70" s="265" t="str">
        <f t="shared" si="4"/>
        <v/>
      </c>
    </row>
    <row r="71" spans="1:26" s="17" customFormat="1" ht="11" customHeight="1">
      <c r="A71" s="263" t="s">
        <v>814</v>
      </c>
      <c r="B71" s="264" t="s">
        <v>840</v>
      </c>
      <c r="C71" s="265"/>
      <c r="D71" s="262">
        <v>3773249.9794600001</v>
      </c>
      <c r="E71" s="265">
        <v>1.4130952895618755E-2</v>
      </c>
      <c r="F71" s="265">
        <v>-0.69053271236075309</v>
      </c>
      <c r="H71" s="262">
        <f>SUM(H73:H80)</f>
        <v>2962033.9379600002</v>
      </c>
      <c r="I71" s="265">
        <f t="shared" si="9"/>
        <v>9.9378717044183908E-3</v>
      </c>
      <c r="J71" s="265">
        <f t="shared" si="3"/>
        <v>-0.21499133264849182</v>
      </c>
      <c r="L71" s="262">
        <f>SUM(L73:L86)</f>
        <v>3525679.9325900003</v>
      </c>
      <c r="M71" s="265">
        <f t="shared" si="5"/>
        <v>1.0585092118136484E-2</v>
      </c>
      <c r="N71" s="265">
        <f>IF(B71&lt;&gt;0,(L71-H71)/H71,"")</f>
        <v>0.19029018790317845</v>
      </c>
      <c r="P71" s="181">
        <v>4194032.0922999997</v>
      </c>
      <c r="Q71" s="265">
        <f t="shared" si="6"/>
        <v>1.1166949733119375E-2</v>
      </c>
      <c r="R71" s="265">
        <f>IF(B71&lt;&gt;0,(P71-L71)/L71,"")</f>
        <v>0.18956688425742069</v>
      </c>
      <c r="T71" s="181">
        <v>4176442.9311899999</v>
      </c>
      <c r="U71" s="265">
        <f t="shared" si="7"/>
        <v>1.0321276072797517E-2</v>
      </c>
      <c r="V71" s="265">
        <f>IF(B71&lt;&gt;0,(T71-P71)/P71,"")</f>
        <v>-4.1938546780060258E-3</v>
      </c>
      <c r="X71" s="778">
        <v>3432831.1790299998</v>
      </c>
      <c r="Y71" s="265">
        <f t="shared" si="8"/>
        <v>8.7147180786391592E-3</v>
      </c>
      <c r="Z71" s="265">
        <f t="shared" si="4"/>
        <v>-0.17804906338038284</v>
      </c>
    </row>
    <row r="72" spans="1:26" ht="6.75" customHeight="1">
      <c r="A72" s="268"/>
      <c r="B72" s="266"/>
      <c r="C72" s="265"/>
      <c r="D72" s="262" t="s">
        <v>154</v>
      </c>
      <c r="E72" s="265" t="s">
        <v>154</v>
      </c>
      <c r="F72" s="265" t="s">
        <v>154</v>
      </c>
      <c r="H72" s="262" t="s">
        <v>154</v>
      </c>
      <c r="I72" s="265"/>
      <c r="J72" s="265" t="str">
        <f t="shared" si="3"/>
        <v/>
      </c>
      <c r="L72" s="262" t="s">
        <v>154</v>
      </c>
      <c r="M72" s="265" t="str">
        <f t="shared" si="5"/>
        <v/>
      </c>
      <c r="N72" s="265" t="str">
        <f>IF(B72&lt;&gt;0,(L72-H72)/H72,"")</f>
        <v/>
      </c>
      <c r="P72" s="25"/>
      <c r="Q72" s="265" t="str">
        <f t="shared" si="6"/>
        <v/>
      </c>
      <c r="R72" s="265" t="str">
        <f>IF(B72&lt;&gt;0,(P72-L72)/L72,"")</f>
        <v/>
      </c>
      <c r="U72" s="265" t="str">
        <f t="shared" si="7"/>
        <v/>
      </c>
      <c r="V72" s="265" t="str">
        <f>IF(B72&lt;&gt;0,(T72-P72)/P72,"")</f>
        <v/>
      </c>
      <c r="X72" s="778"/>
      <c r="Y72" s="265" t="str">
        <f t="shared" si="8"/>
        <v/>
      </c>
      <c r="Z72" s="265" t="str">
        <f t="shared" si="4"/>
        <v/>
      </c>
    </row>
    <row r="73" spans="1:26">
      <c r="A73" s="261"/>
      <c r="B73" s="243" t="s">
        <v>841</v>
      </c>
      <c r="C73" s="272"/>
      <c r="D73" s="271">
        <v>1311102.8151</v>
      </c>
      <c r="E73" s="272">
        <v>4.9101258125873529E-3</v>
      </c>
      <c r="F73" s="272">
        <v>-0.84135463271040345</v>
      </c>
      <c r="H73" s="271">
        <v>706739.96539999999</v>
      </c>
      <c r="I73" s="272">
        <f t="shared" si="9"/>
        <v>2.3711717190409648E-3</v>
      </c>
      <c r="J73" s="265">
        <f t="shared" si="3"/>
        <v>-0.46095763256667577</v>
      </c>
      <c r="L73" s="271">
        <f>725753720.64/1000</f>
        <v>725753.72063999996</v>
      </c>
      <c r="M73" s="272">
        <f t="shared" si="5"/>
        <v>2.1789187149530305E-3</v>
      </c>
      <c r="N73" s="272">
        <f>IF(B73&lt;&gt;0,(L73-H73)/H73,"")</f>
        <v>2.690346686314617E-2</v>
      </c>
      <c r="P73" s="25">
        <v>618143.08776000002</v>
      </c>
      <c r="Q73" s="272">
        <f t="shared" si="6"/>
        <v>1.6458559774886346E-3</v>
      </c>
      <c r="R73" s="272">
        <f>IF(B73&lt;&gt;0,(P73-L73)/L73,"")</f>
        <v>-0.14827431099506369</v>
      </c>
      <c r="T73" s="25">
        <v>21914.272149999997</v>
      </c>
      <c r="U73" s="272">
        <f t="shared" si="7"/>
        <v>5.4156912119022125E-5</v>
      </c>
      <c r="V73" s="272">
        <f>IF(B73&lt;&gt;0,(T73-P73)/P73,"")</f>
        <v>-0.96454822098001292</v>
      </c>
      <c r="X73" s="84">
        <v>19892.082480000001</v>
      </c>
      <c r="Y73" s="272">
        <f t="shared" si="8"/>
        <v>5.0498810389860513E-5</v>
      </c>
      <c r="Z73" s="272">
        <f t="shared" si="4"/>
        <v>-9.2277291080370027E-2</v>
      </c>
    </row>
    <row r="74" spans="1:26">
      <c r="A74" s="261"/>
      <c r="B74" s="243" t="s">
        <v>842</v>
      </c>
      <c r="C74" s="272"/>
      <c r="D74" s="271"/>
      <c r="E74" s="272"/>
      <c r="F74" s="272"/>
      <c r="H74" s="271"/>
      <c r="I74" s="272"/>
      <c r="J74" s="265"/>
      <c r="L74" s="271"/>
      <c r="M74" s="272"/>
      <c r="N74" s="272"/>
      <c r="P74" s="25"/>
      <c r="Q74" s="272">
        <f t="shared" si="6"/>
        <v>0</v>
      </c>
      <c r="R74" s="272"/>
      <c r="T74" s="25">
        <v>603986.38095999998</v>
      </c>
      <c r="U74" s="272">
        <f t="shared" si="7"/>
        <v>1.4926362660298046E-3</v>
      </c>
      <c r="V74" s="272"/>
      <c r="X74" s="84">
        <v>573014.19172</v>
      </c>
      <c r="Y74" s="272">
        <f t="shared" si="8"/>
        <v>1.4546760022466718E-3</v>
      </c>
      <c r="Z74" s="272">
        <f t="shared" si="4"/>
        <v>-5.1279615263462641E-2</v>
      </c>
    </row>
    <row r="75" spans="1:26">
      <c r="A75" s="261"/>
      <c r="B75" s="243" t="s">
        <v>843</v>
      </c>
      <c r="C75" s="272"/>
      <c r="D75" s="271">
        <v>557956.56929000001</v>
      </c>
      <c r="E75" s="272">
        <v>2.0895668300159637E-3</v>
      </c>
      <c r="F75" s="272">
        <v>-0.4056085959509752</v>
      </c>
      <c r="H75" s="271">
        <v>522283.35077000002</v>
      </c>
      <c r="I75" s="272">
        <f t="shared" si="9"/>
        <v>1.75230434290051E-3</v>
      </c>
      <c r="J75" s="265">
        <f t="shared" si="3"/>
        <v>-6.3935475417726831E-2</v>
      </c>
      <c r="L75" s="271">
        <f>596871831.65/1000</f>
        <v>596871.83164999995</v>
      </c>
      <c r="M75" s="272">
        <f t="shared" si="5"/>
        <v>1.7919786939068162E-3</v>
      </c>
      <c r="N75" s="272">
        <f>IF(B75&lt;&gt;0,(L75-H75)/H75,"")</f>
        <v>0.14281228909563068</v>
      </c>
      <c r="P75" s="25">
        <v>596911.09022999997</v>
      </c>
      <c r="Q75" s="272">
        <f t="shared" si="6"/>
        <v>1.5893240664461509E-3</v>
      </c>
      <c r="R75" s="272">
        <f>IF(B75&lt;&gt;0,(P75-L75)/L75,"")</f>
        <v>6.5773886315754671E-5</v>
      </c>
      <c r="T75" s="25">
        <v>650952.59785999998</v>
      </c>
      <c r="U75" s="272">
        <f t="shared" si="7"/>
        <v>1.6087042450986979E-3</v>
      </c>
      <c r="V75" s="272">
        <f>IF(B75&lt;&gt;0,(T75-P75)/P75,"")</f>
        <v>9.0535271524569763E-2</v>
      </c>
      <c r="X75" s="84">
        <v>639114.03562999994</v>
      </c>
      <c r="Y75" s="272">
        <f t="shared" si="8"/>
        <v>1.6224796240025404E-3</v>
      </c>
      <c r="Z75" s="272">
        <f t="shared" si="4"/>
        <v>-1.8186519677345466E-2</v>
      </c>
    </row>
    <row r="76" spans="1:26">
      <c r="A76" s="261"/>
      <c r="B76" s="243" t="s">
        <v>844</v>
      </c>
      <c r="C76" s="272"/>
      <c r="D76" s="271">
        <v>15537.57</v>
      </c>
      <c r="E76" s="272">
        <v>5.8188742059915413E-5</v>
      </c>
      <c r="F76" s="272">
        <v>-0.11910572412868393</v>
      </c>
      <c r="H76" s="271">
        <v>9360.66</v>
      </c>
      <c r="I76" s="272">
        <f t="shared" si="9"/>
        <v>3.140579753544244E-5</v>
      </c>
      <c r="J76" s="265">
        <f>IF(B76&lt;&gt;0,(H76-D76)/D76,"")</f>
        <v>-0.39754672062619828</v>
      </c>
      <c r="L76" s="271">
        <f>13333770/1000</f>
        <v>13333.77</v>
      </c>
      <c r="M76" s="272">
        <f t="shared" si="5"/>
        <v>4.0031763072821649E-5</v>
      </c>
      <c r="N76" s="272">
        <f>IF(B76&lt;&gt;0,(L76-H76)/H76,"")</f>
        <v>0.4244476351026531</v>
      </c>
      <c r="P76" s="25">
        <v>5620.0150000000003</v>
      </c>
      <c r="Q76" s="272">
        <f t="shared" si="6"/>
        <v>1.4963744583547114E-5</v>
      </c>
      <c r="R76" s="272">
        <f>IF(B76&lt;&gt;0,(P76-L76)/L76,"")</f>
        <v>-0.5785126787097723</v>
      </c>
      <c r="T76" s="25">
        <v>472.95</v>
      </c>
      <c r="U76" s="272">
        <f t="shared" si="7"/>
        <v>1.1688050331478391E-6</v>
      </c>
      <c r="V76" s="272">
        <f>IF(B76&lt;&gt;0,(T76-P76)/P76,"")</f>
        <v>-0.91584542034140481</v>
      </c>
      <c r="X76" s="84">
        <v>22.95</v>
      </c>
      <c r="Y76" s="272">
        <f t="shared" si="8"/>
        <v>5.8261758144856575E-8</v>
      </c>
      <c r="Z76" s="272">
        <f t="shared" ref="Z76:Z86" si="12">IF(B76&lt;&gt;0,(X76-T76)/T76,"")</f>
        <v>-0.95147478591817314</v>
      </c>
    </row>
    <row r="77" spans="1:26">
      <c r="A77" s="261"/>
      <c r="B77" s="243" t="s">
        <v>845</v>
      </c>
      <c r="C77" s="272"/>
      <c r="D77" s="271">
        <v>169.97</v>
      </c>
      <c r="E77" s="272">
        <v>6.3654358357991781E-7</v>
      </c>
      <c r="F77" s="272">
        <v>-0.80823602414396112</v>
      </c>
      <c r="H77" s="271">
        <v>41.646999999999998</v>
      </c>
      <c r="I77" s="272">
        <f t="shared" si="9"/>
        <v>1.3972916973360547E-7</v>
      </c>
      <c r="J77" s="265">
        <f>IF(B77&lt;&gt;0,(H77-D77)/D77,"")</f>
        <v>-0.75497440724833798</v>
      </c>
      <c r="L77" s="271">
        <v>0</v>
      </c>
      <c r="M77" s="272">
        <f>IF(B77&lt;&gt;0,L77/$L$11,"")</f>
        <v>0</v>
      </c>
      <c r="N77" s="272">
        <f>IF(B77&lt;&gt;0,(L77-H77)/H77,"")</f>
        <v>-1</v>
      </c>
      <c r="P77" s="25">
        <v>0</v>
      </c>
      <c r="Q77" s="272">
        <f>IF(B77&lt;&gt;0,P77/$P$11,"")</f>
        <v>0</v>
      </c>
      <c r="R77" s="272"/>
      <c r="T77" s="25">
        <v>0</v>
      </c>
      <c r="U77" s="272">
        <f>IF(B77&lt;&gt;0,T77/$T$11,"")</f>
        <v>0</v>
      </c>
      <c r="V77" s="272"/>
      <c r="X77" s="84">
        <v>0</v>
      </c>
      <c r="Y77" s="272">
        <f t="shared" si="8"/>
        <v>0</v>
      </c>
      <c r="Z77" s="272"/>
    </row>
    <row r="78" spans="1:26">
      <c r="A78" s="261"/>
      <c r="B78" s="243" t="s">
        <v>846</v>
      </c>
      <c r="C78" s="272"/>
      <c r="D78" s="271">
        <v>1879975.78507</v>
      </c>
      <c r="E78" s="272">
        <v>7.0405749442367894E-3</v>
      </c>
      <c r="F78" s="272">
        <v>-0.36638464149737537</v>
      </c>
      <c r="H78" s="271">
        <v>1715915.08479</v>
      </c>
      <c r="I78" s="272">
        <f t="shared" si="9"/>
        <v>5.757038685405334E-3</v>
      </c>
      <c r="J78" s="265">
        <f>IF(B78&lt;&gt;0,(H78-D78)/D78,"")</f>
        <v>-8.7267453965579278E-2</v>
      </c>
      <c r="L78" s="271">
        <f>2065204721.58/1000</f>
        <v>2065204.7215799999</v>
      </c>
      <c r="M78" s="272">
        <f>IF(B78&lt;&gt;0,L78/$L$11,"")</f>
        <v>6.2003308975003436E-3</v>
      </c>
      <c r="N78" s="272">
        <f>IF(B78&lt;&gt;0,(L78-H78)/H78,"")</f>
        <v>0.20355881237138682</v>
      </c>
      <c r="P78" s="25">
        <v>2852130.6241599997</v>
      </c>
      <c r="Q78" s="272">
        <f>IF(B78&lt;&gt;0,P78/$P$11,"")</f>
        <v>7.5940285175116161E-3</v>
      </c>
      <c r="R78" s="272">
        <f>IF(B78&lt;&gt;0,(P78-L78)/L78,"")</f>
        <v>0.38104014307015355</v>
      </c>
      <c r="T78" s="25">
        <v>2816291.5811100001</v>
      </c>
      <c r="U78" s="272">
        <f>IF(B78&lt;&gt;0,T78/$T$11,"")</f>
        <v>6.9599234058848793E-3</v>
      </c>
      <c r="V78" s="272">
        <f>IF(B78&lt;&gt;0,(T78-P78)/P78,"")</f>
        <v>-1.2565708858637817E-2</v>
      </c>
      <c r="X78" s="84">
        <v>2121970.5707200002</v>
      </c>
      <c r="Y78" s="272">
        <f t="shared" ref="Y78:Y86" si="13">IF(B78&lt;&gt;0,X78/$X$11,"")</f>
        <v>5.3869166092284067E-3</v>
      </c>
      <c r="Z78" s="272">
        <f t="shared" si="12"/>
        <v>-0.24653733123625768</v>
      </c>
    </row>
    <row r="79" spans="1:26" hidden="1">
      <c r="A79" s="278"/>
      <c r="B79" s="14" t="s">
        <v>847</v>
      </c>
      <c r="C79" s="272"/>
      <c r="D79" s="271">
        <v>8507.27</v>
      </c>
      <c r="E79" s="272">
        <v>3.1860023135152834E-5</v>
      </c>
      <c r="F79" s="272">
        <v>1.0874804188368186</v>
      </c>
      <c r="H79" s="271">
        <v>0</v>
      </c>
      <c r="I79" s="272">
        <f t="shared" si="9"/>
        <v>0</v>
      </c>
      <c r="J79" s="265">
        <f>IF(B79&lt;&gt;0,(H79-D79)/D79,"")</f>
        <v>-1</v>
      </c>
      <c r="L79" s="271">
        <v>0</v>
      </c>
      <c r="M79" s="272">
        <f>IF(B79&lt;&gt;0,L79/$L$11,"")</f>
        <v>0</v>
      </c>
      <c r="N79" s="272"/>
      <c r="P79" s="25">
        <v>0</v>
      </c>
      <c r="Q79" s="272">
        <f>IF(B79&lt;&gt;0,P79/$P$11,"")</f>
        <v>0</v>
      </c>
      <c r="R79" s="272"/>
      <c r="T79" s="25">
        <v>0</v>
      </c>
      <c r="U79" s="272">
        <f>IF(B79&lt;&gt;0,T79/$T$11,"")</f>
        <v>0</v>
      </c>
      <c r="V79" s="272"/>
      <c r="X79" s="84">
        <v>0</v>
      </c>
      <c r="Y79" s="272">
        <f t="shared" si="13"/>
        <v>0</v>
      </c>
      <c r="Z79" s="272" t="e">
        <f t="shared" si="12"/>
        <v>#DIV/0!</v>
      </c>
    </row>
    <row r="80" spans="1:26" ht="11" customHeight="1">
      <c r="A80" s="278"/>
      <c r="B80" s="26" t="s">
        <v>848</v>
      </c>
      <c r="C80" s="272"/>
      <c r="D80" s="271"/>
      <c r="E80" s="272"/>
      <c r="F80" s="272"/>
      <c r="H80" s="271">
        <v>7693.23</v>
      </c>
      <c r="I80" s="272">
        <f t="shared" si="9"/>
        <v>2.5811430366404915E-5</v>
      </c>
      <c r="J80" s="779" t="s">
        <v>1874</v>
      </c>
      <c r="L80" s="271">
        <v>0</v>
      </c>
      <c r="M80" s="272">
        <f>IF(B80&lt;&gt;0,L80/$L$11,"")</f>
        <v>0</v>
      </c>
      <c r="N80" s="272">
        <f>IF(B80&lt;&gt;0,(L80-H80)/H80,"")</f>
        <v>-1</v>
      </c>
      <c r="P80" s="25">
        <v>6329.59</v>
      </c>
      <c r="Q80" s="272">
        <f>IF(B80&lt;&gt;0,P80/$P$11,"")</f>
        <v>1.6853045424002246E-5</v>
      </c>
      <c r="R80" s="272"/>
      <c r="T80" s="25">
        <v>5859.56</v>
      </c>
      <c r="U80" s="272">
        <f>IF(B80&lt;&gt;0,T80/$T$11,"")</f>
        <v>1.4480776445780214E-5</v>
      </c>
      <c r="V80" s="272">
        <f>IF(B80&lt;&gt;0,(T80-P80)/P80,"")</f>
        <v>-7.4259154226419044E-2</v>
      </c>
      <c r="X80" s="84">
        <v>5791.38</v>
      </c>
      <c r="Y80" s="272">
        <f t="shared" si="13"/>
        <v>1.4702221389322853E-5</v>
      </c>
      <c r="Z80" s="272">
        <f t="shared" si="12"/>
        <v>-1.1635685955942133E-2</v>
      </c>
    </row>
    <row r="81" spans="1:27" ht="11" customHeight="1">
      <c r="A81" s="278"/>
      <c r="B81" s="26" t="s">
        <v>849</v>
      </c>
      <c r="C81" s="272"/>
      <c r="D81" s="271"/>
      <c r="E81" s="272"/>
      <c r="F81" s="272"/>
      <c r="H81" s="271"/>
      <c r="I81" s="272"/>
      <c r="J81" s="265"/>
      <c r="L81" s="271">
        <f>24753322/1000</f>
        <v>24753.322</v>
      </c>
      <c r="M81" s="272">
        <f>IF(B81&lt;&gt;0,L81/$L$11,"")</f>
        <v>7.431650025231151E-5</v>
      </c>
      <c r="N81" s="272"/>
      <c r="P81" s="25">
        <v>29735.362000000001</v>
      </c>
      <c r="Q81" s="272">
        <f>IF(B81&lt;&gt;0,P81/$P$11,"")</f>
        <v>7.9172806846122771E-5</v>
      </c>
      <c r="R81" s="272">
        <f>IF(B81&lt;&gt;0,(P81-L81)/L81,"")</f>
        <v>0.2012675308792897</v>
      </c>
      <c r="T81" s="25">
        <v>18644.264800000001</v>
      </c>
      <c r="U81" s="272">
        <f>IF(B81&lt;&gt;0,T81/$T$11,"")</f>
        <v>4.6075717385730181E-5</v>
      </c>
      <c r="V81" s="272">
        <f>IF(B81&lt;&gt;0,(T81-P81)/P81,"")</f>
        <v>-0.37299351526307295</v>
      </c>
      <c r="X81" s="84">
        <v>0</v>
      </c>
      <c r="Y81" s="272">
        <f t="shared" si="13"/>
        <v>0</v>
      </c>
      <c r="Z81" s="272">
        <f t="shared" si="12"/>
        <v>-1</v>
      </c>
    </row>
    <row r="82" spans="1:27" ht="11" customHeight="1">
      <c r="A82" s="278"/>
      <c r="B82" s="26" t="s">
        <v>1875</v>
      </c>
      <c r="C82" s="272"/>
      <c r="D82" s="271"/>
      <c r="E82" s="272"/>
      <c r="F82" s="272"/>
      <c r="H82" s="271"/>
      <c r="I82" s="272"/>
      <c r="J82" s="265"/>
      <c r="L82" s="271"/>
      <c r="M82" s="272"/>
      <c r="N82" s="272"/>
      <c r="P82" s="25"/>
      <c r="Q82" s="272"/>
      <c r="R82" s="272"/>
      <c r="T82" s="25"/>
      <c r="U82" s="272"/>
      <c r="V82" s="272"/>
      <c r="X82" s="84">
        <v>14989.9745</v>
      </c>
      <c r="Y82" s="272">
        <f t="shared" si="13"/>
        <v>3.8054129364556311E-5</v>
      </c>
      <c r="Z82" s="272">
        <v>0</v>
      </c>
    </row>
    <row r="83" spans="1:27" ht="11" customHeight="1">
      <c r="A83" s="278"/>
      <c r="B83" s="26" t="s">
        <v>850</v>
      </c>
      <c r="C83" s="272"/>
      <c r="D83" s="271"/>
      <c r="E83" s="272"/>
      <c r="F83" s="272"/>
      <c r="H83" s="271"/>
      <c r="I83" s="272"/>
      <c r="J83" s="265"/>
      <c r="L83" s="271">
        <f>44450000/1000</f>
        <v>44450</v>
      </c>
      <c r="M83" s="272">
        <f>IF(B83&lt;&gt;0,L83/$L$11,"")</f>
        <v>1.3345151960675205E-4</v>
      </c>
      <c r="N83" s="272"/>
      <c r="P83" s="25">
        <v>19931.164420000001</v>
      </c>
      <c r="Q83" s="272">
        <f>IF(B83&lt;&gt;0,P83/$P$11,"")</f>
        <v>5.3068337652757507E-5</v>
      </c>
      <c r="R83" s="272">
        <f>IF(B83&lt;&gt;0,(P83-L83)/L83,"")</f>
        <v>-0.55160484994375703</v>
      </c>
      <c r="T83" s="25">
        <v>15502.4</v>
      </c>
      <c r="U83" s="272">
        <f>IF(B83&lt;&gt;0,T83/$T$11,"")</f>
        <v>3.8311202338240956E-5</v>
      </c>
      <c r="V83" s="272">
        <f>IF(B83&lt;&gt;0,(T83-P83)/P83,"")</f>
        <v>-0.22220299460055334</v>
      </c>
      <c r="X83" s="84">
        <v>13695.21572</v>
      </c>
      <c r="Y83" s="272">
        <f t="shared" si="13"/>
        <v>3.4767204619619948E-5</v>
      </c>
      <c r="Z83" s="272">
        <f t="shared" si="12"/>
        <v>-0.1165744839508721</v>
      </c>
    </row>
    <row r="84" spans="1:27" ht="11" customHeight="1">
      <c r="A84" s="278"/>
      <c r="B84" s="26" t="s">
        <v>851</v>
      </c>
      <c r="C84" s="272"/>
      <c r="D84" s="271"/>
      <c r="E84" s="272"/>
      <c r="F84" s="272"/>
      <c r="H84" s="271"/>
      <c r="I84" s="272"/>
      <c r="J84" s="265"/>
      <c r="L84" s="271">
        <f>48279237.66/1000</f>
        <v>48279.237659999999</v>
      </c>
      <c r="M84" s="272">
        <f>IF(B84&lt;&gt;0,L84/$L$11,"")</f>
        <v>1.4494797820433143E-4</v>
      </c>
      <c r="N84" s="272"/>
      <c r="P84" s="25">
        <v>57545.367600000005</v>
      </c>
      <c r="Q84" s="272">
        <f>IF(B84&lt;&gt;0,P84/$P$11,"")</f>
        <v>1.5321919652042345E-4</v>
      </c>
      <c r="R84" s="272">
        <f>IF(B84&lt;&gt;0,(P84-L84)/L84,"")</f>
        <v>0.19192784288052503</v>
      </c>
      <c r="T84" s="25">
        <v>37925.225549999996</v>
      </c>
      <c r="U84" s="272">
        <f>IF(B84&lt;&gt;0,T84/$T$11,"")</f>
        <v>9.3724906451225331E-5</v>
      </c>
      <c r="V84" s="272">
        <f>IF(B84&lt;&gt;0,(T84-P84)/P84,"")</f>
        <v>-0.34095085092479288</v>
      </c>
      <c r="X84" s="84">
        <v>39727.46658</v>
      </c>
      <c r="Y84" s="272">
        <f t="shared" si="13"/>
        <v>1.0085368407807548E-4</v>
      </c>
      <c r="Z84" s="272">
        <f t="shared" si="12"/>
        <v>4.7520904724059176E-2</v>
      </c>
    </row>
    <row r="85" spans="1:27" ht="11" customHeight="1">
      <c r="A85" s="278"/>
      <c r="B85" s="26" t="s">
        <v>852</v>
      </c>
      <c r="C85" s="272"/>
      <c r="D85" s="271"/>
      <c r="E85" s="272"/>
      <c r="F85" s="272"/>
      <c r="H85" s="271"/>
      <c r="I85" s="272"/>
      <c r="J85" s="265"/>
      <c r="L85" s="271">
        <f>6770635.06/1000</f>
        <v>6770.6350599999996</v>
      </c>
      <c r="M85" s="272">
        <f>IF(B85&lt;&gt;0,L85/$L$11,"")</f>
        <v>2.0327368671760469E-5</v>
      </c>
      <c r="N85" s="272"/>
      <c r="P85" s="25">
        <v>6948.0911299999998</v>
      </c>
      <c r="Q85" s="272">
        <f>IF(B85&lt;&gt;0,P85/$P$11,"")</f>
        <v>1.8499854717919657E-5</v>
      </c>
      <c r="R85" s="272">
        <f>IF(B85&lt;&gt;0,(P85-L85)/L85,"")</f>
        <v>2.620966400159222E-2</v>
      </c>
      <c r="T85" s="25">
        <v>4785.3587600000001</v>
      </c>
      <c r="U85" s="272">
        <f>IF(B85&lt;&gt;0,T85/$T$11,"")</f>
        <v>1.1826094521843963E-5</v>
      </c>
      <c r="V85" s="272">
        <f>IF(B85&lt;&gt;0,(T85-P85)/P85,"")</f>
        <v>-0.31127000632762281</v>
      </c>
      <c r="X85" s="84">
        <v>4497.9016799999999</v>
      </c>
      <c r="Y85" s="272">
        <f t="shared" si="13"/>
        <v>1.1418547269695166E-5</v>
      </c>
      <c r="Z85" s="272">
        <f t="shared" si="12"/>
        <v>-6.0070121053995985E-2</v>
      </c>
    </row>
    <row r="86" spans="1:27" ht="11" customHeight="1">
      <c r="A86" s="278"/>
      <c r="B86" s="26" t="s">
        <v>853</v>
      </c>
      <c r="C86" s="272"/>
      <c r="D86" s="271"/>
      <c r="E86" s="272"/>
      <c r="F86" s="272"/>
      <c r="H86" s="271"/>
      <c r="I86" s="272"/>
      <c r="J86" s="265"/>
      <c r="L86" s="271">
        <f>262694/1000</f>
        <v>262.69400000000002</v>
      </c>
      <c r="M86" s="272">
        <f>IF(B86&lt;&gt;0,L86/$L$11,"")</f>
        <v>7.8868196831442348E-7</v>
      </c>
      <c r="N86" s="272"/>
      <c r="P86" s="25">
        <v>737.7</v>
      </c>
      <c r="Q86" s="272">
        <f>IF(B86&lt;&gt;0,P86/$P$11,"")</f>
        <v>1.9641859282017408E-6</v>
      </c>
      <c r="R86" s="272">
        <f>IF(B86&lt;&gt;0,(P86-L86)/L86,"")</f>
        <v>1.8082103131400031</v>
      </c>
      <c r="T86" s="25">
        <v>108.34</v>
      </c>
      <c r="U86" s="272">
        <f>IF(B86&lt;&gt;0,T86/$T$11,"")</f>
        <v>2.6774148914523078E-7</v>
      </c>
      <c r="V86" s="272">
        <f>IF(B86&lt;&gt;0,(T86-P86)/P86,"")</f>
        <v>-0.85313813203199129</v>
      </c>
      <c r="X86" s="84">
        <v>115.41</v>
      </c>
      <c r="Y86" s="272">
        <f t="shared" si="13"/>
        <v>2.9298429226570357E-7</v>
      </c>
      <c r="Z86" s="272">
        <f t="shared" si="12"/>
        <v>6.5257522613992924E-2</v>
      </c>
    </row>
    <row r="87" spans="1:27" ht="11" customHeight="1">
      <c r="A87" s="278"/>
      <c r="B87" s="26"/>
      <c r="C87" s="265"/>
      <c r="D87" s="271"/>
      <c r="E87" s="265"/>
      <c r="F87" s="265"/>
      <c r="H87" s="271"/>
      <c r="I87" s="265"/>
      <c r="J87" s="265"/>
      <c r="L87" s="271"/>
      <c r="M87" s="265"/>
      <c r="N87" s="265"/>
    </row>
    <row r="88" spans="1:27" ht="11" customHeight="1">
      <c r="A88" s="278"/>
      <c r="B88" s="26"/>
      <c r="C88" s="265"/>
      <c r="D88" s="271"/>
      <c r="E88" s="265"/>
      <c r="F88" s="265"/>
      <c r="H88" s="271"/>
      <c r="I88" s="265"/>
      <c r="J88" s="265"/>
      <c r="L88" s="271"/>
      <c r="M88" s="265"/>
      <c r="N88" s="265"/>
    </row>
    <row r="89" spans="1:27" ht="11" customHeight="1">
      <c r="A89" s="278"/>
      <c r="B89" s="26"/>
      <c r="C89" s="265"/>
      <c r="D89" s="271"/>
      <c r="E89" s="265"/>
      <c r="F89" s="265"/>
      <c r="H89" s="271"/>
      <c r="I89" s="265"/>
      <c r="J89" s="265"/>
      <c r="L89" s="271"/>
      <c r="M89" s="265"/>
      <c r="N89" s="265"/>
    </row>
    <row r="90" spans="1:27" ht="11" customHeight="1">
      <c r="A90" s="278"/>
      <c r="B90" s="245"/>
      <c r="C90" s="246"/>
      <c r="D90" s="246"/>
      <c r="E90" s="246"/>
      <c r="F90" s="246"/>
      <c r="G90" s="246"/>
      <c r="H90" s="246"/>
      <c r="I90" s="246"/>
      <c r="J90" s="246"/>
      <c r="K90" s="246"/>
      <c r="L90" s="246"/>
      <c r="M90" s="246"/>
      <c r="N90" s="246"/>
      <c r="O90" s="246"/>
      <c r="P90" s="245"/>
      <c r="Q90" s="245"/>
      <c r="R90" s="245"/>
      <c r="S90" s="246"/>
      <c r="T90" s="245"/>
      <c r="U90" s="245"/>
      <c r="V90" s="245"/>
      <c r="W90" s="246"/>
      <c r="X90" s="246"/>
      <c r="Y90" s="246"/>
      <c r="Z90" s="246"/>
      <c r="AA90" s="246"/>
    </row>
    <row r="91" spans="1:27" ht="11" customHeight="1">
      <c r="A91" s="278"/>
      <c r="B91" s="766"/>
      <c r="C91" s="75"/>
      <c r="D91" s="248"/>
      <c r="E91" s="249"/>
      <c r="F91" s="249"/>
      <c r="G91" s="249"/>
      <c r="H91" s="249"/>
      <c r="I91" s="249"/>
      <c r="J91" s="249"/>
      <c r="K91" s="249"/>
      <c r="L91" s="249"/>
      <c r="M91" s="249"/>
      <c r="N91" s="249"/>
      <c r="X91" s="249"/>
      <c r="Y91" s="249"/>
      <c r="Z91" s="249"/>
      <c r="AA91" s="249"/>
    </row>
    <row r="92" spans="1:27" ht="11" customHeight="1">
      <c r="A92" s="278"/>
      <c r="B92" s="250" t="s">
        <v>797</v>
      </c>
      <c r="C92" s="249"/>
      <c r="D92" s="1027" t="s">
        <v>618</v>
      </c>
      <c r="E92" s="1027"/>
      <c r="F92" s="1027"/>
      <c r="H92" s="1027" t="s">
        <v>619</v>
      </c>
      <c r="I92" s="1027"/>
      <c r="J92" s="1027"/>
      <c r="L92" s="1027" t="s">
        <v>620</v>
      </c>
      <c r="M92" s="1027"/>
      <c r="N92" s="1027"/>
      <c r="P92" s="1027" t="s">
        <v>621</v>
      </c>
      <c r="Q92" s="1027"/>
      <c r="R92" s="1027"/>
      <c r="S92" s="64"/>
      <c r="T92" s="1027" t="s">
        <v>622</v>
      </c>
      <c r="U92" s="1027"/>
      <c r="V92" s="1027"/>
      <c r="X92" s="1027" t="s">
        <v>1872</v>
      </c>
      <c r="Y92" s="1027"/>
      <c r="Z92" s="1027"/>
      <c r="AA92" s="64"/>
    </row>
    <row r="93" spans="1:27" ht="11" customHeight="1">
      <c r="A93" s="278"/>
      <c r="B93" s="252" t="s">
        <v>800</v>
      </c>
      <c r="C93" s="254"/>
      <c r="D93" s="253" t="s">
        <v>152</v>
      </c>
      <c r="E93" s="253" t="s">
        <v>801</v>
      </c>
      <c r="F93" s="253" t="s">
        <v>802</v>
      </c>
      <c r="H93" s="253" t="s">
        <v>152</v>
      </c>
      <c r="I93" s="253" t="s">
        <v>801</v>
      </c>
      <c r="J93" s="253" t="s">
        <v>802</v>
      </c>
      <c r="L93" s="253" t="s">
        <v>152</v>
      </c>
      <c r="M93" s="253" t="s">
        <v>801</v>
      </c>
      <c r="N93" s="253" t="s">
        <v>802</v>
      </c>
      <c r="P93" s="253" t="s">
        <v>152</v>
      </c>
      <c r="Q93" s="253" t="s">
        <v>801</v>
      </c>
      <c r="R93" s="253" t="s">
        <v>802</v>
      </c>
      <c r="T93" s="253" t="s">
        <v>152</v>
      </c>
      <c r="U93" s="253" t="s">
        <v>801</v>
      </c>
      <c r="V93" s="253" t="s">
        <v>802</v>
      </c>
      <c r="X93" s="253" t="s">
        <v>152</v>
      </c>
      <c r="Y93" s="253" t="s">
        <v>801</v>
      </c>
      <c r="Z93" s="253" t="s">
        <v>802</v>
      </c>
      <c r="AA93" s="255"/>
    </row>
    <row r="94" spans="1:27" ht="11" customHeight="1">
      <c r="A94" s="278"/>
      <c r="B94" s="257"/>
      <c r="C94" s="259"/>
      <c r="D94" s="260"/>
      <c r="E94" s="258"/>
      <c r="F94" s="258"/>
      <c r="G94" s="258"/>
      <c r="H94" s="258"/>
      <c r="I94" s="258"/>
      <c r="J94" s="258"/>
      <c r="K94" s="258"/>
      <c r="L94" s="258"/>
      <c r="M94" s="258"/>
      <c r="N94" s="258"/>
      <c r="O94" s="246"/>
      <c r="P94" s="257"/>
      <c r="Q94" s="257"/>
      <c r="R94" s="257"/>
      <c r="S94" s="246"/>
      <c r="T94" s="257"/>
      <c r="U94" s="257"/>
      <c r="V94" s="257"/>
      <c r="W94" s="246"/>
      <c r="X94" s="260"/>
      <c r="Y94" s="258"/>
      <c r="Z94" s="258"/>
      <c r="AA94" s="246"/>
    </row>
    <row r="95" spans="1:27" ht="11" customHeight="1">
      <c r="A95" s="278"/>
      <c r="B95" s="243"/>
      <c r="C95" s="248"/>
      <c r="D95" s="248"/>
      <c r="E95" s="75"/>
      <c r="F95" s="75"/>
      <c r="G95" s="75"/>
      <c r="H95" s="75"/>
      <c r="I95" s="75"/>
      <c r="J95" s="75"/>
      <c r="K95" s="75"/>
      <c r="L95" s="75"/>
      <c r="M95" s="75"/>
      <c r="N95" s="75"/>
      <c r="X95" s="248"/>
      <c r="Y95" s="75"/>
      <c r="Z95" s="75"/>
      <c r="AA95" s="249"/>
    </row>
    <row r="96" spans="1:27" s="17" customFormat="1" ht="11" customHeight="1">
      <c r="A96" s="263" t="s">
        <v>809</v>
      </c>
      <c r="B96" s="264" t="s">
        <v>854</v>
      </c>
      <c r="C96" s="265"/>
      <c r="D96" s="262">
        <v>7062883.8736199988</v>
      </c>
      <c r="E96" s="265">
        <v>2.6450746668958552E-2</v>
      </c>
      <c r="F96" s="265">
        <v>7.3510781768824918E-2</v>
      </c>
      <c r="H96" s="262">
        <f>+H98</f>
        <v>7545521.2270999998</v>
      </c>
      <c r="I96" s="265">
        <f>+H96/$H$11</f>
        <v>2.5315855074074457E-2</v>
      </c>
      <c r="J96" s="265">
        <f t="shared" ref="J96:J160" si="14">IF(B96&lt;&gt;0,(H96-D96)/D96,"")</f>
        <v>6.8334318122185239E-2</v>
      </c>
      <c r="L96" s="262">
        <f>+L98</f>
        <v>7617790.1026800005</v>
      </c>
      <c r="M96" s="265">
        <f t="shared" ref="M96:M147" si="15">IF(B96&lt;&gt;0,L96/$L$11,"")</f>
        <v>2.2870768622000489E-2</v>
      </c>
      <c r="N96" s="265">
        <f t="shared" ref="N96:N113" si="16">IF(B96&lt;&gt;0,(L96-H96)/H96,"")</f>
        <v>9.5777181462884942E-3</v>
      </c>
      <c r="P96" s="181">
        <v>7424552.7368000001</v>
      </c>
      <c r="Q96" s="265">
        <f t="shared" ref="Q96:Q147" si="17">IF(B96&lt;&gt;0,P96/$P$11,"")</f>
        <v>1.9768472290652411E-2</v>
      </c>
      <c r="R96" s="265">
        <f t="shared" ref="R96:R113" si="18">IF(B96&lt;&gt;0,(P96-L96)/L96,"")</f>
        <v>-2.536659100281825E-2</v>
      </c>
      <c r="T96" s="181">
        <v>8006186.4667499997</v>
      </c>
      <c r="U96" s="265">
        <f t="shared" ref="U96:U147" si="19">IF(B96&lt;&gt;0,T96/$T$11,"")</f>
        <v>1.9785751218220772E-2</v>
      </c>
      <c r="V96" s="265">
        <f t="shared" ref="V96:V101" si="20">IF(B96&lt;&gt;0,(T96-P96)/P96,"")</f>
        <v>7.8339228040918349E-2</v>
      </c>
      <c r="X96" s="778">
        <v>7918642.8603000008</v>
      </c>
      <c r="Y96" s="265">
        <f t="shared" ref="Y96:Y159" si="21">IF(B96&lt;&gt;0,X96/$X$11,"")</f>
        <v>2.010257320968601E-2</v>
      </c>
      <c r="Z96" s="265">
        <f t="shared" ref="Z96:Z159" si="22">IF(B96&lt;&gt;0,(X96-T96)/T96,"")</f>
        <v>-1.0934495069977557E-2</v>
      </c>
    </row>
    <row r="97" spans="1:26" ht="11" customHeight="1">
      <c r="A97" s="261"/>
      <c r="B97" s="266"/>
      <c r="C97" s="265"/>
      <c r="D97" s="262" t="s">
        <v>154</v>
      </c>
      <c r="E97" s="265" t="s">
        <v>154</v>
      </c>
      <c r="F97" s="265" t="s">
        <v>154</v>
      </c>
      <c r="H97" s="262" t="s">
        <v>154</v>
      </c>
      <c r="I97" s="265"/>
      <c r="J97" s="265" t="str">
        <f t="shared" si="14"/>
        <v/>
      </c>
      <c r="L97" s="262" t="s">
        <v>154</v>
      </c>
      <c r="M97" s="265" t="str">
        <f t="shared" si="15"/>
        <v/>
      </c>
      <c r="N97" s="265" t="str">
        <f t="shared" si="16"/>
        <v/>
      </c>
      <c r="P97" s="25"/>
      <c r="Q97" s="265" t="str">
        <f t="shared" si="17"/>
        <v/>
      </c>
      <c r="R97" s="265" t="str">
        <f t="shared" si="18"/>
        <v/>
      </c>
      <c r="T97" s="181"/>
      <c r="U97" s="265" t="str">
        <f t="shared" si="19"/>
        <v/>
      </c>
      <c r="V97" s="265" t="str">
        <f t="shared" si="20"/>
        <v/>
      </c>
      <c r="X97" s="778"/>
      <c r="Y97" s="265" t="str">
        <f t="shared" si="21"/>
        <v/>
      </c>
      <c r="Z97" s="265" t="str">
        <f t="shared" si="22"/>
        <v/>
      </c>
    </row>
    <row r="98" spans="1:26" s="17" customFormat="1" ht="11" customHeight="1">
      <c r="A98" s="263" t="s">
        <v>809</v>
      </c>
      <c r="B98" s="264" t="s">
        <v>855</v>
      </c>
      <c r="C98" s="265"/>
      <c r="D98" s="262">
        <v>7062883.8736199988</v>
      </c>
      <c r="E98" s="265">
        <v>2.6450746668958552E-2</v>
      </c>
      <c r="F98" s="265">
        <v>7.3510781768824918E-2</v>
      </c>
      <c r="H98" s="262">
        <f>+H100</f>
        <v>7545521.2270999998</v>
      </c>
      <c r="I98" s="265">
        <f t="shared" ref="I98:I163" si="23">+H98/$H$11</f>
        <v>2.5315855074074457E-2</v>
      </c>
      <c r="J98" s="265">
        <f t="shared" si="14"/>
        <v>6.8334318122185239E-2</v>
      </c>
      <c r="L98" s="262">
        <f>+L100</f>
        <v>7617790.1026800005</v>
      </c>
      <c r="M98" s="265">
        <f t="shared" si="15"/>
        <v>2.2870768622000489E-2</v>
      </c>
      <c r="N98" s="265">
        <f t="shared" si="16"/>
        <v>9.5777181462884942E-3</v>
      </c>
      <c r="P98" s="181">
        <v>7424552.7368000001</v>
      </c>
      <c r="Q98" s="265">
        <f t="shared" si="17"/>
        <v>1.9768472290652411E-2</v>
      </c>
      <c r="R98" s="265">
        <f t="shared" si="18"/>
        <v>-2.536659100281825E-2</v>
      </c>
      <c r="T98" s="181">
        <v>8006186.4667499997</v>
      </c>
      <c r="U98" s="265">
        <f t="shared" si="19"/>
        <v>1.9785751218220772E-2</v>
      </c>
      <c r="V98" s="265">
        <f t="shared" si="20"/>
        <v>7.8339228040918349E-2</v>
      </c>
      <c r="X98" s="778">
        <v>7918642.8603000008</v>
      </c>
      <c r="Y98" s="265">
        <f t="shared" si="21"/>
        <v>2.010257320968601E-2</v>
      </c>
      <c r="Z98" s="265">
        <f t="shared" si="22"/>
        <v>-1.0934495069977557E-2</v>
      </c>
    </row>
    <row r="99" spans="1:26" s="17" customFormat="1" ht="11" customHeight="1">
      <c r="A99" s="263"/>
      <c r="B99" s="264"/>
      <c r="C99" s="265"/>
      <c r="D99" s="262" t="s">
        <v>154</v>
      </c>
      <c r="E99" s="265" t="s">
        <v>154</v>
      </c>
      <c r="F99" s="265" t="s">
        <v>154</v>
      </c>
      <c r="H99" s="262" t="s">
        <v>154</v>
      </c>
      <c r="I99" s="265"/>
      <c r="J99" s="265" t="str">
        <f t="shared" si="14"/>
        <v/>
      </c>
      <c r="L99" s="262" t="s">
        <v>154</v>
      </c>
      <c r="M99" s="265" t="str">
        <f t="shared" si="15"/>
        <v/>
      </c>
      <c r="N99" s="265" t="str">
        <f t="shared" si="16"/>
        <v/>
      </c>
      <c r="P99" s="25"/>
      <c r="Q99" s="265" t="str">
        <f t="shared" si="17"/>
        <v/>
      </c>
      <c r="R99" s="265" t="str">
        <f t="shared" si="18"/>
        <v/>
      </c>
      <c r="T99" s="181"/>
      <c r="U99" s="265" t="str">
        <f t="shared" si="19"/>
        <v/>
      </c>
      <c r="V99" s="265" t="str">
        <f t="shared" si="20"/>
        <v/>
      </c>
      <c r="X99" s="778"/>
      <c r="Y99" s="265" t="str">
        <f t="shared" si="21"/>
        <v/>
      </c>
      <c r="Z99" s="265" t="str">
        <f t="shared" si="22"/>
        <v/>
      </c>
    </row>
    <row r="100" spans="1:26" s="17" customFormat="1" ht="11" customHeight="1">
      <c r="A100" s="263" t="s">
        <v>809</v>
      </c>
      <c r="B100" s="264" t="s">
        <v>856</v>
      </c>
      <c r="C100" s="265"/>
      <c r="D100" s="262">
        <v>7062883.8736199988</v>
      </c>
      <c r="E100" s="265">
        <v>2.6450746668958552E-2</v>
      </c>
      <c r="F100" s="265">
        <v>7.3510781768824918E-2</v>
      </c>
      <c r="H100" s="262">
        <f>SUM(H102:H120)</f>
        <v>7545521.2270999998</v>
      </c>
      <c r="I100" s="265">
        <f t="shared" si="23"/>
        <v>2.5315855074074457E-2</v>
      </c>
      <c r="J100" s="265">
        <f t="shared" si="14"/>
        <v>6.8334318122185239E-2</v>
      </c>
      <c r="L100" s="262">
        <f>SUM(L102:L120)</f>
        <v>7617790.1026800005</v>
      </c>
      <c r="M100" s="265">
        <f t="shared" si="15"/>
        <v>2.2870768622000489E-2</v>
      </c>
      <c r="N100" s="265">
        <f t="shared" si="16"/>
        <v>9.5777181462884942E-3</v>
      </c>
      <c r="P100" s="181">
        <v>7424552.7368000001</v>
      </c>
      <c r="Q100" s="265">
        <f t="shared" si="17"/>
        <v>1.9768472290652411E-2</v>
      </c>
      <c r="R100" s="265">
        <f t="shared" si="18"/>
        <v>-2.536659100281825E-2</v>
      </c>
      <c r="T100" s="181">
        <v>8006186.4667499997</v>
      </c>
      <c r="U100" s="265">
        <f t="shared" si="19"/>
        <v>1.9785751218220772E-2</v>
      </c>
      <c r="V100" s="265">
        <f t="shared" si="20"/>
        <v>7.8339228040918349E-2</v>
      </c>
      <c r="X100" s="778">
        <v>7918642.8603000008</v>
      </c>
      <c r="Y100" s="265">
        <f t="shared" si="21"/>
        <v>2.010257320968601E-2</v>
      </c>
      <c r="Z100" s="265">
        <f t="shared" si="22"/>
        <v>-1.0934495069977557E-2</v>
      </c>
    </row>
    <row r="101" spans="1:26" s="17" customFormat="1" ht="11" customHeight="1">
      <c r="A101" s="263"/>
      <c r="B101" s="264"/>
      <c r="C101" s="265"/>
      <c r="D101" s="262" t="s">
        <v>154</v>
      </c>
      <c r="E101" s="265" t="s">
        <v>154</v>
      </c>
      <c r="F101" s="265" t="s">
        <v>154</v>
      </c>
      <c r="H101" s="262" t="s">
        <v>154</v>
      </c>
      <c r="I101" s="265"/>
      <c r="J101" s="265" t="str">
        <f t="shared" si="14"/>
        <v/>
      </c>
      <c r="L101" s="262" t="s">
        <v>154</v>
      </c>
      <c r="M101" s="265" t="str">
        <f t="shared" si="15"/>
        <v/>
      </c>
      <c r="N101" s="265" t="str">
        <f t="shared" si="16"/>
        <v/>
      </c>
      <c r="P101" s="25"/>
      <c r="Q101" s="265" t="str">
        <f t="shared" si="17"/>
        <v/>
      </c>
      <c r="R101" s="265" t="str">
        <f t="shared" si="18"/>
        <v/>
      </c>
      <c r="T101" s="181"/>
      <c r="U101" s="265" t="str">
        <f t="shared" si="19"/>
        <v/>
      </c>
      <c r="V101" s="265" t="str">
        <f t="shared" si="20"/>
        <v/>
      </c>
      <c r="X101" s="778"/>
      <c r="Y101" s="265" t="str">
        <f t="shared" si="21"/>
        <v/>
      </c>
      <c r="Z101" s="265" t="str">
        <f t="shared" si="22"/>
        <v/>
      </c>
    </row>
    <row r="102" spans="1:26" ht="11" customHeight="1">
      <c r="A102" s="261"/>
      <c r="B102" s="243" t="s">
        <v>857</v>
      </c>
      <c r="C102" s="272"/>
      <c r="D102" s="271">
        <v>6744</v>
      </c>
      <c r="E102" s="272">
        <v>2.5256515430152176E-5</v>
      </c>
      <c r="F102" s="272">
        <v>-0.57149814579546854</v>
      </c>
      <c r="H102" s="271">
        <v>9396.4060000000009</v>
      </c>
      <c r="I102" s="272">
        <f t="shared" si="23"/>
        <v>3.1525728356421088E-5</v>
      </c>
      <c r="J102" s="265">
        <f t="shared" si="14"/>
        <v>0.39329863582443664</v>
      </c>
      <c r="L102" s="271">
        <v>7075</v>
      </c>
      <c r="M102" s="272">
        <f t="shared" si="15"/>
        <v>2.1241158632570772E-5</v>
      </c>
      <c r="N102" s="272">
        <f t="shared" si="16"/>
        <v>-0.24705254328090981</v>
      </c>
      <c r="P102" s="25">
        <v>159.63499999999999</v>
      </c>
      <c r="Q102" s="272">
        <f t="shared" si="17"/>
        <v>4.2504110159751236E-7</v>
      </c>
      <c r="R102" s="272">
        <f t="shared" si="18"/>
        <v>-0.97743674911660772</v>
      </c>
      <c r="T102" s="25">
        <v>7717</v>
      </c>
      <c r="U102" s="272">
        <f t="shared" si="19"/>
        <v>1.9071082441699701E-5</v>
      </c>
      <c r="V102" s="272"/>
      <c r="X102" s="780">
        <v>7669</v>
      </c>
      <c r="Y102" s="272">
        <f t="shared" si="21"/>
        <v>1.9468820183568849E-5</v>
      </c>
      <c r="Z102" s="272">
        <f t="shared" si="22"/>
        <v>-6.2200336918491646E-3</v>
      </c>
    </row>
    <row r="103" spans="1:26" ht="11" customHeight="1">
      <c r="A103" s="268" t="s">
        <v>814</v>
      </c>
      <c r="B103" s="243" t="s">
        <v>858</v>
      </c>
      <c r="C103" s="272"/>
      <c r="D103" s="271">
        <v>20223.165000000001</v>
      </c>
      <c r="E103" s="272">
        <v>7.5736458907030467E-5</v>
      </c>
      <c r="F103" s="272">
        <v>-4.8328140819744972E-2</v>
      </c>
      <c r="H103" s="271">
        <v>20653.349999999999</v>
      </c>
      <c r="I103" s="272">
        <f t="shared" si="23"/>
        <v>6.9293717379824722E-5</v>
      </c>
      <c r="J103" s="265">
        <f t="shared" si="14"/>
        <v>2.1271892901036888E-2</v>
      </c>
      <c r="L103" s="271">
        <f>21423760/1000</f>
        <v>21423.759999999998</v>
      </c>
      <c r="M103" s="272">
        <f t="shared" si="15"/>
        <v>6.4320209846802025E-5</v>
      </c>
      <c r="N103" s="272">
        <f t="shared" si="16"/>
        <v>3.7301938910636767E-2</v>
      </c>
      <c r="P103" s="25">
        <v>20733.305</v>
      </c>
      <c r="Q103" s="272">
        <f t="shared" si="17"/>
        <v>5.5204101838301195E-5</v>
      </c>
      <c r="R103" s="272">
        <f t="shared" si="18"/>
        <v>-3.2228469699063012E-2</v>
      </c>
      <c r="T103" s="25">
        <v>21755.755000000001</v>
      </c>
      <c r="U103" s="272">
        <f t="shared" si="19"/>
        <v>5.376516744673066E-5</v>
      </c>
      <c r="V103" s="272">
        <f t="shared" ref="V103:V113" si="24">IF(B103&lt;&gt;0,(T103-P103)/P103,"")</f>
        <v>4.9314376072700457E-2</v>
      </c>
      <c r="X103" s="780">
        <v>20908.080000000002</v>
      </c>
      <c r="Y103" s="272">
        <f t="shared" si="21"/>
        <v>5.307806101234479E-5</v>
      </c>
      <c r="Z103" s="272">
        <f t="shared" si="22"/>
        <v>-3.8963253631050694E-2</v>
      </c>
    </row>
    <row r="104" spans="1:26" ht="11" customHeight="1">
      <c r="A104" s="268" t="s">
        <v>814</v>
      </c>
      <c r="B104" s="243" t="s">
        <v>859</v>
      </c>
      <c r="C104" s="272"/>
      <c r="D104" s="271">
        <v>285126.17619999999</v>
      </c>
      <c r="E104" s="272">
        <v>1.0678074835017183E-3</v>
      </c>
      <c r="F104" s="272">
        <v>4.4038836363511094E-2</v>
      </c>
      <c r="H104" s="271">
        <v>320355.967</v>
      </c>
      <c r="I104" s="272">
        <f t="shared" si="23"/>
        <v>1.0748210744619376E-3</v>
      </c>
      <c r="J104" s="265">
        <f t="shared" si="14"/>
        <v>0.12355859875625133</v>
      </c>
      <c r="L104" s="271">
        <f>275998710/1000</f>
        <v>275998.71000000002</v>
      </c>
      <c r="M104" s="272">
        <f t="shared" si="15"/>
        <v>8.2862648501694659E-4</v>
      </c>
      <c r="N104" s="272">
        <f t="shared" si="16"/>
        <v>-0.13846240298061932</v>
      </c>
      <c r="P104" s="25">
        <v>282989.07500000001</v>
      </c>
      <c r="Q104" s="272">
        <f t="shared" si="17"/>
        <v>7.5348130534068998E-4</v>
      </c>
      <c r="R104" s="272">
        <f t="shared" si="18"/>
        <v>2.5327527798952358E-2</v>
      </c>
      <c r="T104" s="25">
        <v>276353.93</v>
      </c>
      <c r="U104" s="272">
        <f t="shared" si="19"/>
        <v>6.8295562810907198E-4</v>
      </c>
      <c r="V104" s="272">
        <f t="shared" si="24"/>
        <v>-2.3446647189471957E-2</v>
      </c>
      <c r="X104" s="780">
        <v>293079.51899999997</v>
      </c>
      <c r="Y104" s="272">
        <f t="shared" si="21"/>
        <v>7.4402300885354671E-4</v>
      </c>
      <c r="Z104" s="272">
        <f t="shared" si="22"/>
        <v>6.0522349003685159E-2</v>
      </c>
    </row>
    <row r="105" spans="1:26" ht="11" customHeight="1">
      <c r="A105" s="261"/>
      <c r="B105" s="243" t="s">
        <v>860</v>
      </c>
      <c r="C105" s="272"/>
      <c r="D105" s="271">
        <v>88312.868879999995</v>
      </c>
      <c r="E105" s="272">
        <v>3.3073477692003645E-4</v>
      </c>
      <c r="F105" s="272">
        <v>-1.9566306460671666E-2</v>
      </c>
      <c r="H105" s="271">
        <v>90789.085000000006</v>
      </c>
      <c r="I105" s="272">
        <f t="shared" si="23"/>
        <v>3.0460497677920942E-4</v>
      </c>
      <c r="J105" s="265">
        <f t="shared" si="14"/>
        <v>2.8039131231991882E-2</v>
      </c>
      <c r="L105" s="271">
        <f>89566827.25/1000</f>
        <v>89566.827250000002</v>
      </c>
      <c r="M105" s="272">
        <f t="shared" si="15"/>
        <v>2.6890504393403713E-4</v>
      </c>
      <c r="N105" s="272">
        <f t="shared" si="16"/>
        <v>-1.3462606766000607E-2</v>
      </c>
      <c r="P105" s="25">
        <v>90941.574999999997</v>
      </c>
      <c r="Q105" s="272">
        <f t="shared" si="17"/>
        <v>2.4213930039786256E-4</v>
      </c>
      <c r="R105" s="272">
        <f t="shared" si="18"/>
        <v>1.5348849481547255E-2</v>
      </c>
      <c r="T105" s="25">
        <v>92552.682000000001</v>
      </c>
      <c r="U105" s="272">
        <f t="shared" si="19"/>
        <v>2.2872616672572451E-4</v>
      </c>
      <c r="V105" s="272">
        <f t="shared" si="24"/>
        <v>1.7715846685083293E-2</v>
      </c>
      <c r="X105" s="780">
        <v>89189.565000000002</v>
      </c>
      <c r="Y105" s="272">
        <f t="shared" si="21"/>
        <v>2.26420081266883E-4</v>
      </c>
      <c r="Z105" s="272">
        <f t="shared" si="22"/>
        <v>-3.6337326237612419E-2</v>
      </c>
    </row>
    <row r="106" spans="1:26" ht="11" customHeight="1">
      <c r="A106" s="261"/>
      <c r="B106" s="243" t="s">
        <v>861</v>
      </c>
      <c r="C106" s="272"/>
      <c r="D106" s="271">
        <v>3531072.6490000002</v>
      </c>
      <c r="E106" s="272">
        <v>1.3223990338739151E-2</v>
      </c>
      <c r="F106" s="272">
        <v>6.2569815076648924E-2</v>
      </c>
      <c r="H106" s="271">
        <v>3849729.3275000001</v>
      </c>
      <c r="I106" s="272">
        <f t="shared" si="23"/>
        <v>1.2916164012550396E-2</v>
      </c>
      <c r="J106" s="265">
        <f t="shared" si="14"/>
        <v>9.0243591728491765E-2</v>
      </c>
      <c r="L106" s="271">
        <f>3842545010/1000</f>
        <v>3842545.01</v>
      </c>
      <c r="M106" s="272">
        <f t="shared" si="15"/>
        <v>1.1536411040311412E-2</v>
      </c>
      <c r="N106" s="272">
        <f t="shared" si="16"/>
        <v>-1.8661876949842141E-3</v>
      </c>
      <c r="P106" s="25">
        <v>3779919.4419999998</v>
      </c>
      <c r="Q106" s="272">
        <f t="shared" si="17"/>
        <v>1.0064341300952385E-2</v>
      </c>
      <c r="R106" s="272">
        <f t="shared" si="18"/>
        <v>-1.6297939994722396E-2</v>
      </c>
      <c r="T106" s="25">
        <v>4113438.1306500002</v>
      </c>
      <c r="U106" s="272">
        <f t="shared" si="19"/>
        <v>1.0165571816568261E-2</v>
      </c>
      <c r="V106" s="272">
        <f t="shared" si="24"/>
        <v>8.8234337733275006E-2</v>
      </c>
      <c r="X106" s="780">
        <v>4076660.219</v>
      </c>
      <c r="Y106" s="272">
        <f t="shared" si="21"/>
        <v>1.0349167395125753E-2</v>
      </c>
      <c r="Z106" s="272">
        <f t="shared" si="22"/>
        <v>-8.940917665920636E-3</v>
      </c>
    </row>
    <row r="107" spans="1:26" ht="11" customHeight="1">
      <c r="A107" s="261"/>
      <c r="B107" s="243" t="s">
        <v>862</v>
      </c>
      <c r="C107" s="272"/>
      <c r="D107" s="271">
        <v>31580</v>
      </c>
      <c r="E107" s="272">
        <v>1.1826820244427724E-4</v>
      </c>
      <c r="F107" s="272">
        <v>0.17071362372567192</v>
      </c>
      <c r="H107" s="271">
        <v>25595</v>
      </c>
      <c r="I107" s="272">
        <f t="shared" si="23"/>
        <v>8.5873366613000506E-5</v>
      </c>
      <c r="J107" s="265">
        <f t="shared" si="14"/>
        <v>-0.18951868271057631</v>
      </c>
      <c r="L107" s="271">
        <v>23631</v>
      </c>
      <c r="M107" s="272">
        <f t="shared" si="15"/>
        <v>7.0946970974739205E-5</v>
      </c>
      <c r="N107" s="272">
        <f t="shared" si="16"/>
        <v>-7.6733737058019141E-2</v>
      </c>
      <c r="P107" s="25">
        <v>24185.9</v>
      </c>
      <c r="Q107" s="272">
        <f t="shared" si="17"/>
        <v>6.4396915332648068E-5</v>
      </c>
      <c r="R107" s="272">
        <f t="shared" si="18"/>
        <v>2.3481867039058926E-2</v>
      </c>
      <c r="T107" s="25">
        <v>27533.040000000001</v>
      </c>
      <c r="U107" s="272">
        <f t="shared" si="19"/>
        <v>6.8042617041676241E-5</v>
      </c>
      <c r="V107" s="272">
        <f t="shared" si="24"/>
        <v>0.13839220372200328</v>
      </c>
      <c r="X107" s="780">
        <v>17035.599999999999</v>
      </c>
      <c r="Y107" s="272">
        <f t="shared" si="21"/>
        <v>4.3247233422767695E-5</v>
      </c>
      <c r="Z107" s="272">
        <f t="shared" si="22"/>
        <v>-0.38126701591978229</v>
      </c>
    </row>
    <row r="108" spans="1:26" ht="11" customHeight="1">
      <c r="A108" s="261"/>
      <c r="B108" s="75" t="s">
        <v>863</v>
      </c>
      <c r="C108" s="272"/>
      <c r="D108" s="271">
        <v>2577714.9884600001</v>
      </c>
      <c r="E108" s="272">
        <v>9.6536326187091539E-3</v>
      </c>
      <c r="F108" s="272">
        <v>0.10846370062613143</v>
      </c>
      <c r="H108" s="271">
        <v>2642088.9013999999</v>
      </c>
      <c r="I108" s="272">
        <f t="shared" si="23"/>
        <v>8.8644293359664752E-3</v>
      </c>
      <c r="J108" s="265">
        <f t="shared" si="14"/>
        <v>2.4973246936993029E-2</v>
      </c>
      <c r="L108" s="271">
        <f>2748504606.5/1000</f>
        <v>2748504.6065000002</v>
      </c>
      <c r="M108" s="272">
        <f t="shared" si="15"/>
        <v>8.2517911447375272E-3</v>
      </c>
      <c r="N108" s="272">
        <f t="shared" si="16"/>
        <v>4.0277109919962355E-2</v>
      </c>
      <c r="P108" s="25">
        <v>2628333.6299200002</v>
      </c>
      <c r="Q108" s="272">
        <f t="shared" si="17"/>
        <v>6.9981509156950873E-3</v>
      </c>
      <c r="R108" s="272">
        <f t="shared" si="18"/>
        <v>-4.3722312233279499E-2</v>
      </c>
      <c r="T108" s="25">
        <v>2801534.97028</v>
      </c>
      <c r="U108" s="272">
        <f t="shared" si="19"/>
        <v>6.9234552781540244E-3</v>
      </c>
      <c r="V108" s="272">
        <f t="shared" si="24"/>
        <v>6.5897775833455213E-2</v>
      </c>
      <c r="X108" s="780">
        <v>2760173.5314700003</v>
      </c>
      <c r="Y108" s="272">
        <f t="shared" si="21"/>
        <v>7.0070833432827814E-3</v>
      </c>
      <c r="Z108" s="272">
        <f t="shared" si="22"/>
        <v>-1.4763848836006446E-2</v>
      </c>
    </row>
    <row r="109" spans="1:26" ht="11" customHeight="1">
      <c r="A109" s="261"/>
      <c r="B109" s="243" t="s">
        <v>864</v>
      </c>
      <c r="C109" s="272"/>
      <c r="D109" s="271">
        <v>48150.434999999998</v>
      </c>
      <c r="E109" s="272">
        <v>1.8032505998606752E-4</v>
      </c>
      <c r="F109" s="272">
        <v>5.2983968873943743E-2</v>
      </c>
      <c r="H109" s="271">
        <v>49685.154999999999</v>
      </c>
      <c r="I109" s="272">
        <f t="shared" si="23"/>
        <v>1.6669785233595449E-4</v>
      </c>
      <c r="J109" s="265">
        <f t="shared" si="14"/>
        <v>3.1873439980344961E-2</v>
      </c>
      <c r="L109" s="271">
        <f>50733890/1000</f>
        <v>50733.89</v>
      </c>
      <c r="M109" s="272">
        <f t="shared" si="15"/>
        <v>1.5231754141871321E-4</v>
      </c>
      <c r="N109" s="272">
        <f t="shared" si="16"/>
        <v>2.110761252531064E-2</v>
      </c>
      <c r="P109" s="25">
        <v>52619.11</v>
      </c>
      <c r="Q109" s="272">
        <f t="shared" si="17"/>
        <v>1.4010263713772468E-4</v>
      </c>
      <c r="R109" s="272">
        <f t="shared" si="18"/>
        <v>3.7158987808740884E-2</v>
      </c>
      <c r="T109" s="25">
        <v>54426.27</v>
      </c>
      <c r="U109" s="272">
        <f t="shared" si="19"/>
        <v>1.3450406662747274E-4</v>
      </c>
      <c r="V109" s="272">
        <f t="shared" si="24"/>
        <v>3.4344176478849534E-2</v>
      </c>
      <c r="X109" s="780">
        <v>54583.519999999997</v>
      </c>
      <c r="Y109" s="272">
        <f t="shared" si="21"/>
        <v>1.3856783620631554E-4</v>
      </c>
      <c r="Z109" s="272">
        <f t="shared" si="22"/>
        <v>2.8892297781935084E-3</v>
      </c>
    </row>
    <row r="110" spans="1:26" ht="11" customHeight="1">
      <c r="A110" s="278"/>
      <c r="B110" s="243" t="s">
        <v>865</v>
      </c>
      <c r="C110" s="272"/>
      <c r="D110" s="271">
        <v>139462.16608000002</v>
      </c>
      <c r="E110" s="272">
        <v>5.2229068053409936E-4</v>
      </c>
      <c r="F110" s="272">
        <v>-4.1142923382348984E-2</v>
      </c>
      <c r="H110" s="271">
        <v>176263.6262</v>
      </c>
      <c r="I110" s="272">
        <f t="shared" si="23"/>
        <v>5.9137921442506272E-4</v>
      </c>
      <c r="J110" s="265">
        <f t="shared" si="14"/>
        <v>0.26388131745271665</v>
      </c>
      <c r="L110" s="271">
        <f>191528829.6/1000</f>
        <v>191528.8296</v>
      </c>
      <c r="M110" s="272">
        <f t="shared" si="15"/>
        <v>5.7502392257868784E-4</v>
      </c>
      <c r="N110" s="272">
        <f t="shared" si="16"/>
        <v>8.6604387581809536E-2</v>
      </c>
      <c r="P110" s="25">
        <v>176248.69084999998</v>
      </c>
      <c r="Q110" s="272">
        <f t="shared" si="17"/>
        <v>4.6927639749430507E-4</v>
      </c>
      <c r="R110" s="272">
        <f t="shared" si="18"/>
        <v>-7.9779836706108151E-2</v>
      </c>
      <c r="T110" s="25">
        <v>216387.45087999999</v>
      </c>
      <c r="U110" s="272">
        <f t="shared" si="19"/>
        <v>5.3475999936266998E-4</v>
      </c>
      <c r="V110" s="272">
        <f t="shared" si="24"/>
        <v>0.22773933716285535</v>
      </c>
      <c r="X110" s="780">
        <v>203811.27016999997</v>
      </c>
      <c r="Y110" s="272">
        <f t="shared" si="21"/>
        <v>5.1740317777083055E-4</v>
      </c>
      <c r="Z110" s="272">
        <f t="shared" si="22"/>
        <v>-5.8118807993973148E-2</v>
      </c>
    </row>
    <row r="111" spans="1:26" ht="11" customHeight="1">
      <c r="A111" s="261"/>
      <c r="B111" s="243" t="s">
        <v>866</v>
      </c>
      <c r="C111" s="272"/>
      <c r="D111" s="271">
        <v>61491.27</v>
      </c>
      <c r="E111" s="272">
        <v>2.3028695278390474E-4</v>
      </c>
      <c r="F111" s="272">
        <v>5.4538348457960219E-2</v>
      </c>
      <c r="H111" s="271">
        <v>67408.854999999996</v>
      </c>
      <c r="I111" s="272">
        <f t="shared" si="23"/>
        <v>2.2616234883288111E-4</v>
      </c>
      <c r="J111" s="265">
        <f t="shared" si="14"/>
        <v>9.623455492137338E-2</v>
      </c>
      <c r="L111" s="271">
        <f>65426524.48/1000</f>
        <v>65426.52448</v>
      </c>
      <c r="M111" s="272">
        <f t="shared" si="15"/>
        <v>1.9642900144981694E-4</v>
      </c>
      <c r="N111" s="272">
        <f t="shared" si="16"/>
        <v>-2.9407568486365717E-2</v>
      </c>
      <c r="P111" s="25">
        <v>65680.255999999994</v>
      </c>
      <c r="Q111" s="272">
        <f t="shared" si="17"/>
        <v>1.7487899497883684E-4</v>
      </c>
      <c r="R111" s="272">
        <f t="shared" si="18"/>
        <v>3.8781139914830136E-3</v>
      </c>
      <c r="T111" s="25">
        <v>63397.51</v>
      </c>
      <c r="U111" s="272">
        <f t="shared" si="19"/>
        <v>1.5667476218847755E-4</v>
      </c>
      <c r="V111" s="272">
        <f t="shared" si="24"/>
        <v>-3.4755437006822751E-2</v>
      </c>
      <c r="X111" s="780">
        <v>62959.541060000003</v>
      </c>
      <c r="Y111" s="272">
        <f t="shared" si="21"/>
        <v>1.5983152741389487E-4</v>
      </c>
      <c r="Z111" s="272">
        <f t="shared" si="22"/>
        <v>-6.9082987644151772E-3</v>
      </c>
    </row>
    <row r="112" spans="1:26" ht="11" customHeight="1">
      <c r="A112" s="261"/>
      <c r="B112" s="243" t="s">
        <v>867</v>
      </c>
      <c r="C112" s="272"/>
      <c r="D112" s="271">
        <v>163.80000000000001</v>
      </c>
      <c r="E112" s="272">
        <v>6.1343671818785986E-7</v>
      </c>
      <c r="F112" s="272">
        <v>-0.82316744035409695</v>
      </c>
      <c r="H112" s="271">
        <v>535.66499999999996</v>
      </c>
      <c r="I112" s="272">
        <f t="shared" si="23"/>
        <v>1.797200895751237E-6</v>
      </c>
      <c r="J112" s="265">
        <f t="shared" si="14"/>
        <v>2.2702380952380947</v>
      </c>
      <c r="L112" s="271">
        <f>357110/1000</f>
        <v>357.11</v>
      </c>
      <c r="M112" s="272">
        <f t="shared" si="15"/>
        <v>1.0721456055515686E-6</v>
      </c>
      <c r="N112" s="272">
        <f t="shared" si="16"/>
        <v>-0.33333333333333326</v>
      </c>
      <c r="P112" s="25">
        <v>436</v>
      </c>
      <c r="Q112" s="272">
        <f t="shared" si="17"/>
        <v>1.1608852713785534E-6</v>
      </c>
      <c r="R112" s="272">
        <f t="shared" si="18"/>
        <v>0.22091232393380186</v>
      </c>
      <c r="T112" s="25">
        <v>370.71</v>
      </c>
      <c r="U112" s="272">
        <f t="shared" si="19"/>
        <v>9.1613852170046605E-7</v>
      </c>
      <c r="V112" s="272">
        <f t="shared" si="24"/>
        <v>-0.1497477064220184</v>
      </c>
      <c r="X112" s="780">
        <v>183.10499999999999</v>
      </c>
      <c r="Y112" s="272">
        <f t="shared" si="21"/>
        <v>4.6483743900278706E-7</v>
      </c>
      <c r="Z112" s="272">
        <f t="shared" si="22"/>
        <v>-0.50606943432872054</v>
      </c>
    </row>
    <row r="113" spans="1:26" ht="11" customHeight="1">
      <c r="A113" s="268" t="s">
        <v>814</v>
      </c>
      <c r="B113" s="243" t="s">
        <v>868</v>
      </c>
      <c r="C113" s="272"/>
      <c r="D113" s="271">
        <v>2440.08</v>
      </c>
      <c r="E113" s="272">
        <v>9.1381847821479429E-6</v>
      </c>
      <c r="F113" s="272">
        <v>0.14393942945547442</v>
      </c>
      <c r="H113" s="271">
        <v>1889.7349999999999</v>
      </c>
      <c r="I113" s="272">
        <f t="shared" si="23"/>
        <v>6.3402190449860716E-6</v>
      </c>
      <c r="J113" s="265">
        <f t="shared" si="14"/>
        <v>-0.22554383462837285</v>
      </c>
      <c r="L113" s="271">
        <f>1727310/1000</f>
        <v>1727.31</v>
      </c>
      <c r="M113" s="272">
        <f t="shared" si="15"/>
        <v>5.1858750130919883E-6</v>
      </c>
      <c r="N113" s="272">
        <f t="shared" si="16"/>
        <v>-8.5951204798556391E-2</v>
      </c>
      <c r="P113" s="25">
        <v>1341.97</v>
      </c>
      <c r="Q113" s="272">
        <f t="shared" si="17"/>
        <v>3.5731036872290767E-6</v>
      </c>
      <c r="R113" s="272">
        <f t="shared" si="18"/>
        <v>-0.2230867649698085</v>
      </c>
      <c r="T113" s="25">
        <v>2670.71</v>
      </c>
      <c r="U113" s="272">
        <f t="shared" si="19"/>
        <v>6.600146506138631E-6</v>
      </c>
      <c r="V113" s="272">
        <f t="shared" si="24"/>
        <v>0.99014135934484371</v>
      </c>
      <c r="X113" s="780">
        <v>2343</v>
      </c>
      <c r="Y113" s="272">
        <f t="shared" si="21"/>
        <v>5.9480304720435274E-6</v>
      </c>
      <c r="Z113" s="272">
        <f t="shared" si="22"/>
        <v>-0.12270519824316381</v>
      </c>
    </row>
    <row r="114" spans="1:26" ht="11" hidden="1" customHeight="1">
      <c r="A114" s="261"/>
      <c r="B114" s="243" t="s">
        <v>869</v>
      </c>
      <c r="C114" s="272"/>
      <c r="D114" s="271">
        <v>0</v>
      </c>
      <c r="E114" s="272">
        <v>0</v>
      </c>
      <c r="F114" s="272">
        <v>0</v>
      </c>
      <c r="H114" s="271">
        <v>0</v>
      </c>
      <c r="I114" s="272">
        <f t="shared" si="23"/>
        <v>0</v>
      </c>
      <c r="J114" s="265" t="e">
        <f t="shared" si="14"/>
        <v>#DIV/0!</v>
      </c>
      <c r="L114" s="271">
        <v>0</v>
      </c>
      <c r="M114" s="272">
        <f t="shared" si="15"/>
        <v>0</v>
      </c>
      <c r="N114" s="272"/>
      <c r="P114" s="25">
        <v>0</v>
      </c>
      <c r="Q114" s="272">
        <f t="shared" si="17"/>
        <v>0</v>
      </c>
      <c r="R114" s="272"/>
      <c r="T114" s="25">
        <v>0</v>
      </c>
      <c r="U114" s="272">
        <f t="shared" si="19"/>
        <v>0</v>
      </c>
      <c r="V114" s="272"/>
      <c r="X114" s="780">
        <v>0</v>
      </c>
      <c r="Y114" s="272">
        <f t="shared" si="21"/>
        <v>0</v>
      </c>
      <c r="Z114" s="272" t="e">
        <f t="shared" si="22"/>
        <v>#DIV/0!</v>
      </c>
    </row>
    <row r="115" spans="1:26" ht="11" hidden="1" customHeight="1">
      <c r="A115" s="261"/>
      <c r="B115" s="243" t="s">
        <v>870</v>
      </c>
      <c r="C115" s="272"/>
      <c r="D115" s="271">
        <v>0</v>
      </c>
      <c r="E115" s="272">
        <v>0</v>
      </c>
      <c r="F115" s="272">
        <v>0</v>
      </c>
      <c r="H115" s="271">
        <v>0</v>
      </c>
      <c r="I115" s="272">
        <f t="shared" si="23"/>
        <v>0</v>
      </c>
      <c r="J115" s="265" t="e">
        <f t="shared" si="14"/>
        <v>#DIV/0!</v>
      </c>
      <c r="L115" s="271">
        <v>0</v>
      </c>
      <c r="M115" s="272">
        <f t="shared" si="15"/>
        <v>0</v>
      </c>
      <c r="N115" s="272"/>
      <c r="P115" s="25">
        <v>0</v>
      </c>
      <c r="Q115" s="272">
        <f t="shared" si="17"/>
        <v>0</v>
      </c>
      <c r="R115" s="272"/>
      <c r="T115" s="25"/>
      <c r="U115" s="272">
        <f t="shared" si="19"/>
        <v>0</v>
      </c>
      <c r="V115" s="272"/>
      <c r="X115" s="780">
        <v>0</v>
      </c>
      <c r="Y115" s="272">
        <f t="shared" si="21"/>
        <v>0</v>
      </c>
      <c r="Z115" s="272" t="e">
        <f t="shared" si="22"/>
        <v>#DIV/0!</v>
      </c>
    </row>
    <row r="116" spans="1:26" ht="11" customHeight="1">
      <c r="A116" s="261"/>
      <c r="B116" s="243" t="s">
        <v>871</v>
      </c>
      <c r="C116" s="272"/>
      <c r="D116" s="271">
        <v>45131.356</v>
      </c>
      <c r="E116" s="272">
        <v>1.6901850373631243E-4</v>
      </c>
      <c r="F116" s="272">
        <v>8.0670503215035883E-2</v>
      </c>
      <c r="H116" s="271">
        <v>48496.56</v>
      </c>
      <c r="I116" s="272">
        <f t="shared" si="23"/>
        <v>1.6271001665752591E-4</v>
      </c>
      <c r="J116" s="265">
        <f t="shared" si="14"/>
        <v>7.4564655225515447E-2</v>
      </c>
      <c r="L116" s="271">
        <f>49775223.48/1000</f>
        <v>49775.223479999993</v>
      </c>
      <c r="M116" s="272">
        <f t="shared" si="15"/>
        <v>1.4943935235481854E-4</v>
      </c>
      <c r="N116" s="272">
        <f>IF(B116&lt;&gt;0,(L116-H116)/H116,"")</f>
        <v>2.6366065551865856E-2</v>
      </c>
      <c r="P116" s="25">
        <v>50156.150130000002</v>
      </c>
      <c r="Q116" s="272">
        <f t="shared" si="17"/>
        <v>1.3354480723616635E-4</v>
      </c>
      <c r="R116" s="272">
        <f>IF(B116&lt;&gt;0,(P116-L116)/L116,"")</f>
        <v>7.6529370109823273E-3</v>
      </c>
      <c r="T116" s="25">
        <v>55353.975640000004</v>
      </c>
      <c r="U116" s="272">
        <f t="shared" si="19"/>
        <v>1.367967128296329E-4</v>
      </c>
      <c r="V116" s="272">
        <f>IF(B116&lt;&gt;0,(T116-P116)/P116,"")</f>
        <v>0.10363286449473753</v>
      </c>
      <c r="X116" s="780">
        <v>54965.653969999999</v>
      </c>
      <c r="Y116" s="272">
        <f t="shared" si="21"/>
        <v>1.3953793629080678E-4</v>
      </c>
      <c r="Z116" s="272">
        <f t="shared" si="22"/>
        <v>-7.0152444428832495E-3</v>
      </c>
    </row>
    <row r="117" spans="1:26" ht="11" customHeight="1">
      <c r="A117" s="261"/>
      <c r="B117" s="243" t="s">
        <v>872</v>
      </c>
      <c r="C117" s="272"/>
      <c r="D117" s="271">
        <v>112.5</v>
      </c>
      <c r="E117" s="272">
        <v>4.2131642732682679E-7</v>
      </c>
      <c r="F117" s="272">
        <v>4.6511627906976744E-2</v>
      </c>
      <c r="H117" s="271">
        <v>122.5</v>
      </c>
      <c r="I117" s="272">
        <f t="shared" si="23"/>
        <v>4.1099774995477872E-7</v>
      </c>
      <c r="J117" s="265">
        <f t="shared" si="14"/>
        <v>8.8888888888888892E-2</v>
      </c>
      <c r="L117" s="271">
        <f>67500/1000</f>
        <v>67.5</v>
      </c>
      <c r="M117" s="272">
        <f t="shared" si="15"/>
        <v>2.0265416363230064E-7</v>
      </c>
      <c r="N117" s="272">
        <f>IF(B117&lt;&gt;0,(L117-H117)/H117,"")</f>
        <v>-0.44897959183673469</v>
      </c>
      <c r="P117" s="25">
        <v>95</v>
      </c>
      <c r="Q117" s="272">
        <f t="shared" si="17"/>
        <v>2.5294518527743712E-7</v>
      </c>
      <c r="R117" s="272">
        <f>IF(B117&lt;&gt;0,(P117-L117)/L117,"")</f>
        <v>0.40740740740740738</v>
      </c>
      <c r="T117" s="25">
        <v>97.5</v>
      </c>
      <c r="U117" s="272">
        <f t="shared" si="19"/>
        <v>2.4095251238379174E-7</v>
      </c>
      <c r="V117" s="272">
        <f>IF(B117&lt;&gt;0,(T117-P117)/P117,"")</f>
        <v>2.6315789473684209E-2</v>
      </c>
      <c r="X117" s="780">
        <v>37.5</v>
      </c>
      <c r="Y117" s="272">
        <f t="shared" si="21"/>
        <v>9.5198951217085914E-8</v>
      </c>
      <c r="Z117" s="272">
        <f t="shared" si="22"/>
        <v>-0.61538461538461542</v>
      </c>
    </row>
    <row r="118" spans="1:26" ht="11" hidden="1" customHeight="1">
      <c r="A118" s="261"/>
      <c r="B118" s="243" t="s">
        <v>873</v>
      </c>
      <c r="C118" s="272"/>
      <c r="D118" s="271">
        <v>0</v>
      </c>
      <c r="E118" s="272">
        <v>0</v>
      </c>
      <c r="F118" s="272">
        <v>0</v>
      </c>
      <c r="H118" s="271">
        <v>0</v>
      </c>
      <c r="I118" s="272">
        <f t="shared" si="23"/>
        <v>0</v>
      </c>
      <c r="J118" s="265" t="e">
        <f t="shared" si="14"/>
        <v>#DIV/0!</v>
      </c>
      <c r="L118" s="271">
        <v>0</v>
      </c>
      <c r="M118" s="272">
        <f t="shared" si="15"/>
        <v>0</v>
      </c>
      <c r="N118" s="272"/>
      <c r="P118" s="25">
        <v>0</v>
      </c>
      <c r="Q118" s="272">
        <f t="shared" si="17"/>
        <v>0</v>
      </c>
      <c r="R118" s="272"/>
      <c r="T118" s="25"/>
      <c r="U118" s="272">
        <f t="shared" si="19"/>
        <v>0</v>
      </c>
      <c r="V118" s="272"/>
      <c r="X118" s="780">
        <v>0</v>
      </c>
      <c r="Y118" s="272">
        <f t="shared" si="21"/>
        <v>0</v>
      </c>
      <c r="Z118" s="272" t="e">
        <f t="shared" si="22"/>
        <v>#DIV/0!</v>
      </c>
    </row>
    <row r="119" spans="1:26" ht="11" hidden="1" customHeight="1">
      <c r="A119" s="261"/>
      <c r="B119" s="243" t="s">
        <v>874</v>
      </c>
      <c r="C119" s="272"/>
      <c r="D119" s="271">
        <v>0</v>
      </c>
      <c r="E119" s="272">
        <v>0</v>
      </c>
      <c r="F119" s="272">
        <v>0</v>
      </c>
      <c r="H119" s="271">
        <v>0</v>
      </c>
      <c r="I119" s="272">
        <f t="shared" si="23"/>
        <v>0</v>
      </c>
      <c r="J119" s="265" t="e">
        <f t="shared" si="14"/>
        <v>#DIV/0!</v>
      </c>
      <c r="L119" s="271">
        <v>0</v>
      </c>
      <c r="M119" s="272">
        <f t="shared" si="15"/>
        <v>0</v>
      </c>
      <c r="N119" s="272"/>
      <c r="P119" s="25">
        <v>0</v>
      </c>
      <c r="Q119" s="272">
        <f t="shared" si="17"/>
        <v>0</v>
      </c>
      <c r="R119" s="272"/>
      <c r="T119" s="25"/>
      <c r="U119" s="272">
        <f t="shared" si="19"/>
        <v>0</v>
      </c>
      <c r="V119" s="272"/>
      <c r="X119" s="780">
        <v>0</v>
      </c>
      <c r="Y119" s="272">
        <f t="shared" si="21"/>
        <v>0</v>
      </c>
      <c r="Z119" s="272" t="e">
        <f t="shared" si="22"/>
        <v>#DIV/0!</v>
      </c>
    </row>
    <row r="120" spans="1:26" ht="11" customHeight="1">
      <c r="A120" s="261"/>
      <c r="B120" s="243" t="s">
        <v>875</v>
      </c>
      <c r="C120" s="272"/>
      <c r="D120" s="267">
        <v>225158.41900000002</v>
      </c>
      <c r="E120" s="272">
        <v>8.4322613933899312E-4</v>
      </c>
      <c r="F120" s="272">
        <v>7.7013970714255864E-2</v>
      </c>
      <c r="H120" s="267">
        <f>SUM(H121:H125)</f>
        <v>242511.09400000004</v>
      </c>
      <c r="I120" s="272">
        <f t="shared" si="23"/>
        <v>8.1364501202507635E-4</v>
      </c>
      <c r="J120" s="265">
        <f t="shared" si="14"/>
        <v>7.7068737101054233E-2</v>
      </c>
      <c r="L120" s="267">
        <f>SUM(L121:L125)</f>
        <v>249428.80137000003</v>
      </c>
      <c r="M120" s="272">
        <f t="shared" si="15"/>
        <v>7.4885607596214218E-4</v>
      </c>
      <c r="N120" s="272">
        <f>IF(B120&lt;&gt;0,(L120-H120)/H120,"")</f>
        <v>2.8525323340465356E-2</v>
      </c>
      <c r="P120" s="25">
        <v>250712.99789999999</v>
      </c>
      <c r="Q120" s="272">
        <f t="shared" si="17"/>
        <v>6.675436390029179E-4</v>
      </c>
      <c r="R120" s="272">
        <f>IF(B120&lt;&gt;0,(P120-L120)/L120,"")</f>
        <v>5.1485494976780729E-3</v>
      </c>
      <c r="T120" s="25">
        <v>272596.83230000001</v>
      </c>
      <c r="U120" s="272">
        <f t="shared" si="19"/>
        <v>6.7367068318510931E-4</v>
      </c>
      <c r="V120" s="272">
        <f>IF(B120&lt;&gt;0,(T120-P120)/P120,"")</f>
        <v>8.7286397527457524E-2</v>
      </c>
      <c r="X120" s="780">
        <v>275043.75562999997</v>
      </c>
      <c r="Y120" s="272">
        <f t="shared" si="21"/>
        <v>6.9823672199425234E-4</v>
      </c>
      <c r="Z120" s="272">
        <f t="shared" si="22"/>
        <v>8.9763454305553259E-3</v>
      </c>
    </row>
    <row r="121" spans="1:26" ht="11" customHeight="1">
      <c r="A121" s="261"/>
      <c r="B121" s="243" t="s">
        <v>876</v>
      </c>
      <c r="C121" s="272"/>
      <c r="D121" s="271">
        <v>0</v>
      </c>
      <c r="E121" s="272">
        <v>0</v>
      </c>
      <c r="F121" s="272">
        <v>0</v>
      </c>
      <c r="H121" s="271">
        <v>0</v>
      </c>
      <c r="I121" s="272">
        <f t="shared" si="23"/>
        <v>0</v>
      </c>
      <c r="J121" s="265">
        <v>0</v>
      </c>
      <c r="L121" s="271">
        <v>0</v>
      </c>
      <c r="M121" s="272">
        <f t="shared" si="15"/>
        <v>0</v>
      </c>
      <c r="N121" s="272"/>
      <c r="P121" s="25">
        <v>0</v>
      </c>
      <c r="Q121" s="272">
        <f t="shared" si="17"/>
        <v>0</v>
      </c>
      <c r="R121" s="272"/>
      <c r="T121" s="25">
        <v>68149.379310000004</v>
      </c>
      <c r="U121" s="272">
        <f t="shared" si="19"/>
        <v>1.6841809397067178E-4</v>
      </c>
      <c r="V121" s="272"/>
      <c r="X121" s="781"/>
      <c r="Y121" s="272">
        <f t="shared" si="21"/>
        <v>0</v>
      </c>
      <c r="Z121" s="272">
        <f t="shared" si="22"/>
        <v>-1</v>
      </c>
    </row>
    <row r="122" spans="1:26" ht="11" customHeight="1">
      <c r="A122" s="261"/>
      <c r="B122" s="243" t="s">
        <v>877</v>
      </c>
      <c r="C122" s="272"/>
      <c r="D122" s="271">
        <v>56289.605000000003</v>
      </c>
      <c r="E122" s="272">
        <v>2.10806535771007E-4</v>
      </c>
      <c r="F122" s="272">
        <v>7.9072884130548984E-2</v>
      </c>
      <c r="H122" s="271">
        <v>60636.167500000003</v>
      </c>
      <c r="I122" s="272">
        <f t="shared" si="23"/>
        <v>2.0343941557862108E-4</v>
      </c>
      <c r="J122" s="265">
        <f t="shared" si="14"/>
        <v>7.7217853989204568E-2</v>
      </c>
      <c r="L122" s="271">
        <f>62367733.09/1000</f>
        <v>62367.733090000002</v>
      </c>
      <c r="M122" s="272">
        <f t="shared" si="15"/>
        <v>1.8724564128883722E-4</v>
      </c>
      <c r="N122" s="272">
        <f t="shared" ref="N122:N146" si="25">IF(B122&lt;&gt;0,(L122-H122)/H122,"")</f>
        <v>2.855664632828251E-2</v>
      </c>
      <c r="P122" s="25">
        <v>62721.389470000002</v>
      </c>
      <c r="Q122" s="272">
        <f t="shared" si="17"/>
        <v>1.6700077347734152E-4</v>
      </c>
      <c r="R122" s="272">
        <f t="shared" ref="R122:R146" si="26">IF(B122&lt;&gt;0,(P122-L122)/L122,"")</f>
        <v>5.6705023972837866E-3</v>
      </c>
      <c r="T122" s="25">
        <v>27259.99192</v>
      </c>
      <c r="U122" s="272">
        <f t="shared" si="19"/>
        <v>6.7367831186521677E-5</v>
      </c>
      <c r="V122" s="272">
        <f>IF(B122&lt;&gt;0,(T122-P122)/P122,"")</f>
        <v>-0.56537965516470889</v>
      </c>
      <c r="X122" s="780">
        <v>68738.890830000004</v>
      </c>
      <c r="Y122" s="272">
        <f t="shared" si="21"/>
        <v>1.7450320839578037E-4</v>
      </c>
      <c r="Z122" s="272">
        <f t="shared" si="22"/>
        <v>1.5216034924635444</v>
      </c>
    </row>
    <row r="123" spans="1:26" ht="11" customHeight="1">
      <c r="A123" s="261"/>
      <c r="B123" s="243" t="s">
        <v>878</v>
      </c>
      <c r="C123" s="272"/>
      <c r="D123" s="271">
        <v>22515.841499999999</v>
      </c>
      <c r="E123" s="272">
        <v>8.4322612435885341E-5</v>
      </c>
      <c r="F123" s="272">
        <v>7.747950999125694E-2</v>
      </c>
      <c r="H123" s="271">
        <v>24250.838500000002</v>
      </c>
      <c r="I123" s="272">
        <f t="shared" si="23"/>
        <v>8.1363592310340586E-5</v>
      </c>
      <c r="J123" s="265">
        <f t="shared" si="14"/>
        <v>7.7056724706469584E-2</v>
      </c>
      <c r="L123" s="271">
        <f>24917932.24/1000</f>
        <v>24917.932239999998</v>
      </c>
      <c r="M123" s="272">
        <f t="shared" si="15"/>
        <v>7.4810706926570949E-5</v>
      </c>
      <c r="N123" s="272">
        <f t="shared" si="25"/>
        <v>2.7508069050890614E-2</v>
      </c>
      <c r="P123" s="25">
        <v>25086.880789999999</v>
      </c>
      <c r="Q123" s="272">
        <f t="shared" si="17"/>
        <v>6.6795849573258193E-5</v>
      </c>
      <c r="R123" s="272">
        <f t="shared" si="26"/>
        <v>6.7801994311868707E-3</v>
      </c>
      <c r="T123" s="25">
        <v>149927.94550999999</v>
      </c>
      <c r="U123" s="272">
        <f t="shared" si="19"/>
        <v>3.7051810407358695E-4</v>
      </c>
      <c r="V123" s="272"/>
      <c r="X123" s="780">
        <v>27491.914649999999</v>
      </c>
      <c r="Y123" s="272">
        <f t="shared" si="21"/>
        <v>6.9792038443457048E-5</v>
      </c>
      <c r="Z123" s="272">
        <f t="shared" si="22"/>
        <v>-0.81663248598196581</v>
      </c>
    </row>
    <row r="124" spans="1:26" ht="11" customHeight="1">
      <c r="A124" s="261"/>
      <c r="B124" s="243" t="s">
        <v>879</v>
      </c>
      <c r="C124" s="272"/>
      <c r="D124" s="271">
        <v>123837.13099999999</v>
      </c>
      <c r="E124" s="272">
        <v>4.6377437869621536E-4</v>
      </c>
      <c r="F124" s="272">
        <v>7.5593047967706023E-2</v>
      </c>
      <c r="H124" s="271">
        <v>133373.24950000001</v>
      </c>
      <c r="I124" s="272">
        <f t="shared" si="23"/>
        <v>4.4747841182577407E-4</v>
      </c>
      <c r="J124" s="265">
        <f t="shared" si="14"/>
        <v>7.7005324840737882E-2</v>
      </c>
      <c r="L124" s="271">
        <f>137207472.8/1000</f>
        <v>137207.47280000002</v>
      </c>
      <c r="M124" s="272">
        <f t="shared" si="15"/>
        <v>4.1193578732423174E-4</v>
      </c>
      <c r="N124" s="272">
        <f t="shared" si="25"/>
        <v>2.8748068404826653E-2</v>
      </c>
      <c r="P124" s="25">
        <v>137813.03435</v>
      </c>
      <c r="Q124" s="272">
        <f t="shared" si="17"/>
        <v>3.6693835270849005E-4</v>
      </c>
      <c r="R124" s="272">
        <f t="shared" si="26"/>
        <v>4.413473534948629E-3</v>
      </c>
      <c r="T124" s="25">
        <v>27259.51556</v>
      </c>
      <c r="U124" s="272">
        <f t="shared" si="19"/>
        <v>6.7366653954328858E-5</v>
      </c>
      <c r="V124" s="272">
        <f>IF(B124&lt;&gt;0,(T124-P124)/P124,"")</f>
        <v>-0.80219929349520191</v>
      </c>
      <c r="X124" s="780">
        <v>151318.38774999999</v>
      </c>
      <c r="Y124" s="272">
        <f t="shared" si="21"/>
        <v>3.8414271503094236E-4</v>
      </c>
      <c r="Z124" s="272">
        <f t="shared" si="22"/>
        <v>4.5510299666528624</v>
      </c>
    </row>
    <row r="125" spans="1:26" ht="11" customHeight="1">
      <c r="A125" s="261"/>
      <c r="B125" s="243" t="s">
        <v>880</v>
      </c>
      <c r="C125" s="272"/>
      <c r="D125" s="271">
        <v>22515.841499999999</v>
      </c>
      <c r="E125" s="272">
        <v>8.4322612435885341E-5</v>
      </c>
      <c r="F125" s="272">
        <v>7.9241165795732607E-2</v>
      </c>
      <c r="H125" s="271">
        <v>24250.838500000002</v>
      </c>
      <c r="I125" s="272">
        <f t="shared" si="23"/>
        <v>8.1363592310340586E-5</v>
      </c>
      <c r="J125" s="265">
        <f t="shared" si="14"/>
        <v>7.7056724706469584E-2</v>
      </c>
      <c r="L125" s="271">
        <f>24935663.24/1000</f>
        <v>24935.663239999998</v>
      </c>
      <c r="M125" s="272">
        <f t="shared" si="15"/>
        <v>7.4863940422502273E-5</v>
      </c>
      <c r="N125" s="272">
        <f t="shared" si="25"/>
        <v>2.8239219027416159E-2</v>
      </c>
      <c r="P125" s="25">
        <v>25091.693289999999</v>
      </c>
      <c r="Q125" s="272">
        <f t="shared" si="17"/>
        <v>6.6808663243828159E-5</v>
      </c>
      <c r="R125" s="272">
        <f t="shared" si="26"/>
        <v>6.2573049891734593E-3</v>
      </c>
      <c r="U125" s="272">
        <f t="shared" si="19"/>
        <v>0</v>
      </c>
      <c r="V125" s="272"/>
      <c r="X125" s="780">
        <v>27494.562399999999</v>
      </c>
      <c r="Y125" s="272">
        <f t="shared" si="21"/>
        <v>6.9798760124072651E-5</v>
      </c>
      <c r="Z125" s="272"/>
    </row>
    <row r="126" spans="1:26" ht="11" customHeight="1">
      <c r="A126" s="261"/>
      <c r="B126" s="14"/>
      <c r="C126" s="265"/>
      <c r="D126" s="262" t="s">
        <v>154</v>
      </c>
      <c r="E126" s="265" t="s">
        <v>154</v>
      </c>
      <c r="F126" s="265" t="s">
        <v>154</v>
      </c>
      <c r="H126" s="262" t="s">
        <v>154</v>
      </c>
      <c r="I126" s="265"/>
      <c r="J126" s="265" t="str">
        <f t="shared" si="14"/>
        <v/>
      </c>
      <c r="L126" s="262" t="s">
        <v>154</v>
      </c>
      <c r="M126" s="265" t="str">
        <f t="shared" si="15"/>
        <v/>
      </c>
      <c r="N126" s="265" t="str">
        <f t="shared" si="25"/>
        <v/>
      </c>
      <c r="P126" s="25"/>
      <c r="Q126" s="265" t="str">
        <f t="shared" si="17"/>
        <v/>
      </c>
      <c r="R126" s="265" t="str">
        <f t="shared" si="26"/>
        <v/>
      </c>
      <c r="U126" s="265" t="str">
        <f t="shared" si="19"/>
        <v/>
      </c>
      <c r="V126" s="265" t="str">
        <f t="shared" ref="V126:V146" si="27">IF(B126&lt;&gt;0,(T126-P126)/P126,"")</f>
        <v/>
      </c>
      <c r="X126"/>
      <c r="Y126" s="265" t="str">
        <f t="shared" si="21"/>
        <v/>
      </c>
      <c r="Z126" s="265" t="str">
        <f t="shared" si="22"/>
        <v/>
      </c>
    </row>
    <row r="127" spans="1:26" s="17" customFormat="1" ht="11" customHeight="1">
      <c r="A127" s="279"/>
      <c r="B127" s="264" t="s">
        <v>881</v>
      </c>
      <c r="C127" s="265"/>
      <c r="D127" s="262">
        <v>2631229.4578199997</v>
      </c>
      <c r="E127" s="265">
        <v>9.8540461746295625E-3</v>
      </c>
      <c r="F127" s="265">
        <v>-0.19984425082013565</v>
      </c>
      <c r="H127" s="262">
        <f>+H129</f>
        <v>3985918.2608699999</v>
      </c>
      <c r="I127" s="265">
        <f t="shared" si="23"/>
        <v>1.3373089279357018E-2</v>
      </c>
      <c r="J127" s="265">
        <f t="shared" si="14"/>
        <v>0.51485012035870625</v>
      </c>
      <c r="L127" s="262">
        <f>+L129</f>
        <v>3708855.6577500002</v>
      </c>
      <c r="M127" s="265">
        <f t="shared" si="15"/>
        <v>1.113503764969263E-2</v>
      </c>
      <c r="N127" s="265">
        <f t="shared" si="25"/>
        <v>-6.9510357460146624E-2</v>
      </c>
      <c r="P127" s="181">
        <v>5975813.7548900004</v>
      </c>
      <c r="Q127" s="265">
        <f t="shared" si="17"/>
        <v>1.5911087551727456E-2</v>
      </c>
      <c r="R127" s="265">
        <f t="shared" si="26"/>
        <v>0.61122845058771147</v>
      </c>
      <c r="T127" s="181">
        <v>7103413.4973399993</v>
      </c>
      <c r="U127" s="265">
        <f t="shared" si="19"/>
        <v>1.7554721319846252E-2</v>
      </c>
      <c r="V127" s="265">
        <f t="shared" si="27"/>
        <v>0.18869392332170418</v>
      </c>
      <c r="X127" s="778">
        <v>6167445.4687399995</v>
      </c>
      <c r="Y127" s="265">
        <f t="shared" si="21"/>
        <v>1.5656915741669778E-2</v>
      </c>
      <c r="Z127" s="265">
        <f t="shared" si="22"/>
        <v>-0.13176313457614286</v>
      </c>
    </row>
    <row r="128" spans="1:26" s="17" customFormat="1" ht="11" customHeight="1">
      <c r="A128" s="263" t="s">
        <v>809</v>
      </c>
      <c r="B128" s="243"/>
      <c r="C128" s="265"/>
      <c r="D128" s="262" t="s">
        <v>154</v>
      </c>
      <c r="E128" s="265" t="s">
        <v>154</v>
      </c>
      <c r="F128" s="265" t="s">
        <v>154</v>
      </c>
      <c r="H128" s="262" t="s">
        <v>154</v>
      </c>
      <c r="I128" s="265"/>
      <c r="J128" s="265" t="str">
        <f t="shared" si="14"/>
        <v/>
      </c>
      <c r="L128" s="262" t="s">
        <v>154</v>
      </c>
      <c r="M128" s="265" t="str">
        <f t="shared" si="15"/>
        <v/>
      </c>
      <c r="N128" s="265" t="str">
        <f t="shared" si="25"/>
        <v/>
      </c>
      <c r="P128" s="25"/>
      <c r="Q128" s="265" t="str">
        <f t="shared" si="17"/>
        <v/>
      </c>
      <c r="R128" s="265" t="str">
        <f t="shared" si="26"/>
        <v/>
      </c>
      <c r="U128" s="265" t="str">
        <f t="shared" si="19"/>
        <v/>
      </c>
      <c r="V128" s="265" t="str">
        <f t="shared" si="27"/>
        <v/>
      </c>
      <c r="X128" s="778"/>
      <c r="Y128" s="265" t="str">
        <f t="shared" si="21"/>
        <v/>
      </c>
      <c r="Z128" s="265" t="str">
        <f t="shared" si="22"/>
        <v/>
      </c>
    </row>
    <row r="129" spans="1:26" s="17" customFormat="1" ht="11" customHeight="1">
      <c r="A129" s="263" t="s">
        <v>811</v>
      </c>
      <c r="B129" s="264" t="s">
        <v>882</v>
      </c>
      <c r="C129" s="265"/>
      <c r="D129" s="262">
        <v>2631229.4578199997</v>
      </c>
      <c r="E129" s="265">
        <v>9.8540461746295625E-3</v>
      </c>
      <c r="F129" s="265">
        <v>-0.19984425082013565</v>
      </c>
      <c r="H129" s="262">
        <f>+H131</f>
        <v>3985918.2608699999</v>
      </c>
      <c r="I129" s="265">
        <f t="shared" si="23"/>
        <v>1.3373089279357018E-2</v>
      </c>
      <c r="J129" s="265">
        <f t="shared" si="14"/>
        <v>0.51485012035870625</v>
      </c>
      <c r="L129" s="262">
        <f>+L131</f>
        <v>3708855.6577500002</v>
      </c>
      <c r="M129" s="265">
        <f t="shared" si="15"/>
        <v>1.113503764969263E-2</v>
      </c>
      <c r="N129" s="265">
        <f t="shared" si="25"/>
        <v>-6.9510357460146624E-2</v>
      </c>
      <c r="P129" s="181">
        <v>5975813.7548900004</v>
      </c>
      <c r="Q129" s="265">
        <f t="shared" si="17"/>
        <v>1.5911087551727456E-2</v>
      </c>
      <c r="R129" s="265">
        <f t="shared" si="26"/>
        <v>0.61122845058771147</v>
      </c>
      <c r="T129" s="181">
        <v>7103413.4973399993</v>
      </c>
      <c r="U129" s="265">
        <f t="shared" si="19"/>
        <v>1.7554721319846252E-2</v>
      </c>
      <c r="V129" s="265">
        <f t="shared" si="27"/>
        <v>0.18869392332170418</v>
      </c>
      <c r="X129" s="778">
        <v>6167445.4687399995</v>
      </c>
      <c r="Y129" s="265">
        <f t="shared" si="21"/>
        <v>1.5656915741669778E-2</v>
      </c>
      <c r="Z129" s="265">
        <f t="shared" si="22"/>
        <v>-0.13176313457614286</v>
      </c>
    </row>
    <row r="130" spans="1:26" s="17" customFormat="1" ht="11" customHeight="1">
      <c r="A130" s="263"/>
      <c r="B130" s="264"/>
      <c r="C130" s="265"/>
      <c r="D130" s="262" t="s">
        <v>154</v>
      </c>
      <c r="E130" s="265" t="s">
        <v>154</v>
      </c>
      <c r="F130" s="265" t="s">
        <v>154</v>
      </c>
      <c r="H130" s="262" t="s">
        <v>154</v>
      </c>
      <c r="I130" s="265"/>
      <c r="J130" s="265" t="str">
        <f t="shared" si="14"/>
        <v/>
      </c>
      <c r="L130" s="262" t="s">
        <v>154</v>
      </c>
      <c r="M130" s="265" t="str">
        <f t="shared" si="15"/>
        <v/>
      </c>
      <c r="N130" s="265" t="str">
        <f t="shared" si="25"/>
        <v/>
      </c>
      <c r="P130" s="181"/>
      <c r="Q130" s="265" t="str">
        <f t="shared" si="17"/>
        <v/>
      </c>
      <c r="R130" s="265" t="str">
        <f t="shared" si="26"/>
        <v/>
      </c>
      <c r="T130" s="181"/>
      <c r="U130" s="265" t="str">
        <f t="shared" si="19"/>
        <v/>
      </c>
      <c r="V130" s="265" t="str">
        <f t="shared" si="27"/>
        <v/>
      </c>
      <c r="X130" s="778"/>
      <c r="Y130" s="265" t="str">
        <f t="shared" si="21"/>
        <v/>
      </c>
      <c r="Z130" s="265" t="str">
        <f t="shared" si="22"/>
        <v/>
      </c>
    </row>
    <row r="131" spans="1:26" s="17" customFormat="1" ht="11" customHeight="1">
      <c r="A131" s="263" t="s">
        <v>812</v>
      </c>
      <c r="B131" s="264" t="s">
        <v>883</v>
      </c>
      <c r="C131" s="265"/>
      <c r="D131" s="262">
        <v>2631229.4578199997</v>
      </c>
      <c r="E131" s="265">
        <v>9.8540461746295625E-3</v>
      </c>
      <c r="F131" s="265">
        <v>-0.19984425082013565</v>
      </c>
      <c r="H131" s="262">
        <f>+H133</f>
        <v>3985918.2608699999</v>
      </c>
      <c r="I131" s="265">
        <f t="shared" si="23"/>
        <v>1.3373089279357018E-2</v>
      </c>
      <c r="J131" s="265">
        <f t="shared" si="14"/>
        <v>0.51485012035870625</v>
      </c>
      <c r="L131" s="262">
        <f>+L133</f>
        <v>3708855.6577500002</v>
      </c>
      <c r="M131" s="265">
        <f t="shared" si="15"/>
        <v>1.113503764969263E-2</v>
      </c>
      <c r="N131" s="265">
        <f t="shared" si="25"/>
        <v>-6.9510357460146624E-2</v>
      </c>
      <c r="P131" s="181">
        <v>5975813.7548900004</v>
      </c>
      <c r="Q131" s="265">
        <f t="shared" si="17"/>
        <v>1.5911087551727456E-2</v>
      </c>
      <c r="R131" s="265">
        <f t="shared" si="26"/>
        <v>0.61122845058771147</v>
      </c>
      <c r="T131" s="181">
        <v>7103413.4973399993</v>
      </c>
      <c r="U131" s="265">
        <f t="shared" si="19"/>
        <v>1.7554721319846252E-2</v>
      </c>
      <c r="V131" s="265">
        <f t="shared" si="27"/>
        <v>0.18869392332170418</v>
      </c>
      <c r="X131" s="778">
        <v>6167445.4687399995</v>
      </c>
      <c r="Y131" s="265">
        <f t="shared" si="21"/>
        <v>1.5656915741669778E-2</v>
      </c>
      <c r="Z131" s="265">
        <f t="shared" si="22"/>
        <v>-0.13176313457614286</v>
      </c>
    </row>
    <row r="132" spans="1:26" s="17" customFormat="1" ht="11" customHeight="1">
      <c r="A132" s="263"/>
      <c r="C132" s="265"/>
      <c r="D132" s="262" t="s">
        <v>154</v>
      </c>
      <c r="E132" s="265" t="s">
        <v>154</v>
      </c>
      <c r="F132" s="265" t="s">
        <v>154</v>
      </c>
      <c r="H132" s="262" t="s">
        <v>154</v>
      </c>
      <c r="I132" s="265"/>
      <c r="J132" s="265" t="str">
        <f t="shared" si="14"/>
        <v/>
      </c>
      <c r="L132" s="262" t="s">
        <v>154</v>
      </c>
      <c r="M132" s="265" t="str">
        <f t="shared" si="15"/>
        <v/>
      </c>
      <c r="N132" s="265" t="str">
        <f t="shared" si="25"/>
        <v/>
      </c>
      <c r="P132" s="25"/>
      <c r="Q132" s="265" t="str">
        <f t="shared" si="17"/>
        <v/>
      </c>
      <c r="R132" s="265" t="str">
        <f t="shared" si="26"/>
        <v/>
      </c>
      <c r="T132" s="181"/>
      <c r="U132" s="265" t="str">
        <f t="shared" si="19"/>
        <v/>
      </c>
      <c r="V132" s="265" t="str">
        <f t="shared" si="27"/>
        <v/>
      </c>
      <c r="X132" s="778"/>
      <c r="Y132" s="265" t="str">
        <f t="shared" si="21"/>
        <v/>
      </c>
      <c r="Z132" s="265" t="str">
        <f t="shared" si="22"/>
        <v/>
      </c>
    </row>
    <row r="133" spans="1:26" s="17" customFormat="1" ht="11" customHeight="1">
      <c r="A133" s="263" t="s">
        <v>814</v>
      </c>
      <c r="B133" s="269" t="s">
        <v>884</v>
      </c>
      <c r="C133" s="265"/>
      <c r="D133" s="262">
        <v>2631229.4578199997</v>
      </c>
      <c r="E133" s="265">
        <v>9.8540461746295625E-3</v>
      </c>
      <c r="F133" s="265">
        <v>-0.19984425082013565</v>
      </c>
      <c r="H133" s="262">
        <f>+H134+H137</f>
        <v>3985918.2608699999</v>
      </c>
      <c r="I133" s="265">
        <f t="shared" si="23"/>
        <v>1.3373089279357018E-2</v>
      </c>
      <c r="J133" s="265">
        <f t="shared" si="14"/>
        <v>0.51485012035870625</v>
      </c>
      <c r="L133" s="262">
        <f>+L134+L137</f>
        <v>3708855.6577500002</v>
      </c>
      <c r="M133" s="265">
        <f t="shared" si="15"/>
        <v>1.113503764969263E-2</v>
      </c>
      <c r="N133" s="265">
        <f t="shared" si="25"/>
        <v>-6.9510357460146624E-2</v>
      </c>
      <c r="P133" s="181">
        <v>5975813.7548900004</v>
      </c>
      <c r="Q133" s="265">
        <f t="shared" si="17"/>
        <v>1.5911087551727456E-2</v>
      </c>
      <c r="R133" s="265">
        <f t="shared" si="26"/>
        <v>0.61122845058771147</v>
      </c>
      <c r="T133" s="181">
        <v>7103413.4973399993</v>
      </c>
      <c r="U133" s="265">
        <f t="shared" si="19"/>
        <v>1.7554721319846252E-2</v>
      </c>
      <c r="V133" s="265">
        <f t="shared" si="27"/>
        <v>0.18869392332170418</v>
      </c>
      <c r="X133" s="778">
        <v>6167445.4687399995</v>
      </c>
      <c r="Y133" s="265">
        <f t="shared" si="21"/>
        <v>1.5656915741669778E-2</v>
      </c>
      <c r="Z133" s="265">
        <f t="shared" si="22"/>
        <v>-0.13176313457614286</v>
      </c>
    </row>
    <row r="134" spans="1:26" ht="11" customHeight="1">
      <c r="A134" s="261"/>
      <c r="B134" s="243" t="s">
        <v>885</v>
      </c>
      <c r="C134" s="272"/>
      <c r="D134" s="267">
        <v>2620331.0892399997</v>
      </c>
      <c r="E134" s="272">
        <v>9.8132314038400816E-3</v>
      </c>
      <c r="F134" s="272">
        <v>-0.19991888111673917</v>
      </c>
      <c r="H134" s="267">
        <f>+H135+H136</f>
        <v>3975368.9824999999</v>
      </c>
      <c r="I134" s="272">
        <f t="shared" si="23"/>
        <v>1.3337695567734842E-2</v>
      </c>
      <c r="J134" s="265">
        <f t="shared" si="14"/>
        <v>0.51712468658035704</v>
      </c>
      <c r="L134" s="267">
        <f>+L135+L136</f>
        <v>3698532.5806400003</v>
      </c>
      <c r="M134" s="272">
        <f t="shared" si="15"/>
        <v>1.1104044841428353E-2</v>
      </c>
      <c r="N134" s="272">
        <f t="shared" si="25"/>
        <v>-6.9637913632335291E-2</v>
      </c>
      <c r="P134" s="25">
        <v>5965899.92753</v>
      </c>
      <c r="Q134" s="272">
        <f t="shared" si="17"/>
        <v>1.5884691184376049E-2</v>
      </c>
      <c r="R134" s="272">
        <f t="shared" si="26"/>
        <v>0.61304511923419391</v>
      </c>
      <c r="T134" s="25">
        <v>7094664.6601199992</v>
      </c>
      <c r="U134" s="272">
        <f t="shared" si="19"/>
        <v>1.7533100250014502E-2</v>
      </c>
      <c r="V134" s="272">
        <f t="shared" si="27"/>
        <v>0.18920276006998496</v>
      </c>
      <c r="X134" s="84">
        <v>6160309.4945499999</v>
      </c>
      <c r="Y134" s="272">
        <f t="shared" si="21"/>
        <v>1.563880008143511E-2</v>
      </c>
      <c r="Z134" s="272">
        <f t="shared" si="22"/>
        <v>-0.13169828460281244</v>
      </c>
    </row>
    <row r="135" spans="1:26" ht="11" customHeight="1">
      <c r="A135" s="261"/>
      <c r="B135" s="243" t="s">
        <v>886</v>
      </c>
      <c r="C135" s="272"/>
      <c r="D135" s="271">
        <v>321080.82378999999</v>
      </c>
      <c r="E135" s="272">
        <v>1.2024588938876197E-3</v>
      </c>
      <c r="F135" s="272">
        <v>-2.5168284684819294E-2</v>
      </c>
      <c r="H135" s="271">
        <v>125613.39039</v>
      </c>
      <c r="I135" s="272">
        <f t="shared" si="23"/>
        <v>4.2144343522025493E-4</v>
      </c>
      <c r="J135" s="265">
        <f t="shared" si="14"/>
        <v>-0.60877953124925233</v>
      </c>
      <c r="L135" s="271">
        <f>355955078.05/1000</f>
        <v>355955.07805000001</v>
      </c>
      <c r="M135" s="272">
        <f t="shared" si="15"/>
        <v>1.0686782019687859E-3</v>
      </c>
      <c r="N135" s="272">
        <f t="shared" si="25"/>
        <v>1.8337351371923272</v>
      </c>
      <c r="P135" s="25">
        <v>504440.01791000005</v>
      </c>
      <c r="Q135" s="272">
        <f t="shared" si="17"/>
        <v>1.3431123557010385E-3</v>
      </c>
      <c r="R135" s="272">
        <f t="shared" si="26"/>
        <v>0.4171451652647663</v>
      </c>
      <c r="T135" s="25">
        <v>717116.98567999993</v>
      </c>
      <c r="U135" s="272">
        <f t="shared" si="19"/>
        <v>1.7722168140788472E-3</v>
      </c>
      <c r="V135" s="272">
        <f t="shared" si="27"/>
        <v>0.42161002342987142</v>
      </c>
      <c r="X135" s="84">
        <v>825549.23574000003</v>
      </c>
      <c r="Y135" s="272">
        <f t="shared" si="21"/>
        <v>2.0957712378803952E-3</v>
      </c>
      <c r="Z135" s="272">
        <f t="shared" si="22"/>
        <v>0.15120580355125765</v>
      </c>
    </row>
    <row r="136" spans="1:26" ht="11" customHeight="1">
      <c r="A136" s="261"/>
      <c r="B136" s="243" t="s">
        <v>887</v>
      </c>
      <c r="C136" s="272"/>
      <c r="D136" s="271">
        <v>2299250.2654499998</v>
      </c>
      <c r="E136" s="272">
        <v>8.6107725099524631E-3</v>
      </c>
      <c r="F136" s="272">
        <v>-0.21945837051042244</v>
      </c>
      <c r="H136" s="271">
        <v>3849755.5921100001</v>
      </c>
      <c r="I136" s="272">
        <f t="shared" si="23"/>
        <v>1.2916252132514587E-2</v>
      </c>
      <c r="J136" s="265">
        <f t="shared" si="14"/>
        <v>0.67435257046998387</v>
      </c>
      <c r="L136" s="271">
        <f>3342577502.59/1000</f>
        <v>3342577.5025900002</v>
      </c>
      <c r="M136" s="272">
        <f t="shared" si="15"/>
        <v>1.0035366639459566E-2</v>
      </c>
      <c r="N136" s="272">
        <f t="shared" si="25"/>
        <v>-0.13174293208624765</v>
      </c>
      <c r="P136" s="25">
        <v>5461459.90962</v>
      </c>
      <c r="Q136" s="272">
        <f t="shared" si="17"/>
        <v>1.454157882867501E-2</v>
      </c>
      <c r="R136" s="272">
        <f t="shared" si="26"/>
        <v>0.63390673975044154</v>
      </c>
      <c r="T136" s="25">
        <v>6377547.6744399993</v>
      </c>
      <c r="U136" s="272">
        <f t="shared" si="19"/>
        <v>1.5760883435935652E-2</v>
      </c>
      <c r="V136" s="272">
        <f t="shared" si="27"/>
        <v>0.16773679198969699</v>
      </c>
      <c r="X136" s="84">
        <v>5334760.2588100005</v>
      </c>
      <c r="Y136" s="272">
        <f t="shared" si="21"/>
        <v>1.3543028843554716E-2</v>
      </c>
      <c r="Z136" s="272">
        <f t="shared" si="22"/>
        <v>-0.1635091525555023</v>
      </c>
    </row>
    <row r="137" spans="1:26" ht="11" customHeight="1">
      <c r="A137" s="268" t="s">
        <v>814</v>
      </c>
      <c r="B137" s="243" t="s">
        <v>888</v>
      </c>
      <c r="C137" s="272"/>
      <c r="D137" s="271">
        <v>10898.36858</v>
      </c>
      <c r="E137" s="272">
        <v>4.0814770789480378E-5</v>
      </c>
      <c r="F137" s="272">
        <v>-0.18148726964721046</v>
      </c>
      <c r="H137" s="271">
        <v>10549.27837</v>
      </c>
      <c r="I137" s="272">
        <f t="shared" si="23"/>
        <v>3.5393711622176454E-5</v>
      </c>
      <c r="J137" s="265">
        <f t="shared" si="14"/>
        <v>-3.2031418963075688E-2</v>
      </c>
      <c r="L137" s="271">
        <f>10323077.11/1000</f>
        <v>10323.07711</v>
      </c>
      <c r="M137" s="272">
        <f t="shared" si="15"/>
        <v>3.0992808264278475E-5</v>
      </c>
      <c r="N137" s="272">
        <f t="shared" si="25"/>
        <v>-2.1442344401800047E-2</v>
      </c>
      <c r="P137" s="25">
        <v>9913.8273599999993</v>
      </c>
      <c r="Q137" s="272">
        <f t="shared" si="17"/>
        <v>2.6396367351407634E-5</v>
      </c>
      <c r="R137" s="272">
        <f t="shared" si="26"/>
        <v>-3.9644162843999221E-2</v>
      </c>
      <c r="T137" s="25">
        <v>8748.8372200000013</v>
      </c>
      <c r="U137" s="272">
        <f t="shared" si="19"/>
        <v>2.1621069831752087E-5</v>
      </c>
      <c r="V137" s="272">
        <f t="shared" si="27"/>
        <v>-0.11751164284950774</v>
      </c>
      <c r="X137" s="84">
        <v>7135.9741900000008</v>
      </c>
      <c r="Y137" s="272">
        <f t="shared" si="21"/>
        <v>1.8115660234671844E-5</v>
      </c>
      <c r="Z137" s="272">
        <f t="shared" si="22"/>
        <v>-0.18435170176820367</v>
      </c>
    </row>
    <row r="138" spans="1:26" ht="11" customHeight="1">
      <c r="A138" s="268"/>
      <c r="B138" s="14"/>
      <c r="C138" s="265"/>
      <c r="D138" s="262" t="s">
        <v>154</v>
      </c>
      <c r="E138" s="265" t="s">
        <v>154</v>
      </c>
      <c r="F138" s="265" t="s">
        <v>154</v>
      </c>
      <c r="H138" s="262" t="s">
        <v>154</v>
      </c>
      <c r="I138" s="265"/>
      <c r="J138" s="265" t="str">
        <f t="shared" si="14"/>
        <v/>
      </c>
      <c r="L138" s="262" t="s">
        <v>154</v>
      </c>
      <c r="M138" s="265" t="str">
        <f t="shared" si="15"/>
        <v/>
      </c>
      <c r="N138" s="265" t="str">
        <f t="shared" si="25"/>
        <v/>
      </c>
      <c r="P138" s="181"/>
      <c r="Q138" s="265" t="str">
        <f t="shared" si="17"/>
        <v/>
      </c>
      <c r="R138" s="265" t="str">
        <f t="shared" si="26"/>
        <v/>
      </c>
      <c r="U138" s="265" t="str">
        <f t="shared" si="19"/>
        <v/>
      </c>
      <c r="V138" s="265" t="str">
        <f t="shared" si="27"/>
        <v/>
      </c>
      <c r="X138" s="778"/>
      <c r="Y138" s="265" t="str">
        <f t="shared" si="21"/>
        <v/>
      </c>
      <c r="Z138" s="265" t="str">
        <f t="shared" si="22"/>
        <v/>
      </c>
    </row>
    <row r="139" spans="1:26" s="17" customFormat="1" ht="11" customHeight="1">
      <c r="A139" s="263" t="s">
        <v>809</v>
      </c>
      <c r="B139" s="264" t="s">
        <v>889</v>
      </c>
      <c r="C139" s="265"/>
      <c r="D139" s="262">
        <v>416758.42070000002</v>
      </c>
      <c r="E139" s="265">
        <v>1.5607748343795082E-3</v>
      </c>
      <c r="F139" s="265">
        <v>-2.6356076704915007E-2</v>
      </c>
      <c r="H139" s="262">
        <f>+H141</f>
        <v>442293.31400000001</v>
      </c>
      <c r="I139" s="265">
        <f t="shared" si="23"/>
        <v>1.4839310765227954E-3</v>
      </c>
      <c r="J139" s="265">
        <f t="shared" si="14"/>
        <v>6.127025161749778E-2</v>
      </c>
      <c r="L139" s="262">
        <f>+L141</f>
        <v>376319.97737000004</v>
      </c>
      <c r="M139" s="265">
        <f t="shared" si="15"/>
        <v>1.1298194114376838E-3</v>
      </c>
      <c r="N139" s="265">
        <f t="shared" si="25"/>
        <v>-0.14916195778170857</v>
      </c>
      <c r="P139" s="181">
        <v>401916.35500000004</v>
      </c>
      <c r="Q139" s="265">
        <f t="shared" si="17"/>
        <v>1.0701348092790233E-3</v>
      </c>
      <c r="R139" s="265">
        <f t="shared" si="26"/>
        <v>6.8017589203970136E-2</v>
      </c>
      <c r="T139" s="181">
        <v>414527.53149999998</v>
      </c>
      <c r="U139" s="265">
        <f t="shared" si="19"/>
        <v>1.0244251299197577E-3</v>
      </c>
      <c r="V139" s="265">
        <f t="shared" si="27"/>
        <v>3.1377614628297329E-2</v>
      </c>
      <c r="X139" s="778">
        <v>400125.75686999998</v>
      </c>
      <c r="Y139" s="265">
        <f t="shared" si="21"/>
        <v>1.0157747309057787E-3</v>
      </c>
      <c r="Z139" s="265">
        <f t="shared" si="22"/>
        <v>-3.474262512283819E-2</v>
      </c>
    </row>
    <row r="140" spans="1:26" ht="11" customHeight="1">
      <c r="A140" s="268"/>
      <c r="B140" s="243"/>
      <c r="C140" s="265"/>
      <c r="D140" s="262" t="s">
        <v>154</v>
      </c>
      <c r="E140" s="265" t="s">
        <v>154</v>
      </c>
      <c r="F140" s="265" t="s">
        <v>154</v>
      </c>
      <c r="H140" s="262" t="s">
        <v>154</v>
      </c>
      <c r="I140" s="265"/>
      <c r="J140" s="265" t="str">
        <f t="shared" si="14"/>
        <v/>
      </c>
      <c r="L140" s="262" t="s">
        <v>154</v>
      </c>
      <c r="M140" s="265" t="str">
        <f t="shared" si="15"/>
        <v/>
      </c>
      <c r="N140" s="265" t="str">
        <f t="shared" si="25"/>
        <v/>
      </c>
      <c r="P140" s="181"/>
      <c r="Q140" s="265" t="str">
        <f t="shared" si="17"/>
        <v/>
      </c>
      <c r="R140" s="265" t="str">
        <f t="shared" si="26"/>
        <v/>
      </c>
      <c r="T140" s="181"/>
      <c r="U140" s="265" t="str">
        <f t="shared" si="19"/>
        <v/>
      </c>
      <c r="V140" s="265" t="str">
        <f t="shared" si="27"/>
        <v/>
      </c>
      <c r="X140" s="778"/>
      <c r="Y140" s="265" t="str">
        <f t="shared" si="21"/>
        <v/>
      </c>
      <c r="Z140" s="265" t="str">
        <f t="shared" si="22"/>
        <v/>
      </c>
    </row>
    <row r="141" spans="1:26" s="17" customFormat="1" ht="11" customHeight="1">
      <c r="A141" s="263" t="s">
        <v>811</v>
      </c>
      <c r="B141" s="264" t="s">
        <v>890</v>
      </c>
      <c r="C141" s="265"/>
      <c r="D141" s="262">
        <v>416758.42070000002</v>
      </c>
      <c r="E141" s="265">
        <v>1.5607748343795082E-3</v>
      </c>
      <c r="F141" s="265">
        <v>-2.6356076704915007E-2</v>
      </c>
      <c r="H141" s="262">
        <f>+H143</f>
        <v>442293.31400000001</v>
      </c>
      <c r="I141" s="265">
        <f t="shared" si="23"/>
        <v>1.4839310765227954E-3</v>
      </c>
      <c r="J141" s="265">
        <f t="shared" si="14"/>
        <v>6.127025161749778E-2</v>
      </c>
      <c r="L141" s="262">
        <f>+L143</f>
        <v>376319.97737000004</v>
      </c>
      <c r="M141" s="265">
        <f t="shared" si="15"/>
        <v>1.1298194114376838E-3</v>
      </c>
      <c r="N141" s="265">
        <f t="shared" si="25"/>
        <v>-0.14916195778170857</v>
      </c>
      <c r="P141" s="181">
        <v>401916.35500000004</v>
      </c>
      <c r="Q141" s="265">
        <f t="shared" si="17"/>
        <v>1.0701348092790233E-3</v>
      </c>
      <c r="R141" s="265">
        <f t="shared" si="26"/>
        <v>6.8017589203970136E-2</v>
      </c>
      <c r="T141" s="181">
        <v>414527.53149999998</v>
      </c>
      <c r="U141" s="265">
        <f t="shared" si="19"/>
        <v>1.0244251299197577E-3</v>
      </c>
      <c r="V141" s="265">
        <f t="shared" si="27"/>
        <v>3.1377614628297329E-2</v>
      </c>
      <c r="X141" s="778">
        <v>400125.75686999998</v>
      </c>
      <c r="Y141" s="265">
        <f t="shared" si="21"/>
        <v>1.0157747309057787E-3</v>
      </c>
      <c r="Z141" s="265">
        <f t="shared" si="22"/>
        <v>-3.474262512283819E-2</v>
      </c>
    </row>
    <row r="142" spans="1:26" s="17" customFormat="1" ht="11" customHeight="1">
      <c r="A142" s="263"/>
      <c r="B142" s="264"/>
      <c r="C142" s="265"/>
      <c r="D142" s="262" t="s">
        <v>154</v>
      </c>
      <c r="E142" s="265" t="s">
        <v>154</v>
      </c>
      <c r="F142" s="265" t="s">
        <v>154</v>
      </c>
      <c r="H142" s="262" t="s">
        <v>154</v>
      </c>
      <c r="I142" s="265"/>
      <c r="J142" s="265" t="str">
        <f t="shared" si="14"/>
        <v/>
      </c>
      <c r="L142" s="262" t="s">
        <v>154</v>
      </c>
      <c r="M142" s="265" t="str">
        <f t="shared" si="15"/>
        <v/>
      </c>
      <c r="N142" s="265" t="str">
        <f t="shared" si="25"/>
        <v/>
      </c>
      <c r="P142" s="181"/>
      <c r="Q142" s="265" t="str">
        <f t="shared" si="17"/>
        <v/>
      </c>
      <c r="R142" s="265" t="str">
        <f t="shared" si="26"/>
        <v/>
      </c>
      <c r="T142" s="181"/>
      <c r="U142" s="265" t="str">
        <f t="shared" si="19"/>
        <v/>
      </c>
      <c r="V142" s="265" t="str">
        <f t="shared" si="27"/>
        <v/>
      </c>
      <c r="X142" s="778"/>
      <c r="Y142" s="265" t="str">
        <f t="shared" si="21"/>
        <v/>
      </c>
      <c r="Z142" s="265" t="str">
        <f t="shared" si="22"/>
        <v/>
      </c>
    </row>
    <row r="143" spans="1:26" s="17" customFormat="1" ht="11" customHeight="1">
      <c r="A143" s="263" t="s">
        <v>812</v>
      </c>
      <c r="B143" s="264" t="s">
        <v>891</v>
      </c>
      <c r="C143" s="265"/>
      <c r="D143" s="262">
        <v>416758.42070000002</v>
      </c>
      <c r="E143" s="265">
        <v>1.5607748343795082E-3</v>
      </c>
      <c r="F143" s="265">
        <v>-2.6356076704915007E-2</v>
      </c>
      <c r="H143" s="262">
        <f>SUM(H145:H147)</f>
        <v>442293.31400000001</v>
      </c>
      <c r="I143" s="265">
        <f t="shared" si="23"/>
        <v>1.4839310765227954E-3</v>
      </c>
      <c r="J143" s="265">
        <f t="shared" si="14"/>
        <v>6.127025161749778E-2</v>
      </c>
      <c r="L143" s="262">
        <f>SUM(L145:L147)</f>
        <v>376319.97737000004</v>
      </c>
      <c r="M143" s="265">
        <f t="shared" si="15"/>
        <v>1.1298194114376838E-3</v>
      </c>
      <c r="N143" s="265">
        <f t="shared" si="25"/>
        <v>-0.14916195778170857</v>
      </c>
      <c r="P143" s="181">
        <v>401916.35500000004</v>
      </c>
      <c r="Q143" s="265">
        <f t="shared" si="17"/>
        <v>1.0701348092790233E-3</v>
      </c>
      <c r="R143" s="265">
        <f t="shared" si="26"/>
        <v>6.8017589203970136E-2</v>
      </c>
      <c r="T143" s="181">
        <v>414527.53149999998</v>
      </c>
      <c r="U143" s="265">
        <f t="shared" si="19"/>
        <v>1.0244251299197577E-3</v>
      </c>
      <c r="V143" s="265">
        <f t="shared" si="27"/>
        <v>3.1377614628297329E-2</v>
      </c>
      <c r="X143" s="778">
        <v>400125.75686999998</v>
      </c>
      <c r="Y143" s="265">
        <f t="shared" si="21"/>
        <v>1.0157747309057787E-3</v>
      </c>
      <c r="Z143" s="265">
        <f t="shared" si="22"/>
        <v>-3.474262512283819E-2</v>
      </c>
    </row>
    <row r="144" spans="1:26" ht="11" customHeight="1">
      <c r="A144" s="261"/>
      <c r="B144" s="14"/>
      <c r="C144" s="265"/>
      <c r="D144" s="262" t="s">
        <v>154</v>
      </c>
      <c r="E144" s="265" t="s">
        <v>154</v>
      </c>
      <c r="F144" s="265" t="s">
        <v>154</v>
      </c>
      <c r="H144" s="262" t="s">
        <v>154</v>
      </c>
      <c r="I144" s="265"/>
      <c r="J144" s="265" t="str">
        <f t="shared" si="14"/>
        <v/>
      </c>
      <c r="L144" s="262" t="s">
        <v>154</v>
      </c>
      <c r="M144" s="265" t="str">
        <f t="shared" si="15"/>
        <v/>
      </c>
      <c r="N144" s="265" t="str">
        <f t="shared" si="25"/>
        <v/>
      </c>
      <c r="P144" s="25"/>
      <c r="Q144" s="265" t="str">
        <f t="shared" si="17"/>
        <v/>
      </c>
      <c r="R144" s="265" t="str">
        <f t="shared" si="26"/>
        <v/>
      </c>
      <c r="T144" s="181"/>
      <c r="U144" s="265" t="str">
        <f t="shared" si="19"/>
        <v/>
      </c>
      <c r="V144" s="265" t="str">
        <f t="shared" si="27"/>
        <v/>
      </c>
      <c r="X144" s="778"/>
      <c r="Y144" s="265" t="str">
        <f t="shared" si="21"/>
        <v/>
      </c>
      <c r="Z144" s="265" t="str">
        <f t="shared" si="22"/>
        <v/>
      </c>
    </row>
    <row r="145" spans="1:26" ht="11" customHeight="1">
      <c r="A145" s="268" t="s">
        <v>814</v>
      </c>
      <c r="B145" s="243" t="s">
        <v>892</v>
      </c>
      <c r="C145" s="272"/>
      <c r="D145" s="271">
        <v>26780.699700000001</v>
      </c>
      <c r="E145" s="272">
        <v>1.0029465527925887E-4</v>
      </c>
      <c r="F145" s="272">
        <v>-0.13456903714337168</v>
      </c>
      <c r="H145" s="271">
        <v>26270.702000000001</v>
      </c>
      <c r="I145" s="272">
        <f t="shared" si="23"/>
        <v>8.8140403361081684E-5</v>
      </c>
      <c r="J145" s="265">
        <f t="shared" si="14"/>
        <v>-1.9043479285942626E-2</v>
      </c>
      <c r="L145" s="271">
        <f>21833558/1000</f>
        <v>21833.558000000001</v>
      </c>
      <c r="M145" s="272">
        <f t="shared" si="15"/>
        <v>6.5550539786775208E-5</v>
      </c>
      <c r="N145" s="272">
        <f t="shared" si="25"/>
        <v>-0.16890085388658438</v>
      </c>
      <c r="P145" s="25">
        <v>22086.645</v>
      </c>
      <c r="Q145" s="272">
        <f t="shared" si="17"/>
        <v>5.8807479070336638E-5</v>
      </c>
      <c r="R145" s="272">
        <f t="shared" si="26"/>
        <v>1.1591651713385401E-2</v>
      </c>
      <c r="T145" s="25">
        <v>16825.794999999998</v>
      </c>
      <c r="U145" s="272">
        <f t="shared" si="19"/>
        <v>4.1581718749791191E-5</v>
      </c>
      <c r="V145" s="272">
        <f t="shared" si="27"/>
        <v>-0.23819145008216513</v>
      </c>
      <c r="X145" s="84">
        <v>8892.8649999999998</v>
      </c>
      <c r="Y145" s="272">
        <f t="shared" si="21"/>
        <v>2.2575771235070151E-5</v>
      </c>
      <c r="Z145" s="272">
        <f t="shared" si="22"/>
        <v>-0.47147430478024954</v>
      </c>
    </row>
    <row r="146" spans="1:26" ht="11" customHeight="1">
      <c r="A146" s="268" t="s">
        <v>814</v>
      </c>
      <c r="B146" s="243" t="s">
        <v>893</v>
      </c>
      <c r="C146" s="272"/>
      <c r="D146" s="271">
        <v>389977.72100000002</v>
      </c>
      <c r="E146" s="272">
        <v>1.4604801791002493E-3</v>
      </c>
      <c r="F146" s="272">
        <v>1.4422182156054095E-3</v>
      </c>
      <c r="H146" s="271">
        <v>416022.61200000002</v>
      </c>
      <c r="I146" s="272">
        <f t="shared" si="23"/>
        <v>1.3957906731617137E-3</v>
      </c>
      <c r="J146" s="265">
        <f t="shared" si="14"/>
        <v>6.6785586964338409E-2</v>
      </c>
      <c r="L146" s="271">
        <f>354486419.37/1000</f>
        <v>354486.41937000002</v>
      </c>
      <c r="M146" s="272">
        <f t="shared" si="15"/>
        <v>1.0642688716509085E-3</v>
      </c>
      <c r="N146" s="272">
        <f t="shared" si="25"/>
        <v>-0.14791549991518249</v>
      </c>
      <c r="P146" s="25">
        <v>379829.71</v>
      </c>
      <c r="Q146" s="272">
        <f t="shared" si="17"/>
        <v>1.0113273302086866E-3</v>
      </c>
      <c r="R146" s="272">
        <f t="shared" si="26"/>
        <v>7.1492980394116598E-2</v>
      </c>
      <c r="T146" s="25">
        <v>397701.7365</v>
      </c>
      <c r="U146" s="272">
        <f t="shared" si="19"/>
        <v>9.8284341116996652E-4</v>
      </c>
      <c r="V146" s="272">
        <f t="shared" si="27"/>
        <v>4.705273450041593E-2</v>
      </c>
      <c r="X146" s="84">
        <v>372832.28602</v>
      </c>
      <c r="Y146" s="272">
        <f t="shared" si="21"/>
        <v>9.4648646957260266E-4</v>
      </c>
      <c r="Z146" s="272">
        <f t="shared" si="22"/>
        <v>-6.2532919013291763E-2</v>
      </c>
    </row>
    <row r="147" spans="1:26" ht="11" hidden="1" customHeight="1">
      <c r="A147" s="268"/>
      <c r="B147" s="243" t="s">
        <v>894</v>
      </c>
      <c r="C147" s="272"/>
      <c r="D147" s="271">
        <v>0</v>
      </c>
      <c r="E147" s="272">
        <v>0</v>
      </c>
      <c r="F147" s="272">
        <v>-1</v>
      </c>
      <c r="H147" s="271">
        <v>0</v>
      </c>
      <c r="I147" s="272">
        <f t="shared" si="23"/>
        <v>0</v>
      </c>
      <c r="J147" s="265">
        <v>0</v>
      </c>
      <c r="L147" s="271">
        <v>0</v>
      </c>
      <c r="M147" s="272">
        <f t="shared" si="15"/>
        <v>0</v>
      </c>
      <c r="N147" s="272"/>
      <c r="P147" s="25">
        <v>0</v>
      </c>
      <c r="Q147" s="272">
        <f t="shared" si="17"/>
        <v>0</v>
      </c>
      <c r="R147" s="272"/>
      <c r="U147" s="272">
        <f t="shared" si="19"/>
        <v>0</v>
      </c>
      <c r="V147" s="272"/>
      <c r="X147" s="84">
        <v>0</v>
      </c>
      <c r="Y147" s="272">
        <f t="shared" si="21"/>
        <v>0</v>
      </c>
      <c r="Z147" s="272" t="e">
        <f t="shared" si="22"/>
        <v>#DIV/0!</v>
      </c>
    </row>
    <row r="148" spans="1:26" ht="11" customHeight="1">
      <c r="A148" s="261"/>
      <c r="B148" s="243" t="s">
        <v>1876</v>
      </c>
      <c r="C148" s="265"/>
      <c r="D148" s="262" t="s">
        <v>154</v>
      </c>
      <c r="E148" s="265" t="s">
        <v>154</v>
      </c>
      <c r="F148" s="265" t="s">
        <v>154</v>
      </c>
      <c r="H148" s="262" t="s">
        <v>154</v>
      </c>
      <c r="I148" s="265"/>
      <c r="J148" s="265"/>
      <c r="L148" s="262" t="s">
        <v>154</v>
      </c>
      <c r="M148" s="265"/>
      <c r="N148" s="265"/>
      <c r="P148" s="25"/>
      <c r="Q148" s="265"/>
      <c r="R148" s="265"/>
      <c r="U148" s="265"/>
      <c r="V148" s="265"/>
      <c r="X148" s="84">
        <v>18400.60585</v>
      </c>
      <c r="Y148" s="272">
        <f t="shared" si="21"/>
        <v>4.6712490098106015E-5</v>
      </c>
      <c r="Z148" s="272"/>
    </row>
    <row r="149" spans="1:26" ht="11" customHeight="1">
      <c r="A149" s="261"/>
      <c r="B149" s="243"/>
      <c r="C149" s="265"/>
      <c r="D149" s="262"/>
      <c r="E149" s="265"/>
      <c r="F149" s="265"/>
      <c r="H149" s="262"/>
      <c r="I149" s="265"/>
      <c r="J149" s="265"/>
      <c r="L149" s="262"/>
      <c r="M149" s="265"/>
      <c r="N149" s="265"/>
      <c r="P149" s="25"/>
      <c r="Q149" s="265"/>
      <c r="R149" s="265"/>
      <c r="U149" s="265"/>
      <c r="V149" s="265"/>
      <c r="X149" s="778"/>
      <c r="Y149" s="265" t="str">
        <f t="shared" si="21"/>
        <v/>
      </c>
      <c r="Z149" s="265" t="str">
        <f t="shared" si="22"/>
        <v/>
      </c>
    </row>
    <row r="150" spans="1:26" s="17" customFormat="1" ht="11" customHeight="1">
      <c r="A150" s="263" t="s">
        <v>809</v>
      </c>
      <c r="B150" s="264" t="s">
        <v>895</v>
      </c>
      <c r="C150" s="265"/>
      <c r="D150" s="262">
        <v>571239.91262999992</v>
      </c>
      <c r="E150" s="265">
        <v>2.1393134145400909E-3</v>
      </c>
      <c r="F150" s="265">
        <v>6.3111798989670384E-2</v>
      </c>
      <c r="H150" s="262">
        <f>+H152+H165</f>
        <v>669444.40231000003</v>
      </c>
      <c r="I150" s="265">
        <f t="shared" si="23"/>
        <v>2.2460419842386262E-3</v>
      </c>
      <c r="J150" s="265">
        <f t="shared" si="14"/>
        <v>0.17191461504828101</v>
      </c>
      <c r="L150" s="262">
        <f>+L152+L165</f>
        <v>780453.77036999993</v>
      </c>
      <c r="M150" s="265">
        <f t="shared" ref="M150:M167" si="28">IF(B150&lt;&gt;0,L150/$L$11,"")</f>
        <v>2.3431437938964141E-3</v>
      </c>
      <c r="N150" s="265">
        <f t="shared" ref="N150:N155" si="29">IF(B150&lt;&gt;0,(L150-H150)/H150,"")</f>
        <v>0.16582313285008948</v>
      </c>
      <c r="P150" s="181">
        <v>961729.2361499999</v>
      </c>
      <c r="Q150" s="265">
        <f t="shared" ref="Q150:Q167" si="30">IF(B150&lt;&gt;0,P150/$P$11,"")</f>
        <v>2.5606818928914717E-3</v>
      </c>
      <c r="R150" s="265">
        <f t="shared" ref="R150:R155" si="31">IF(B150&lt;&gt;0,(P150-L150)/L150,"")</f>
        <v>0.23226931903226034</v>
      </c>
      <c r="T150" s="181">
        <v>1396724.88124</v>
      </c>
      <c r="U150" s="265">
        <f t="shared" ref="U150:U167" si="32">IF(B150&lt;&gt;0,T150/$T$11,"")</f>
        <v>3.4517371204485247E-3</v>
      </c>
      <c r="V150" s="265">
        <f t="shared" ref="V150:V156" si="33">IF(B150&lt;&gt;0,(T150-P150)/P150,"")</f>
        <v>0.45230573090548565</v>
      </c>
      <c r="X150" s="778">
        <v>594160.85626000003</v>
      </c>
      <c r="Y150" s="265">
        <f t="shared" si="21"/>
        <v>1.5083597432052728E-3</v>
      </c>
      <c r="Z150" s="265">
        <f t="shared" si="22"/>
        <v>-0.57460423005244288</v>
      </c>
    </row>
    <row r="151" spans="1:26" s="17" customFormat="1" ht="11" customHeight="1">
      <c r="A151" s="263"/>
      <c r="B151" s="264"/>
      <c r="C151" s="265"/>
      <c r="D151" s="262" t="s">
        <v>154</v>
      </c>
      <c r="E151" s="265" t="s">
        <v>154</v>
      </c>
      <c r="F151" s="265" t="s">
        <v>154</v>
      </c>
      <c r="H151" s="262" t="s">
        <v>154</v>
      </c>
      <c r="I151" s="265"/>
      <c r="J151" s="265" t="str">
        <f t="shared" si="14"/>
        <v/>
      </c>
      <c r="L151" s="262" t="s">
        <v>154</v>
      </c>
      <c r="M151" s="265" t="str">
        <f t="shared" si="28"/>
        <v/>
      </c>
      <c r="N151" s="265" t="str">
        <f t="shared" si="29"/>
        <v/>
      </c>
      <c r="P151" s="25"/>
      <c r="Q151" s="265" t="str">
        <f t="shared" si="30"/>
        <v/>
      </c>
      <c r="R151" s="265" t="str">
        <f t="shared" si="31"/>
        <v/>
      </c>
      <c r="T151" s="181"/>
      <c r="U151" s="265" t="str">
        <f t="shared" si="32"/>
        <v/>
      </c>
      <c r="V151" s="265" t="str">
        <f t="shared" si="33"/>
        <v/>
      </c>
      <c r="X151" s="778"/>
      <c r="Y151" s="265" t="str">
        <f t="shared" si="21"/>
        <v/>
      </c>
      <c r="Z151" s="265" t="str">
        <f t="shared" si="22"/>
        <v/>
      </c>
    </row>
    <row r="152" spans="1:26" s="17" customFormat="1" ht="11" customHeight="1">
      <c r="A152" s="263" t="s">
        <v>809</v>
      </c>
      <c r="B152" s="264" t="s">
        <v>896</v>
      </c>
      <c r="C152" s="265"/>
      <c r="D152" s="262">
        <v>570152.70014999993</v>
      </c>
      <c r="E152" s="265">
        <v>2.1352417658483691E-3</v>
      </c>
      <c r="F152" s="265">
        <v>0.81222658588181262</v>
      </c>
      <c r="H152" s="262">
        <f>SUM(H154:H163)</f>
        <v>669444.40231000003</v>
      </c>
      <c r="I152" s="265">
        <f t="shared" si="23"/>
        <v>2.2460419842386262E-3</v>
      </c>
      <c r="J152" s="265">
        <f t="shared" si="14"/>
        <v>0.17414931497102043</v>
      </c>
      <c r="L152" s="262">
        <f>SUM(L154:L163)</f>
        <v>779997.46422999993</v>
      </c>
      <c r="M152" s="265">
        <f t="shared" si="28"/>
        <v>2.3417738333162364E-3</v>
      </c>
      <c r="N152" s="265">
        <f t="shared" si="29"/>
        <v>0.1651415136768983</v>
      </c>
      <c r="P152" s="181">
        <v>960399.2361499999</v>
      </c>
      <c r="Q152" s="265">
        <f t="shared" si="30"/>
        <v>2.5571406602975877E-3</v>
      </c>
      <c r="R152" s="265">
        <f t="shared" si="31"/>
        <v>0.23128507487917219</v>
      </c>
      <c r="T152" s="181">
        <v>1396724.88124</v>
      </c>
      <c r="U152" s="265">
        <f t="shared" si="32"/>
        <v>3.4517371204485247E-3</v>
      </c>
      <c r="V152" s="265">
        <f t="shared" si="33"/>
        <v>0.45431694306538645</v>
      </c>
      <c r="X152" s="778">
        <v>588515.97086</v>
      </c>
      <c r="Y152" s="265">
        <f t="shared" si="21"/>
        <v>1.4940294186767224E-3</v>
      </c>
      <c r="Z152" s="265">
        <f t="shared" si="22"/>
        <v>-0.57864574565499205</v>
      </c>
    </row>
    <row r="153" spans="1:26" ht="11" customHeight="1">
      <c r="A153" s="261"/>
      <c r="B153" s="243"/>
      <c r="C153" s="265"/>
      <c r="D153" s="262" t="s">
        <v>154</v>
      </c>
      <c r="E153" s="265" t="s">
        <v>154</v>
      </c>
      <c r="F153" s="265" t="s">
        <v>154</v>
      </c>
      <c r="H153" s="262" t="s">
        <v>154</v>
      </c>
      <c r="I153" s="265"/>
      <c r="J153" s="265" t="str">
        <f t="shared" si="14"/>
        <v/>
      </c>
      <c r="L153" s="262" t="s">
        <v>154</v>
      </c>
      <c r="M153" s="265" t="str">
        <f t="shared" si="28"/>
        <v/>
      </c>
      <c r="N153" s="265" t="str">
        <f t="shared" si="29"/>
        <v/>
      </c>
      <c r="P153" s="181"/>
      <c r="Q153" s="265" t="str">
        <f t="shared" si="30"/>
        <v/>
      </c>
      <c r="R153" s="265" t="str">
        <f t="shared" si="31"/>
        <v/>
      </c>
      <c r="T153" s="181"/>
      <c r="U153" s="265" t="str">
        <f t="shared" si="32"/>
        <v/>
      </c>
      <c r="V153" s="265" t="str">
        <f t="shared" si="33"/>
        <v/>
      </c>
      <c r="X153" s="778"/>
      <c r="Y153" s="265" t="str">
        <f t="shared" si="21"/>
        <v/>
      </c>
      <c r="Z153" s="265" t="str">
        <f t="shared" si="22"/>
        <v/>
      </c>
    </row>
    <row r="154" spans="1:26" ht="11" customHeight="1">
      <c r="A154" s="261"/>
      <c r="B154" s="243" t="s">
        <v>897</v>
      </c>
      <c r="C154" s="272"/>
      <c r="D154" s="271">
        <v>42971.381780000003</v>
      </c>
      <c r="E154" s="272">
        <v>1.6092932487863734E-4</v>
      </c>
      <c r="F154" s="272">
        <v>1.046056770088321</v>
      </c>
      <c r="H154" s="271">
        <v>108156.95634</v>
      </c>
      <c r="I154" s="272">
        <f t="shared" si="23"/>
        <v>3.628756383485489E-4</v>
      </c>
      <c r="J154" s="265">
        <f t="shared" si="14"/>
        <v>1.5169531874429754</v>
      </c>
      <c r="L154" s="271">
        <f>72799998.39/1000</f>
        <v>72799.998389999993</v>
      </c>
      <c r="M154" s="272">
        <f t="shared" si="28"/>
        <v>2.1856626349864121E-4</v>
      </c>
      <c r="N154" s="272">
        <f t="shared" si="29"/>
        <v>-0.3269041506572411</v>
      </c>
      <c r="P154" s="25">
        <v>8789.1135699999995</v>
      </c>
      <c r="Q154" s="272">
        <f t="shared" si="30"/>
        <v>2.3401725898821966E-5</v>
      </c>
      <c r="R154" s="272">
        <f t="shared" si="31"/>
        <v>-0.87927041532452421</v>
      </c>
      <c r="T154" s="25">
        <v>4834.5753600000007</v>
      </c>
      <c r="U154" s="272">
        <f t="shared" si="32"/>
        <v>1.1947723890264356E-5</v>
      </c>
      <c r="V154" s="272">
        <f t="shared" si="33"/>
        <v>-0.44993595525925134</v>
      </c>
      <c r="X154" s="84">
        <v>11924.08243</v>
      </c>
      <c r="Y154" s="272">
        <f t="shared" si="21"/>
        <v>3.0270937108322164E-5</v>
      </c>
      <c r="Z154" s="272">
        <f t="shared" si="22"/>
        <v>1.4664177393234386</v>
      </c>
    </row>
    <row r="155" spans="1:26" ht="11" customHeight="1">
      <c r="A155" s="261"/>
      <c r="B155" s="243" t="s">
        <v>898</v>
      </c>
      <c r="C155" s="272"/>
      <c r="D155" s="271">
        <v>217487.50748</v>
      </c>
      <c r="E155" s="272">
        <v>8.1449830790835667E-4</v>
      </c>
      <c r="F155" s="272">
        <v>2.8097712006058582</v>
      </c>
      <c r="H155" s="271">
        <v>173824.99059999999</v>
      </c>
      <c r="I155" s="272">
        <f t="shared" si="23"/>
        <v>5.8319738793886173E-4</v>
      </c>
      <c r="J155" s="265">
        <f t="shared" si="14"/>
        <v>-0.20075873500005598</v>
      </c>
      <c r="L155" s="271">
        <f>336472779.21/1000</f>
        <v>336472.77920999995</v>
      </c>
      <c r="M155" s="272">
        <f t="shared" si="28"/>
        <v>1.0101868097161229E-3</v>
      </c>
      <c r="N155" s="272">
        <f t="shared" si="29"/>
        <v>0.93569853246406542</v>
      </c>
      <c r="P155" s="25">
        <v>243654.99255000002</v>
      </c>
      <c r="Q155" s="272">
        <f t="shared" si="30"/>
        <v>6.4875112878244547E-4</v>
      </c>
      <c r="R155" s="272">
        <f t="shared" si="31"/>
        <v>-0.27585526198560728</v>
      </c>
      <c r="T155" s="25">
        <v>850399.67035999999</v>
      </c>
      <c r="U155" s="272">
        <f t="shared" si="32"/>
        <v>2.1015993549086186E-3</v>
      </c>
      <c r="V155" s="272">
        <f t="shared" si="33"/>
        <v>2.4901795422291255</v>
      </c>
      <c r="X155" s="84">
        <v>218937.56075</v>
      </c>
      <c r="Y155" s="272">
        <f t="shared" si="21"/>
        <v>5.5580336441138757E-4</v>
      </c>
      <c r="Z155" s="272">
        <f t="shared" si="22"/>
        <v>-0.74254745341409045</v>
      </c>
    </row>
    <row r="156" spans="1:26" ht="11" hidden="1" customHeight="1">
      <c r="A156" s="261"/>
      <c r="B156" s="243" t="s">
        <v>899</v>
      </c>
      <c r="C156" s="272"/>
      <c r="D156" s="271">
        <v>0</v>
      </c>
      <c r="E156" s="272">
        <v>0</v>
      </c>
      <c r="F156" s="272">
        <v>0</v>
      </c>
      <c r="H156" s="271">
        <v>0</v>
      </c>
      <c r="I156" s="272">
        <f t="shared" si="23"/>
        <v>0</v>
      </c>
      <c r="J156" s="265" t="e">
        <f t="shared" si="14"/>
        <v>#DIV/0!</v>
      </c>
      <c r="L156" s="271">
        <v>0</v>
      </c>
      <c r="M156" s="272">
        <f t="shared" si="28"/>
        <v>0</v>
      </c>
      <c r="N156" s="272"/>
      <c r="P156" s="25">
        <v>0</v>
      </c>
      <c r="Q156" s="272">
        <f t="shared" si="30"/>
        <v>0</v>
      </c>
      <c r="R156" s="272"/>
      <c r="T156" s="25">
        <v>0</v>
      </c>
      <c r="U156" s="272">
        <f t="shared" si="32"/>
        <v>0</v>
      </c>
      <c r="V156" s="272" t="e">
        <f t="shared" si="33"/>
        <v>#DIV/0!</v>
      </c>
      <c r="X156" s="84">
        <v>0</v>
      </c>
      <c r="Y156" s="272">
        <f t="shared" si="21"/>
        <v>0</v>
      </c>
      <c r="Z156" s="272" t="e">
        <f t="shared" si="22"/>
        <v>#DIV/0!</v>
      </c>
    </row>
    <row r="157" spans="1:26" ht="11" customHeight="1">
      <c r="A157" s="261"/>
      <c r="B157" s="243" t="s">
        <v>900</v>
      </c>
      <c r="C157" s="272"/>
      <c r="D157" s="271">
        <v>132976.42515999998</v>
      </c>
      <c r="E157" s="272">
        <v>4.9800135437426092E-4</v>
      </c>
      <c r="F157" s="272">
        <v>2.1200587802028132</v>
      </c>
      <c r="H157" s="271">
        <v>23564.155930000001</v>
      </c>
      <c r="I157" s="272">
        <f t="shared" si="23"/>
        <v>7.9059714831131072E-5</v>
      </c>
      <c r="J157" s="265">
        <f t="shared" si="14"/>
        <v>-0.82279448479948891</v>
      </c>
      <c r="L157" s="271">
        <f>46682652.56/1000</f>
        <v>46682.652560000002</v>
      </c>
      <c r="M157" s="272">
        <f t="shared" si="28"/>
        <v>1.4015457645457895E-4</v>
      </c>
      <c r="N157" s="272">
        <f>IF(B157&lt;&gt;0,(L157-H157)/H157,"")</f>
        <v>0.98108740659653237</v>
      </c>
      <c r="P157" s="25">
        <v>0</v>
      </c>
      <c r="Q157" s="272">
        <f t="shared" si="30"/>
        <v>0</v>
      </c>
      <c r="R157" s="272"/>
      <c r="T157" s="25">
        <v>0</v>
      </c>
      <c r="U157" s="272">
        <f t="shared" si="32"/>
        <v>0</v>
      </c>
      <c r="V157" s="272"/>
      <c r="X157" s="84">
        <v>0</v>
      </c>
      <c r="Y157" s="272">
        <f t="shared" si="21"/>
        <v>0</v>
      </c>
      <c r="Z157" s="272"/>
    </row>
    <row r="158" spans="1:26" ht="11" hidden="1" customHeight="1">
      <c r="A158" s="261"/>
      <c r="B158" s="243" t="s">
        <v>901</v>
      </c>
      <c r="C158" s="272"/>
      <c r="D158" s="271">
        <v>0</v>
      </c>
      <c r="E158" s="272">
        <v>0</v>
      </c>
      <c r="F158" s="272">
        <v>0</v>
      </c>
      <c r="H158" s="271">
        <v>0</v>
      </c>
      <c r="I158" s="272">
        <f t="shared" si="23"/>
        <v>0</v>
      </c>
      <c r="J158" s="265" t="e">
        <f t="shared" si="14"/>
        <v>#DIV/0!</v>
      </c>
      <c r="L158" s="271">
        <v>0</v>
      </c>
      <c r="M158" s="272">
        <f t="shared" si="28"/>
        <v>0</v>
      </c>
      <c r="N158" s="272"/>
      <c r="P158" s="25">
        <v>0</v>
      </c>
      <c r="Q158" s="272">
        <f t="shared" si="30"/>
        <v>0</v>
      </c>
      <c r="R158" s="272"/>
      <c r="T158" s="25">
        <v>0</v>
      </c>
      <c r="U158" s="272">
        <f t="shared" si="32"/>
        <v>0</v>
      </c>
      <c r="V158" s="272"/>
      <c r="X158" s="84">
        <v>0</v>
      </c>
      <c r="Y158" s="272">
        <f t="shared" si="21"/>
        <v>0</v>
      </c>
      <c r="Z158" s="272" t="e">
        <f t="shared" si="22"/>
        <v>#DIV/0!</v>
      </c>
    </row>
    <row r="159" spans="1:26" ht="11" customHeight="1">
      <c r="A159" s="261"/>
      <c r="B159" s="243" t="s">
        <v>902</v>
      </c>
      <c r="C159" s="272"/>
      <c r="D159" s="271">
        <v>4771.3360000000002</v>
      </c>
      <c r="E159" s="272">
        <v>1.7868819885296647E-5</v>
      </c>
      <c r="F159" s="272">
        <v>0.18808504585894495</v>
      </c>
      <c r="H159" s="271">
        <v>5393.4525000000003</v>
      </c>
      <c r="I159" s="272">
        <f t="shared" si="23"/>
        <v>1.8095484424391644E-5</v>
      </c>
      <c r="J159" s="265">
        <f t="shared" si="14"/>
        <v>0.13038622725375032</v>
      </c>
      <c r="L159" s="271">
        <f>8385525/1000</f>
        <v>8385.5249999999996</v>
      </c>
      <c r="M159" s="272">
        <f t="shared" si="28"/>
        <v>2.5175726748040706E-5</v>
      </c>
      <c r="N159" s="272">
        <f>IF(B159&lt;&gt;0,(L159-H159)/H159,"")</f>
        <v>0.55476014667784668</v>
      </c>
      <c r="P159" s="25">
        <v>0</v>
      </c>
      <c r="Q159" s="272">
        <f t="shared" si="30"/>
        <v>0</v>
      </c>
      <c r="R159" s="272"/>
      <c r="T159" s="25">
        <v>16122.5625</v>
      </c>
      <c r="U159" s="272">
        <f t="shared" si="32"/>
        <v>3.984381477374058E-5</v>
      </c>
      <c r="V159" s="272"/>
      <c r="X159" s="84">
        <v>4961.625</v>
      </c>
      <c r="Y159" s="272">
        <f t="shared" si="21"/>
        <v>1.2595773235532636E-5</v>
      </c>
      <c r="Z159" s="272">
        <f t="shared" si="22"/>
        <v>-0.69225580611022597</v>
      </c>
    </row>
    <row r="160" spans="1:26" ht="11" customHeight="1">
      <c r="A160" s="261"/>
      <c r="B160" s="14" t="s">
        <v>903</v>
      </c>
      <c r="C160" s="272"/>
      <c r="D160" s="271">
        <v>4278.4452499999998</v>
      </c>
      <c r="E160" s="272">
        <v>1.6022926819941621E-5</v>
      </c>
      <c r="F160" s="272">
        <v>0</v>
      </c>
      <c r="H160" s="271">
        <v>6453.9538499999999</v>
      </c>
      <c r="I160" s="272">
        <f t="shared" si="23"/>
        <v>2.1653555189077401E-5</v>
      </c>
      <c r="J160" s="265">
        <f t="shared" si="14"/>
        <v>0.50848111238539284</v>
      </c>
      <c r="L160" s="271">
        <f>3731218.15/1000</f>
        <v>3731.2181499999997</v>
      </c>
      <c r="M160" s="272">
        <f t="shared" si="28"/>
        <v>1.1202176200265333E-5</v>
      </c>
      <c r="N160" s="272">
        <f>IF(B160&lt;&gt;0,(L160-H160)/H160,"")</f>
        <v>-0.42187095899360982</v>
      </c>
      <c r="P160" s="25">
        <v>11028.141</v>
      </c>
      <c r="Q160" s="272">
        <f t="shared" si="30"/>
        <v>2.9363317563270534E-5</v>
      </c>
      <c r="R160" s="272">
        <f>IF(B160&lt;&gt;0,(P160-L160)/L160,"")</f>
        <v>1.9556409077823553</v>
      </c>
      <c r="T160" s="25">
        <v>7437.4217500000004</v>
      </c>
      <c r="U160" s="272">
        <f t="shared" si="32"/>
        <v>1.8380158526362637E-5</v>
      </c>
      <c r="V160" s="272">
        <f>IF(B160&lt;&gt;0,(T160-P160)/P160,"")</f>
        <v>-0.32559605920889106</v>
      </c>
      <c r="X160" s="84">
        <v>14121.183779999999</v>
      </c>
      <c r="Y160" s="272">
        <f t="shared" ref="Y160:Y167" si="34">IF(B160&lt;&gt;0,X160/$X$11,"")</f>
        <v>3.584858362132599E-5</v>
      </c>
      <c r="Z160" s="272">
        <f>IF(B160&lt;&gt;0,(X160-T160)/T160,"")</f>
        <v>0.89866653454202705</v>
      </c>
    </row>
    <row r="161" spans="1:27" ht="11" customHeight="1">
      <c r="A161" s="261"/>
      <c r="B161" s="14" t="s">
        <v>904</v>
      </c>
      <c r="C161" s="272"/>
      <c r="D161" s="271"/>
      <c r="E161" s="272"/>
      <c r="F161" s="272"/>
      <c r="H161" s="271"/>
      <c r="I161" s="272"/>
      <c r="J161" s="265"/>
      <c r="L161" s="271">
        <f>76859.05/1000</f>
        <v>76.859049999999996</v>
      </c>
      <c r="M161" s="272">
        <f t="shared" si="28"/>
        <v>2.3075268881960261E-7</v>
      </c>
      <c r="N161" s="272">
        <v>0</v>
      </c>
      <c r="P161" s="25">
        <v>28691.1407</v>
      </c>
      <c r="Q161" s="272">
        <f t="shared" si="30"/>
        <v>7.6392483159815972E-5</v>
      </c>
      <c r="R161" s="272">
        <v>0</v>
      </c>
      <c r="T161" s="25">
        <v>49113.1878</v>
      </c>
      <c r="U161" s="272">
        <f t="shared" si="32"/>
        <v>1.2137380504191784E-4</v>
      </c>
      <c r="V161" s="272">
        <f>IF(B161&lt;&gt;0,(T161-P161)/P161,"")</f>
        <v>0.71178930505192495</v>
      </c>
      <c r="X161" s="84">
        <v>7874.1149000000005</v>
      </c>
      <c r="Y161" s="272">
        <f t="shared" si="34"/>
        <v>1.9989532806475448E-5</v>
      </c>
      <c r="Z161" s="272">
        <f>IF(B161&lt;&gt;0,(X161-T161)/T161,"")</f>
        <v>-0.83967412312828937</v>
      </c>
    </row>
    <row r="162" spans="1:27" ht="11" customHeight="1">
      <c r="A162" s="261"/>
      <c r="B162" s="243" t="s">
        <v>905</v>
      </c>
      <c r="C162" s="272"/>
      <c r="D162" s="271">
        <v>167667.60447999998</v>
      </c>
      <c r="E162" s="272">
        <v>6.2792103198187606E-4</v>
      </c>
      <c r="F162" s="272">
        <v>-0.11702689433103088</v>
      </c>
      <c r="H162" s="271">
        <v>274231.32238999999</v>
      </c>
      <c r="I162" s="272">
        <f t="shared" si="23"/>
        <v>9.200690324033758E-4</v>
      </c>
      <c r="J162" s="265">
        <f t="shared" ref="J162:J167" si="35">IF(B162&lt;&gt;0,(H162-D162)/D162,"")</f>
        <v>0.63556533917505409</v>
      </c>
      <c r="L162" s="271">
        <f>274048537.82/1000</f>
        <v>274048.53781999997</v>
      </c>
      <c r="M162" s="272">
        <f t="shared" si="28"/>
        <v>8.2277151446765937E-4</v>
      </c>
      <c r="N162" s="272">
        <f>IF(B162&lt;&gt;0,(L162-H162)/H162,"")</f>
        <v>-6.6653425439151565E-4</v>
      </c>
      <c r="P162" s="25">
        <v>608365.12442999997</v>
      </c>
      <c r="Q162" s="272">
        <f t="shared" si="30"/>
        <v>1.6198213591081835E-3</v>
      </c>
      <c r="R162" s="272">
        <f t="shared" ref="R162:R167" si="36">IF(B162&lt;&gt;0,(P162-L162)/L162,"")</f>
        <v>1.2199174251007505</v>
      </c>
      <c r="T162" s="25">
        <v>433150.81725000002</v>
      </c>
      <c r="U162" s="272">
        <f t="shared" si="32"/>
        <v>1.0704490016151811E-3</v>
      </c>
      <c r="V162" s="272">
        <f>IF(B162&lt;&gt;0,(T162-P162)/P162,"")</f>
        <v>-0.28800846752049564</v>
      </c>
      <c r="X162" s="84">
        <v>320468.20760000002</v>
      </c>
      <c r="Y162" s="272">
        <f t="shared" si="34"/>
        <v>8.1355299365171629E-4</v>
      </c>
      <c r="Z162" s="272">
        <f>IF(B162&lt;&gt;0,(X162-T162)/T162,"")</f>
        <v>-0.26014636279668707</v>
      </c>
    </row>
    <row r="163" spans="1:27" ht="11" customHeight="1">
      <c r="A163" s="261"/>
      <c r="B163" s="243" t="s">
        <v>906</v>
      </c>
      <c r="C163" s="272"/>
      <c r="D163" s="271"/>
      <c r="E163" s="272"/>
      <c r="F163" s="272"/>
      <c r="H163" s="271">
        <v>77819.570699999997</v>
      </c>
      <c r="I163" s="272">
        <f t="shared" si="23"/>
        <v>2.610911711032394E-4</v>
      </c>
      <c r="J163" s="265">
        <v>0</v>
      </c>
      <c r="L163" s="271">
        <f>37799894.05/1000</f>
        <v>37799.894049999995</v>
      </c>
      <c r="M163" s="272">
        <f t="shared" si="28"/>
        <v>1.1348601354210855E-4</v>
      </c>
      <c r="N163" s="272">
        <f>IF(B163&lt;&gt;0,(L163-H163)/H163,"")</f>
        <v>-0.51426236729419539</v>
      </c>
      <c r="P163" s="25">
        <v>59870.723899999997</v>
      </c>
      <c r="Q163" s="272">
        <f t="shared" si="30"/>
        <v>1.5941064578505035E-4</v>
      </c>
      <c r="R163" s="272">
        <f t="shared" si="36"/>
        <v>0.58388602414614454</v>
      </c>
      <c r="T163" s="25">
        <v>35666.646220000002</v>
      </c>
      <c r="U163" s="272">
        <f t="shared" si="32"/>
        <v>8.814326169243969E-5</v>
      </c>
      <c r="V163" s="272">
        <f>IF(B163&lt;&gt;0,(T163-P163)/P163,"")</f>
        <v>-0.40427234052534977</v>
      </c>
      <c r="X163" s="84">
        <v>10229.196400000001</v>
      </c>
      <c r="Y163" s="272">
        <f t="shared" si="34"/>
        <v>2.5968233841962422E-5</v>
      </c>
      <c r="Z163" s="272">
        <f>IF(B163&lt;&gt;0,(X163-T163)/T163,"")</f>
        <v>-0.71319993652041225</v>
      </c>
    </row>
    <row r="164" spans="1:27" ht="11" customHeight="1">
      <c r="A164" s="261"/>
      <c r="B164" s="243"/>
      <c r="C164" s="265"/>
      <c r="D164" s="262" t="s">
        <v>154</v>
      </c>
      <c r="E164" s="265" t="s">
        <v>154</v>
      </c>
      <c r="F164" s="265" t="s">
        <v>154</v>
      </c>
      <c r="H164" s="262" t="s">
        <v>154</v>
      </c>
      <c r="I164" s="265"/>
      <c r="J164" s="265" t="str">
        <f t="shared" si="35"/>
        <v/>
      </c>
      <c r="L164" s="262" t="s">
        <v>154</v>
      </c>
      <c r="M164" s="265" t="str">
        <f t="shared" si="28"/>
        <v/>
      </c>
      <c r="N164" s="265" t="str">
        <f>IF(B164&lt;&gt;0,(L164-H164)/H164,"")</f>
        <v/>
      </c>
      <c r="P164" s="25"/>
      <c r="Q164" s="265" t="str">
        <f t="shared" si="30"/>
        <v/>
      </c>
      <c r="R164" s="265" t="str">
        <f t="shared" si="36"/>
        <v/>
      </c>
      <c r="T164" s="181"/>
      <c r="U164" s="265" t="str">
        <f t="shared" si="32"/>
        <v/>
      </c>
      <c r="V164" s="265" t="str">
        <f>IF(B164&lt;&gt;0,(T164-P164)/P164,"")</f>
        <v/>
      </c>
      <c r="X164" s="778"/>
      <c r="Y164" s="265" t="str">
        <f t="shared" si="34"/>
        <v/>
      </c>
      <c r="Z164" s="265" t="str">
        <f>IF(B164&lt;&gt;0,(X164-T164)/T164,"")</f>
        <v/>
      </c>
    </row>
    <row r="165" spans="1:27" s="17" customFormat="1" ht="11" customHeight="1">
      <c r="A165" s="279"/>
      <c r="B165" s="264" t="s">
        <v>907</v>
      </c>
      <c r="C165" s="265"/>
      <c r="D165" s="262">
        <v>1087.2124799999999</v>
      </c>
      <c r="E165" s="265">
        <v>4.0716486917221251E-6</v>
      </c>
      <c r="F165" s="265">
        <v>-0.99511834034390612</v>
      </c>
      <c r="H165" s="262">
        <f>+H167</f>
        <v>0</v>
      </c>
      <c r="I165" s="265">
        <f>+H165/$H$11</f>
        <v>0</v>
      </c>
      <c r="J165" s="265">
        <f t="shared" si="35"/>
        <v>-1</v>
      </c>
      <c r="L165" s="262">
        <f>+L167</f>
        <v>456.30614000000003</v>
      </c>
      <c r="M165" s="265">
        <f t="shared" si="28"/>
        <v>1.3699605801775332E-6</v>
      </c>
      <c r="N165" s="265"/>
      <c r="P165" s="181">
        <v>1330</v>
      </c>
      <c r="Q165" s="265">
        <f t="shared" si="30"/>
        <v>3.5412325938841199E-6</v>
      </c>
      <c r="R165" s="265">
        <f t="shared" si="36"/>
        <v>1.9147098480857609</v>
      </c>
      <c r="T165" s="181">
        <v>0</v>
      </c>
      <c r="U165" s="265">
        <f t="shared" si="32"/>
        <v>0</v>
      </c>
      <c r="V165" s="265"/>
      <c r="X165" s="778">
        <v>5644.8854000000001</v>
      </c>
      <c r="Y165" s="265">
        <f t="shared" si="34"/>
        <v>1.4330324528550412E-5</v>
      </c>
      <c r="Z165" s="265"/>
    </row>
    <row r="166" spans="1:27" ht="11" customHeight="1">
      <c r="A166" s="261"/>
      <c r="B166" s="264"/>
      <c r="C166" s="265"/>
      <c r="D166" s="262" t="s">
        <v>154</v>
      </c>
      <c r="E166" s="265" t="s">
        <v>154</v>
      </c>
      <c r="F166" s="265" t="s">
        <v>154</v>
      </c>
      <c r="H166" s="262" t="s">
        <v>154</v>
      </c>
      <c r="I166" s="265"/>
      <c r="J166" s="265" t="str">
        <f t="shared" si="35"/>
        <v/>
      </c>
      <c r="L166" s="262" t="s">
        <v>154</v>
      </c>
      <c r="M166" s="265" t="str">
        <f t="shared" si="28"/>
        <v/>
      </c>
      <c r="N166" s="265" t="str">
        <f>IF(B166&lt;&gt;0,(L166-H166)/H166,"")</f>
        <v/>
      </c>
      <c r="P166" s="25"/>
      <c r="Q166" s="265" t="str">
        <f t="shared" si="30"/>
        <v/>
      </c>
      <c r="R166" s="265" t="str">
        <f t="shared" si="36"/>
        <v/>
      </c>
      <c r="T166" s="181"/>
      <c r="U166" s="265" t="str">
        <f t="shared" si="32"/>
        <v/>
      </c>
      <c r="V166" s="265"/>
      <c r="X166" s="778"/>
      <c r="Y166" s="265" t="str">
        <f t="shared" si="34"/>
        <v/>
      </c>
      <c r="Z166" s="265" t="str">
        <f>IF(B166&lt;&gt;0,(X166-T166)/T166,"")</f>
        <v/>
      </c>
    </row>
    <row r="167" spans="1:27" ht="11" customHeight="1">
      <c r="A167" s="268"/>
      <c r="B167" s="243" t="s">
        <v>908</v>
      </c>
      <c r="C167" s="272"/>
      <c r="D167" s="271">
        <v>1087.2124799999999</v>
      </c>
      <c r="E167" s="272">
        <v>4.0716486917221251E-6</v>
      </c>
      <c r="F167" s="272">
        <v>-0.99511834034390612</v>
      </c>
      <c r="H167" s="271">
        <v>0</v>
      </c>
      <c r="I167" s="272">
        <f>+H167/$H$11</f>
        <v>0</v>
      </c>
      <c r="J167" s="265">
        <f t="shared" si="35"/>
        <v>-1</v>
      </c>
      <c r="L167" s="271">
        <f>456306.14/1000</f>
        <v>456.30614000000003</v>
      </c>
      <c r="M167" s="272">
        <f t="shared" si="28"/>
        <v>1.3699605801775332E-6</v>
      </c>
      <c r="N167" s="272"/>
      <c r="P167" s="25">
        <v>1330</v>
      </c>
      <c r="Q167" s="272">
        <f t="shared" si="30"/>
        <v>3.5412325938841199E-6</v>
      </c>
      <c r="R167" s="272">
        <f t="shared" si="36"/>
        <v>1.9147098480857609</v>
      </c>
      <c r="T167" s="25">
        <v>0</v>
      </c>
      <c r="U167" s="272">
        <f t="shared" si="32"/>
        <v>0</v>
      </c>
      <c r="V167" s="272"/>
      <c r="X167" s="84">
        <v>5644.8854000000001</v>
      </c>
      <c r="Y167" s="272">
        <f t="shared" si="34"/>
        <v>1.4330324528550412E-5</v>
      </c>
      <c r="Z167" s="272"/>
    </row>
    <row r="168" spans="1:27" ht="11" customHeight="1">
      <c r="A168" s="261"/>
      <c r="B168" s="243"/>
      <c r="C168" s="265"/>
      <c r="D168" s="262" t="s">
        <v>154</v>
      </c>
      <c r="E168" s="265" t="s">
        <v>154</v>
      </c>
      <c r="F168" s="265" t="s">
        <v>154</v>
      </c>
      <c r="H168" s="262" t="s">
        <v>154</v>
      </c>
      <c r="I168" s="265" t="s">
        <v>154</v>
      </c>
      <c r="J168" s="265" t="s">
        <v>154</v>
      </c>
      <c r="L168" s="262" t="s">
        <v>154</v>
      </c>
      <c r="M168" s="265" t="s">
        <v>154</v>
      </c>
      <c r="N168" s="265" t="s">
        <v>154</v>
      </c>
      <c r="V168" s="265" t="str">
        <f>IF(B168&lt;&gt;0,(T168-P168)/P168,"")</f>
        <v/>
      </c>
    </row>
    <row r="169" spans="1:27" ht="11" customHeight="1">
      <c r="A169" s="261"/>
      <c r="B169" s="243"/>
      <c r="C169" s="265"/>
      <c r="D169" s="262"/>
      <c r="E169" s="265"/>
      <c r="F169" s="265"/>
      <c r="H169" s="262"/>
      <c r="I169" s="265"/>
      <c r="J169" s="265"/>
      <c r="L169" s="262"/>
      <c r="M169" s="265"/>
      <c r="N169" s="265"/>
      <c r="V169" s="265" t="str">
        <f>IF(B169&lt;&gt;0,(T169-P169)/P169,"")</f>
        <v/>
      </c>
    </row>
    <row r="170" spans="1:27" ht="11" customHeight="1">
      <c r="A170" s="261"/>
      <c r="B170" s="243"/>
      <c r="C170" s="265"/>
      <c r="D170" s="262"/>
      <c r="E170" s="265"/>
      <c r="F170" s="265"/>
      <c r="H170" s="262"/>
      <c r="I170" s="265"/>
      <c r="J170" s="265"/>
      <c r="L170" s="262"/>
      <c r="M170" s="265"/>
      <c r="N170" s="265"/>
      <c r="V170" s="265" t="str">
        <f>IF(B170&lt;&gt;0,(T170-P170)/P170,"")</f>
        <v/>
      </c>
    </row>
    <row r="171" spans="1:27" ht="11" customHeight="1">
      <c r="A171" s="261"/>
      <c r="B171" s="243"/>
      <c r="C171" s="265"/>
      <c r="D171" s="262"/>
      <c r="E171" s="265"/>
      <c r="F171" s="265"/>
      <c r="H171" s="262"/>
      <c r="I171" s="265"/>
      <c r="J171" s="265"/>
      <c r="L171" s="262"/>
      <c r="M171" s="265"/>
      <c r="N171" s="265"/>
      <c r="V171" s="265" t="str">
        <f>IF(B171&lt;&gt;0,(T171-P171)/P171,"")</f>
        <v/>
      </c>
    </row>
    <row r="172" spans="1:27" ht="11" customHeight="1">
      <c r="A172" s="261"/>
      <c r="B172" s="243"/>
      <c r="C172" s="265"/>
      <c r="D172" s="262"/>
      <c r="E172" s="265"/>
      <c r="F172" s="265"/>
      <c r="H172" s="262"/>
      <c r="I172" s="265"/>
      <c r="J172" s="265"/>
      <c r="L172" s="262"/>
      <c r="M172" s="265"/>
      <c r="N172" s="265"/>
    </row>
    <row r="173" spans="1:27" ht="11" customHeight="1">
      <c r="A173" s="261"/>
      <c r="B173" s="243"/>
      <c r="C173" s="265"/>
      <c r="D173" s="262"/>
      <c r="E173" s="265"/>
      <c r="F173" s="265"/>
      <c r="H173" s="262"/>
      <c r="I173" s="265"/>
      <c r="J173" s="265"/>
      <c r="L173" s="262"/>
      <c r="M173" s="265"/>
      <c r="N173" s="265"/>
    </row>
    <row r="174" spans="1:27" ht="11" customHeight="1">
      <c r="A174" s="261"/>
      <c r="B174" s="243"/>
      <c r="C174" s="265"/>
      <c r="D174" s="262"/>
      <c r="E174" s="265"/>
      <c r="F174" s="265"/>
      <c r="H174" s="262"/>
      <c r="I174" s="265"/>
      <c r="J174" s="265"/>
      <c r="L174" s="262"/>
      <c r="M174" s="265"/>
      <c r="N174" s="265"/>
    </row>
    <row r="175" spans="1:27" ht="11" customHeight="1">
      <c r="A175" s="261"/>
      <c r="B175" s="243"/>
      <c r="C175" s="265"/>
      <c r="D175" s="262"/>
      <c r="E175" s="265"/>
      <c r="F175" s="265"/>
      <c r="H175" s="262"/>
      <c r="I175" s="265"/>
      <c r="J175" s="265"/>
      <c r="L175" s="262"/>
      <c r="M175" s="265"/>
      <c r="N175" s="265"/>
    </row>
    <row r="176" spans="1:27" ht="11" customHeight="1">
      <c r="A176" s="261"/>
      <c r="B176" s="245"/>
      <c r="C176" s="246"/>
      <c r="D176" s="246"/>
      <c r="E176" s="246"/>
      <c r="F176" s="246"/>
      <c r="G176" s="246"/>
      <c r="H176" s="246"/>
      <c r="I176" s="246"/>
      <c r="J176" s="246"/>
      <c r="K176" s="246"/>
      <c r="L176" s="246"/>
      <c r="M176" s="246"/>
      <c r="N176" s="246"/>
      <c r="O176" s="246"/>
      <c r="P176" s="245"/>
      <c r="Q176" s="245"/>
      <c r="R176" s="245"/>
      <c r="S176" s="246"/>
      <c r="T176" s="245"/>
      <c r="U176" s="245"/>
      <c r="V176" s="245"/>
      <c r="W176" s="246"/>
      <c r="X176" s="246"/>
      <c r="Y176" s="246"/>
      <c r="Z176" s="246"/>
      <c r="AA176" s="246"/>
    </row>
    <row r="177" spans="1:27" ht="11" customHeight="1">
      <c r="A177" s="261"/>
      <c r="B177" s="766"/>
      <c r="C177" s="75"/>
      <c r="D177" s="248"/>
      <c r="E177" s="249"/>
      <c r="F177" s="249"/>
      <c r="G177" s="249"/>
      <c r="H177" s="249"/>
      <c r="I177" s="249"/>
      <c r="J177" s="249"/>
      <c r="K177" s="249"/>
      <c r="L177" s="249"/>
      <c r="M177" s="249"/>
      <c r="N177" s="249"/>
      <c r="W177" s="64"/>
      <c r="X177" s="249"/>
      <c r="Y177" s="249"/>
      <c r="Z177" s="249"/>
      <c r="AA177" s="249"/>
    </row>
    <row r="178" spans="1:27" ht="11" customHeight="1">
      <c r="A178" s="261"/>
      <c r="B178" s="250" t="s">
        <v>797</v>
      </c>
      <c r="C178" s="249"/>
      <c r="D178" s="1027" t="s">
        <v>618</v>
      </c>
      <c r="E178" s="1027"/>
      <c r="F178" s="1027"/>
      <c r="H178" s="1027" t="s">
        <v>619</v>
      </c>
      <c r="I178" s="1027"/>
      <c r="J178" s="1027"/>
      <c r="L178" s="1027" t="s">
        <v>620</v>
      </c>
      <c r="M178" s="1027"/>
      <c r="N178" s="1027"/>
      <c r="P178" s="1027" t="s">
        <v>621</v>
      </c>
      <c r="Q178" s="1027"/>
      <c r="R178" s="1027"/>
      <c r="T178" s="1027" t="s">
        <v>622</v>
      </c>
      <c r="U178" s="1027"/>
      <c r="V178" s="1027"/>
      <c r="W178" s="64"/>
      <c r="X178" s="1027" t="s">
        <v>1872</v>
      </c>
      <c r="Y178" s="1027"/>
      <c r="Z178" s="1027"/>
      <c r="AA178" s="64"/>
    </row>
    <row r="179" spans="1:27" ht="11" customHeight="1">
      <c r="A179" s="261"/>
      <c r="B179" s="252" t="s">
        <v>800</v>
      </c>
      <c r="C179" s="254"/>
      <c r="D179" s="253" t="s">
        <v>152</v>
      </c>
      <c r="E179" s="253" t="s">
        <v>801</v>
      </c>
      <c r="F179" s="253" t="s">
        <v>802</v>
      </c>
      <c r="H179" s="253" t="s">
        <v>152</v>
      </c>
      <c r="I179" s="253" t="s">
        <v>801</v>
      </c>
      <c r="J179" s="253" t="s">
        <v>802</v>
      </c>
      <c r="L179" s="253" t="s">
        <v>152</v>
      </c>
      <c r="M179" s="253" t="s">
        <v>801</v>
      </c>
      <c r="N179" s="253" t="s">
        <v>802</v>
      </c>
      <c r="P179" s="253" t="s">
        <v>152</v>
      </c>
      <c r="Q179" s="253" t="s">
        <v>801</v>
      </c>
      <c r="R179" s="253" t="s">
        <v>802</v>
      </c>
      <c r="T179" s="253" t="s">
        <v>152</v>
      </c>
      <c r="U179" s="253" t="s">
        <v>801</v>
      </c>
      <c r="V179" s="253" t="s">
        <v>802</v>
      </c>
      <c r="W179" s="255"/>
      <c r="X179" s="253" t="s">
        <v>152</v>
      </c>
      <c r="Y179" s="253" t="s">
        <v>801</v>
      </c>
      <c r="Z179" s="253" t="s">
        <v>802</v>
      </c>
      <c r="AA179" s="255"/>
    </row>
    <row r="180" spans="1:27" ht="11" customHeight="1">
      <c r="A180" s="261"/>
      <c r="B180" s="257"/>
      <c r="C180" s="259"/>
      <c r="D180" s="260"/>
      <c r="E180" s="258"/>
      <c r="F180" s="258"/>
      <c r="G180" s="258"/>
      <c r="H180" s="258"/>
      <c r="I180" s="258"/>
      <c r="J180" s="258"/>
      <c r="K180" s="258"/>
      <c r="L180" s="258"/>
      <c r="M180" s="258"/>
      <c r="N180" s="258"/>
      <c r="O180" s="246"/>
      <c r="P180" s="257"/>
      <c r="Q180" s="257"/>
      <c r="R180" s="257"/>
      <c r="S180" s="246"/>
      <c r="T180" s="257"/>
      <c r="U180" s="257"/>
      <c r="V180" s="257"/>
      <c r="W180" s="260"/>
      <c r="X180" s="260"/>
      <c r="Y180" s="258"/>
      <c r="Z180" s="258"/>
      <c r="AA180" s="246"/>
    </row>
    <row r="181" spans="1:27" ht="11" customHeight="1">
      <c r="A181" s="261"/>
      <c r="B181" s="243"/>
      <c r="C181" s="248"/>
      <c r="D181" s="248"/>
      <c r="E181" s="75"/>
      <c r="F181" s="75"/>
      <c r="G181" s="75"/>
      <c r="H181" s="75"/>
      <c r="I181" s="75"/>
      <c r="J181" s="75"/>
      <c r="K181" s="75"/>
      <c r="L181" s="75"/>
      <c r="M181" s="75"/>
      <c r="N181" s="75"/>
    </row>
    <row r="182" spans="1:27" s="17" customFormat="1" ht="11" customHeight="1">
      <c r="A182" s="263" t="s">
        <v>807</v>
      </c>
      <c r="B182" s="264" t="s">
        <v>909</v>
      </c>
      <c r="C182" s="265"/>
      <c r="D182" s="262">
        <v>206157853.96783</v>
      </c>
      <c r="E182" s="265">
        <v>0.77206835999192736</v>
      </c>
      <c r="F182" s="265">
        <v>0.13369127448827456</v>
      </c>
      <c r="H182" s="262">
        <f>+H184+H221+H225</f>
        <v>232576520.72630003</v>
      </c>
      <c r="I182" s="265">
        <f>+H182/$H$11</f>
        <v>0.78031368743526752</v>
      </c>
      <c r="J182" s="265">
        <f t="shared" ref="J182:J247" si="37">IF(B182&lt;&gt;0,(H182-D182)/D182,"")</f>
        <v>0.12814775789523178</v>
      </c>
      <c r="L182" s="262">
        <f>+L184+L221+L225</f>
        <v>253774201.67804</v>
      </c>
      <c r="M182" s="265">
        <f t="shared" ref="M182:M194" si="38">IF(B182&lt;&gt;0,L182/$L$11,"")</f>
        <v>0.7619022013706368</v>
      </c>
      <c r="N182" s="265">
        <f t="shared" ref="N182:N188" si="39">IF(B182&lt;&gt;0,(L182-H182)/H182,"")</f>
        <v>9.1142824243577683E-2</v>
      </c>
      <c r="P182" s="181">
        <v>278909048.29388005</v>
      </c>
      <c r="Q182" s="265">
        <f t="shared" ref="Q182:Q194" si="40">IF(B182&lt;&gt;0,P182/$P$11,"")</f>
        <v>0.74261790417104367</v>
      </c>
      <c r="R182" s="265">
        <f t="shared" ref="R182:R192" si="41">IF(B182&lt;&gt;0,(P182-L182)/L182,"")</f>
        <v>9.9044136281938921E-2</v>
      </c>
      <c r="T182" s="181">
        <v>284699540.77270997</v>
      </c>
      <c r="U182" s="265">
        <f t="shared" ref="U182:U194" si="42">IF(B182&lt;&gt;0,T182/$T$11,"")</f>
        <v>0.70358020126867926</v>
      </c>
      <c r="V182" s="265">
        <f t="shared" ref="V182:V191" si="43">IF(B182&lt;&gt;0,(T182-P182)/P182,"")</f>
        <v>2.0761221316594261E-2</v>
      </c>
      <c r="X182" s="778">
        <v>286412935.52801001</v>
      </c>
      <c r="Y182" s="265">
        <f t="shared" ref="Y182:Y245" si="44">IF(B182&lt;&gt;0,X182/$X$11,"")</f>
        <v>0.72709896206062385</v>
      </c>
      <c r="Z182" s="265">
        <f t="shared" ref="Z182:Z245" si="45">IF(B182&lt;&gt;0,(X182-T182)/T182,"")</f>
        <v>6.01825612591323E-3</v>
      </c>
    </row>
    <row r="183" spans="1:27" s="17" customFormat="1" ht="11" customHeight="1">
      <c r="A183" s="279"/>
      <c r="B183" s="264"/>
      <c r="C183" s="265"/>
      <c r="D183" s="262" t="s">
        <v>154</v>
      </c>
      <c r="E183" s="265" t="s">
        <v>154</v>
      </c>
      <c r="F183" s="265" t="s">
        <v>154</v>
      </c>
      <c r="H183" s="262" t="s">
        <v>154</v>
      </c>
      <c r="I183" s="265"/>
      <c r="J183" s="265" t="str">
        <f t="shared" si="37"/>
        <v/>
      </c>
      <c r="L183" s="262" t="s">
        <v>154</v>
      </c>
      <c r="M183" s="265" t="str">
        <f t="shared" si="38"/>
        <v/>
      </c>
      <c r="N183" s="265" t="str">
        <f t="shared" si="39"/>
        <v/>
      </c>
      <c r="P183" s="25"/>
      <c r="Q183" s="265" t="str">
        <f t="shared" si="40"/>
        <v/>
      </c>
      <c r="R183" s="265" t="str">
        <f t="shared" si="41"/>
        <v/>
      </c>
      <c r="T183" s="181"/>
      <c r="U183" s="265" t="str">
        <f t="shared" si="42"/>
        <v/>
      </c>
      <c r="V183" s="265" t="str">
        <f t="shared" si="43"/>
        <v/>
      </c>
      <c r="X183" s="778"/>
      <c r="Y183" s="265" t="str">
        <f t="shared" si="44"/>
        <v/>
      </c>
      <c r="Z183" s="265" t="str">
        <f t="shared" si="45"/>
        <v/>
      </c>
    </row>
    <row r="184" spans="1:27" s="17" customFormat="1" ht="11" customHeight="1">
      <c r="A184" s="263" t="s">
        <v>809</v>
      </c>
      <c r="B184" s="264" t="s">
        <v>910</v>
      </c>
      <c r="C184" s="265"/>
      <c r="D184" s="262">
        <v>205653863.53183001</v>
      </c>
      <c r="E184" s="265">
        <v>0.77018089821501701</v>
      </c>
      <c r="F184" s="265">
        <v>0.13354934867544568</v>
      </c>
      <c r="H184" s="262">
        <f>+H186+H200+H204+H209</f>
        <v>232079445.08833003</v>
      </c>
      <c r="I184" s="265">
        <f>+H184/$H$11</f>
        <v>0.77864595707801854</v>
      </c>
      <c r="J184" s="265">
        <f t="shared" si="37"/>
        <v>0.12849542966359107</v>
      </c>
      <c r="L184" s="262">
        <f>+L186+L200+L204+L209</f>
        <v>253256478.66033</v>
      </c>
      <c r="M184" s="265">
        <f t="shared" si="38"/>
        <v>0.76034784988697435</v>
      </c>
      <c r="N184" s="265">
        <f t="shared" si="39"/>
        <v>9.1249070179135999E-2</v>
      </c>
      <c r="P184" s="181">
        <v>278318339.60674006</v>
      </c>
      <c r="Q184" s="265">
        <f t="shared" si="40"/>
        <v>0.74104509450458456</v>
      </c>
      <c r="R184" s="265">
        <f t="shared" si="41"/>
        <v>9.895841985556178E-2</v>
      </c>
      <c r="T184" s="181">
        <v>284029270.79583997</v>
      </c>
      <c r="U184" s="265">
        <f t="shared" si="42"/>
        <v>0.70192375783378436</v>
      </c>
      <c r="V184" s="265">
        <f t="shared" si="43"/>
        <v>2.0519421024030877E-2</v>
      </c>
      <c r="X184" s="778">
        <v>283828394.91396004</v>
      </c>
      <c r="Y184" s="265">
        <f t="shared" si="44"/>
        <v>0.7205377472383433</v>
      </c>
      <c r="Z184" s="265">
        <f t="shared" si="45"/>
        <v>-7.0723655106770728E-4</v>
      </c>
    </row>
    <row r="185" spans="1:27" s="17" customFormat="1" ht="11" customHeight="1">
      <c r="A185" s="279"/>
      <c r="B185" s="264"/>
      <c r="C185" s="265"/>
      <c r="D185" s="262" t="s">
        <v>154</v>
      </c>
      <c r="E185" s="265" t="s">
        <v>154</v>
      </c>
      <c r="F185" s="265" t="s">
        <v>154</v>
      </c>
      <c r="H185" s="262" t="s">
        <v>154</v>
      </c>
      <c r="I185" s="265"/>
      <c r="J185" s="265" t="str">
        <f t="shared" si="37"/>
        <v/>
      </c>
      <c r="L185" s="262" t="s">
        <v>154</v>
      </c>
      <c r="M185" s="265" t="str">
        <f t="shared" si="38"/>
        <v/>
      </c>
      <c r="N185" s="265" t="str">
        <f t="shared" si="39"/>
        <v/>
      </c>
      <c r="P185" s="25"/>
      <c r="Q185" s="265" t="str">
        <f t="shared" si="40"/>
        <v/>
      </c>
      <c r="R185" s="265" t="str">
        <f t="shared" si="41"/>
        <v/>
      </c>
      <c r="T185" s="181"/>
      <c r="U185" s="265" t="str">
        <f t="shared" si="42"/>
        <v/>
      </c>
      <c r="V185" s="265" t="str">
        <f t="shared" si="43"/>
        <v/>
      </c>
      <c r="X185" s="778"/>
      <c r="Y185" s="265" t="str">
        <f t="shared" si="44"/>
        <v/>
      </c>
      <c r="Z185" s="265" t="str">
        <f t="shared" si="45"/>
        <v/>
      </c>
    </row>
    <row r="186" spans="1:27" s="17" customFormat="1" ht="11" customHeight="1">
      <c r="A186" s="263" t="s">
        <v>814</v>
      </c>
      <c r="B186" s="264" t="s">
        <v>911</v>
      </c>
      <c r="C186" s="265"/>
      <c r="D186" s="262">
        <v>201137063.40121001</v>
      </c>
      <c r="E186" s="265">
        <v>0.75326532404628666</v>
      </c>
      <c r="F186" s="265">
        <v>0.13758068253899741</v>
      </c>
      <c r="H186" s="262">
        <f>SUM(H188:H197)</f>
        <v>228232949.84653002</v>
      </c>
      <c r="I186" s="265">
        <f>+H186/$H$11</f>
        <v>0.76574064369359751</v>
      </c>
      <c r="J186" s="265">
        <f t="shared" si="37"/>
        <v>0.13471354302946936</v>
      </c>
      <c r="L186" s="262">
        <f>SUM(L188:L197)</f>
        <v>247820829.42227998</v>
      </c>
      <c r="M186" s="265">
        <f t="shared" si="38"/>
        <v>0.74402848766274365</v>
      </c>
      <c r="N186" s="265">
        <f t="shared" si="39"/>
        <v>8.582406523212964E-2</v>
      </c>
      <c r="P186" s="181">
        <v>273149587.61044002</v>
      </c>
      <c r="Q186" s="265">
        <f t="shared" si="40"/>
        <v>0.72728287417450832</v>
      </c>
      <c r="R186" s="265">
        <f t="shared" si="41"/>
        <v>0.10220592936924004</v>
      </c>
      <c r="T186" s="181">
        <v>283842123.17311996</v>
      </c>
      <c r="U186" s="265">
        <f t="shared" si="42"/>
        <v>0.70146125845038909</v>
      </c>
      <c r="V186" s="265">
        <f t="shared" si="43"/>
        <v>3.9145347632482633E-2</v>
      </c>
      <c r="X186" s="778">
        <v>283728916.69914001</v>
      </c>
      <c r="Y186" s="265">
        <f t="shared" si="44"/>
        <v>0.72028520799248164</v>
      </c>
      <c r="Z186" s="265">
        <f t="shared" si="45"/>
        <v>-3.9883605968837638E-4</v>
      </c>
    </row>
    <row r="187" spans="1:27" s="17" customFormat="1" ht="11" customHeight="1">
      <c r="A187" s="263"/>
      <c r="B187" s="264"/>
      <c r="C187" s="265"/>
      <c r="D187" s="262" t="s">
        <v>154</v>
      </c>
      <c r="E187" s="265" t="s">
        <v>154</v>
      </c>
      <c r="F187" s="265" t="s">
        <v>154</v>
      </c>
      <c r="H187" s="262" t="s">
        <v>154</v>
      </c>
      <c r="I187" s="265"/>
      <c r="J187" s="265" t="str">
        <f t="shared" si="37"/>
        <v/>
      </c>
      <c r="L187" s="262" t="s">
        <v>154</v>
      </c>
      <c r="M187" s="265" t="str">
        <f t="shared" si="38"/>
        <v/>
      </c>
      <c r="N187" s="265" t="str">
        <f t="shared" si="39"/>
        <v/>
      </c>
      <c r="P187" s="25"/>
      <c r="Q187" s="265" t="str">
        <f t="shared" si="40"/>
        <v/>
      </c>
      <c r="R187" s="265" t="str">
        <f t="shared" si="41"/>
        <v/>
      </c>
      <c r="U187" s="265" t="str">
        <f t="shared" si="42"/>
        <v/>
      </c>
      <c r="V187" s="265" t="str">
        <f t="shared" si="43"/>
        <v/>
      </c>
      <c r="X187" s="778"/>
      <c r="Y187" s="265" t="str">
        <f t="shared" si="44"/>
        <v/>
      </c>
      <c r="Z187" s="265" t="str">
        <f t="shared" si="45"/>
        <v/>
      </c>
    </row>
    <row r="188" spans="1:27" ht="11" customHeight="1">
      <c r="A188" s="261"/>
      <c r="B188" s="243" t="s">
        <v>912</v>
      </c>
      <c r="C188" s="272"/>
      <c r="D188" s="271">
        <v>197517658.54824999</v>
      </c>
      <c r="E188" s="272">
        <v>0.73971052652007785</v>
      </c>
      <c r="F188" s="272">
        <v>0.12961330616666969</v>
      </c>
      <c r="H188" s="271">
        <v>225928138.16075</v>
      </c>
      <c r="I188" s="272">
        <f>+H188/$H$11</f>
        <v>0.75800780763706643</v>
      </c>
      <c r="J188" s="265">
        <f t="shared" si="37"/>
        <v>0.14383766910420237</v>
      </c>
      <c r="L188" s="271">
        <f>242329411633.01/1000</f>
        <v>242329411.63301</v>
      </c>
      <c r="M188" s="272">
        <f t="shared" si="38"/>
        <v>0.72754169241474287</v>
      </c>
      <c r="N188" s="272">
        <f t="shared" si="39"/>
        <v>7.2595089774033977E-2</v>
      </c>
      <c r="P188" s="25">
        <v>263336668.92114002</v>
      </c>
      <c r="Q188" s="272">
        <f t="shared" si="40"/>
        <v>0.70115518432211454</v>
      </c>
      <c r="R188" s="272">
        <f t="shared" si="41"/>
        <v>8.6688846997837618E-2</v>
      </c>
      <c r="T188" s="25">
        <v>272221029.26757997</v>
      </c>
      <c r="U188" s="272">
        <f t="shared" si="42"/>
        <v>0.67274195821256511</v>
      </c>
      <c r="V188" s="272">
        <f t="shared" si="43"/>
        <v>3.3737649917264308E-2</v>
      </c>
      <c r="X188" s="84">
        <v>274748070.67948997</v>
      </c>
      <c r="Y188" s="272">
        <f t="shared" si="44"/>
        <v>0.6974860847361396</v>
      </c>
      <c r="Z188" s="272">
        <f t="shared" si="45"/>
        <v>9.2830499491868401E-3</v>
      </c>
    </row>
    <row r="189" spans="1:27" ht="11" customHeight="1">
      <c r="A189" s="261"/>
      <c r="B189" s="243" t="s">
        <v>913</v>
      </c>
      <c r="C189" s="272"/>
      <c r="D189" s="271">
        <v>1342785.11</v>
      </c>
      <c r="E189" s="272">
        <v>5.0287771130032013E-3</v>
      </c>
      <c r="F189" s="272">
        <v>0</v>
      </c>
      <c r="H189" s="271">
        <v>0</v>
      </c>
      <c r="I189" s="272">
        <f>+H189/$H$11</f>
        <v>0</v>
      </c>
      <c r="J189" s="265">
        <f t="shared" si="37"/>
        <v>-1</v>
      </c>
      <c r="L189" s="271">
        <f>3037437407.45/1000</f>
        <v>3037437.4074499998</v>
      </c>
      <c r="M189" s="272">
        <f t="shared" si="38"/>
        <v>9.1192494428480493E-3</v>
      </c>
      <c r="N189" s="272"/>
      <c r="P189" s="25">
        <v>7910095</v>
      </c>
      <c r="Q189" s="272">
        <f t="shared" si="40"/>
        <v>2.1061267845653989E-2</v>
      </c>
      <c r="R189" s="272">
        <f t="shared" si="41"/>
        <v>1.6042001657708926</v>
      </c>
      <c r="T189" s="25">
        <v>9620176</v>
      </c>
      <c r="U189" s="272">
        <f t="shared" si="42"/>
        <v>2.3774416172043653E-2</v>
      </c>
      <c r="V189" s="272">
        <f t="shared" si="43"/>
        <v>0.21618969177993438</v>
      </c>
      <c r="X189" s="84">
        <v>6484583.9674499994</v>
      </c>
      <c r="Y189" s="272">
        <f t="shared" si="44"/>
        <v>1.646201580747653E-2</v>
      </c>
      <c r="Z189" s="272">
        <f t="shared" si="45"/>
        <v>-0.32593915460070594</v>
      </c>
    </row>
    <row r="190" spans="1:27" ht="11" customHeight="1">
      <c r="A190" s="261"/>
      <c r="B190" s="243" t="s">
        <v>914</v>
      </c>
      <c r="C190" s="272"/>
      <c r="D190" s="271">
        <v>2062715.916</v>
      </c>
      <c r="E190" s="272">
        <v>7.7249431139493601E-3</v>
      </c>
      <c r="F190" s="272">
        <v>0.15661152937889908</v>
      </c>
      <c r="H190" s="271">
        <v>2139530.1669999999</v>
      </c>
      <c r="I190" s="272">
        <f>+H190/$H$11</f>
        <v>7.1783027314071182E-3</v>
      </c>
      <c r="J190" s="265">
        <f t="shared" si="37"/>
        <v>3.7239374750623652E-2</v>
      </c>
      <c r="L190" s="271">
        <f>2296065739.57/1000</f>
        <v>2296065.7395700002</v>
      </c>
      <c r="M190" s="272">
        <f t="shared" si="38"/>
        <v>6.8934412162568624E-3</v>
      </c>
      <c r="N190" s="272">
        <f>IF(B190&lt;&gt;0,(L190-H190)/H190,"")</f>
        <v>7.3163526733297193E-2</v>
      </c>
      <c r="P190" s="25">
        <v>1828620.3084899997</v>
      </c>
      <c r="Q190" s="272">
        <f t="shared" si="40"/>
        <v>4.8688495024535499E-3</v>
      </c>
      <c r="R190" s="272">
        <f t="shared" si="41"/>
        <v>-0.20358538652623343</v>
      </c>
      <c r="T190" s="25">
        <v>1914993.63228</v>
      </c>
      <c r="U190" s="272">
        <f t="shared" si="42"/>
        <v>4.732538737403375E-3</v>
      </c>
      <c r="V190" s="272">
        <f t="shared" si="43"/>
        <v>4.7234148821919113E-2</v>
      </c>
      <c r="X190" s="84">
        <v>2422109.1273499997</v>
      </c>
      <c r="Y190" s="272">
        <f t="shared" si="44"/>
        <v>6.1488599641880302E-3</v>
      </c>
      <c r="Z190" s="272">
        <f t="shared" si="45"/>
        <v>0.2648131495174873</v>
      </c>
    </row>
    <row r="191" spans="1:27" ht="11" customHeight="1">
      <c r="A191" s="261"/>
      <c r="B191" s="243" t="s">
        <v>915</v>
      </c>
      <c r="C191" s="272"/>
      <c r="D191" s="271">
        <v>16898.042170000001</v>
      </c>
      <c r="E191" s="272">
        <v>6.3283757830066316E-5</v>
      </c>
      <c r="F191" s="272">
        <v>0.7084615274901872</v>
      </c>
      <c r="H191" s="271">
        <v>7650</v>
      </c>
      <c r="I191" s="272">
        <f>+H191/$H$11</f>
        <v>2.5666390099216796E-5</v>
      </c>
      <c r="J191" s="265">
        <f t="shared" si="37"/>
        <v>-0.54728483199187095</v>
      </c>
      <c r="L191" s="271">
        <f>8408135.57/1000</f>
        <v>8408.1355700000004</v>
      </c>
      <c r="M191" s="272">
        <f t="shared" si="38"/>
        <v>2.5243610098449593E-5</v>
      </c>
      <c r="N191" s="272">
        <f>IF(B191&lt;&gt;0,(L191-H191)/H191,"")</f>
        <v>9.9102688888888943E-2</v>
      </c>
      <c r="P191" s="25">
        <v>8200</v>
      </c>
      <c r="Q191" s="272">
        <f t="shared" si="40"/>
        <v>2.1833163360789308E-5</v>
      </c>
      <c r="R191" s="272">
        <f t="shared" si="41"/>
        <v>-2.4754069230594051E-2</v>
      </c>
      <c r="T191" s="25">
        <v>8131.07</v>
      </c>
      <c r="U191" s="272">
        <f t="shared" si="42"/>
        <v>2.0094376870445923E-5</v>
      </c>
      <c r="V191" s="272">
        <f t="shared" si="43"/>
        <v>-8.4060975609756457E-3</v>
      </c>
      <c r="X191" s="84">
        <v>9150</v>
      </c>
      <c r="Y191" s="272">
        <f t="shared" si="44"/>
        <v>2.3228544096968962E-5</v>
      </c>
      <c r="Z191" s="272">
        <f t="shared" si="45"/>
        <v>0.12531315066774734</v>
      </c>
    </row>
    <row r="192" spans="1:27" ht="11" customHeight="1">
      <c r="A192" s="261"/>
      <c r="B192" s="243" t="s">
        <v>916</v>
      </c>
      <c r="C192" s="272"/>
      <c r="D192" s="271">
        <v>134270.83499999999</v>
      </c>
      <c r="E192" s="272">
        <v>5.028489644123542E-4</v>
      </c>
      <c r="F192" s="272">
        <v>0.19427049911826705</v>
      </c>
      <c r="H192" s="271">
        <v>118822.75418</v>
      </c>
      <c r="I192" s="272">
        <f>+H192/$H$11</f>
        <v>3.9866028254212068E-4</v>
      </c>
      <c r="J192" s="265">
        <f t="shared" si="37"/>
        <v>-0.11505164781316798</v>
      </c>
      <c r="L192" s="271">
        <f>106624584.98/1000</f>
        <v>106624.58498</v>
      </c>
      <c r="M192" s="272">
        <f t="shared" si="38"/>
        <v>3.2011727543352687E-4</v>
      </c>
      <c r="N192" s="272">
        <f>IF(B192&lt;&gt;0,(L192-H192)/H192,"")</f>
        <v>-0.10265852937158373</v>
      </c>
      <c r="P192" s="25">
        <v>380.48849999999999</v>
      </c>
      <c r="Q192" s="272">
        <f t="shared" si="40"/>
        <v>1.0130814118782541E-6</v>
      </c>
      <c r="R192" s="272">
        <f t="shared" si="41"/>
        <v>-0.99643151248774964</v>
      </c>
      <c r="T192" s="25">
        <v>0</v>
      </c>
      <c r="U192" s="272">
        <f t="shared" si="42"/>
        <v>0</v>
      </c>
      <c r="V192" s="272"/>
      <c r="X192" s="84">
        <v>0</v>
      </c>
      <c r="Y192" s="272">
        <f t="shared" si="44"/>
        <v>0</v>
      </c>
      <c r="Z192" s="272"/>
    </row>
    <row r="193" spans="1:26" ht="11" customHeight="1">
      <c r="A193" s="261"/>
      <c r="B193" s="243" t="s">
        <v>917</v>
      </c>
      <c r="C193" s="272"/>
      <c r="D193" s="271"/>
      <c r="E193" s="272"/>
      <c r="F193" s="272"/>
      <c r="H193" s="271"/>
      <c r="I193" s="272"/>
      <c r="J193" s="265"/>
      <c r="L193" s="271"/>
      <c r="M193" s="272">
        <f t="shared" si="38"/>
        <v>0</v>
      </c>
      <c r="N193" s="272"/>
      <c r="P193" s="25"/>
      <c r="Q193" s="272">
        <f t="shared" si="40"/>
        <v>0</v>
      </c>
      <c r="R193" s="272"/>
      <c r="T193" s="25">
        <v>29898.161940000002</v>
      </c>
      <c r="U193" s="272">
        <f t="shared" si="42"/>
        <v>7.3887561385645767E-5</v>
      </c>
      <c r="V193" s="272"/>
      <c r="X193" s="84">
        <v>7219.9580599999999</v>
      </c>
      <c r="Y193" s="272">
        <f t="shared" si="44"/>
        <v>1.8328864937155899E-5</v>
      </c>
      <c r="Z193" s="272">
        <f t="shared" si="45"/>
        <v>-0.758514985821232</v>
      </c>
    </row>
    <row r="194" spans="1:26" ht="11" customHeight="1">
      <c r="A194" s="261"/>
      <c r="B194" s="243" t="s">
        <v>918</v>
      </c>
      <c r="C194" s="272"/>
      <c r="D194" s="271">
        <v>47286.239999999998</v>
      </c>
      <c r="E194" s="272">
        <v>1.7708861954239012E-4</v>
      </c>
      <c r="F194" s="272">
        <v>0.26091041557754829</v>
      </c>
      <c r="H194" s="271">
        <v>24570.836429999999</v>
      </c>
      <c r="I194" s="272">
        <f>+H194/$H$11</f>
        <v>8.2437212140709456E-5</v>
      </c>
      <c r="J194" s="265">
        <f t="shared" si="37"/>
        <v>-0.48038083742754761</v>
      </c>
      <c r="L194" s="271">
        <f>32089884.32/1000</f>
        <v>32089.884320000001</v>
      </c>
      <c r="M194" s="272">
        <f t="shared" si="38"/>
        <v>9.6342943228546355E-5</v>
      </c>
      <c r="N194" s="272">
        <f>IF(B194&lt;&gt;0,(L194-H194)/H194,"")</f>
        <v>0.30601513755630833</v>
      </c>
      <c r="P194" s="25">
        <v>30999.70002</v>
      </c>
      <c r="Q194" s="272">
        <f t="shared" si="40"/>
        <v>8.2539209106356542E-5</v>
      </c>
      <c r="R194" s="272">
        <f>IF(B194&lt;&gt;0,(P194-L194)/L194,"")</f>
        <v>-3.3972833592315073E-2</v>
      </c>
      <c r="T194" s="25">
        <v>0</v>
      </c>
      <c r="U194" s="272">
        <f t="shared" si="42"/>
        <v>0</v>
      </c>
      <c r="V194" s="272"/>
      <c r="X194" s="84">
        <v>0</v>
      </c>
      <c r="Y194" s="272">
        <f t="shared" si="44"/>
        <v>0</v>
      </c>
      <c r="Z194" s="272"/>
    </row>
    <row r="195" spans="1:26" ht="11" hidden="1" customHeight="1">
      <c r="A195" s="261"/>
      <c r="B195" s="782" t="s">
        <v>1877</v>
      </c>
      <c r="C195" s="272"/>
      <c r="D195" s="271"/>
      <c r="E195" s="272"/>
      <c r="F195" s="272"/>
      <c r="H195" s="271"/>
      <c r="I195" s="272"/>
      <c r="J195" s="265"/>
      <c r="L195" s="271"/>
      <c r="M195" s="272"/>
      <c r="N195" s="272"/>
      <c r="P195" s="25"/>
      <c r="Q195" s="272"/>
      <c r="R195" s="272"/>
      <c r="T195" s="25"/>
      <c r="U195" s="272"/>
      <c r="V195" s="272"/>
      <c r="X195" s="84">
        <v>0</v>
      </c>
      <c r="Y195" s="272">
        <f t="shared" si="44"/>
        <v>0</v>
      </c>
      <c r="Z195" s="272" t="e">
        <f t="shared" si="45"/>
        <v>#DIV/0!</v>
      </c>
    </row>
    <row r="196" spans="1:26" s="75" customFormat="1" ht="11" customHeight="1">
      <c r="A196" s="261"/>
      <c r="B196" s="243" t="s">
        <v>919</v>
      </c>
      <c r="C196" s="272"/>
      <c r="D196" s="271">
        <v>8215.3765700000004</v>
      </c>
      <c r="E196" s="272">
        <v>3.0766872049928183E-5</v>
      </c>
      <c r="F196" s="272">
        <v>3.6611615624250457E-2</v>
      </c>
      <c r="H196" s="271">
        <v>9204.5961700000007</v>
      </c>
      <c r="I196" s="272">
        <f>+H196/$H$11</f>
        <v>3.0882190327447955E-5</v>
      </c>
      <c r="J196" s="265">
        <f t="shared" si="37"/>
        <v>0.12041074338726268</v>
      </c>
      <c r="L196" s="271">
        <f>10792037.38/1000</f>
        <v>10792.037380000002</v>
      </c>
      <c r="M196" s="272">
        <f>IF(B196&lt;&gt;0,L196/$L$11,"")</f>
        <v>3.2400760135295191E-5</v>
      </c>
      <c r="N196" s="272">
        <f>IF(B196&lt;&gt;0,(L196-H196)/H196,"")</f>
        <v>0.17246179850603927</v>
      </c>
      <c r="P196" s="25">
        <v>24556.525960000003</v>
      </c>
      <c r="Q196" s="272">
        <f>IF(B196&lt;&gt;0,P196/$P$11,"")</f>
        <v>6.5383736933919955E-5</v>
      </c>
      <c r="R196" s="272">
        <f>IF(B196&lt;&gt;0,(P196-L196)/L196,"")</f>
        <v>1.2754300319148819</v>
      </c>
      <c r="T196" s="25">
        <v>0</v>
      </c>
      <c r="U196" s="272">
        <f>IF(B196&lt;&gt;0,T196/$T$11,"")</f>
        <v>0</v>
      </c>
      <c r="V196" s="272"/>
      <c r="X196" s="84">
        <v>13488.196089999999</v>
      </c>
      <c r="Y196" s="272">
        <f t="shared" si="44"/>
        <v>3.4241656575423966E-5</v>
      </c>
      <c r="Z196" s="272"/>
    </row>
    <row r="197" spans="1:26" ht="11" customHeight="1">
      <c r="A197" s="261"/>
      <c r="B197" s="243" t="s">
        <v>920</v>
      </c>
      <c r="C197" s="272"/>
      <c r="D197" s="271">
        <v>7233.3332199999995</v>
      </c>
      <c r="E197" s="272">
        <v>2.708908542146535E-5</v>
      </c>
      <c r="F197" s="272">
        <v>0.23295452333419431</v>
      </c>
      <c r="H197" s="271">
        <v>5033.3320000000003</v>
      </c>
      <c r="I197" s="272">
        <f>+H197/$H$11</f>
        <v>1.6887250014492951E-5</v>
      </c>
      <c r="J197" s="265">
        <f t="shared" si="37"/>
        <v>-0.30414763886682927</v>
      </c>
      <c r="L197" s="271">
        <v>0</v>
      </c>
      <c r="M197" s="272">
        <f>IF(B197&lt;&gt;0,L197/$L$11,"")</f>
        <v>0</v>
      </c>
      <c r="N197" s="272">
        <f>IF(B197&lt;&gt;0,(L197-H197)/H197,"")</f>
        <v>-1</v>
      </c>
      <c r="P197" s="25">
        <v>10066.66633</v>
      </c>
      <c r="Q197" s="272">
        <f>IF(B197&lt;&gt;0,P197/$P$11,"")</f>
        <v>2.6803313473347243E-5</v>
      </c>
      <c r="R197" s="272"/>
      <c r="T197" s="25">
        <v>47895.041320000004</v>
      </c>
      <c r="U197" s="272">
        <f>IF(B197&lt;&gt;0,T197/$T$11,"")</f>
        <v>1.1836339012081558E-4</v>
      </c>
      <c r="V197" s="272"/>
      <c r="X197" s="84">
        <v>44294.770700000001</v>
      </c>
      <c r="Y197" s="272">
        <f t="shared" si="44"/>
        <v>1.1244841906776816E-4</v>
      </c>
      <c r="Z197" s="272">
        <f t="shared" si="45"/>
        <v>-7.5170007599442298E-2</v>
      </c>
    </row>
    <row r="198" spans="1:26" ht="11" hidden="1" customHeight="1">
      <c r="A198" s="261"/>
      <c r="B198" s="783" t="s">
        <v>1878</v>
      </c>
      <c r="C198" s="265"/>
      <c r="D198" s="262" t="s">
        <v>154</v>
      </c>
      <c r="E198" s="265" t="s">
        <v>154</v>
      </c>
      <c r="F198" s="265" t="s">
        <v>154</v>
      </c>
      <c r="H198" s="262" t="s">
        <v>154</v>
      </c>
      <c r="I198" s="265"/>
      <c r="J198" s="265" t="e">
        <f t="shared" si="37"/>
        <v>#VALUE!</v>
      </c>
      <c r="L198" s="262" t="s">
        <v>154</v>
      </c>
      <c r="M198" s="265" t="e">
        <f>IF(B198&lt;&gt;0,L198/$L$11,"")</f>
        <v>#VALUE!</v>
      </c>
      <c r="N198" s="265" t="e">
        <f>IF(B198&lt;&gt;0,(L198-H198)/H198,"")</f>
        <v>#VALUE!</v>
      </c>
      <c r="P198" s="25"/>
      <c r="Q198" s="265">
        <f>IF(B198&lt;&gt;0,P198/$P$11,"")</f>
        <v>0</v>
      </c>
      <c r="R198" s="265"/>
      <c r="T198" s="181"/>
      <c r="U198" s="265">
        <f>IF(B198&lt;&gt;0,T198/$T$11,"")</f>
        <v>0</v>
      </c>
      <c r="V198" s="265"/>
      <c r="X198" s="778">
        <v>0</v>
      </c>
      <c r="Y198" s="265">
        <f t="shared" si="44"/>
        <v>0</v>
      </c>
      <c r="Z198" s="265" t="e">
        <f t="shared" si="45"/>
        <v>#DIV/0!</v>
      </c>
    </row>
    <row r="199" spans="1:26" ht="11" customHeight="1">
      <c r="A199" s="261"/>
      <c r="B199" s="14"/>
      <c r="C199" s="265"/>
      <c r="D199" s="262"/>
      <c r="E199" s="265"/>
      <c r="F199" s="265"/>
      <c r="H199" s="262"/>
      <c r="I199" s="265"/>
      <c r="J199" s="265"/>
      <c r="L199" s="262"/>
      <c r="M199" s="265"/>
      <c r="N199" s="265"/>
      <c r="P199" s="25"/>
      <c r="Q199" s="265"/>
      <c r="R199" s="265"/>
      <c r="T199" s="181"/>
      <c r="U199" s="265"/>
      <c r="V199" s="265"/>
      <c r="X199" s="778"/>
      <c r="Y199" s="265" t="str">
        <f t="shared" si="44"/>
        <v/>
      </c>
      <c r="Z199" s="265" t="str">
        <f t="shared" si="45"/>
        <v/>
      </c>
    </row>
    <row r="200" spans="1:26" s="17" customFormat="1" ht="11" hidden="1" customHeight="1">
      <c r="A200" s="263" t="s">
        <v>814</v>
      </c>
      <c r="B200" s="269" t="s">
        <v>921</v>
      </c>
      <c r="C200" s="265"/>
      <c r="D200" s="262">
        <v>0</v>
      </c>
      <c r="E200" s="265">
        <v>0</v>
      </c>
      <c r="F200" s="265">
        <v>0</v>
      </c>
      <c r="H200" s="262">
        <f>+H202</f>
        <v>0</v>
      </c>
      <c r="I200" s="265">
        <f>+H200/$H$11</f>
        <v>0</v>
      </c>
      <c r="J200" s="265" t="e">
        <f t="shared" si="37"/>
        <v>#DIV/0!</v>
      </c>
      <c r="L200" s="262">
        <f>+L202</f>
        <v>0</v>
      </c>
      <c r="M200" s="265">
        <f t="shared" ref="M200:M231" si="46">IF(B200&lt;&gt;0,L200/$L$11,"")</f>
        <v>0</v>
      </c>
      <c r="N200" s="265"/>
      <c r="P200" s="181">
        <v>0</v>
      </c>
      <c r="Q200" s="265">
        <f t="shared" ref="Q200:Q262" si="47">IF(B200&lt;&gt;0,P200/$P$11,"")</f>
        <v>0</v>
      </c>
      <c r="R200" s="265"/>
      <c r="T200" s="181">
        <v>0</v>
      </c>
      <c r="U200" s="265">
        <f t="shared" ref="U200:U262" si="48">IF(B200&lt;&gt;0,T200/$T$11,"")</f>
        <v>0</v>
      </c>
      <c r="V200" s="265"/>
      <c r="X200" s="778">
        <v>0</v>
      </c>
      <c r="Y200" s="265">
        <f t="shared" si="44"/>
        <v>0</v>
      </c>
      <c r="Z200" s="265" t="e">
        <f t="shared" si="45"/>
        <v>#DIV/0!</v>
      </c>
    </row>
    <row r="201" spans="1:26" ht="11" hidden="1" customHeight="1">
      <c r="A201" s="261"/>
      <c r="B201" s="243"/>
      <c r="C201" s="265"/>
      <c r="D201" s="262" t="s">
        <v>154</v>
      </c>
      <c r="E201" s="265" t="s">
        <v>154</v>
      </c>
      <c r="F201" s="265" t="s">
        <v>154</v>
      </c>
      <c r="H201" s="262" t="s">
        <v>154</v>
      </c>
      <c r="I201" s="265"/>
      <c r="J201" s="265" t="str">
        <f t="shared" si="37"/>
        <v/>
      </c>
      <c r="L201" s="262" t="s">
        <v>154</v>
      </c>
      <c r="M201" s="265" t="str">
        <f t="shared" si="46"/>
        <v/>
      </c>
      <c r="N201" s="265" t="str">
        <f>IF(B201&lt;&gt;0,(L201-H201)/H201,"")</f>
        <v/>
      </c>
      <c r="P201" s="25"/>
      <c r="Q201" s="265" t="str">
        <f t="shared" si="47"/>
        <v/>
      </c>
      <c r="R201" s="265"/>
      <c r="T201" s="181"/>
      <c r="U201" s="265" t="str">
        <f t="shared" si="48"/>
        <v/>
      </c>
      <c r="V201" s="265"/>
      <c r="X201" s="778"/>
      <c r="Y201" s="265" t="str">
        <f t="shared" si="44"/>
        <v/>
      </c>
      <c r="Z201" s="265" t="str">
        <f t="shared" si="45"/>
        <v/>
      </c>
    </row>
    <row r="202" spans="1:26" ht="11" hidden="1" customHeight="1">
      <c r="A202" s="261"/>
      <c r="B202" s="243" t="s">
        <v>922</v>
      </c>
      <c r="C202" s="272"/>
      <c r="D202" s="271">
        <v>0</v>
      </c>
      <c r="E202" s="272">
        <v>0</v>
      </c>
      <c r="F202" s="272">
        <v>0</v>
      </c>
      <c r="H202" s="271">
        <v>0</v>
      </c>
      <c r="I202" s="272">
        <f>+H202/$H$11</f>
        <v>0</v>
      </c>
      <c r="J202" s="265" t="e">
        <f t="shared" si="37"/>
        <v>#DIV/0!</v>
      </c>
      <c r="L202" s="271">
        <v>0</v>
      </c>
      <c r="M202" s="272">
        <f t="shared" si="46"/>
        <v>0</v>
      </c>
      <c r="N202" s="272"/>
      <c r="P202" s="25">
        <v>0</v>
      </c>
      <c r="Q202" s="272">
        <f t="shared" si="47"/>
        <v>0</v>
      </c>
      <c r="R202" s="272"/>
      <c r="T202" s="25">
        <v>0</v>
      </c>
      <c r="U202" s="272">
        <f t="shared" si="48"/>
        <v>0</v>
      </c>
      <c r="V202" s="272"/>
      <c r="X202" s="778">
        <v>0</v>
      </c>
      <c r="Y202" s="265">
        <f t="shared" si="44"/>
        <v>0</v>
      </c>
      <c r="Z202" s="265" t="e">
        <f t="shared" si="45"/>
        <v>#DIV/0!</v>
      </c>
    </row>
    <row r="203" spans="1:26" ht="11" hidden="1" customHeight="1">
      <c r="A203" s="261"/>
      <c r="B203" s="243"/>
      <c r="C203" s="265"/>
      <c r="D203" s="262" t="s">
        <v>154</v>
      </c>
      <c r="E203" s="265" t="s">
        <v>154</v>
      </c>
      <c r="F203" s="265" t="s">
        <v>154</v>
      </c>
      <c r="H203" s="262" t="s">
        <v>154</v>
      </c>
      <c r="I203" s="265"/>
      <c r="J203" s="265" t="str">
        <f t="shared" si="37"/>
        <v/>
      </c>
      <c r="L203" s="262" t="s">
        <v>154</v>
      </c>
      <c r="M203" s="265" t="str">
        <f t="shared" si="46"/>
        <v/>
      </c>
      <c r="N203" s="265" t="str">
        <f t="shared" ref="N203:N210" si="49">IF(B203&lt;&gt;0,(L203-H203)/H203,"")</f>
        <v/>
      </c>
      <c r="P203" s="25"/>
      <c r="Q203" s="265" t="str">
        <f t="shared" si="47"/>
        <v/>
      </c>
      <c r="R203" s="265" t="str">
        <f t="shared" ref="R203:R212" si="50">IF(B203&lt;&gt;0,(P203-L203)/L203,"")</f>
        <v/>
      </c>
      <c r="T203" s="181"/>
      <c r="U203" s="265" t="str">
        <f t="shared" si="48"/>
        <v/>
      </c>
      <c r="V203" s="265" t="str">
        <f>IF(B203&lt;&gt;0,(T203-P203)/P203,"")</f>
        <v/>
      </c>
      <c r="X203" s="778"/>
      <c r="Y203" s="265" t="str">
        <f t="shared" si="44"/>
        <v/>
      </c>
      <c r="Z203" s="265" t="str">
        <f t="shared" si="45"/>
        <v/>
      </c>
    </row>
    <row r="204" spans="1:26" s="17" customFormat="1" ht="11" customHeight="1">
      <c r="A204" s="280" t="s">
        <v>814</v>
      </c>
      <c r="B204" s="269" t="s">
        <v>923</v>
      </c>
      <c r="C204" s="265"/>
      <c r="D204" s="262">
        <v>4377016</v>
      </c>
      <c r="E204" s="265">
        <v>1.6392077719754296E-2</v>
      </c>
      <c r="F204" s="265">
        <v>-3.0177299196549909E-2</v>
      </c>
      <c r="H204" s="262">
        <f>SUM(H206:H207)</f>
        <v>3796370.1520799999</v>
      </c>
      <c r="I204" s="265">
        <f>+H204/$H$11</f>
        <v>1.2737139514288662E-2</v>
      </c>
      <c r="J204" s="265">
        <f t="shared" si="37"/>
        <v>-0.13265792218260114</v>
      </c>
      <c r="L204" s="262">
        <f>SUM(L206:L207)</f>
        <v>5266800.87457</v>
      </c>
      <c r="M204" s="265">
        <f t="shared" si="46"/>
        <v>1.5812431500057081E-2</v>
      </c>
      <c r="N204" s="265">
        <f t="shared" si="49"/>
        <v>0.3873254355043233</v>
      </c>
      <c r="P204" s="181">
        <v>4968815.3321799999</v>
      </c>
      <c r="Q204" s="265">
        <f t="shared" si="47"/>
        <v>1.3229872787448846E-2</v>
      </c>
      <c r="R204" s="265">
        <f t="shared" si="50"/>
        <v>-5.6578091613218369E-2</v>
      </c>
      <c r="T204" s="181">
        <v>0</v>
      </c>
      <c r="U204" s="265">
        <f t="shared" si="48"/>
        <v>0</v>
      </c>
      <c r="V204" s="265"/>
      <c r="X204" s="778">
        <v>0</v>
      </c>
      <c r="Y204" s="265">
        <f t="shared" si="44"/>
        <v>0</v>
      </c>
      <c r="Z204" s="265"/>
    </row>
    <row r="205" spans="1:26" ht="11" customHeight="1">
      <c r="A205" s="261"/>
      <c r="B205" s="243"/>
      <c r="C205" s="265"/>
      <c r="D205" s="262" t="s">
        <v>154</v>
      </c>
      <c r="E205" s="265" t="s">
        <v>154</v>
      </c>
      <c r="F205" s="265" t="s">
        <v>154</v>
      </c>
      <c r="H205" s="262" t="s">
        <v>154</v>
      </c>
      <c r="I205" s="265"/>
      <c r="J205" s="265" t="str">
        <f t="shared" si="37"/>
        <v/>
      </c>
      <c r="L205" s="262" t="s">
        <v>154</v>
      </c>
      <c r="M205" s="265" t="str">
        <f t="shared" si="46"/>
        <v/>
      </c>
      <c r="N205" s="265" t="str">
        <f t="shared" si="49"/>
        <v/>
      </c>
      <c r="P205" s="25"/>
      <c r="Q205" s="265" t="str">
        <f t="shared" si="47"/>
        <v/>
      </c>
      <c r="R205" s="265" t="str">
        <f t="shared" si="50"/>
        <v/>
      </c>
      <c r="T205" s="181"/>
      <c r="U205" s="265" t="str">
        <f t="shared" si="48"/>
        <v/>
      </c>
      <c r="V205" s="265"/>
      <c r="X205" s="778"/>
      <c r="Y205" s="265" t="str">
        <f t="shared" si="44"/>
        <v/>
      </c>
      <c r="Z205" s="265" t="str">
        <f t="shared" si="45"/>
        <v/>
      </c>
    </row>
    <row r="206" spans="1:26" ht="11" customHeight="1">
      <c r="A206" s="261"/>
      <c r="B206" s="243" t="s">
        <v>924</v>
      </c>
      <c r="C206" s="272"/>
      <c r="D206" s="271">
        <v>438416</v>
      </c>
      <c r="E206" s="272">
        <v>1.6418832249148277E-3</v>
      </c>
      <c r="F206" s="272">
        <v>-0.3604764658656992</v>
      </c>
      <c r="H206" s="271">
        <v>380877.55</v>
      </c>
      <c r="I206" s="272">
        <f>+H206/$H$11</f>
        <v>1.2778760494554181E-3</v>
      </c>
      <c r="J206" s="265">
        <f t="shared" si="37"/>
        <v>-0.13124167457392069</v>
      </c>
      <c r="L206" s="271">
        <f>750747096.07/1000</f>
        <v>750747.09607000009</v>
      </c>
      <c r="M206" s="272">
        <f t="shared" si="46"/>
        <v>2.2539559237547309E-3</v>
      </c>
      <c r="N206" s="272">
        <f t="shared" si="49"/>
        <v>0.97109831248914547</v>
      </c>
      <c r="P206" s="25">
        <v>689896.32394999999</v>
      </c>
      <c r="Q206" s="272">
        <f t="shared" si="47"/>
        <v>1.836904773513216E-3</v>
      </c>
      <c r="R206" s="272">
        <f t="shared" si="50"/>
        <v>-8.105362303569448E-2</v>
      </c>
      <c r="T206" s="25">
        <v>0</v>
      </c>
      <c r="U206" s="272">
        <f t="shared" si="48"/>
        <v>0</v>
      </c>
      <c r="V206" s="272"/>
      <c r="X206" s="84">
        <v>0</v>
      </c>
      <c r="Y206" s="272">
        <f t="shared" si="44"/>
        <v>0</v>
      </c>
      <c r="Z206" s="265"/>
    </row>
    <row r="207" spans="1:26" ht="11" customHeight="1">
      <c r="A207" s="261"/>
      <c r="B207" s="243" t="s">
        <v>925</v>
      </c>
      <c r="C207" s="272"/>
      <c r="D207" s="271">
        <v>3938600</v>
      </c>
      <c r="E207" s="272">
        <v>1.4750194494839467E-2</v>
      </c>
      <c r="F207" s="272">
        <v>2.8979141710277923E-2</v>
      </c>
      <c r="H207" s="271">
        <v>3415492.6020800001</v>
      </c>
      <c r="I207" s="272">
        <f>+H207/$H$11</f>
        <v>1.1459263464833244E-2</v>
      </c>
      <c r="J207" s="265">
        <f t="shared" si="37"/>
        <v>-0.13281556845579645</v>
      </c>
      <c r="L207" s="271">
        <f>4516053778.5/1000</f>
        <v>4516053.7785</v>
      </c>
      <c r="M207" s="272">
        <f t="shared" si="46"/>
        <v>1.355847557630235E-2</v>
      </c>
      <c r="N207" s="272">
        <f t="shared" si="49"/>
        <v>0.3222261924238306</v>
      </c>
      <c r="P207" s="25">
        <v>4278919.0082299998</v>
      </c>
      <c r="Q207" s="272">
        <f t="shared" si="47"/>
        <v>1.139296801393563E-2</v>
      </c>
      <c r="R207" s="272">
        <f t="shared" si="50"/>
        <v>-5.2509288396641755E-2</v>
      </c>
      <c r="T207" s="25">
        <v>0</v>
      </c>
      <c r="U207" s="272">
        <f t="shared" si="48"/>
        <v>0</v>
      </c>
      <c r="V207" s="272"/>
      <c r="X207" s="84">
        <v>0</v>
      </c>
      <c r="Y207" s="272">
        <f t="shared" si="44"/>
        <v>0</v>
      </c>
      <c r="Z207" s="265"/>
    </row>
    <row r="208" spans="1:26" ht="11" customHeight="1">
      <c r="A208" s="261"/>
      <c r="B208" s="14"/>
      <c r="C208" s="265"/>
      <c r="D208" s="262" t="s">
        <v>154</v>
      </c>
      <c r="E208" s="265" t="s">
        <v>154</v>
      </c>
      <c r="F208" s="265" t="s">
        <v>154</v>
      </c>
      <c r="H208" s="262" t="s">
        <v>154</v>
      </c>
      <c r="I208" s="265"/>
      <c r="J208" s="265" t="str">
        <f t="shared" si="37"/>
        <v/>
      </c>
      <c r="L208" s="262" t="s">
        <v>154</v>
      </c>
      <c r="M208" s="265" t="str">
        <f t="shared" si="46"/>
        <v/>
      </c>
      <c r="N208" s="265" t="str">
        <f t="shared" si="49"/>
        <v/>
      </c>
      <c r="P208" s="25"/>
      <c r="Q208" s="265" t="str">
        <f t="shared" si="47"/>
        <v/>
      </c>
      <c r="R208" s="265" t="str">
        <f t="shared" si="50"/>
        <v/>
      </c>
      <c r="T208" s="181"/>
      <c r="U208" s="265" t="str">
        <f t="shared" si="48"/>
        <v/>
      </c>
      <c r="V208" s="265" t="str">
        <f>IF(B208&lt;&gt;0,(T208-P208)/P208,"")</f>
        <v/>
      </c>
      <c r="X208" s="778"/>
      <c r="Y208" s="265" t="str">
        <f t="shared" si="44"/>
        <v/>
      </c>
      <c r="Z208" s="265" t="str">
        <f t="shared" si="45"/>
        <v/>
      </c>
    </row>
    <row r="209" spans="1:26" s="17" customFormat="1" ht="11" customHeight="1">
      <c r="A209" s="280" t="s">
        <v>814</v>
      </c>
      <c r="B209" s="269" t="s">
        <v>926</v>
      </c>
      <c r="C209" s="265"/>
      <c r="D209" s="262">
        <v>139784.13062000001</v>
      </c>
      <c r="E209" s="265">
        <v>5.2349644897604355E-4</v>
      </c>
      <c r="F209" s="265">
        <v>0.39438208366582894</v>
      </c>
      <c r="H209" s="262">
        <f>SUM(H211:H216)</f>
        <v>50125.089720000004</v>
      </c>
      <c r="I209" s="265">
        <f>+H209/$H$11</f>
        <v>1.6817387013225643E-4</v>
      </c>
      <c r="J209" s="265">
        <f t="shared" si="37"/>
        <v>-0.64141072740035188</v>
      </c>
      <c r="L209" s="262">
        <f>SUM(L211:L216)</f>
        <v>168848.36348</v>
      </c>
      <c r="M209" s="265">
        <f t="shared" si="46"/>
        <v>5.0693072417366065E-4</v>
      </c>
      <c r="N209" s="265">
        <f t="shared" si="49"/>
        <v>2.3685398754035383</v>
      </c>
      <c r="P209" s="181">
        <v>199936.66412</v>
      </c>
      <c r="Q209" s="265">
        <f t="shared" si="47"/>
        <v>5.3234754262722231E-4</v>
      </c>
      <c r="R209" s="265">
        <f t="shared" si="50"/>
        <v>0.18411964439135589</v>
      </c>
      <c r="T209" s="181">
        <v>187147.62272000001</v>
      </c>
      <c r="U209" s="265">
        <f t="shared" si="48"/>
        <v>4.6249938339526145E-4</v>
      </c>
      <c r="V209" s="265">
        <f>IF(B209&lt;&gt;0,(T209-P209)/P209,"")</f>
        <v>-6.3965463544615964E-2</v>
      </c>
      <c r="X209" s="778">
        <v>99478.214820000008</v>
      </c>
      <c r="Y209" s="265">
        <f t="shared" si="44"/>
        <v>2.5253924586165263E-4</v>
      </c>
      <c r="Z209" s="265">
        <f t="shared" si="45"/>
        <v>-0.46845055590776141</v>
      </c>
    </row>
    <row r="210" spans="1:26" ht="11" customHeight="1">
      <c r="A210" s="261"/>
      <c r="B210" s="243"/>
      <c r="C210" s="265"/>
      <c r="D210" s="262" t="s">
        <v>154</v>
      </c>
      <c r="E210" s="265" t="s">
        <v>154</v>
      </c>
      <c r="F210" s="265" t="s">
        <v>154</v>
      </c>
      <c r="H210" s="262" t="s">
        <v>154</v>
      </c>
      <c r="I210" s="265"/>
      <c r="J210" s="265" t="str">
        <f t="shared" si="37"/>
        <v/>
      </c>
      <c r="L210" s="262" t="s">
        <v>154</v>
      </c>
      <c r="M210" s="265" t="str">
        <f t="shared" si="46"/>
        <v/>
      </c>
      <c r="N210" s="265" t="str">
        <f t="shared" si="49"/>
        <v/>
      </c>
      <c r="P210" s="25"/>
      <c r="Q210" s="265" t="str">
        <f t="shared" si="47"/>
        <v/>
      </c>
      <c r="R210" s="265" t="str">
        <f t="shared" si="50"/>
        <v/>
      </c>
      <c r="T210" s="181"/>
      <c r="U210" s="265" t="str">
        <f t="shared" si="48"/>
        <v/>
      </c>
      <c r="V210" s="265" t="str">
        <f>IF(B210&lt;&gt;0,(T210-P210)/P210,"")</f>
        <v/>
      </c>
      <c r="X210" s="778"/>
      <c r="Y210" s="265" t="str">
        <f t="shared" si="44"/>
        <v/>
      </c>
      <c r="Z210" s="265" t="str">
        <f t="shared" si="45"/>
        <v/>
      </c>
    </row>
    <row r="211" spans="1:26" ht="11" customHeight="1">
      <c r="A211" s="261"/>
      <c r="B211" s="243" t="s">
        <v>927</v>
      </c>
      <c r="C211" s="272"/>
      <c r="D211" s="271">
        <v>0</v>
      </c>
      <c r="E211" s="272">
        <v>0</v>
      </c>
      <c r="F211" s="272">
        <v>0</v>
      </c>
      <c r="H211" s="271">
        <v>0</v>
      </c>
      <c r="I211" s="272">
        <f t="shared" ref="I211:I216" si="51">+H211/$H$11</f>
        <v>0</v>
      </c>
      <c r="J211" s="265">
        <v>0</v>
      </c>
      <c r="L211" s="271">
        <f>68927500/1000</f>
        <v>68927.5</v>
      </c>
      <c r="M211" s="272">
        <f t="shared" si="46"/>
        <v>2.069399239076356E-4</v>
      </c>
      <c r="N211" s="272"/>
      <c r="P211" s="25">
        <v>74800</v>
      </c>
      <c r="Q211" s="272">
        <f t="shared" si="47"/>
        <v>1.9916105114476103E-4</v>
      </c>
      <c r="R211" s="272">
        <f t="shared" si="50"/>
        <v>8.5198215516303369E-2</v>
      </c>
      <c r="T211" s="25">
        <v>78435</v>
      </c>
      <c r="U211" s="272">
        <f t="shared" si="48"/>
        <v>1.9383702880843801E-4</v>
      </c>
      <c r="V211" s="272">
        <f>IF(B211&lt;&gt;0,(T211-P211)/P211,"")</f>
        <v>4.8596256684491981E-2</v>
      </c>
      <c r="X211" s="84">
        <v>77753.225999999995</v>
      </c>
      <c r="Y211" s="272">
        <f t="shared" si="44"/>
        <v>1.9738734850520146E-4</v>
      </c>
      <c r="Z211" s="272">
        <f t="shared" si="45"/>
        <v>-8.6922164849876325E-3</v>
      </c>
    </row>
    <row r="212" spans="1:26" ht="11" customHeight="1">
      <c r="A212" s="261"/>
      <c r="B212" s="243" t="s">
        <v>928</v>
      </c>
      <c r="C212" s="272"/>
      <c r="D212" s="271">
        <v>20549.327020000001</v>
      </c>
      <c r="E212" s="272">
        <v>7.695794705810692E-5</v>
      </c>
      <c r="F212" s="272">
        <v>0.10077329349411299</v>
      </c>
      <c r="H212" s="271">
        <v>22495.914720000001</v>
      </c>
      <c r="I212" s="272">
        <f t="shared" si="51"/>
        <v>7.5475676188527241E-5</v>
      </c>
      <c r="J212" s="265">
        <f t="shared" si="37"/>
        <v>9.4727564465028405E-2</v>
      </c>
      <c r="L212" s="271">
        <f>20637294.6/1000</f>
        <v>20637.294600000001</v>
      </c>
      <c r="M212" s="272">
        <f t="shared" si="46"/>
        <v>6.1959017434020665E-5</v>
      </c>
      <c r="N212" s="272">
        <f>IF(B212&lt;&gt;0,(L212-H212)/H212,"")</f>
        <v>-8.2620339876537344E-2</v>
      </c>
      <c r="P212" s="25">
        <v>21458.505359999999</v>
      </c>
      <c r="Q212" s="272">
        <f t="shared" si="47"/>
        <v>5.7135006463811339E-5</v>
      </c>
      <c r="R212" s="272">
        <f t="shared" si="50"/>
        <v>3.9792558856042985E-2</v>
      </c>
      <c r="T212" s="25">
        <v>31303.722180000001</v>
      </c>
      <c r="U212" s="272">
        <f t="shared" si="48"/>
        <v>7.7361133397284382E-5</v>
      </c>
      <c r="V212" s="272">
        <f>IF(B212&lt;&gt;0,(T212-P212)/P212,"")</f>
        <v>0.45880254262033104</v>
      </c>
      <c r="X212" s="84">
        <v>0</v>
      </c>
      <c r="Y212" s="272">
        <f t="shared" si="44"/>
        <v>0</v>
      </c>
      <c r="Z212" s="272">
        <f t="shared" si="45"/>
        <v>-1</v>
      </c>
    </row>
    <row r="213" spans="1:26" ht="11" hidden="1" customHeight="1">
      <c r="A213" s="261"/>
      <c r="B213" s="243" t="s">
        <v>929</v>
      </c>
      <c r="C213" s="272"/>
      <c r="D213" s="271">
        <v>0</v>
      </c>
      <c r="E213" s="272">
        <v>0</v>
      </c>
      <c r="F213" s="272">
        <v>0</v>
      </c>
      <c r="H213" s="271">
        <v>0</v>
      </c>
      <c r="I213" s="272">
        <f t="shared" si="51"/>
        <v>0</v>
      </c>
      <c r="J213" s="265" t="e">
        <f t="shared" si="37"/>
        <v>#DIV/0!</v>
      </c>
      <c r="L213" s="271">
        <v>0</v>
      </c>
      <c r="M213" s="272">
        <f t="shared" si="46"/>
        <v>0</v>
      </c>
      <c r="N213" s="272"/>
      <c r="P213" s="25">
        <v>0</v>
      </c>
      <c r="Q213" s="272">
        <f t="shared" si="47"/>
        <v>0</v>
      </c>
      <c r="R213" s="272"/>
      <c r="T213" s="25"/>
      <c r="U213" s="272">
        <f t="shared" si="48"/>
        <v>0</v>
      </c>
      <c r="V213" s="272"/>
      <c r="X213" s="84">
        <v>0</v>
      </c>
      <c r="Y213" s="272">
        <f t="shared" si="44"/>
        <v>0</v>
      </c>
      <c r="Z213" s="272" t="e">
        <f t="shared" si="45"/>
        <v>#DIV/0!</v>
      </c>
    </row>
    <row r="214" spans="1:26" ht="11" hidden="1" customHeight="1">
      <c r="A214" s="261"/>
      <c r="B214" s="243" t="s">
        <v>930</v>
      </c>
      <c r="C214" s="272"/>
      <c r="D214" s="271">
        <v>0</v>
      </c>
      <c r="E214" s="272">
        <v>0</v>
      </c>
      <c r="F214" s="272">
        <v>0</v>
      </c>
      <c r="H214" s="271">
        <v>0</v>
      </c>
      <c r="I214" s="272">
        <f t="shared" si="51"/>
        <v>0</v>
      </c>
      <c r="J214" s="265" t="e">
        <f t="shared" si="37"/>
        <v>#DIV/0!</v>
      </c>
      <c r="L214" s="271">
        <v>0</v>
      </c>
      <c r="M214" s="272">
        <f t="shared" si="46"/>
        <v>0</v>
      </c>
      <c r="N214" s="272"/>
      <c r="P214" s="25">
        <v>0</v>
      </c>
      <c r="Q214" s="272">
        <f t="shared" si="47"/>
        <v>0</v>
      </c>
      <c r="R214" s="272"/>
      <c r="T214" s="25">
        <v>0</v>
      </c>
      <c r="U214" s="272">
        <f t="shared" si="48"/>
        <v>0</v>
      </c>
      <c r="V214" s="272"/>
      <c r="X214" s="84">
        <v>0</v>
      </c>
      <c r="Y214" s="272">
        <f t="shared" si="44"/>
        <v>0</v>
      </c>
      <c r="Z214" s="272" t="e">
        <f t="shared" si="45"/>
        <v>#DIV/0!</v>
      </c>
    </row>
    <row r="215" spans="1:26" ht="11" hidden="1" customHeight="1">
      <c r="A215" s="261"/>
      <c r="B215" s="243" t="s">
        <v>931</v>
      </c>
      <c r="C215" s="272"/>
      <c r="D215" s="271">
        <v>0</v>
      </c>
      <c r="E215" s="272">
        <v>0</v>
      </c>
      <c r="F215" s="272">
        <v>0</v>
      </c>
      <c r="H215" s="271">
        <v>0</v>
      </c>
      <c r="I215" s="272">
        <f t="shared" si="51"/>
        <v>0</v>
      </c>
      <c r="J215" s="265" t="e">
        <f t="shared" si="37"/>
        <v>#DIV/0!</v>
      </c>
      <c r="L215" s="271">
        <v>0</v>
      </c>
      <c r="M215" s="272">
        <f t="shared" si="46"/>
        <v>0</v>
      </c>
      <c r="N215" s="272"/>
      <c r="P215" s="25">
        <v>0</v>
      </c>
      <c r="Q215" s="272">
        <f t="shared" si="47"/>
        <v>0</v>
      </c>
      <c r="R215" s="272"/>
      <c r="T215" s="25">
        <v>0</v>
      </c>
      <c r="U215" s="272">
        <f t="shared" si="48"/>
        <v>0</v>
      </c>
      <c r="V215" s="272"/>
      <c r="X215" s="84">
        <v>0</v>
      </c>
      <c r="Y215" s="272">
        <f t="shared" si="44"/>
        <v>0</v>
      </c>
      <c r="Z215" s="272" t="e">
        <f t="shared" si="45"/>
        <v>#DIV/0!</v>
      </c>
    </row>
    <row r="216" spans="1:26" ht="11" customHeight="1">
      <c r="A216" s="261"/>
      <c r="B216" s="243" t="s">
        <v>932</v>
      </c>
      <c r="C216" s="272"/>
      <c r="D216" s="271">
        <v>119234.8036</v>
      </c>
      <c r="E216" s="272">
        <v>4.4653850191793659E-4</v>
      </c>
      <c r="F216" s="272">
        <v>0.46156905614121108</v>
      </c>
      <c r="H216" s="271">
        <v>27629.174999999999</v>
      </c>
      <c r="I216" s="272">
        <f t="shared" si="51"/>
        <v>9.2698193943729172E-5</v>
      </c>
      <c r="J216" s="265">
        <f t="shared" si="37"/>
        <v>-0.76827927613578084</v>
      </c>
      <c r="L216" s="271">
        <f>79283568.88/1000</f>
        <v>79283.568879999992</v>
      </c>
      <c r="M216" s="272">
        <f t="shared" si="46"/>
        <v>2.3803178283200439E-4</v>
      </c>
      <c r="N216" s="272">
        <f>IF(B216&lt;&gt;0,(L216-H216)/H216,"")</f>
        <v>1.8695597635470473</v>
      </c>
      <c r="P216" s="25">
        <v>103678.15876000001</v>
      </c>
      <c r="Q216" s="272">
        <f t="shared" si="47"/>
        <v>2.7605148501864989E-4</v>
      </c>
      <c r="R216" s="272">
        <f>IF(B216&lt;&gt;0,(P216-L216)/L216,"")</f>
        <v>0.30768783777786995</v>
      </c>
      <c r="T216" s="25">
        <v>46825.450560000005</v>
      </c>
      <c r="U216" s="272">
        <f t="shared" si="48"/>
        <v>1.1572010211215415E-4</v>
      </c>
      <c r="V216" s="272">
        <f>IF(B216&lt;&gt;0,(T216-P216)/P216,"")</f>
        <v>-0.54835761822898332</v>
      </c>
      <c r="X216" s="84">
        <v>1.0000000000000001E-5</v>
      </c>
      <c r="Y216" s="272">
        <f t="shared" si="44"/>
        <v>2.538638699122291E-14</v>
      </c>
      <c r="Z216" s="272">
        <f t="shared" si="45"/>
        <v>-0.99999999978644083</v>
      </c>
    </row>
    <row r="217" spans="1:26" ht="11" customHeight="1">
      <c r="A217" s="261"/>
      <c r="B217" s="243" t="s">
        <v>933</v>
      </c>
      <c r="C217" s="272"/>
      <c r="D217" s="271"/>
      <c r="E217" s="272"/>
      <c r="F217" s="272"/>
      <c r="H217" s="271"/>
      <c r="I217" s="272"/>
      <c r="J217" s="265"/>
      <c r="L217" s="271"/>
      <c r="M217" s="272">
        <f t="shared" si="46"/>
        <v>0</v>
      </c>
      <c r="N217" s="272"/>
      <c r="P217" s="25"/>
      <c r="Q217" s="272">
        <f t="shared" si="47"/>
        <v>0</v>
      </c>
      <c r="R217" s="272"/>
      <c r="T217" s="25">
        <v>25983.449980000001</v>
      </c>
      <c r="U217" s="272">
        <f t="shared" si="48"/>
        <v>6.4213103108508551E-5</v>
      </c>
      <c r="V217" s="272"/>
      <c r="X217" s="84">
        <v>17413.185260000002</v>
      </c>
      <c r="Y217" s="272">
        <f t="shared" si="44"/>
        <v>4.4205785976021857E-5</v>
      </c>
      <c r="Z217" s="272">
        <f t="shared" si="45"/>
        <v>-0.3298355194016464</v>
      </c>
    </row>
    <row r="218" spans="1:26" ht="11" customHeight="1">
      <c r="A218" s="261"/>
      <c r="B218" s="243" t="s">
        <v>934</v>
      </c>
      <c r="C218" s="272"/>
      <c r="D218" s="271"/>
      <c r="E218" s="272"/>
      <c r="F218" s="272"/>
      <c r="H218" s="271"/>
      <c r="I218" s="272"/>
      <c r="J218" s="265"/>
      <c r="L218" s="271"/>
      <c r="M218" s="272">
        <f t="shared" si="46"/>
        <v>0</v>
      </c>
      <c r="N218" s="272"/>
      <c r="P218" s="25"/>
      <c r="Q218" s="272">
        <f t="shared" si="47"/>
        <v>0</v>
      </c>
      <c r="R218" s="272"/>
      <c r="T218" s="25">
        <v>4600</v>
      </c>
      <c r="U218" s="272">
        <f t="shared" si="48"/>
        <v>1.1368015968876329E-5</v>
      </c>
      <c r="V218" s="272"/>
      <c r="X218" s="84">
        <v>4311.8035499999996</v>
      </c>
      <c r="Y218" s="272">
        <f t="shared" si="44"/>
        <v>1.0946111355042874E-5</v>
      </c>
      <c r="Z218" s="272">
        <f t="shared" si="45"/>
        <v>-6.2651402173913129E-2</v>
      </c>
    </row>
    <row r="219" spans="1:26" ht="11" customHeight="1">
      <c r="A219" s="261"/>
      <c r="B219" s="243"/>
      <c r="C219" s="265"/>
      <c r="D219" s="271"/>
      <c r="E219" s="265"/>
      <c r="F219" s="265"/>
      <c r="H219" s="271"/>
      <c r="I219" s="265"/>
      <c r="J219" s="265" t="str">
        <f t="shared" si="37"/>
        <v/>
      </c>
      <c r="L219" s="271"/>
      <c r="M219" s="265" t="str">
        <f t="shared" si="46"/>
        <v/>
      </c>
      <c r="N219" s="265" t="str">
        <f t="shared" ref="N219:N231" si="52">IF(B219&lt;&gt;0,(L219-H219)/H219,"")</f>
        <v/>
      </c>
      <c r="P219" s="181"/>
      <c r="Q219" s="265" t="str">
        <f t="shared" si="47"/>
        <v/>
      </c>
      <c r="R219" s="265" t="str">
        <f t="shared" ref="R219:R231" si="53">IF(B219&lt;&gt;0,(P219-L219)/L219,"")</f>
        <v/>
      </c>
      <c r="T219" s="181"/>
      <c r="U219" s="265" t="str">
        <f t="shared" si="48"/>
        <v/>
      </c>
      <c r="V219" s="265" t="str">
        <f t="shared" ref="V219:V224" si="54">IF(B219&lt;&gt;0,(T219-P219)/P219,"")</f>
        <v/>
      </c>
      <c r="X219" s="778"/>
      <c r="Y219" s="265" t="str">
        <f t="shared" si="44"/>
        <v/>
      </c>
      <c r="Z219" s="265" t="str">
        <f t="shared" si="45"/>
        <v/>
      </c>
    </row>
    <row r="220" spans="1:26" ht="11" customHeight="1">
      <c r="A220" s="261"/>
      <c r="B220" s="14"/>
      <c r="C220" s="265"/>
      <c r="D220" s="262" t="s">
        <v>154</v>
      </c>
      <c r="E220" s="265" t="s">
        <v>154</v>
      </c>
      <c r="F220" s="265" t="s">
        <v>154</v>
      </c>
      <c r="H220" s="262" t="s">
        <v>154</v>
      </c>
      <c r="I220" s="265"/>
      <c r="J220" s="265" t="str">
        <f t="shared" si="37"/>
        <v/>
      </c>
      <c r="L220" s="262" t="s">
        <v>154</v>
      </c>
      <c r="M220" s="265" t="str">
        <f t="shared" si="46"/>
        <v/>
      </c>
      <c r="N220" s="265" t="str">
        <f t="shared" si="52"/>
        <v/>
      </c>
      <c r="P220" s="181"/>
      <c r="Q220" s="265" t="str">
        <f t="shared" si="47"/>
        <v/>
      </c>
      <c r="R220" s="265" t="str">
        <f t="shared" si="53"/>
        <v/>
      </c>
      <c r="U220" s="265" t="str">
        <f t="shared" si="48"/>
        <v/>
      </c>
      <c r="V220" s="265" t="str">
        <f t="shared" si="54"/>
        <v/>
      </c>
      <c r="X220"/>
      <c r="Y220" s="265" t="str">
        <f t="shared" si="44"/>
        <v/>
      </c>
      <c r="Z220" s="265" t="str">
        <f t="shared" si="45"/>
        <v/>
      </c>
    </row>
    <row r="221" spans="1:26" s="275" customFormat="1" ht="11" customHeight="1">
      <c r="A221" s="263" t="s">
        <v>814</v>
      </c>
      <c r="B221" s="264" t="s">
        <v>935</v>
      </c>
      <c r="C221" s="265"/>
      <c r="D221" s="262">
        <v>396934.84177</v>
      </c>
      <c r="E221" s="265">
        <v>1.4865348392540062E-3</v>
      </c>
      <c r="F221" s="265">
        <v>0.10022601494395911</v>
      </c>
      <c r="H221" s="262">
        <f>+H223</f>
        <v>413761.36670000001</v>
      </c>
      <c r="I221" s="265">
        <f>+H221/$H$11</f>
        <v>1.3882040059748091E-3</v>
      </c>
      <c r="J221" s="265">
        <f t="shared" si="37"/>
        <v>4.2391151290644268E-2</v>
      </c>
      <c r="L221" s="262">
        <f>+L223</f>
        <v>437675.13686999999</v>
      </c>
      <c r="M221" s="265">
        <f t="shared" si="46"/>
        <v>1.3140250193339638E-3</v>
      </c>
      <c r="N221" s="265">
        <f t="shared" si="52"/>
        <v>5.7796044035543767E-2</v>
      </c>
      <c r="P221" s="181">
        <v>545896.70668000029</v>
      </c>
      <c r="Q221" s="265">
        <f t="shared" si="47"/>
        <v>1.4534941433001624E-3</v>
      </c>
      <c r="R221" s="265">
        <f t="shared" si="53"/>
        <v>0.24726460493949581</v>
      </c>
      <c r="T221" s="181">
        <v>570927.20704000024</v>
      </c>
      <c r="U221" s="265">
        <f t="shared" si="48"/>
        <v>1.4109368710210183E-3</v>
      </c>
      <c r="V221" s="265">
        <f t="shared" si="54"/>
        <v>4.5852081636888496E-2</v>
      </c>
      <c r="X221" s="778">
        <v>2478052.5357400002</v>
      </c>
      <c r="Y221" s="265">
        <f t="shared" si="44"/>
        <v>6.2908800656876884E-3</v>
      </c>
      <c r="Z221" s="265">
        <f t="shared" si="45"/>
        <v>3.3404001511638999</v>
      </c>
    </row>
    <row r="222" spans="1:26" s="75" customFormat="1" ht="4.5" customHeight="1">
      <c r="A222" s="268"/>
      <c r="B222" s="243"/>
      <c r="C222" s="265"/>
      <c r="D222" s="262" t="s">
        <v>154</v>
      </c>
      <c r="E222" s="265" t="s">
        <v>154</v>
      </c>
      <c r="F222" s="265" t="s">
        <v>154</v>
      </c>
      <c r="H222" s="262" t="s">
        <v>154</v>
      </c>
      <c r="I222" s="265"/>
      <c r="J222" s="265" t="str">
        <f t="shared" si="37"/>
        <v/>
      </c>
      <c r="L222" s="262" t="s">
        <v>154</v>
      </c>
      <c r="M222" s="265" t="str">
        <f t="shared" si="46"/>
        <v/>
      </c>
      <c r="N222" s="265" t="str">
        <f t="shared" si="52"/>
        <v/>
      </c>
      <c r="P222" s="181"/>
      <c r="Q222" s="265" t="str">
        <f t="shared" si="47"/>
        <v/>
      </c>
      <c r="R222" s="265" t="str">
        <f t="shared" si="53"/>
        <v/>
      </c>
      <c r="T222" s="181"/>
      <c r="U222" s="265" t="str">
        <f t="shared" si="48"/>
        <v/>
      </c>
      <c r="V222" s="265" t="str">
        <f t="shared" si="54"/>
        <v/>
      </c>
      <c r="X222" s="778"/>
      <c r="Y222" s="265" t="str">
        <f t="shared" si="44"/>
        <v/>
      </c>
      <c r="Z222" s="265" t="str">
        <f t="shared" si="45"/>
        <v/>
      </c>
    </row>
    <row r="223" spans="1:26" ht="11" customHeight="1">
      <c r="A223" s="261"/>
      <c r="B223" s="243" t="s">
        <v>936</v>
      </c>
      <c r="C223" s="272"/>
      <c r="D223" s="271">
        <v>396934.84177</v>
      </c>
      <c r="E223" s="272">
        <v>1.4865348392540062E-3</v>
      </c>
      <c r="F223" s="272">
        <v>0.10022601494395911</v>
      </c>
      <c r="H223" s="271">
        <v>413761.36670000001</v>
      </c>
      <c r="I223" s="272">
        <f>+H223/$H$11</f>
        <v>1.3882040059748091E-3</v>
      </c>
      <c r="J223" s="265">
        <f t="shared" si="37"/>
        <v>4.2391151290644268E-2</v>
      </c>
      <c r="L223" s="271">
        <f>437675136.87/1000</f>
        <v>437675.13686999999</v>
      </c>
      <c r="M223" s="272">
        <f t="shared" si="46"/>
        <v>1.3140250193339638E-3</v>
      </c>
      <c r="N223" s="272">
        <f t="shared" si="52"/>
        <v>5.7796044035543767E-2</v>
      </c>
      <c r="P223" s="25">
        <v>545896.70668000029</v>
      </c>
      <c r="Q223" s="272">
        <f t="shared" si="47"/>
        <v>1.4534941433001624E-3</v>
      </c>
      <c r="R223" s="272">
        <f t="shared" si="53"/>
        <v>0.24726460493949581</v>
      </c>
      <c r="T223" s="25">
        <v>570927.20704000024</v>
      </c>
      <c r="U223" s="272">
        <f t="shared" si="48"/>
        <v>1.4109368710210183E-3</v>
      </c>
      <c r="V223" s="272">
        <f t="shared" si="54"/>
        <v>4.5852081636888496E-2</v>
      </c>
      <c r="X223" s="84">
        <v>2478052.5357400002</v>
      </c>
      <c r="Y223" s="272">
        <f t="shared" si="44"/>
        <v>6.2908800656876884E-3</v>
      </c>
      <c r="Z223" s="272">
        <f t="shared" si="45"/>
        <v>3.3404001511638999</v>
      </c>
    </row>
    <row r="224" spans="1:26" ht="11" customHeight="1">
      <c r="A224" s="261"/>
      <c r="B224" s="243"/>
      <c r="C224" s="265"/>
      <c r="D224" s="262" t="s">
        <v>154</v>
      </c>
      <c r="E224" s="265" t="s">
        <v>154</v>
      </c>
      <c r="F224" s="265" t="s">
        <v>154</v>
      </c>
      <c r="H224" s="262" t="s">
        <v>154</v>
      </c>
      <c r="I224" s="265"/>
      <c r="J224" s="265" t="str">
        <f t="shared" si="37"/>
        <v/>
      </c>
      <c r="L224" s="262" t="s">
        <v>154</v>
      </c>
      <c r="M224" s="265" t="str">
        <f t="shared" si="46"/>
        <v/>
      </c>
      <c r="N224" s="265" t="str">
        <f t="shared" si="52"/>
        <v/>
      </c>
      <c r="P224" s="25"/>
      <c r="Q224" s="265" t="str">
        <f t="shared" si="47"/>
        <v/>
      </c>
      <c r="R224" s="265" t="str">
        <f t="shared" si="53"/>
        <v/>
      </c>
      <c r="U224" s="265" t="str">
        <f t="shared" si="48"/>
        <v/>
      </c>
      <c r="V224" s="265" t="str">
        <f t="shared" si="54"/>
        <v/>
      </c>
      <c r="X224" s="778"/>
      <c r="Y224" s="265" t="str">
        <f t="shared" si="44"/>
        <v/>
      </c>
      <c r="Z224" s="265" t="str">
        <f t="shared" si="45"/>
        <v/>
      </c>
    </row>
    <row r="225" spans="1:26" s="17" customFormat="1" ht="11" customHeight="1">
      <c r="A225" s="263" t="s">
        <v>814</v>
      </c>
      <c r="B225" s="264" t="s">
        <v>937</v>
      </c>
      <c r="C225" s="265"/>
      <c r="D225" s="262">
        <v>107055.59423</v>
      </c>
      <c r="E225" s="265">
        <v>4.0092693765630272E-4</v>
      </c>
      <c r="F225" s="265">
        <v>0.75302937293099614</v>
      </c>
      <c r="H225" s="262">
        <f>+H227</f>
        <v>83314.271269999997</v>
      </c>
      <c r="I225" s="265">
        <f>+H225/$H$11</f>
        <v>2.7952635127422091E-4</v>
      </c>
      <c r="J225" s="265">
        <f t="shared" si="37"/>
        <v>-0.22176629937706716</v>
      </c>
      <c r="L225" s="262">
        <f>+L227</f>
        <v>80047.880839999998</v>
      </c>
      <c r="M225" s="265">
        <f t="shared" si="46"/>
        <v>2.4032646432841872E-4</v>
      </c>
      <c r="N225" s="265">
        <f t="shared" si="52"/>
        <v>-3.9205653247742792E-2</v>
      </c>
      <c r="P225" s="181">
        <v>44811.980459999999</v>
      </c>
      <c r="Q225" s="265">
        <f t="shared" si="47"/>
        <v>1.1931552315898517E-4</v>
      </c>
      <c r="R225" s="265">
        <f t="shared" si="53"/>
        <v>-0.44018529922646732</v>
      </c>
      <c r="T225" s="181">
        <v>99342.769830000005</v>
      </c>
      <c r="U225" s="265">
        <f t="shared" si="48"/>
        <v>2.4550656387387949E-4</v>
      </c>
      <c r="V225" s="265"/>
      <c r="X225" s="778">
        <v>106488.07831</v>
      </c>
      <c r="Y225" s="265">
        <f t="shared" si="44"/>
        <v>2.7033475659293105E-4</v>
      </c>
      <c r="Z225" s="265">
        <f t="shared" si="45"/>
        <v>7.1925802876519132E-2</v>
      </c>
    </row>
    <row r="226" spans="1:26" ht="6" customHeight="1">
      <c r="A226" s="261"/>
      <c r="B226" s="243"/>
      <c r="C226" s="265"/>
      <c r="D226" s="262" t="s">
        <v>154</v>
      </c>
      <c r="E226" s="265" t="s">
        <v>154</v>
      </c>
      <c r="F226" s="265" t="s">
        <v>154</v>
      </c>
      <c r="H226" s="262" t="s">
        <v>154</v>
      </c>
      <c r="I226" s="265"/>
      <c r="J226" s="265" t="str">
        <f t="shared" si="37"/>
        <v/>
      </c>
      <c r="L226" s="262" t="s">
        <v>154</v>
      </c>
      <c r="M226" s="265" t="str">
        <f t="shared" si="46"/>
        <v/>
      </c>
      <c r="N226" s="265" t="str">
        <f t="shared" si="52"/>
        <v/>
      </c>
      <c r="P226" s="25"/>
      <c r="Q226" s="265" t="str">
        <f t="shared" si="47"/>
        <v/>
      </c>
      <c r="R226" s="265" t="str">
        <f t="shared" si="53"/>
        <v/>
      </c>
      <c r="T226" s="181"/>
      <c r="U226" s="265" t="str">
        <f t="shared" si="48"/>
        <v/>
      </c>
      <c r="V226" s="265"/>
      <c r="X226" s="778"/>
      <c r="Y226" s="265" t="str">
        <f t="shared" si="44"/>
        <v/>
      </c>
      <c r="Z226" s="265" t="str">
        <f t="shared" si="45"/>
        <v/>
      </c>
    </row>
    <row r="227" spans="1:26" ht="11" customHeight="1">
      <c r="A227" s="261"/>
      <c r="B227" s="14" t="s">
        <v>938</v>
      </c>
      <c r="C227" s="272"/>
      <c r="D227" s="271">
        <v>107055.59423</v>
      </c>
      <c r="E227" s="272">
        <v>4.0092693765630272E-4</v>
      </c>
      <c r="F227" s="272">
        <v>0.75302937293099614</v>
      </c>
      <c r="H227" s="271">
        <v>83314.271269999997</v>
      </c>
      <c r="I227" s="272">
        <f>+H227/$H$11</f>
        <v>2.7952635127422091E-4</v>
      </c>
      <c r="J227" s="265">
        <f t="shared" si="37"/>
        <v>-0.22176629937706716</v>
      </c>
      <c r="L227" s="271">
        <f>80047880.84/1000</f>
        <v>80047.880839999998</v>
      </c>
      <c r="M227" s="272">
        <f t="shared" si="46"/>
        <v>2.4032646432841872E-4</v>
      </c>
      <c r="N227" s="272">
        <f t="shared" si="52"/>
        <v>-3.9205653247742792E-2</v>
      </c>
      <c r="P227" s="25">
        <v>44811.980459999999</v>
      </c>
      <c r="Q227" s="272">
        <f t="shared" si="47"/>
        <v>1.1931552315898517E-4</v>
      </c>
      <c r="R227" s="272">
        <f t="shared" si="53"/>
        <v>-0.44018529922646732</v>
      </c>
      <c r="T227" s="25">
        <v>99342.769830000005</v>
      </c>
      <c r="U227" s="272">
        <f t="shared" si="48"/>
        <v>2.4550656387387949E-4</v>
      </c>
      <c r="V227" s="272"/>
      <c r="X227" s="84">
        <v>106488.07831</v>
      </c>
      <c r="Y227" s="272">
        <f t="shared" si="44"/>
        <v>2.7033475659293105E-4</v>
      </c>
      <c r="Z227" s="272">
        <f t="shared" si="45"/>
        <v>7.1925802876519132E-2</v>
      </c>
    </row>
    <row r="228" spans="1:26" ht="6" customHeight="1">
      <c r="A228" s="261"/>
      <c r="B228" s="14"/>
      <c r="C228" s="265"/>
      <c r="D228" s="262" t="s">
        <v>154</v>
      </c>
      <c r="E228" s="265" t="s">
        <v>154</v>
      </c>
      <c r="F228" s="265" t="s">
        <v>154</v>
      </c>
      <c r="H228" s="262" t="s">
        <v>154</v>
      </c>
      <c r="I228" s="265"/>
      <c r="J228" s="265" t="str">
        <f t="shared" si="37"/>
        <v/>
      </c>
      <c r="L228" s="262" t="s">
        <v>154</v>
      </c>
      <c r="M228" s="265" t="str">
        <f t="shared" si="46"/>
        <v/>
      </c>
      <c r="N228" s="265" t="str">
        <f t="shared" si="52"/>
        <v/>
      </c>
      <c r="P228" s="25"/>
      <c r="Q228" s="265" t="str">
        <f t="shared" si="47"/>
        <v/>
      </c>
      <c r="R228" s="265" t="str">
        <f t="shared" si="53"/>
        <v/>
      </c>
      <c r="T228" s="181"/>
      <c r="U228" s="265" t="str">
        <f t="shared" si="48"/>
        <v/>
      </c>
      <c r="V228" s="265" t="str">
        <f>IF(B228&lt;&gt;0,(T228-P228)/P228,"")</f>
        <v/>
      </c>
      <c r="X228" s="778"/>
      <c r="Y228" s="265" t="str">
        <f t="shared" si="44"/>
        <v/>
      </c>
      <c r="Z228" s="265" t="str">
        <f t="shared" si="45"/>
        <v/>
      </c>
    </row>
    <row r="229" spans="1:26" ht="6" customHeight="1">
      <c r="A229" s="261"/>
      <c r="B229" s="14"/>
      <c r="C229" s="265"/>
      <c r="D229" s="262" t="s">
        <v>154</v>
      </c>
      <c r="E229" s="265" t="s">
        <v>154</v>
      </c>
      <c r="F229" s="265" t="s">
        <v>154</v>
      </c>
      <c r="H229" s="262" t="s">
        <v>154</v>
      </c>
      <c r="I229" s="265"/>
      <c r="J229" s="265" t="str">
        <f t="shared" si="37"/>
        <v/>
      </c>
      <c r="L229" s="262" t="s">
        <v>154</v>
      </c>
      <c r="M229" s="265" t="str">
        <f t="shared" si="46"/>
        <v/>
      </c>
      <c r="N229" s="265" t="str">
        <f t="shared" si="52"/>
        <v/>
      </c>
      <c r="P229" s="25"/>
      <c r="Q229" s="265" t="str">
        <f t="shared" si="47"/>
        <v/>
      </c>
      <c r="R229" s="265" t="str">
        <f t="shared" si="53"/>
        <v/>
      </c>
      <c r="T229" s="181"/>
      <c r="U229" s="265" t="str">
        <f t="shared" si="48"/>
        <v/>
      </c>
      <c r="V229" s="265" t="str">
        <f>IF(B229&lt;&gt;0,(T229-P229)/P229,"")</f>
        <v/>
      </c>
      <c r="X229" s="778"/>
      <c r="Y229" s="265" t="str">
        <f t="shared" si="44"/>
        <v/>
      </c>
      <c r="Z229" s="265" t="str">
        <f t="shared" si="45"/>
        <v/>
      </c>
    </row>
    <row r="230" spans="1:26" s="17" customFormat="1" ht="11" customHeight="1">
      <c r="A230" s="263" t="s">
        <v>805</v>
      </c>
      <c r="B230" s="264" t="s">
        <v>939</v>
      </c>
      <c r="C230" s="265"/>
      <c r="D230" s="262">
        <v>181883.94503</v>
      </c>
      <c r="E230" s="265">
        <v>6.8116172362798718E-4</v>
      </c>
      <c r="F230" s="265">
        <v>7.6645249074712832E-2</v>
      </c>
      <c r="H230" s="262">
        <f>+H245</f>
        <v>214125.18162000002</v>
      </c>
      <c r="I230" s="265">
        <f>+H230/$H$11</f>
        <v>7.1840790085288448E-4</v>
      </c>
      <c r="J230" s="265">
        <f t="shared" si="37"/>
        <v>0.17726268574547432</v>
      </c>
      <c r="L230" s="262">
        <f>+L245</f>
        <v>202073.14721000005</v>
      </c>
      <c r="M230" s="265">
        <f t="shared" si="46"/>
        <v>6.0668095763539748E-4</v>
      </c>
      <c r="N230" s="265">
        <f t="shared" si="52"/>
        <v>-5.6284993286722623E-2</v>
      </c>
      <c r="P230" s="276">
        <v>244873.30574999997</v>
      </c>
      <c r="Q230" s="265">
        <f t="shared" si="47"/>
        <v>6.5199498623612893E-4</v>
      </c>
      <c r="R230" s="265">
        <f t="shared" si="53"/>
        <v>0.21180527512406583</v>
      </c>
      <c r="T230" s="181">
        <v>5902917.8743099999</v>
      </c>
      <c r="U230" s="265">
        <f t="shared" si="48"/>
        <v>1.4587927099591651E-2</v>
      </c>
      <c r="V230" s="265"/>
      <c r="X230" s="778">
        <v>6574981.7325400002</v>
      </c>
      <c r="Y230" s="265">
        <f t="shared" si="44"/>
        <v>1.6691503072248173E-2</v>
      </c>
      <c r="Z230" s="265">
        <f t="shared" si="45"/>
        <v>0.1138528220348244</v>
      </c>
    </row>
    <row r="231" spans="1:26" s="17" customFormat="1" ht="11" customHeight="1">
      <c r="A231" s="263"/>
      <c r="B231" s="264"/>
      <c r="C231" s="265"/>
      <c r="D231" s="262"/>
      <c r="E231" s="265"/>
      <c r="F231" s="265"/>
      <c r="H231" s="262"/>
      <c r="I231" s="265"/>
      <c r="J231" s="265" t="str">
        <f t="shared" si="37"/>
        <v/>
      </c>
      <c r="L231" s="262"/>
      <c r="M231" s="265" t="str">
        <f t="shared" si="46"/>
        <v/>
      </c>
      <c r="N231" s="265" t="str">
        <f t="shared" si="52"/>
        <v/>
      </c>
      <c r="P231" s="273"/>
      <c r="Q231" s="265" t="str">
        <f t="shared" si="47"/>
        <v/>
      </c>
      <c r="R231" s="265" t="str">
        <f t="shared" si="53"/>
        <v/>
      </c>
      <c r="T231" s="181"/>
      <c r="U231" s="265" t="str">
        <f t="shared" si="48"/>
        <v/>
      </c>
      <c r="V231" s="265"/>
      <c r="X231" s="778"/>
      <c r="Y231" s="265" t="str">
        <f t="shared" si="44"/>
        <v/>
      </c>
      <c r="Z231" s="265" t="str">
        <f t="shared" si="45"/>
        <v/>
      </c>
    </row>
    <row r="232" spans="1:26" s="17" customFormat="1" ht="11" customHeight="1">
      <c r="A232" s="263"/>
      <c r="B232" s="264" t="s">
        <v>901</v>
      </c>
      <c r="C232" s="265"/>
      <c r="D232" s="262"/>
      <c r="E232" s="265"/>
      <c r="F232" s="265"/>
      <c r="H232" s="262"/>
      <c r="I232" s="265"/>
      <c r="J232" s="265"/>
      <c r="L232" s="262"/>
      <c r="M232" s="265"/>
      <c r="N232" s="265"/>
      <c r="P232" s="276"/>
      <c r="Q232" s="265">
        <f t="shared" si="47"/>
        <v>0</v>
      </c>
      <c r="R232" s="265"/>
      <c r="T232" s="181">
        <v>453412.84</v>
      </c>
      <c r="U232" s="265">
        <f t="shared" si="48"/>
        <v>1.1205226968725149E-3</v>
      </c>
      <c r="V232" s="265"/>
      <c r="X232" s="778">
        <v>787812.88440999994</v>
      </c>
      <c r="Y232" s="265">
        <f t="shared" si="44"/>
        <v>1.9999722760303817E-3</v>
      </c>
      <c r="Z232" s="265">
        <f t="shared" si="45"/>
        <v>0.73751780917805476</v>
      </c>
    </row>
    <row r="233" spans="1:26" s="17" customFormat="1" ht="11" customHeight="1">
      <c r="A233" s="263"/>
      <c r="B233" s="264"/>
      <c r="C233" s="265"/>
      <c r="D233" s="262"/>
      <c r="E233" s="265"/>
      <c r="F233" s="265"/>
      <c r="H233" s="262"/>
      <c r="I233" s="265"/>
      <c r="J233" s="265"/>
      <c r="L233" s="262"/>
      <c r="M233" s="265"/>
      <c r="N233" s="265"/>
      <c r="P233" s="273"/>
      <c r="Q233" s="265" t="str">
        <f t="shared" si="47"/>
        <v/>
      </c>
      <c r="R233" s="265"/>
      <c r="T233" s="181"/>
      <c r="U233" s="265" t="str">
        <f t="shared" si="48"/>
        <v/>
      </c>
      <c r="V233" s="265"/>
      <c r="X233" s="778"/>
      <c r="Y233" s="265" t="str">
        <f t="shared" si="44"/>
        <v/>
      </c>
      <c r="Z233" s="265" t="str">
        <f t="shared" si="45"/>
        <v/>
      </c>
    </row>
    <row r="234" spans="1:26" ht="11" customHeight="1">
      <c r="A234" s="268"/>
      <c r="B234" s="243" t="s">
        <v>940</v>
      </c>
      <c r="C234" s="272"/>
      <c r="D234" s="271"/>
      <c r="E234" s="272"/>
      <c r="F234" s="272"/>
      <c r="H234" s="271"/>
      <c r="I234" s="272"/>
      <c r="J234" s="265"/>
      <c r="L234" s="271"/>
      <c r="M234" s="272"/>
      <c r="N234" s="272"/>
      <c r="P234" s="273"/>
      <c r="Q234" s="272">
        <f t="shared" si="47"/>
        <v>0</v>
      </c>
      <c r="R234" s="272"/>
      <c r="T234" s="25">
        <v>453412.84</v>
      </c>
      <c r="U234" s="272">
        <f t="shared" si="48"/>
        <v>1.1205226968725149E-3</v>
      </c>
      <c r="V234" s="272"/>
      <c r="X234" s="84">
        <v>787812.88440999994</v>
      </c>
      <c r="Y234" s="272">
        <f t="shared" si="44"/>
        <v>1.9999722760303817E-3</v>
      </c>
      <c r="Z234" s="272">
        <f t="shared" si="45"/>
        <v>0.73751780917805476</v>
      </c>
    </row>
    <row r="235" spans="1:26" s="17" customFormat="1" ht="11" customHeight="1">
      <c r="A235" s="263"/>
      <c r="B235" s="264"/>
      <c r="C235" s="265"/>
      <c r="D235" s="262"/>
      <c r="E235" s="265"/>
      <c r="F235" s="265"/>
      <c r="H235" s="262"/>
      <c r="I235" s="265"/>
      <c r="J235" s="265"/>
      <c r="L235" s="262"/>
      <c r="M235" s="265"/>
      <c r="N235" s="265"/>
      <c r="P235" s="273"/>
      <c r="Q235" s="265" t="str">
        <f t="shared" si="47"/>
        <v/>
      </c>
      <c r="R235" s="265"/>
      <c r="T235" s="181"/>
      <c r="U235" s="265" t="str">
        <f t="shared" si="48"/>
        <v/>
      </c>
      <c r="V235" s="265"/>
      <c r="X235" s="778"/>
      <c r="Y235" s="265" t="str">
        <f t="shared" si="44"/>
        <v/>
      </c>
      <c r="Z235" s="265" t="str">
        <f t="shared" si="45"/>
        <v/>
      </c>
    </row>
    <row r="236" spans="1:26" s="17" customFormat="1" ht="11" customHeight="1">
      <c r="A236" s="263"/>
      <c r="B236" s="264" t="s">
        <v>941</v>
      </c>
      <c r="C236" s="265"/>
      <c r="D236" s="262"/>
      <c r="E236" s="265"/>
      <c r="F236" s="265"/>
      <c r="H236" s="262"/>
      <c r="I236" s="265"/>
      <c r="J236" s="265"/>
      <c r="L236" s="262"/>
      <c r="M236" s="265"/>
      <c r="N236" s="265"/>
      <c r="P236" s="276"/>
      <c r="Q236" s="265">
        <f t="shared" si="47"/>
        <v>0</v>
      </c>
      <c r="R236" s="265"/>
      <c r="T236" s="181">
        <v>5275876.6074000001</v>
      </c>
      <c r="U236" s="265">
        <f t="shared" si="48"/>
        <v>1.3038315113640059E-2</v>
      </c>
      <c r="V236" s="265"/>
      <c r="X236" s="778">
        <v>5657022.7374</v>
      </c>
      <c r="Y236" s="265">
        <f t="shared" si="44"/>
        <v>1.4361136842978357E-2</v>
      </c>
      <c r="Z236" s="265">
        <f t="shared" si="45"/>
        <v>7.2243185040643351E-2</v>
      </c>
    </row>
    <row r="237" spans="1:26" s="17" customFormat="1" ht="11" customHeight="1">
      <c r="A237" s="263"/>
      <c r="B237" s="264"/>
      <c r="C237" s="265"/>
      <c r="D237" s="262"/>
      <c r="E237" s="265"/>
      <c r="F237" s="265"/>
      <c r="H237" s="262"/>
      <c r="I237" s="265"/>
      <c r="J237" s="265"/>
      <c r="L237" s="262"/>
      <c r="M237" s="265"/>
      <c r="N237" s="265" t="str">
        <f>IF(B237&lt;&gt;0,(L237-H237)/H237,"")</f>
        <v/>
      </c>
      <c r="P237" s="273"/>
      <c r="Q237" s="265" t="str">
        <f t="shared" si="47"/>
        <v/>
      </c>
      <c r="R237" s="265"/>
      <c r="T237" s="181"/>
      <c r="U237" s="265" t="str">
        <f t="shared" si="48"/>
        <v/>
      </c>
      <c r="V237" s="265"/>
      <c r="X237" s="778"/>
      <c r="Y237" s="265" t="str">
        <f t="shared" si="44"/>
        <v/>
      </c>
      <c r="Z237" s="265" t="str">
        <f t="shared" si="45"/>
        <v/>
      </c>
    </row>
    <row r="238" spans="1:26" s="17" customFormat="1" ht="11" customHeight="1">
      <c r="A238" s="263"/>
      <c r="B238" s="264" t="s">
        <v>942</v>
      </c>
      <c r="C238" s="265"/>
      <c r="D238" s="262"/>
      <c r="E238" s="265"/>
      <c r="F238" s="265"/>
      <c r="H238" s="262"/>
      <c r="I238" s="265"/>
      <c r="J238" s="265"/>
      <c r="L238" s="262"/>
      <c r="M238" s="265"/>
      <c r="N238" s="265"/>
      <c r="P238" s="276"/>
      <c r="Q238" s="265">
        <f t="shared" si="47"/>
        <v>0</v>
      </c>
      <c r="R238" s="265"/>
      <c r="T238" s="181">
        <v>4674868.6482600002</v>
      </c>
      <c r="U238" s="265">
        <f t="shared" si="48"/>
        <v>1.1553039444743257E-2</v>
      </c>
      <c r="V238" s="265"/>
      <c r="X238" s="778">
        <v>5657022.7374</v>
      </c>
      <c r="Y238" s="265">
        <f t="shared" si="44"/>
        <v>1.4361136842978357E-2</v>
      </c>
      <c r="Z238" s="265">
        <f t="shared" si="45"/>
        <v>0.21009233906615973</v>
      </c>
    </row>
    <row r="239" spans="1:26" ht="11" customHeight="1">
      <c r="A239" s="268"/>
      <c r="B239" s="243" t="s">
        <v>943</v>
      </c>
      <c r="C239" s="272"/>
      <c r="D239" s="271"/>
      <c r="E239" s="272"/>
      <c r="F239" s="272"/>
      <c r="H239" s="271"/>
      <c r="I239" s="272"/>
      <c r="J239" s="265"/>
      <c r="L239" s="271"/>
      <c r="M239" s="272"/>
      <c r="N239" s="272"/>
      <c r="P239" s="273"/>
      <c r="Q239" s="272">
        <f t="shared" si="47"/>
        <v>0</v>
      </c>
      <c r="R239" s="272"/>
      <c r="T239" s="25">
        <v>4674868.6482600002</v>
      </c>
      <c r="U239" s="272">
        <f t="shared" si="48"/>
        <v>1.1553039444743257E-2</v>
      </c>
      <c r="V239" s="272"/>
      <c r="X239" s="84">
        <v>5657022.7374</v>
      </c>
      <c r="Y239" s="272">
        <f t="shared" si="44"/>
        <v>1.4361136842978357E-2</v>
      </c>
      <c r="Z239" s="272">
        <f t="shared" si="45"/>
        <v>0.21009233906615973</v>
      </c>
    </row>
    <row r="240" spans="1:26" s="17" customFormat="1" ht="11" customHeight="1">
      <c r="A240" s="263"/>
      <c r="B240" s="243"/>
      <c r="C240" s="265"/>
      <c r="D240" s="262"/>
      <c r="E240" s="265"/>
      <c r="F240" s="265"/>
      <c r="H240" s="262"/>
      <c r="I240" s="265"/>
      <c r="J240" s="265"/>
      <c r="L240" s="262"/>
      <c r="M240" s="265"/>
      <c r="N240" s="265"/>
      <c r="P240" s="273"/>
      <c r="Q240" s="265" t="str">
        <f t="shared" si="47"/>
        <v/>
      </c>
      <c r="R240" s="265"/>
      <c r="T240" s="181"/>
      <c r="U240" s="265" t="str">
        <f t="shared" si="48"/>
        <v/>
      </c>
      <c r="V240" s="265"/>
      <c r="X240" s="778"/>
      <c r="Y240" s="265" t="str">
        <f t="shared" si="44"/>
        <v/>
      </c>
      <c r="Z240" s="265" t="str">
        <f t="shared" si="45"/>
        <v/>
      </c>
    </row>
    <row r="241" spans="1:26" s="17" customFormat="1" ht="11" customHeight="1">
      <c r="A241" s="263"/>
      <c r="B241" s="264" t="s">
        <v>944</v>
      </c>
      <c r="C241" s="265"/>
      <c r="D241" s="262"/>
      <c r="E241" s="265"/>
      <c r="F241" s="265"/>
      <c r="H241" s="262"/>
      <c r="I241" s="265"/>
      <c r="J241" s="265"/>
      <c r="L241" s="262"/>
      <c r="M241" s="265"/>
      <c r="N241" s="265"/>
      <c r="P241" s="276"/>
      <c r="Q241" s="265">
        <f t="shared" si="47"/>
        <v>0</v>
      </c>
      <c r="R241" s="265"/>
      <c r="T241" s="181">
        <v>601007.95913999993</v>
      </c>
      <c r="U241" s="265">
        <f t="shared" si="48"/>
        <v>1.4852756688968024E-3</v>
      </c>
      <c r="V241" s="265"/>
      <c r="X241" s="778">
        <v>0</v>
      </c>
      <c r="Y241" s="265">
        <f t="shared" si="44"/>
        <v>0</v>
      </c>
      <c r="Z241" s="265">
        <f t="shared" si="45"/>
        <v>-1</v>
      </c>
    </row>
    <row r="242" spans="1:26" ht="11" customHeight="1">
      <c r="A242" s="268"/>
      <c r="B242" s="243" t="s">
        <v>945</v>
      </c>
      <c r="C242" s="272"/>
      <c r="D242" s="271"/>
      <c r="E242" s="272"/>
      <c r="F242" s="272"/>
      <c r="H242" s="271"/>
      <c r="I242" s="272"/>
      <c r="J242" s="265"/>
      <c r="L242" s="271"/>
      <c r="M242" s="272"/>
      <c r="N242" s="272"/>
      <c r="P242" s="273"/>
      <c r="Q242" s="272">
        <f t="shared" si="47"/>
        <v>0</v>
      </c>
      <c r="R242" s="272"/>
      <c r="T242" s="25">
        <v>300503.97957999998</v>
      </c>
      <c r="U242" s="272">
        <f t="shared" si="48"/>
        <v>7.426378344731144E-4</v>
      </c>
      <c r="V242" s="272"/>
      <c r="X242" s="84">
        <v>0</v>
      </c>
      <c r="Y242" s="272">
        <f t="shared" si="44"/>
        <v>0</v>
      </c>
      <c r="Z242" s="272">
        <f t="shared" si="45"/>
        <v>-1</v>
      </c>
    </row>
    <row r="243" spans="1:26" ht="11" customHeight="1">
      <c r="A243" s="268"/>
      <c r="B243" s="243" t="s">
        <v>946</v>
      </c>
      <c r="C243" s="272"/>
      <c r="D243" s="271"/>
      <c r="E243" s="272"/>
      <c r="F243" s="272"/>
      <c r="H243" s="271"/>
      <c r="I243" s="272"/>
      <c r="J243" s="265"/>
      <c r="L243" s="271"/>
      <c r="M243" s="272"/>
      <c r="N243" s="272"/>
      <c r="P243" s="273"/>
      <c r="Q243" s="272">
        <f t="shared" si="47"/>
        <v>0</v>
      </c>
      <c r="R243" s="272"/>
      <c r="T243" s="25">
        <v>300503.97956000001</v>
      </c>
      <c r="U243" s="272">
        <f t="shared" si="48"/>
        <v>7.4263783442368822E-4</v>
      </c>
      <c r="V243" s="272"/>
      <c r="X243" s="84">
        <v>0</v>
      </c>
      <c r="Y243" s="272">
        <f t="shared" si="44"/>
        <v>0</v>
      </c>
      <c r="Z243" s="272">
        <f t="shared" si="45"/>
        <v>-1</v>
      </c>
    </row>
    <row r="244" spans="1:26" s="17" customFormat="1" ht="11" customHeight="1">
      <c r="A244" s="279"/>
      <c r="B244" s="264"/>
      <c r="C244" s="265"/>
      <c r="D244" s="262" t="s">
        <v>154</v>
      </c>
      <c r="E244" s="265" t="s">
        <v>154</v>
      </c>
      <c r="F244" s="265" t="s">
        <v>154</v>
      </c>
      <c r="H244" s="262" t="s">
        <v>154</v>
      </c>
      <c r="I244" s="265"/>
      <c r="J244" s="265" t="str">
        <f t="shared" si="37"/>
        <v/>
      </c>
      <c r="L244" s="262" t="s">
        <v>154</v>
      </c>
      <c r="M244" s="265" t="str">
        <f t="shared" ref="M244:M262" si="55">IF(B244&lt;&gt;0,L244/$L$11,"")</f>
        <v/>
      </c>
      <c r="N244" s="265" t="str">
        <f t="shared" ref="N244:N262" si="56">IF(B244&lt;&gt;0,(L244-H244)/H244,"")</f>
        <v/>
      </c>
      <c r="P244" s="25"/>
      <c r="Q244" s="265" t="str">
        <f t="shared" si="47"/>
        <v/>
      </c>
      <c r="R244" s="265" t="str">
        <f t="shared" ref="R244:R262" si="57">IF(B244&lt;&gt;0,(P244-L244)/L244,"")</f>
        <v/>
      </c>
      <c r="T244" s="181"/>
      <c r="U244" s="265" t="str">
        <f t="shared" si="48"/>
        <v/>
      </c>
      <c r="V244" s="265" t="str">
        <f t="shared" ref="V244:V251" si="58">IF(B244&lt;&gt;0,(T244-P244)/P244,"")</f>
        <v/>
      </c>
      <c r="X244" s="778"/>
      <c r="Y244" s="265" t="str">
        <f t="shared" si="44"/>
        <v/>
      </c>
      <c r="Z244" s="265" t="str">
        <f t="shared" si="45"/>
        <v/>
      </c>
    </row>
    <row r="245" spans="1:26" s="17" customFormat="1" ht="11" customHeight="1">
      <c r="A245" s="263" t="s">
        <v>809</v>
      </c>
      <c r="B245" s="264" t="s">
        <v>947</v>
      </c>
      <c r="C245" s="265"/>
      <c r="D245" s="262">
        <v>181883.94503</v>
      </c>
      <c r="E245" s="265">
        <v>6.8116172362798718E-4</v>
      </c>
      <c r="F245" s="265">
        <v>7.6645249074712832E-2</v>
      </c>
      <c r="H245" s="262">
        <f>+H247</f>
        <v>214125.18162000002</v>
      </c>
      <c r="I245" s="265">
        <f>+H245/$H$11</f>
        <v>7.1840790085288448E-4</v>
      </c>
      <c r="J245" s="265">
        <f t="shared" si="37"/>
        <v>0.17726268574547432</v>
      </c>
      <c r="L245" s="262">
        <f>+L247</f>
        <v>202073.14721000005</v>
      </c>
      <c r="M245" s="265">
        <f t="shared" si="55"/>
        <v>6.0668095763539748E-4</v>
      </c>
      <c r="N245" s="265">
        <f t="shared" si="56"/>
        <v>-5.6284993286722623E-2</v>
      </c>
      <c r="P245" s="181">
        <v>244873.30574999997</v>
      </c>
      <c r="Q245" s="265">
        <f t="shared" si="47"/>
        <v>6.5199498623612893E-4</v>
      </c>
      <c r="R245" s="265">
        <f t="shared" si="57"/>
        <v>0.21180527512406583</v>
      </c>
      <c r="T245" s="181">
        <v>173628.42691000001</v>
      </c>
      <c r="U245" s="265">
        <f t="shared" si="48"/>
        <v>4.2908928907907753E-4</v>
      </c>
      <c r="V245" s="265">
        <f t="shared" si="58"/>
        <v>-0.29094587759082419</v>
      </c>
      <c r="X245" s="778">
        <v>130146.11073000001</v>
      </c>
      <c r="Y245" s="265">
        <f t="shared" si="44"/>
        <v>3.3039395323943287E-4</v>
      </c>
      <c r="Z245" s="265">
        <f t="shared" si="45"/>
        <v>-0.25043316324313053</v>
      </c>
    </row>
    <row r="246" spans="1:26" ht="11" customHeight="1">
      <c r="A246" s="261"/>
      <c r="B246" s="243"/>
      <c r="C246" s="265"/>
      <c r="D246" s="262" t="s">
        <v>154</v>
      </c>
      <c r="E246" s="265" t="s">
        <v>154</v>
      </c>
      <c r="F246" s="265" t="s">
        <v>154</v>
      </c>
      <c r="H246" s="262" t="s">
        <v>154</v>
      </c>
      <c r="I246" s="265"/>
      <c r="J246" s="265" t="str">
        <f t="shared" si="37"/>
        <v/>
      </c>
      <c r="L246" s="262" t="s">
        <v>154</v>
      </c>
      <c r="M246" s="265" t="str">
        <f t="shared" si="55"/>
        <v/>
      </c>
      <c r="N246" s="265" t="str">
        <f t="shared" si="56"/>
        <v/>
      </c>
      <c r="P246" s="181"/>
      <c r="Q246" s="265" t="str">
        <f t="shared" si="47"/>
        <v/>
      </c>
      <c r="R246" s="265" t="str">
        <f t="shared" si="57"/>
        <v/>
      </c>
      <c r="T246" s="181"/>
      <c r="U246" s="265" t="str">
        <f t="shared" si="48"/>
        <v/>
      </c>
      <c r="V246" s="265" t="str">
        <f t="shared" si="58"/>
        <v/>
      </c>
      <c r="X246" s="778"/>
      <c r="Y246" s="265" t="str">
        <f t="shared" ref="Y246:Y261" si="59">IF(B246&lt;&gt;0,X246/$X$11,"")</f>
        <v/>
      </c>
      <c r="Z246" s="265" t="str">
        <f t="shared" ref="Z246:Z261" si="60">IF(B246&lt;&gt;0,(X246-T246)/T246,"")</f>
        <v/>
      </c>
    </row>
    <row r="247" spans="1:26" ht="11" customHeight="1">
      <c r="A247" s="268" t="s">
        <v>814</v>
      </c>
      <c r="B247" s="243" t="s">
        <v>948</v>
      </c>
      <c r="C247" s="272"/>
      <c r="D247" s="271">
        <v>181883.94503</v>
      </c>
      <c r="E247" s="272">
        <v>6.8116172362798718E-4</v>
      </c>
      <c r="F247" s="272">
        <v>7.6645249074712832E-2</v>
      </c>
      <c r="H247" s="271">
        <f>SUM(H249:H253)</f>
        <v>214125.18162000002</v>
      </c>
      <c r="I247" s="272">
        <f>+H247/$H$11</f>
        <v>7.1840790085288448E-4</v>
      </c>
      <c r="J247" s="265">
        <f t="shared" si="37"/>
        <v>0.17726268574547432</v>
      </c>
      <c r="L247" s="271">
        <f>SUM(L249:L253)</f>
        <v>202073.14721000005</v>
      </c>
      <c r="M247" s="272">
        <f t="shared" si="55"/>
        <v>6.0668095763539748E-4</v>
      </c>
      <c r="N247" s="272">
        <f t="shared" si="56"/>
        <v>-5.6284993286722623E-2</v>
      </c>
      <c r="P247" s="25">
        <v>244873.30574999997</v>
      </c>
      <c r="Q247" s="272">
        <f t="shared" si="47"/>
        <v>6.5199498623612893E-4</v>
      </c>
      <c r="R247" s="272">
        <f t="shared" si="57"/>
        <v>0.21180527512406583</v>
      </c>
      <c r="T247" s="25">
        <v>173628.42691000001</v>
      </c>
      <c r="U247" s="272">
        <f t="shared" si="48"/>
        <v>4.2908928907907753E-4</v>
      </c>
      <c r="V247" s="272">
        <f t="shared" si="58"/>
        <v>-0.29094587759082419</v>
      </c>
      <c r="X247" s="84">
        <v>130146.11073000001</v>
      </c>
      <c r="Y247" s="272">
        <f t="shared" si="59"/>
        <v>3.3039395323943287E-4</v>
      </c>
      <c r="Z247" s="272">
        <f t="shared" si="60"/>
        <v>-0.25043316324313053</v>
      </c>
    </row>
    <row r="248" spans="1:26" ht="11" customHeight="1">
      <c r="A248" s="261"/>
      <c r="B248" s="243"/>
      <c r="C248" s="265"/>
      <c r="D248" s="262" t="s">
        <v>154</v>
      </c>
      <c r="E248" s="265" t="s">
        <v>154</v>
      </c>
      <c r="F248" s="265" t="s">
        <v>154</v>
      </c>
      <c r="H248" s="262" t="s">
        <v>154</v>
      </c>
      <c r="I248" s="265"/>
      <c r="J248" s="265" t="str">
        <f t="shared" ref="J248:J262" si="61">IF(B248&lt;&gt;0,(H248-D248)/D248,"")</f>
        <v/>
      </c>
      <c r="L248" s="262" t="s">
        <v>154</v>
      </c>
      <c r="M248" s="265" t="str">
        <f t="shared" si="55"/>
        <v/>
      </c>
      <c r="N248" s="265" t="str">
        <f t="shared" si="56"/>
        <v/>
      </c>
      <c r="P248" s="25"/>
      <c r="Q248" s="265" t="str">
        <f t="shared" si="47"/>
        <v/>
      </c>
      <c r="R248" s="265" t="str">
        <f t="shared" si="57"/>
        <v/>
      </c>
      <c r="T248" s="181"/>
      <c r="U248" s="265" t="str">
        <f t="shared" si="48"/>
        <v/>
      </c>
      <c r="V248" s="265" t="str">
        <f t="shared" si="58"/>
        <v/>
      </c>
      <c r="X248" s="84"/>
      <c r="Y248" s="272" t="str">
        <f t="shared" si="59"/>
        <v/>
      </c>
      <c r="Z248" s="272" t="str">
        <f t="shared" si="60"/>
        <v/>
      </c>
    </row>
    <row r="249" spans="1:26" ht="11" customHeight="1">
      <c r="A249" s="261"/>
      <c r="B249" s="243" t="s">
        <v>949</v>
      </c>
      <c r="C249" s="272"/>
      <c r="D249" s="271">
        <v>45514.910149999996</v>
      </c>
      <c r="E249" s="272">
        <v>1.7045492741777355E-4</v>
      </c>
      <c r="F249" s="272">
        <v>0.29577116222387845</v>
      </c>
      <c r="H249" s="271">
        <v>47517.482889999999</v>
      </c>
      <c r="I249" s="272">
        <f>+H249/$H$11</f>
        <v>1.5942513103105874E-4</v>
      </c>
      <c r="J249" s="265">
        <f t="shared" si="61"/>
        <v>4.3998169685500375E-2</v>
      </c>
      <c r="L249" s="271">
        <f>53563906.31/1000</f>
        <v>53563.906310000006</v>
      </c>
      <c r="M249" s="272">
        <f t="shared" si="55"/>
        <v>1.6081405383899203E-4</v>
      </c>
      <c r="N249" s="272">
        <f t="shared" si="56"/>
        <v>0.12724629025483311</v>
      </c>
      <c r="P249" s="25">
        <v>50673.053869999996</v>
      </c>
      <c r="Q249" s="272">
        <f t="shared" si="47"/>
        <v>1.3492110526021792E-4</v>
      </c>
      <c r="R249" s="272">
        <f t="shared" si="57"/>
        <v>-5.3970157129117145E-2</v>
      </c>
      <c r="T249" s="25">
        <v>50334.362909999996</v>
      </c>
      <c r="U249" s="272">
        <f t="shared" si="48"/>
        <v>1.2439170464002096E-4</v>
      </c>
      <c r="V249" s="272">
        <f t="shared" si="58"/>
        <v>-6.683847412648547E-3</v>
      </c>
      <c r="X249" s="84">
        <v>43572.094450000004</v>
      </c>
      <c r="Y249" s="272">
        <f t="shared" si="59"/>
        <v>1.106138051725816E-4</v>
      </c>
      <c r="Z249" s="272">
        <f t="shared" si="60"/>
        <v>-0.13434695641407479</v>
      </c>
    </row>
    <row r="250" spans="1:26" ht="11" customHeight="1">
      <c r="A250" s="261"/>
      <c r="B250" s="243" t="s">
        <v>950</v>
      </c>
      <c r="C250" s="272"/>
      <c r="D250" s="271">
        <v>121699.88204000001</v>
      </c>
      <c r="E250" s="272">
        <v>4.5577030673056942E-4</v>
      </c>
      <c r="F250" s="272">
        <v>1.0002699317406506E-2</v>
      </c>
      <c r="H250" s="271">
        <v>154990.45803000001</v>
      </c>
      <c r="I250" s="272">
        <f>+H250/$H$11</f>
        <v>5.2000595522278014E-4</v>
      </c>
      <c r="J250" s="265">
        <f t="shared" si="61"/>
        <v>0.27354649348845</v>
      </c>
      <c r="L250" s="271">
        <f>137581469.33/1000</f>
        <v>137581.46933000002</v>
      </c>
      <c r="M250" s="272">
        <f t="shared" si="55"/>
        <v>4.1305863108702482E-4</v>
      </c>
      <c r="N250" s="272">
        <f t="shared" si="56"/>
        <v>-0.11232297085431089</v>
      </c>
      <c r="P250" s="25">
        <v>184930.35397999999</v>
      </c>
      <c r="Q250" s="272">
        <f t="shared" si="47"/>
        <v>4.9239202790413823E-4</v>
      </c>
      <c r="R250" s="272">
        <f t="shared" si="57"/>
        <v>0.34415161344461237</v>
      </c>
      <c r="T250" s="25">
        <v>111977.5765</v>
      </c>
      <c r="U250" s="272">
        <f t="shared" si="48"/>
        <v>2.7673106039305883E-4</v>
      </c>
      <c r="V250" s="272">
        <f t="shared" si="58"/>
        <v>-0.39448784858698616</v>
      </c>
      <c r="X250" s="84">
        <v>75965.239450000008</v>
      </c>
      <c r="Y250" s="272">
        <f t="shared" si="59"/>
        <v>1.9284829665586136E-4</v>
      </c>
      <c r="Z250" s="272">
        <f t="shared" si="60"/>
        <v>-0.32160311176229101</v>
      </c>
    </row>
    <row r="251" spans="1:26" ht="11" customHeight="1">
      <c r="A251" s="261"/>
      <c r="B251" s="243" t="s">
        <v>951</v>
      </c>
      <c r="C251" s="272"/>
      <c r="D251" s="271">
        <v>9077.7340000000004</v>
      </c>
      <c r="E251" s="272">
        <v>3.39964307298068E-5</v>
      </c>
      <c r="F251" s="272">
        <v>-9.255676414693273E-2</v>
      </c>
      <c r="H251" s="271">
        <v>8937.8125500000006</v>
      </c>
      <c r="I251" s="272">
        <f>+H251/$H$11</f>
        <v>2.9987108959735375E-5</v>
      </c>
      <c r="J251" s="265">
        <f t="shared" si="61"/>
        <v>-1.5413697955899548E-2</v>
      </c>
      <c r="L251" s="271">
        <f>8813915.42/1000</f>
        <v>8813.9154199999994</v>
      </c>
      <c r="M251" s="272">
        <f t="shared" si="55"/>
        <v>2.6461876411347225E-5</v>
      </c>
      <c r="N251" s="272">
        <f t="shared" si="56"/>
        <v>-1.3862131176604413E-2</v>
      </c>
      <c r="P251" s="25">
        <v>7958.4630999999999</v>
      </c>
      <c r="Q251" s="272">
        <f t="shared" si="47"/>
        <v>2.1190051824769965E-5</v>
      </c>
      <c r="R251" s="272">
        <f t="shared" si="57"/>
        <v>-9.7057014872057784E-2</v>
      </c>
      <c r="T251" s="25">
        <v>10893.023499999999</v>
      </c>
      <c r="U251" s="272">
        <f t="shared" si="48"/>
        <v>2.6920014151596764E-5</v>
      </c>
      <c r="V251" s="272">
        <f t="shared" si="58"/>
        <v>0.36873456132503768</v>
      </c>
      <c r="X251" s="84">
        <v>10382.111929999999</v>
      </c>
      <c r="Y251" s="272">
        <f t="shared" si="59"/>
        <v>2.6356431124117214E-5</v>
      </c>
      <c r="Z251" s="272">
        <f t="shared" si="60"/>
        <v>-4.6902640942618021E-2</v>
      </c>
    </row>
    <row r="252" spans="1:26" ht="11" customHeight="1">
      <c r="A252" s="261"/>
      <c r="B252" s="243" t="s">
        <v>952</v>
      </c>
      <c r="C252" s="272"/>
      <c r="D252" s="271">
        <v>33.33</v>
      </c>
      <c r="E252" s="272">
        <v>1.2482201353602788E-7</v>
      </c>
      <c r="F252" s="272">
        <v>-0.65941523240593047</v>
      </c>
      <c r="H252" s="271">
        <v>58.888300000000001</v>
      </c>
      <c r="I252" s="272">
        <f>+H252/$H$11</f>
        <v>1.9757517386662854E-7</v>
      </c>
      <c r="J252" s="265">
        <f t="shared" si="61"/>
        <v>0.76682568256825689</v>
      </c>
      <c r="L252" s="271">
        <f>218185.6/1000</f>
        <v>218.18559999999999</v>
      </c>
      <c r="M252" s="272">
        <f t="shared" si="55"/>
        <v>6.5505511532758068E-7</v>
      </c>
      <c r="N252" s="272">
        <f t="shared" si="56"/>
        <v>2.7050755413214511</v>
      </c>
      <c r="P252" s="25">
        <v>33.33</v>
      </c>
      <c r="Q252" s="272">
        <f t="shared" si="47"/>
        <v>8.8743821318915571E-8</v>
      </c>
      <c r="R252" s="272">
        <f t="shared" si="57"/>
        <v>-0.8472401478374374</v>
      </c>
      <c r="T252" s="25">
        <v>0</v>
      </c>
      <c r="U252" s="272">
        <f t="shared" si="48"/>
        <v>0</v>
      </c>
      <c r="V252" s="272"/>
      <c r="X252" s="84">
        <v>0</v>
      </c>
      <c r="Y252" s="272">
        <f t="shared" si="59"/>
        <v>0</v>
      </c>
      <c r="Z252" s="272"/>
    </row>
    <row r="253" spans="1:26" ht="11" customHeight="1">
      <c r="A253" s="261"/>
      <c r="B253" s="243" t="s">
        <v>953</v>
      </c>
      <c r="C253" s="272"/>
      <c r="D253" s="271">
        <v>5558.0888399999994</v>
      </c>
      <c r="E253" s="272">
        <v>2.0815236736301396E-5</v>
      </c>
      <c r="F253" s="272">
        <v>0.72935015535386516</v>
      </c>
      <c r="H253" s="271">
        <v>2620.5398500000001</v>
      </c>
      <c r="I253" s="272">
        <f>+H253/$H$11</f>
        <v>8.7921304654435377E-6</v>
      </c>
      <c r="J253" s="265">
        <f t="shared" si="61"/>
        <v>-0.52851781872561787</v>
      </c>
      <c r="L253" s="271">
        <f>1895670.55/1000</f>
        <v>1895.67055</v>
      </c>
      <c r="M253" s="272">
        <f t="shared" si="55"/>
        <v>5.6913411827056798E-6</v>
      </c>
      <c r="N253" s="272">
        <f t="shared" si="56"/>
        <v>-0.27661067623146429</v>
      </c>
      <c r="P253" s="25">
        <v>1278.1048000000001</v>
      </c>
      <c r="Q253" s="272">
        <f t="shared" si="47"/>
        <v>3.4030574256840182E-6</v>
      </c>
      <c r="R253" s="272">
        <f t="shared" si="57"/>
        <v>-0.32577693945817748</v>
      </c>
      <c r="T253" s="25">
        <v>423.464</v>
      </c>
      <c r="U253" s="272">
        <f t="shared" si="48"/>
        <v>1.0465098944009229E-6</v>
      </c>
      <c r="V253" s="272">
        <f t="shared" ref="V253:V262" si="62">IF(B253&lt;&gt;0,(T253-P253)/P253,"")</f>
        <v>-0.66867818664009404</v>
      </c>
      <c r="X253" s="84">
        <v>226.66489999999999</v>
      </c>
      <c r="Y253" s="272">
        <f t="shared" si="59"/>
        <v>5.754202868726841E-7</v>
      </c>
      <c r="Z253" s="272">
        <f t="shared" si="60"/>
        <v>-0.46473631760905298</v>
      </c>
    </row>
    <row r="254" spans="1:26" ht="11" customHeight="1">
      <c r="A254" s="281"/>
      <c r="B254" s="14"/>
      <c r="C254" s="265"/>
      <c r="D254" s="262" t="s">
        <v>154</v>
      </c>
      <c r="E254" s="265" t="s">
        <v>154</v>
      </c>
      <c r="F254" s="265" t="s">
        <v>154</v>
      </c>
      <c r="H254" s="262" t="s">
        <v>154</v>
      </c>
      <c r="I254" s="265"/>
      <c r="J254" s="265" t="str">
        <f t="shared" si="61"/>
        <v/>
      </c>
      <c r="L254" s="262" t="s">
        <v>154</v>
      </c>
      <c r="M254" s="265" t="str">
        <f t="shared" si="55"/>
        <v/>
      </c>
      <c r="N254" s="265" t="str">
        <f t="shared" si="56"/>
        <v/>
      </c>
      <c r="P254" s="25"/>
      <c r="Q254" s="265" t="str">
        <f t="shared" si="47"/>
        <v/>
      </c>
      <c r="R254" s="265" t="str">
        <f t="shared" si="57"/>
        <v/>
      </c>
      <c r="U254" s="265" t="str">
        <f t="shared" si="48"/>
        <v/>
      </c>
      <c r="V254" s="265" t="str">
        <f t="shared" si="62"/>
        <v/>
      </c>
      <c r="X254" s="778"/>
      <c r="Y254" s="265" t="str">
        <f t="shared" si="59"/>
        <v/>
      </c>
      <c r="Z254" s="265" t="str">
        <f t="shared" si="60"/>
        <v/>
      </c>
    </row>
    <row r="255" spans="1:26" s="17" customFormat="1" ht="11" customHeight="1">
      <c r="A255" s="263" t="s">
        <v>807</v>
      </c>
      <c r="B255" s="264" t="s">
        <v>954</v>
      </c>
      <c r="C255" s="265"/>
      <c r="D255" s="282">
        <v>44903120.092699997</v>
      </c>
      <c r="E255" s="265">
        <v>0.16816375229585614</v>
      </c>
      <c r="F255" s="265">
        <v>4.8817251702318785E-2</v>
      </c>
      <c r="H255" s="282">
        <f>+H257</f>
        <v>48035382.969700001</v>
      </c>
      <c r="I255" s="265">
        <f>+H255/$H$11</f>
        <v>0.16116272913275753</v>
      </c>
      <c r="J255" s="265">
        <f t="shared" si="61"/>
        <v>6.9756018524628607E-2</v>
      </c>
      <c r="L255" s="282">
        <f>+L257</f>
        <v>61613779.569760017</v>
      </c>
      <c r="M255" s="265">
        <f t="shared" si="55"/>
        <v>0.18498205876940221</v>
      </c>
      <c r="N255" s="265">
        <f t="shared" si="56"/>
        <v>0.28267489006229146</v>
      </c>
      <c r="P255" s="181">
        <v>75993031.863849998</v>
      </c>
      <c r="Q255" s="265">
        <f t="shared" si="47"/>
        <v>0.20233759499574444</v>
      </c>
      <c r="R255" s="265">
        <f t="shared" si="57"/>
        <v>0.23337721520247889</v>
      </c>
      <c r="T255" s="181">
        <v>91268370.768499985</v>
      </c>
      <c r="U255" s="265">
        <f t="shared" si="48"/>
        <v>0.22555223833687682</v>
      </c>
      <c r="V255" s="265">
        <f t="shared" si="62"/>
        <v>0.20100973115558099</v>
      </c>
      <c r="X255" s="778">
        <v>81149573.179729998</v>
      </c>
      <c r="Y255" s="265">
        <f t="shared" si="59"/>
        <v>0.20600944689131892</v>
      </c>
      <c r="Z255" s="265">
        <f t="shared" si="60"/>
        <v>-0.11086861202372147</v>
      </c>
    </row>
    <row r="256" spans="1:26" ht="11" customHeight="1">
      <c r="A256" s="281"/>
      <c r="B256" s="766"/>
      <c r="C256" s="265"/>
      <c r="D256" s="262" t="s">
        <v>154</v>
      </c>
      <c r="E256" s="265" t="s">
        <v>154</v>
      </c>
      <c r="F256" s="265" t="s">
        <v>154</v>
      </c>
      <c r="H256" s="262" t="s">
        <v>154</v>
      </c>
      <c r="I256" s="265"/>
      <c r="J256" s="265" t="str">
        <f t="shared" si="61"/>
        <v/>
      </c>
      <c r="L256" s="262" t="s">
        <v>154</v>
      </c>
      <c r="M256" s="265" t="str">
        <f t="shared" si="55"/>
        <v/>
      </c>
      <c r="N256" s="265" t="str">
        <f t="shared" si="56"/>
        <v/>
      </c>
      <c r="P256" s="25"/>
      <c r="Q256" s="265" t="str">
        <f t="shared" si="47"/>
        <v/>
      </c>
      <c r="R256" s="265" t="str">
        <f t="shared" si="57"/>
        <v/>
      </c>
      <c r="T256" s="181"/>
      <c r="U256" s="265" t="str">
        <f t="shared" si="48"/>
        <v/>
      </c>
      <c r="V256" s="265" t="str">
        <f t="shared" si="62"/>
        <v/>
      </c>
      <c r="X256" s="778"/>
      <c r="Y256" s="265" t="str">
        <f t="shared" si="59"/>
        <v/>
      </c>
      <c r="Z256" s="265" t="str">
        <f t="shared" si="60"/>
        <v/>
      </c>
    </row>
    <row r="257" spans="1:27" s="17" customFormat="1" ht="11" customHeight="1">
      <c r="A257" s="263" t="s">
        <v>814</v>
      </c>
      <c r="B257" s="264" t="s">
        <v>955</v>
      </c>
      <c r="C257" s="265"/>
      <c r="D257" s="262">
        <v>44903120.092699997</v>
      </c>
      <c r="E257" s="265">
        <v>0.16816375229585614</v>
      </c>
      <c r="F257" s="265">
        <v>4.8817251702318785E-2</v>
      </c>
      <c r="H257" s="262">
        <f>+H259+H269</f>
        <v>48035382.969700001</v>
      </c>
      <c r="I257" s="265">
        <f>+H257/$H$11</f>
        <v>0.16116272913275753</v>
      </c>
      <c r="J257" s="265">
        <f t="shared" si="61"/>
        <v>6.9756018524628607E-2</v>
      </c>
      <c r="L257" s="262">
        <f>+L259+L269</f>
        <v>61613779.569760017</v>
      </c>
      <c r="M257" s="265">
        <f t="shared" si="55"/>
        <v>0.18498205876940221</v>
      </c>
      <c r="N257" s="265">
        <f t="shared" si="56"/>
        <v>0.28267489006229146</v>
      </c>
      <c r="P257" s="181">
        <v>75993031.863849998</v>
      </c>
      <c r="Q257" s="265">
        <f t="shared" si="47"/>
        <v>0.20233759499574444</v>
      </c>
      <c r="R257" s="265">
        <f t="shared" si="57"/>
        <v>0.23337721520247889</v>
      </c>
      <c r="T257" s="181">
        <v>91268370.768499985</v>
      </c>
      <c r="U257" s="265">
        <f t="shared" si="48"/>
        <v>0.22555223833687682</v>
      </c>
      <c r="V257" s="265">
        <f t="shared" si="62"/>
        <v>0.20100973115558099</v>
      </c>
      <c r="X257" s="778">
        <v>81149573.179729998</v>
      </c>
      <c r="Y257" s="265">
        <f t="shared" si="59"/>
        <v>0.20600944689131892</v>
      </c>
      <c r="Z257" s="265">
        <f t="shared" si="60"/>
        <v>-0.11086861202372147</v>
      </c>
    </row>
    <row r="258" spans="1:27" ht="11" customHeight="1">
      <c r="A258" s="261"/>
      <c r="B258" s="243"/>
      <c r="C258" s="265"/>
      <c r="D258" s="262" t="s">
        <v>154</v>
      </c>
      <c r="E258" s="265" t="s">
        <v>154</v>
      </c>
      <c r="F258" s="265" t="s">
        <v>154</v>
      </c>
      <c r="H258" s="262" t="s">
        <v>154</v>
      </c>
      <c r="I258" s="265"/>
      <c r="J258" s="265" t="str">
        <f t="shared" si="61"/>
        <v/>
      </c>
      <c r="L258" s="262" t="s">
        <v>154</v>
      </c>
      <c r="M258" s="265" t="str">
        <f t="shared" si="55"/>
        <v/>
      </c>
      <c r="N258" s="265" t="str">
        <f t="shared" si="56"/>
        <v/>
      </c>
      <c r="P258" s="25"/>
      <c r="Q258" s="265" t="str">
        <f t="shared" si="47"/>
        <v/>
      </c>
      <c r="R258" s="265" t="str">
        <f t="shared" si="57"/>
        <v/>
      </c>
      <c r="U258" s="265" t="str">
        <f t="shared" si="48"/>
        <v/>
      </c>
      <c r="V258" s="265" t="str">
        <f t="shared" si="62"/>
        <v/>
      </c>
      <c r="X258" s="778"/>
      <c r="Y258" s="265" t="str">
        <f t="shared" si="59"/>
        <v/>
      </c>
      <c r="Z258" s="265" t="str">
        <f t="shared" si="60"/>
        <v/>
      </c>
    </row>
    <row r="259" spans="1:27" s="17" customFormat="1" ht="11" customHeight="1">
      <c r="A259" s="279"/>
      <c r="B259" s="264" t="s">
        <v>956</v>
      </c>
      <c r="C259" s="265"/>
      <c r="D259" s="262">
        <v>2708806.0208100001</v>
      </c>
      <c r="E259" s="265">
        <v>1.0144573111191709E-2</v>
      </c>
      <c r="F259" s="265">
        <v>2.4045203131854453</v>
      </c>
      <c r="H259" s="262">
        <f>+H261</f>
        <v>12306.43723</v>
      </c>
      <c r="I259" s="265">
        <f>+H259/$H$11</f>
        <v>4.1289126624405877E-5</v>
      </c>
      <c r="J259" s="265">
        <f t="shared" si="61"/>
        <v>-0.99545687762967983</v>
      </c>
      <c r="L259" s="262">
        <f>+L261</f>
        <v>4274392.01143</v>
      </c>
      <c r="M259" s="265">
        <f t="shared" si="55"/>
        <v>1.2832938342413835E-2</v>
      </c>
      <c r="N259" s="265">
        <f t="shared" si="56"/>
        <v>346.32976990368155</v>
      </c>
      <c r="P259" s="181">
        <v>11672266.012290001</v>
      </c>
      <c r="Q259" s="265">
        <f t="shared" si="47"/>
        <v>3.1078352516697119E-2</v>
      </c>
      <c r="R259" s="265">
        <f t="shared" si="57"/>
        <v>1.7307429877927922</v>
      </c>
      <c r="T259" s="181">
        <v>13201961.590709999</v>
      </c>
      <c r="U259" s="265">
        <f t="shared" si="48"/>
        <v>3.2626110909496353E-2</v>
      </c>
      <c r="V259" s="265">
        <f t="shared" si="62"/>
        <v>0.13105386535993493</v>
      </c>
      <c r="X259" s="778">
        <v>7563683.4661400001</v>
      </c>
      <c r="Y259" s="265">
        <f t="shared" si="59"/>
        <v>1.920145955505443E-2</v>
      </c>
      <c r="Z259" s="265">
        <f t="shared" si="60"/>
        <v>-0.42707881596455799</v>
      </c>
    </row>
    <row r="260" spans="1:27" ht="8.25" customHeight="1">
      <c r="A260" s="261"/>
      <c r="B260" s="243"/>
      <c r="C260" s="265"/>
      <c r="D260" s="262" t="s">
        <v>154</v>
      </c>
      <c r="E260" s="265" t="s">
        <v>154</v>
      </c>
      <c r="F260" s="265" t="s">
        <v>154</v>
      </c>
      <c r="H260" s="262" t="s">
        <v>154</v>
      </c>
      <c r="I260" s="265"/>
      <c r="J260" s="265" t="str">
        <f t="shared" si="61"/>
        <v/>
      </c>
      <c r="L260" s="262" t="s">
        <v>154</v>
      </c>
      <c r="M260" s="265" t="str">
        <f t="shared" si="55"/>
        <v/>
      </c>
      <c r="N260" s="265" t="str">
        <f t="shared" si="56"/>
        <v/>
      </c>
      <c r="P260" s="25"/>
      <c r="Q260" s="265" t="str">
        <f t="shared" si="47"/>
        <v/>
      </c>
      <c r="R260" s="265" t="str">
        <f t="shared" si="57"/>
        <v/>
      </c>
      <c r="T260" s="181"/>
      <c r="U260" s="265" t="str">
        <f t="shared" si="48"/>
        <v/>
      </c>
      <c r="V260" s="265" t="str">
        <f t="shared" si="62"/>
        <v/>
      </c>
      <c r="X260" s="778"/>
      <c r="Y260" s="265" t="str">
        <f t="shared" si="59"/>
        <v/>
      </c>
      <c r="Z260" s="265" t="str">
        <f t="shared" si="60"/>
        <v/>
      </c>
    </row>
    <row r="261" spans="1:27" ht="11" customHeight="1">
      <c r="A261" s="261"/>
      <c r="B261" s="243" t="s">
        <v>957</v>
      </c>
      <c r="C261" s="272"/>
      <c r="D261" s="271">
        <v>2708806.0208100001</v>
      </c>
      <c r="E261" s="272">
        <v>1.0144573111191709E-2</v>
      </c>
      <c r="F261" s="272">
        <v>2.4045203131854453</v>
      </c>
      <c r="H261" s="271">
        <v>12306.43723</v>
      </c>
      <c r="I261" s="272">
        <f>+H261/$H$11</f>
        <v>4.1289126624405877E-5</v>
      </c>
      <c r="J261" s="265">
        <f t="shared" si="61"/>
        <v>-0.99545687762967983</v>
      </c>
      <c r="L261" s="271">
        <f>4274392011.43/1000</f>
        <v>4274392.01143</v>
      </c>
      <c r="M261" s="272">
        <f t="shared" si="55"/>
        <v>1.2832938342413835E-2</v>
      </c>
      <c r="N261" s="272">
        <f t="shared" si="56"/>
        <v>346.32976990368155</v>
      </c>
      <c r="P261" s="25">
        <v>11672266.012290001</v>
      </c>
      <c r="Q261" s="272">
        <f t="shared" si="47"/>
        <v>3.1078352516697119E-2</v>
      </c>
      <c r="R261" s="272">
        <f t="shared" si="57"/>
        <v>1.7307429877927922</v>
      </c>
      <c r="T261" s="25">
        <v>13201961.590709999</v>
      </c>
      <c r="U261" s="272">
        <f t="shared" si="48"/>
        <v>3.2626110909496353E-2</v>
      </c>
      <c r="V261" s="272">
        <f t="shared" si="62"/>
        <v>0.13105386535993493</v>
      </c>
      <c r="X261" s="84">
        <v>7563683.4661400001</v>
      </c>
      <c r="Y261" s="272">
        <f t="shared" si="59"/>
        <v>1.920145955505443E-2</v>
      </c>
      <c r="Z261" s="272">
        <f t="shared" si="60"/>
        <v>-0.42707881596455799</v>
      </c>
    </row>
    <row r="262" spans="1:27" ht="7.5" customHeight="1">
      <c r="A262" s="261"/>
      <c r="B262" s="243"/>
      <c r="C262" s="265"/>
      <c r="D262" s="262" t="s">
        <v>154</v>
      </c>
      <c r="E262" s="265" t="s">
        <v>154</v>
      </c>
      <c r="F262" s="265" t="s">
        <v>154</v>
      </c>
      <c r="H262" s="262" t="s">
        <v>154</v>
      </c>
      <c r="I262" s="265"/>
      <c r="J262" s="265" t="str">
        <f t="shared" si="61"/>
        <v/>
      </c>
      <c r="L262" s="262" t="s">
        <v>154</v>
      </c>
      <c r="M262" s="265" t="str">
        <f t="shared" si="55"/>
        <v/>
      </c>
      <c r="N262" s="265" t="str">
        <f t="shared" si="56"/>
        <v/>
      </c>
      <c r="P262" s="25"/>
      <c r="Q262" s="265" t="str">
        <f t="shared" si="47"/>
        <v/>
      </c>
      <c r="R262" s="265" t="str">
        <f t="shared" si="57"/>
        <v/>
      </c>
      <c r="U262" s="265" t="str">
        <f t="shared" si="48"/>
        <v/>
      </c>
      <c r="V262" s="265" t="str">
        <f t="shared" si="62"/>
        <v/>
      </c>
    </row>
    <row r="263" spans="1:27">
      <c r="A263" s="261"/>
      <c r="B263" s="245"/>
      <c r="C263" s="246"/>
      <c r="D263" s="246"/>
      <c r="E263" s="246"/>
      <c r="F263" s="246"/>
      <c r="G263" s="246"/>
      <c r="H263" s="246"/>
      <c r="I263" s="246"/>
      <c r="J263" s="246"/>
      <c r="K263" s="246"/>
      <c r="L263" s="246"/>
      <c r="M263" s="246"/>
      <c r="N263" s="246"/>
      <c r="O263" s="246"/>
      <c r="P263" s="245"/>
      <c r="Q263" s="245"/>
      <c r="R263" s="245"/>
      <c r="S263" s="246"/>
      <c r="T263" s="245"/>
      <c r="U263" s="245"/>
      <c r="V263" s="245"/>
      <c r="W263" s="246"/>
      <c r="X263" s="246"/>
      <c r="Y263" s="246"/>
      <c r="Z263" s="246"/>
      <c r="AA263" s="246"/>
    </row>
    <row r="264" spans="1:27">
      <c r="A264" s="261"/>
      <c r="B264" s="766"/>
      <c r="C264" s="75"/>
      <c r="D264" s="248"/>
      <c r="E264" s="249"/>
      <c r="F264" s="249"/>
      <c r="G264" s="249"/>
      <c r="H264" s="249"/>
      <c r="I264" s="249"/>
      <c r="J264" s="249"/>
      <c r="K264" s="249"/>
      <c r="L264" s="249"/>
      <c r="M264" s="249"/>
      <c r="N264" s="249"/>
      <c r="W264" s="64"/>
      <c r="X264" s="249"/>
      <c r="Y264" s="249"/>
      <c r="Z264" s="249"/>
      <c r="AA264" s="249"/>
    </row>
    <row r="265" spans="1:27">
      <c r="A265" s="261"/>
      <c r="B265" s="250" t="s">
        <v>797</v>
      </c>
      <c r="C265" s="249"/>
      <c r="D265" s="1027" t="s">
        <v>618</v>
      </c>
      <c r="E265" s="1027"/>
      <c r="F265" s="1027"/>
      <c r="H265" s="1027" t="s">
        <v>619</v>
      </c>
      <c r="I265" s="1027"/>
      <c r="J265" s="1027"/>
      <c r="L265" s="1027" t="s">
        <v>620</v>
      </c>
      <c r="M265" s="1027"/>
      <c r="N265" s="1027"/>
      <c r="P265" s="1027" t="s">
        <v>621</v>
      </c>
      <c r="Q265" s="1027"/>
      <c r="R265" s="1027"/>
      <c r="T265" s="1027" t="s">
        <v>622</v>
      </c>
      <c r="U265" s="1027"/>
      <c r="V265" s="1027"/>
      <c r="W265" s="64"/>
      <c r="X265" s="1027" t="s">
        <v>1872</v>
      </c>
      <c r="Y265" s="1027"/>
      <c r="Z265" s="1027"/>
      <c r="AA265" s="64"/>
    </row>
    <row r="266" spans="1:27" ht="15">
      <c r="A266" s="261"/>
      <c r="B266" s="252" t="s">
        <v>800</v>
      </c>
      <c r="C266" s="254"/>
      <c r="D266" s="253" t="s">
        <v>152</v>
      </c>
      <c r="E266" s="253" t="s">
        <v>801</v>
      </c>
      <c r="F266" s="253" t="s">
        <v>802</v>
      </c>
      <c r="H266" s="253" t="s">
        <v>152</v>
      </c>
      <c r="I266" s="253" t="s">
        <v>801</v>
      </c>
      <c r="J266" s="253" t="s">
        <v>802</v>
      </c>
      <c r="L266" s="253" t="s">
        <v>152</v>
      </c>
      <c r="M266" s="253" t="s">
        <v>801</v>
      </c>
      <c r="N266" s="253" t="s">
        <v>802</v>
      </c>
      <c r="P266" s="253" t="s">
        <v>152</v>
      </c>
      <c r="Q266" s="253" t="s">
        <v>801</v>
      </c>
      <c r="R266" s="253" t="s">
        <v>802</v>
      </c>
      <c r="T266" s="253" t="s">
        <v>152</v>
      </c>
      <c r="U266" s="253" t="s">
        <v>801</v>
      </c>
      <c r="V266" s="253" t="s">
        <v>802</v>
      </c>
      <c r="W266" s="255"/>
      <c r="X266" s="253" t="s">
        <v>152</v>
      </c>
      <c r="Y266" s="253" t="s">
        <v>801</v>
      </c>
      <c r="Z266" s="253" t="s">
        <v>802</v>
      </c>
      <c r="AA266" s="255"/>
    </row>
    <row r="267" spans="1:27">
      <c r="A267" s="261"/>
      <c r="B267" s="257"/>
      <c r="C267" s="259"/>
      <c r="D267" s="260"/>
      <c r="E267" s="258"/>
      <c r="F267" s="258"/>
      <c r="G267" s="258"/>
      <c r="H267" s="258"/>
      <c r="I267" s="258"/>
      <c r="J267" s="258"/>
      <c r="K267" s="258"/>
      <c r="L267" s="258"/>
      <c r="M267" s="258"/>
      <c r="N267" s="258"/>
      <c r="O267" s="246"/>
      <c r="P267" s="257"/>
      <c r="Q267" s="257"/>
      <c r="R267" s="257"/>
      <c r="S267" s="246"/>
      <c r="T267" s="257"/>
      <c r="U267" s="257"/>
      <c r="V267" s="257"/>
      <c r="W267" s="260"/>
      <c r="X267" s="260"/>
      <c r="Y267" s="258"/>
      <c r="Z267" s="258"/>
      <c r="AA267" s="246"/>
    </row>
    <row r="268" spans="1:27">
      <c r="A268" s="261"/>
      <c r="B268" s="243"/>
      <c r="C268" s="248"/>
      <c r="D268" s="248"/>
      <c r="E268" s="75"/>
      <c r="F268" s="75"/>
      <c r="G268" s="75"/>
      <c r="H268" s="75"/>
      <c r="I268" s="75"/>
      <c r="J268" s="75"/>
      <c r="K268" s="75"/>
      <c r="L268" s="75"/>
      <c r="M268" s="75"/>
      <c r="N268" s="75"/>
    </row>
    <row r="269" spans="1:27" s="17" customFormat="1">
      <c r="A269" s="279"/>
      <c r="B269" s="264" t="s">
        <v>958</v>
      </c>
      <c r="C269" s="265"/>
      <c r="D269" s="277">
        <v>42194314.071889997</v>
      </c>
      <c r="E269" s="265">
        <v>0.15801917918466443</v>
      </c>
      <c r="F269" s="265">
        <v>4.2092460428910725E-3</v>
      </c>
      <c r="H269" s="277">
        <f>SUM(H271:H288)</f>
        <v>48023076.532470003</v>
      </c>
      <c r="I269" s="265">
        <f>+H269/$H$11</f>
        <v>0.16112144000613313</v>
      </c>
      <c r="J269" s="265">
        <f t="shared" ref="J269:J288" si="63">IF(B269&lt;&gt;0,(H269-D269)/D269,"")</f>
        <v>0.13814094597317197</v>
      </c>
      <c r="L269" s="277">
        <f>SUM(L271:L288)</f>
        <v>57339387.558330014</v>
      </c>
      <c r="M269" s="265">
        <f t="shared" ref="M269:M286" si="64">IF(B269&lt;&gt;0,L269/$L$11,"")</f>
        <v>0.17214912042698835</v>
      </c>
      <c r="N269" s="265">
        <f>IF(B269&lt;&gt;0,(L269-H269)/H269,"")</f>
        <v>0.19399654704672956</v>
      </c>
      <c r="P269" s="181">
        <v>64320765.851560004</v>
      </c>
      <c r="Q269" s="265">
        <f t="shared" ref="Q269:Q286" si="65">IF(B269&lt;&gt;0,P269/$P$11,"")</f>
        <v>0.17125924247904734</v>
      </c>
      <c r="R269" s="265">
        <f>IF(B269&lt;&gt;0,(P269-L269)/L269,"")</f>
        <v>0.12175536904938158</v>
      </c>
      <c r="T269" s="181">
        <v>78066409.177789986</v>
      </c>
      <c r="U269" s="265">
        <f t="shared" ref="U269:U286" si="66">IF(B269&lt;&gt;0,T269/$T$11,"")</f>
        <v>0.19292612742738047</v>
      </c>
      <c r="V269" s="265">
        <f>IF(B269&lt;&gt;0,(T269-P269)/P269,"")</f>
        <v>0.21370459670757483</v>
      </c>
      <c r="X269" s="778">
        <v>73585889.713589996</v>
      </c>
      <c r="Y269" s="265">
        <f t="shared" ref="Y269:Y288" si="67">IF(B269&lt;&gt;0,X269/$X$11,"")</f>
        <v>0.18680798733626447</v>
      </c>
      <c r="Z269" s="265">
        <f t="shared" ref="Z269:Z288" si="68">IF(B269&lt;&gt;0,(X269-T269)/T269,"")</f>
        <v>-5.7393692260085463E-2</v>
      </c>
    </row>
    <row r="270" spans="1:27">
      <c r="A270" s="261"/>
      <c r="B270" s="243"/>
      <c r="C270" s="265"/>
      <c r="D270" s="262" t="s">
        <v>154</v>
      </c>
      <c r="E270" s="265" t="s">
        <v>154</v>
      </c>
      <c r="F270" s="265" t="s">
        <v>154</v>
      </c>
      <c r="H270" s="262" t="s">
        <v>154</v>
      </c>
      <c r="I270" s="265"/>
      <c r="J270" s="265" t="str">
        <f t="shared" si="63"/>
        <v/>
      </c>
      <c r="L270" s="262" t="s">
        <v>154</v>
      </c>
      <c r="M270" s="265" t="str">
        <f t="shared" si="64"/>
        <v/>
      </c>
      <c r="N270" s="265" t="str">
        <f>IF(B270&lt;&gt;0,(L270-H270)/H270,"")</f>
        <v/>
      </c>
      <c r="P270" s="276"/>
      <c r="Q270" s="265" t="str">
        <f t="shared" si="65"/>
        <v/>
      </c>
      <c r="R270" s="265" t="str">
        <f>IF(B270&lt;&gt;0,(P270-L270)/L270,"")</f>
        <v/>
      </c>
      <c r="T270" s="181"/>
      <c r="U270" s="265" t="str">
        <f t="shared" si="66"/>
        <v/>
      </c>
      <c r="V270" s="265" t="str">
        <f>IF(B270&lt;&gt;0,(T270-P270)/P270,"")</f>
        <v/>
      </c>
      <c r="X270" s="778"/>
      <c r="Y270" s="265" t="str">
        <f t="shared" si="67"/>
        <v/>
      </c>
      <c r="Z270" s="265" t="str">
        <f t="shared" si="68"/>
        <v/>
      </c>
    </row>
    <row r="271" spans="1:27">
      <c r="A271" s="261"/>
      <c r="B271" s="243" t="s">
        <v>959</v>
      </c>
      <c r="C271" s="272"/>
      <c r="D271" s="271">
        <v>18994856.27341</v>
      </c>
      <c r="E271" s="272">
        <v>7.1136399846219237E-2</v>
      </c>
      <c r="F271" s="272">
        <v>-5.9876722732485267E-2</v>
      </c>
      <c r="H271" s="271">
        <v>17504238.776769999</v>
      </c>
      <c r="I271" s="272">
        <f>+H271/$H$11</f>
        <v>5.8728185729989044E-2</v>
      </c>
      <c r="J271" s="265">
        <f t="shared" si="63"/>
        <v>-7.8474797344302377E-2</v>
      </c>
      <c r="L271" s="271">
        <f>19922805776.4/1000</f>
        <v>19922805.7764</v>
      </c>
      <c r="M271" s="272">
        <f t="shared" si="64"/>
        <v>5.9813919138149776E-2</v>
      </c>
      <c r="N271" s="272">
        <f>IF(B271&lt;&gt;0,(L271-H271)/H271,"")</f>
        <v>0.13817036150350612</v>
      </c>
      <c r="P271" s="273">
        <v>17465863.316150002</v>
      </c>
      <c r="Q271" s="272">
        <f t="shared" si="65"/>
        <v>4.650427402667321E-2</v>
      </c>
      <c r="R271" s="272">
        <f>IF(B271&lt;&gt;0,(P271-L271)/L271,"")</f>
        <v>-0.12332311461673853</v>
      </c>
      <c r="T271" s="25">
        <v>0</v>
      </c>
      <c r="U271" s="272">
        <f t="shared" si="66"/>
        <v>0</v>
      </c>
      <c r="V271" s="272"/>
      <c r="X271" s="84">
        <v>0</v>
      </c>
      <c r="Y271" s="272">
        <f t="shared" si="67"/>
        <v>0</v>
      </c>
      <c r="Z271" s="272"/>
    </row>
    <row r="272" spans="1:27" ht="11" customHeight="1">
      <c r="A272" s="261"/>
      <c r="B272" s="243" t="s">
        <v>960</v>
      </c>
      <c r="C272" s="272"/>
      <c r="D272" s="271">
        <v>6659738.40338</v>
      </c>
      <c r="E272" s="272">
        <v>2.4940952809274022E-2</v>
      </c>
      <c r="F272" s="272">
        <v>-7.1285371405457168E-2</v>
      </c>
      <c r="H272" s="271">
        <v>13075093.17859</v>
      </c>
      <c r="I272" s="272">
        <f>+H272/$H$11</f>
        <v>4.3868031647751556E-2</v>
      </c>
      <c r="J272" s="265">
        <f t="shared" si="63"/>
        <v>0.96330432017480316</v>
      </c>
      <c r="L272" s="271">
        <f>20650059091.68/1000</f>
        <v>20650059.091680001</v>
      </c>
      <c r="M272" s="272">
        <f t="shared" si="64"/>
        <v>6.1997340061955501E-2</v>
      </c>
      <c r="N272" s="272">
        <f>IF(B272&lt;&gt;0,(L272-H272)/H272,"")</f>
        <v>0.57934316869678137</v>
      </c>
      <c r="P272" s="25">
        <v>26486401.334099997</v>
      </c>
      <c r="Q272" s="272">
        <f t="shared" si="65"/>
        <v>7.0522186239857704E-2</v>
      </c>
      <c r="R272" s="272">
        <f>IF(B272&lt;&gt;0,(P272-L272)/L272,"")</f>
        <v>0.28263077681804227</v>
      </c>
      <c r="T272" s="25">
        <v>47207578.009889998</v>
      </c>
      <c r="U272" s="272">
        <f t="shared" si="66"/>
        <v>0.11666445666704446</v>
      </c>
      <c r="V272" s="272">
        <f>IF(B272&lt;&gt;0,(T272-P272)/P272,"")</f>
        <v>0.78233265495046544</v>
      </c>
      <c r="X272" s="84">
        <v>47224195.17994</v>
      </c>
      <c r="Y272" s="272">
        <f t="shared" si="67"/>
        <v>0.11988516941870005</v>
      </c>
      <c r="Z272" s="272">
        <f t="shared" si="68"/>
        <v>3.520021731790886E-4</v>
      </c>
    </row>
    <row r="273" spans="1:26" ht="11" customHeight="1">
      <c r="A273" s="261"/>
      <c r="B273" s="243" t="s">
        <v>961</v>
      </c>
      <c r="C273" s="272"/>
      <c r="D273" s="271"/>
      <c r="E273" s="272"/>
      <c r="F273" s="272"/>
      <c r="H273" s="271"/>
      <c r="I273" s="272"/>
      <c r="J273" s="265"/>
      <c r="L273" s="271"/>
      <c r="M273" s="272">
        <f t="shared" si="64"/>
        <v>0</v>
      </c>
      <c r="N273" s="272"/>
      <c r="P273" s="25"/>
      <c r="Q273" s="272">
        <f t="shared" si="65"/>
        <v>0</v>
      </c>
      <c r="R273" s="272"/>
      <c r="T273" s="25">
        <v>660242.78122999996</v>
      </c>
      <c r="U273" s="272">
        <f t="shared" si="66"/>
        <v>1.6316631479039044E-3</v>
      </c>
      <c r="V273" s="272">
        <v>0</v>
      </c>
      <c r="X273" s="84">
        <v>1034545.0117900001</v>
      </c>
      <c r="Y273" s="272">
        <f t="shared" si="67"/>
        <v>2.626336002914021E-3</v>
      </c>
      <c r="Z273" s="272">
        <f t="shared" si="68"/>
        <v>0.56691605149047364</v>
      </c>
    </row>
    <row r="274" spans="1:26" ht="11" customHeight="1">
      <c r="A274" s="261"/>
      <c r="B274" s="243" t="s">
        <v>962</v>
      </c>
      <c r="C274" s="272"/>
      <c r="D274" s="271">
        <v>8795089.5581200011</v>
      </c>
      <c r="E274" s="272">
        <v>3.2937917427969768E-2</v>
      </c>
      <c r="F274" s="272">
        <v>0.22406811046492769</v>
      </c>
      <c r="H274" s="271">
        <v>9150563.7950299997</v>
      </c>
      <c r="I274" s="272">
        <f>+H274/$H$11</f>
        <v>3.0700907188367273E-2</v>
      </c>
      <c r="J274" s="265">
        <f t="shared" si="63"/>
        <v>4.0417352724033337E-2</v>
      </c>
      <c r="L274" s="271">
        <f>7428332149/1000</f>
        <v>7428332.1490000002</v>
      </c>
      <c r="M274" s="272">
        <f t="shared" si="64"/>
        <v>2.2301962056867044E-2</v>
      </c>
      <c r="N274" s="272">
        <f>IF(B274&lt;&gt;0,(L274-H274)/H274,"")</f>
        <v>-0.18821044086544758</v>
      </c>
      <c r="P274" s="25">
        <v>9142547.6395599991</v>
      </c>
      <c r="Q274" s="272">
        <f t="shared" si="65"/>
        <v>2.434277270101368E-2</v>
      </c>
      <c r="R274" s="272">
        <f>IF(B274&lt;&gt;0,(P274-L274)/L274,"")</f>
        <v>0.23076721075144252</v>
      </c>
      <c r="T274" s="25">
        <v>7692293.6077700006</v>
      </c>
      <c r="U274" s="272">
        <f t="shared" si="66"/>
        <v>1.9010025341394496E-2</v>
      </c>
      <c r="V274" s="272">
        <f>IF(B274&lt;&gt;0,(T274-P274)/P274,"")</f>
        <v>-0.15862690455280959</v>
      </c>
      <c r="X274" s="84">
        <v>8590502.4016100001</v>
      </c>
      <c r="Y274" s="272">
        <f t="shared" si="67"/>
        <v>2.1808181841630126E-2</v>
      </c>
      <c r="Z274" s="272">
        <f t="shared" si="68"/>
        <v>0.11676735699905123</v>
      </c>
    </row>
    <row r="275" spans="1:26" ht="11" customHeight="1">
      <c r="A275" s="261"/>
      <c r="B275" s="243" t="s">
        <v>963</v>
      </c>
      <c r="C275" s="272"/>
      <c r="D275" s="271"/>
      <c r="E275" s="272"/>
      <c r="F275" s="272"/>
      <c r="H275" s="271"/>
      <c r="I275" s="272"/>
      <c r="J275" s="265"/>
      <c r="L275" s="271"/>
      <c r="M275" s="272">
        <f t="shared" si="64"/>
        <v>0</v>
      </c>
      <c r="N275" s="272"/>
      <c r="P275" s="25"/>
      <c r="Q275" s="272">
        <f t="shared" si="65"/>
        <v>0</v>
      </c>
      <c r="R275" s="272"/>
      <c r="T275" s="25">
        <v>581480.61592000001</v>
      </c>
      <c r="U275" s="272">
        <f t="shared" si="66"/>
        <v>1.4370175929066529E-3</v>
      </c>
      <c r="V275" s="272"/>
      <c r="X275" s="84">
        <v>305174.14805999998</v>
      </c>
      <c r="Y275" s="272">
        <f t="shared" si="67"/>
        <v>7.7472690223679168E-4</v>
      </c>
      <c r="Z275" s="272">
        <f t="shared" si="68"/>
        <v>-0.47517743548998065</v>
      </c>
    </row>
    <row r="276" spans="1:26" ht="11" customHeight="1">
      <c r="A276" s="261"/>
      <c r="B276" s="243" t="s">
        <v>964</v>
      </c>
      <c r="C276" s="272"/>
      <c r="D276" s="271"/>
      <c r="E276" s="272"/>
      <c r="F276" s="272"/>
      <c r="H276" s="271"/>
      <c r="I276" s="272"/>
      <c r="J276" s="265"/>
      <c r="L276" s="271"/>
      <c r="M276" s="272">
        <f t="shared" si="64"/>
        <v>0</v>
      </c>
      <c r="N276" s="272"/>
      <c r="P276" s="25"/>
      <c r="Q276" s="272">
        <f t="shared" si="65"/>
        <v>0</v>
      </c>
      <c r="R276" s="272"/>
      <c r="T276" s="25">
        <v>7761055.2253900003</v>
      </c>
      <c r="U276" s="272">
        <f t="shared" si="66"/>
        <v>1.9179956464687956E-2</v>
      </c>
      <c r="V276" s="272"/>
      <c r="X276" s="84">
        <v>8295044.6865900001</v>
      </c>
      <c r="Y276" s="272">
        <f t="shared" si="67"/>
        <v>2.105812145232611E-2</v>
      </c>
      <c r="Z276" s="272">
        <f t="shared" si="68"/>
        <v>6.8803718784666471E-2</v>
      </c>
    </row>
    <row r="277" spans="1:26" ht="11" customHeight="1">
      <c r="A277" s="261"/>
      <c r="B277" s="243" t="s">
        <v>965</v>
      </c>
      <c r="C277" s="272"/>
      <c r="D277" s="271"/>
      <c r="E277" s="272"/>
      <c r="F277" s="272"/>
      <c r="H277" s="271"/>
      <c r="I277" s="272"/>
      <c r="J277" s="265"/>
      <c r="L277" s="271"/>
      <c r="M277" s="272">
        <f t="shared" si="64"/>
        <v>0</v>
      </c>
      <c r="N277" s="272"/>
      <c r="P277" s="25"/>
      <c r="Q277" s="272">
        <f t="shared" si="65"/>
        <v>0</v>
      </c>
      <c r="R277" s="272"/>
      <c r="T277" s="25">
        <v>609284.20358000009</v>
      </c>
      <c r="U277" s="272">
        <f t="shared" si="66"/>
        <v>1.5057288164959863E-3</v>
      </c>
      <c r="V277" s="272"/>
      <c r="X277" s="84">
        <v>485299.31685</v>
      </c>
      <c r="Y277" s="272">
        <f t="shared" si="67"/>
        <v>1.2319996264130205E-3</v>
      </c>
      <c r="Z277" s="272">
        <f t="shared" si="68"/>
        <v>-0.20349269848372273</v>
      </c>
    </row>
    <row r="278" spans="1:26" ht="11" customHeight="1">
      <c r="A278" s="261"/>
      <c r="B278" s="243" t="s">
        <v>966</v>
      </c>
      <c r="C278" s="272"/>
      <c r="D278" s="271"/>
      <c r="E278" s="272"/>
      <c r="F278" s="272"/>
      <c r="H278" s="271"/>
      <c r="I278" s="272"/>
      <c r="J278" s="265"/>
      <c r="L278" s="271"/>
      <c r="M278" s="272">
        <f t="shared" si="64"/>
        <v>0</v>
      </c>
      <c r="N278" s="272"/>
      <c r="P278" s="25"/>
      <c r="Q278" s="272">
        <f t="shared" si="65"/>
        <v>0</v>
      </c>
      <c r="R278" s="272"/>
      <c r="T278" s="25">
        <v>5845642.7165999999</v>
      </c>
      <c r="U278" s="272">
        <f t="shared" si="66"/>
        <v>1.4446382554490088E-2</v>
      </c>
      <c r="V278" s="272"/>
      <c r="X278" s="84">
        <v>831903.14936000004</v>
      </c>
      <c r="Y278" s="272">
        <f t="shared" si="67"/>
        <v>2.1119015288870073E-3</v>
      </c>
      <c r="Z278" s="272">
        <f t="shared" si="68"/>
        <v>-0.85768833476640194</v>
      </c>
    </row>
    <row r="279" spans="1:26" ht="11" customHeight="1">
      <c r="A279" s="261"/>
      <c r="B279" s="243" t="s">
        <v>967</v>
      </c>
      <c r="C279" s="272"/>
      <c r="D279" s="271"/>
      <c r="E279" s="272"/>
      <c r="F279" s="272"/>
      <c r="H279" s="271"/>
      <c r="I279" s="272"/>
      <c r="J279" s="265"/>
      <c r="L279" s="271"/>
      <c r="M279" s="272">
        <f t="shared" si="64"/>
        <v>0</v>
      </c>
      <c r="N279" s="272"/>
      <c r="P279" s="25"/>
      <c r="Q279" s="272">
        <f t="shared" si="65"/>
        <v>0</v>
      </c>
      <c r="R279" s="272"/>
      <c r="T279" s="25">
        <v>2565.5751399999999</v>
      </c>
      <c r="U279" s="272">
        <f t="shared" si="66"/>
        <v>6.3403259045374179E-6</v>
      </c>
      <c r="V279" s="272"/>
      <c r="X279" s="84">
        <v>6188.69092</v>
      </c>
      <c r="Y279" s="272">
        <f t="shared" si="67"/>
        <v>1.5710850266418732E-5</v>
      </c>
      <c r="Z279" s="272">
        <f t="shared" si="68"/>
        <v>1.4122041188783894</v>
      </c>
    </row>
    <row r="280" spans="1:26" ht="11" customHeight="1">
      <c r="A280" s="261"/>
      <c r="B280" s="243" t="s">
        <v>968</v>
      </c>
      <c r="C280" s="272"/>
      <c r="D280" s="271"/>
      <c r="E280" s="272"/>
      <c r="F280" s="272"/>
      <c r="H280" s="271"/>
      <c r="I280" s="272"/>
      <c r="J280" s="265"/>
      <c r="L280" s="271"/>
      <c r="M280" s="272">
        <f t="shared" si="64"/>
        <v>0</v>
      </c>
      <c r="N280" s="272"/>
      <c r="P280" s="25"/>
      <c r="Q280" s="272">
        <f t="shared" si="65"/>
        <v>0</v>
      </c>
      <c r="R280" s="272"/>
      <c r="T280" s="25">
        <v>500418.08056999999</v>
      </c>
      <c r="U280" s="272">
        <f t="shared" si="66"/>
        <v>1.2366871154422176E-3</v>
      </c>
      <c r="V280" s="272"/>
      <c r="X280" s="84">
        <v>145681.04380000001</v>
      </c>
      <c r="Y280" s="272">
        <f t="shared" si="67"/>
        <v>3.6983153551920953E-4</v>
      </c>
      <c r="Z280" s="272">
        <f t="shared" si="68"/>
        <v>-0.70888133451520707</v>
      </c>
    </row>
    <row r="281" spans="1:26" ht="11" customHeight="1">
      <c r="A281" s="261"/>
      <c r="B281" s="243" t="s">
        <v>969</v>
      </c>
      <c r="C281" s="272"/>
      <c r="D281" s="271">
        <v>2642364.1646799999</v>
      </c>
      <c r="E281" s="272">
        <v>9.8957460405281125E-3</v>
      </c>
      <c r="F281" s="272">
        <v>3.9990657461530514E-2</v>
      </c>
      <c r="H281" s="271">
        <v>2531699.4137599999</v>
      </c>
      <c r="I281" s="272">
        <f>+H281/$H$11</f>
        <v>8.4940633683036112E-3</v>
      </c>
      <c r="J281" s="265">
        <f t="shared" si="63"/>
        <v>-4.1880961148064139E-2</v>
      </c>
      <c r="L281" s="271">
        <f>2816402526.44/1000</f>
        <v>2816402.5264400002</v>
      </c>
      <c r="M281" s="272">
        <f t="shared" si="64"/>
        <v>8.4556399770014338E-3</v>
      </c>
      <c r="N281" s="272">
        <f>IF(B281&lt;&gt;0,(L281-H281)/H281,"")</f>
        <v>0.11245533775953608</v>
      </c>
      <c r="P281" s="25">
        <v>3050967.0678300001</v>
      </c>
      <c r="Q281" s="272">
        <f t="shared" si="65"/>
        <v>8.1234466341854571E-3</v>
      </c>
      <c r="R281" s="272">
        <f>IF(B281&lt;&gt;0,(P281-L281)/L281,"")</f>
        <v>8.3285162255018669E-2</v>
      </c>
      <c r="T281" s="25">
        <v>3418093.6908499999</v>
      </c>
      <c r="U281" s="272">
        <f t="shared" si="66"/>
        <v>8.4471616653691798E-3</v>
      </c>
      <c r="V281" s="272">
        <f>IF(B281&lt;&gt;0,(T281-P281)/P281,"")</f>
        <v>0.1203312310024764</v>
      </c>
      <c r="X281" s="84">
        <v>3523817.8909100001</v>
      </c>
      <c r="Y281" s="272">
        <f t="shared" si="67"/>
        <v>8.9457004665236175E-3</v>
      </c>
      <c r="Z281" s="272">
        <f t="shared" si="68"/>
        <v>3.0930749599701299E-2</v>
      </c>
    </row>
    <row r="282" spans="1:26" ht="11" customHeight="1">
      <c r="A282" s="261"/>
      <c r="B282" s="243" t="s">
        <v>970</v>
      </c>
      <c r="C282" s="272"/>
      <c r="D282" s="271">
        <v>728828.35808999999</v>
      </c>
      <c r="E282" s="272">
        <v>2.7294876441329419E-3</v>
      </c>
      <c r="F282" s="272">
        <v>-7.0908418828296793E-2</v>
      </c>
      <c r="H282" s="271">
        <v>809514.59152000002</v>
      </c>
      <c r="I282" s="272">
        <f>+H282/$H$11</f>
        <v>2.7159891891451577E-3</v>
      </c>
      <c r="J282" s="265">
        <f t="shared" si="63"/>
        <v>0.11070677002943458</v>
      </c>
      <c r="L282" s="271">
        <f>753511013.46/1000</f>
        <v>753511.01346000005</v>
      </c>
      <c r="M282" s="272">
        <f t="shared" si="64"/>
        <v>2.2622539884513118E-3</v>
      </c>
      <c r="N282" s="272">
        <f>IF(B282&lt;&gt;0,(L282-H282)/H282,"")</f>
        <v>-6.9181678312732836E-2</v>
      </c>
      <c r="P282" s="25">
        <v>654602.89049000002</v>
      </c>
      <c r="Q282" s="272">
        <f t="shared" si="65"/>
        <v>1.7429331517698837E-3</v>
      </c>
      <c r="R282" s="272">
        <f>IF(B282&lt;&gt;0,(P282-L282)/L282,"")</f>
        <v>-0.13126300903795687</v>
      </c>
      <c r="T282" s="25">
        <v>458205.08733000001</v>
      </c>
      <c r="U282" s="272">
        <f t="shared" si="66"/>
        <v>1.1323658151712636E-3</v>
      </c>
      <c r="V282" s="272">
        <f>IF(B282&lt;&gt;0,(T282-P282)/P282,"")</f>
        <v>-0.30002587219403709</v>
      </c>
      <c r="X282" s="84">
        <v>449781.02119999996</v>
      </c>
      <c r="Y282" s="272">
        <f t="shared" si="67"/>
        <v>1.1418315065490634E-3</v>
      </c>
      <c r="Z282" s="272">
        <f t="shared" si="68"/>
        <v>-1.838492492322117E-2</v>
      </c>
    </row>
    <row r="283" spans="1:26" ht="11" customHeight="1">
      <c r="A283" s="261"/>
      <c r="B283" s="243" t="s">
        <v>971</v>
      </c>
      <c r="C283" s="272"/>
      <c r="D283" s="271"/>
      <c r="E283" s="272"/>
      <c r="F283" s="272"/>
      <c r="H283" s="271"/>
      <c r="I283" s="272"/>
      <c r="J283" s="265"/>
      <c r="L283" s="271"/>
      <c r="M283" s="272">
        <f t="shared" si="64"/>
        <v>0</v>
      </c>
      <c r="N283" s="272"/>
      <c r="P283" s="25"/>
      <c r="Q283" s="272">
        <f t="shared" si="65"/>
        <v>0</v>
      </c>
      <c r="R283" s="272"/>
      <c r="T283" s="25">
        <v>24756.337019999999</v>
      </c>
      <c r="U283" s="272">
        <f t="shared" si="66"/>
        <v>6.1180529255270476E-5</v>
      </c>
      <c r="V283" s="272"/>
      <c r="X283" s="84">
        <v>4344.2173000000003</v>
      </c>
      <c r="Y283" s="272">
        <f t="shared" si="67"/>
        <v>1.1028398155176552E-5</v>
      </c>
      <c r="Z283" s="272">
        <f t="shared" si="68"/>
        <v>-0.82452099854310357</v>
      </c>
    </row>
    <row r="284" spans="1:26" ht="11" customHeight="1">
      <c r="A284" s="261"/>
      <c r="B284" s="243" t="s">
        <v>972</v>
      </c>
      <c r="C284" s="272"/>
      <c r="D284" s="271"/>
      <c r="E284" s="272"/>
      <c r="F284" s="272"/>
      <c r="H284" s="271"/>
      <c r="I284" s="272"/>
      <c r="J284" s="265"/>
      <c r="L284" s="271"/>
      <c r="M284" s="272">
        <f t="shared" si="64"/>
        <v>0</v>
      </c>
      <c r="N284" s="272"/>
      <c r="P284" s="25"/>
      <c r="Q284" s="272">
        <f t="shared" si="65"/>
        <v>0</v>
      </c>
      <c r="R284" s="272"/>
      <c r="T284" s="25">
        <v>242303.50542</v>
      </c>
      <c r="U284" s="272">
        <f t="shared" si="66"/>
        <v>5.9880654759331998E-4</v>
      </c>
      <c r="V284" s="272"/>
      <c r="X284" s="84">
        <v>256063.54941000001</v>
      </c>
      <c r="Y284" s="272">
        <f t="shared" si="67"/>
        <v>6.5005283596683886E-4</v>
      </c>
      <c r="Z284" s="272">
        <f t="shared" si="68"/>
        <v>5.6788464393648992E-2</v>
      </c>
    </row>
    <row r="285" spans="1:26" ht="11" customHeight="1">
      <c r="A285" s="261"/>
      <c r="B285" s="243" t="s">
        <v>973</v>
      </c>
      <c r="C285" s="272"/>
      <c r="D285" s="271"/>
      <c r="E285" s="272"/>
      <c r="F285" s="272"/>
      <c r="H285" s="271"/>
      <c r="I285" s="272"/>
      <c r="J285" s="265"/>
      <c r="L285" s="271"/>
      <c r="M285" s="272">
        <f t="shared" si="64"/>
        <v>0</v>
      </c>
      <c r="N285" s="272"/>
      <c r="P285" s="25"/>
      <c r="Q285" s="272">
        <f t="shared" si="65"/>
        <v>0</v>
      </c>
      <c r="R285" s="272"/>
      <c r="T285" s="25">
        <v>1464495.95432</v>
      </c>
      <c r="U285" s="272">
        <f t="shared" si="66"/>
        <v>3.6192203032748998E-3</v>
      </c>
      <c r="V285" s="272"/>
      <c r="X285" s="84">
        <v>671298.87852999999</v>
      </c>
      <c r="Y285" s="272">
        <f t="shared" si="67"/>
        <v>1.7041853117136518E-3</v>
      </c>
      <c r="Z285" s="272">
        <f t="shared" si="68"/>
        <v>-0.54161779925045961</v>
      </c>
    </row>
    <row r="286" spans="1:26" ht="11" customHeight="1">
      <c r="A286" s="261"/>
      <c r="B286" s="243" t="s">
        <v>974</v>
      </c>
      <c r="C286" s="272"/>
      <c r="D286" s="271">
        <v>3266501.92344</v>
      </c>
      <c r="E286" s="272">
        <v>1.2233163735466211E-2</v>
      </c>
      <c r="F286" s="272">
        <v>8.3143007994112755E-2</v>
      </c>
      <c r="H286" s="271">
        <v>3236873.5358500001</v>
      </c>
      <c r="I286" s="272">
        <f>+H286/$H$11</f>
        <v>1.0859981552020562E-2</v>
      </c>
      <c r="J286" s="265">
        <f t="shared" si="63"/>
        <v>-9.0703720017399712E-3</v>
      </c>
      <c r="L286" s="271">
        <f>+(228898673.24+1456487010.87+900668613.99+759872930.45+442753459.41+189820923.34)/1000</f>
        <v>3978501.6113</v>
      </c>
      <c r="M286" s="272">
        <f t="shared" si="64"/>
        <v>1.194459135626314E-2</v>
      </c>
      <c r="N286" s="272">
        <f>IF(B286&lt;&gt;0,(L286-H286)/H286,"")</f>
        <v>0.22911864403601082</v>
      </c>
      <c r="P286" s="25">
        <v>4961163.2584600002</v>
      </c>
      <c r="Q286" s="272">
        <f t="shared" si="65"/>
        <v>1.3209498522134509E-2</v>
      </c>
      <c r="R286" s="272">
        <f>IF(B286&lt;&gt;0,(P286-L286)/L286,"")</f>
        <v>0.2469928991278979</v>
      </c>
      <c r="T286" s="25">
        <v>412020.44588999997</v>
      </c>
      <c r="U286" s="272">
        <f t="shared" si="66"/>
        <v>1.0182293496480575E-3</v>
      </c>
      <c r="V286" s="272">
        <f>IF(B286&lt;&gt;0,(T286-P286)/P286,"")</f>
        <v>-0.91695083906230979</v>
      </c>
      <c r="X286" s="84">
        <v>349189.61819999997</v>
      </c>
      <c r="Y286" s="272">
        <f t="shared" si="67"/>
        <v>8.8646627809425729E-4</v>
      </c>
      <c r="Z286" s="272">
        <f t="shared" si="68"/>
        <v>-0.15249444127531089</v>
      </c>
    </row>
    <row r="287" spans="1:26" ht="11" hidden="1" customHeight="1">
      <c r="A287" s="261"/>
      <c r="B287" s="784" t="s">
        <v>1879</v>
      </c>
      <c r="C287" s="272"/>
      <c r="D287" s="271"/>
      <c r="E287" s="272"/>
      <c r="F287" s="272"/>
      <c r="H287" s="271"/>
      <c r="I287" s="272"/>
      <c r="J287" s="265"/>
      <c r="L287" s="271"/>
      <c r="M287" s="272"/>
      <c r="N287" s="272"/>
      <c r="P287" s="25"/>
      <c r="Q287" s="272"/>
      <c r="R287" s="272"/>
      <c r="T287" s="25"/>
      <c r="U287" s="272"/>
      <c r="V287" s="272"/>
      <c r="X287" s="84">
        <v>0</v>
      </c>
      <c r="Y287" s="272">
        <f t="shared" si="67"/>
        <v>0</v>
      </c>
      <c r="Z287" s="272" t="e">
        <f t="shared" si="68"/>
        <v>#DIV/0!</v>
      </c>
    </row>
    <row r="288" spans="1:26" ht="11" customHeight="1">
      <c r="A288" s="261"/>
      <c r="B288" s="243" t="s">
        <v>975</v>
      </c>
      <c r="C288" s="272"/>
      <c r="D288" s="271">
        <v>1106935.3907699999</v>
      </c>
      <c r="E288" s="272">
        <v>4.1455116810741452E-3</v>
      </c>
      <c r="F288" s="272">
        <v>-7.9308738249797214E-3</v>
      </c>
      <c r="H288" s="271">
        <v>1715093.24095</v>
      </c>
      <c r="I288" s="272">
        <f>+H288/$H$11</f>
        <v>5.7542813305559116E-3</v>
      </c>
      <c r="J288" s="265">
        <f t="shared" si="63"/>
        <v>0.54940681746290254</v>
      </c>
      <c r="L288" s="271">
        <f>+(1008634017.8+781141372.25)/1000</f>
        <v>1789775.39005</v>
      </c>
      <c r="M288" s="272">
        <f>IF(B288&lt;&gt;0,L288/$L$11,"")</f>
        <v>5.3734138483001095E-3</v>
      </c>
      <c r="N288" s="272">
        <f>IF(B288&lt;&gt;0,(L288-H288)/H288,"")</f>
        <v>4.3544075223941277E-2</v>
      </c>
      <c r="P288" s="25">
        <v>2559220.34497</v>
      </c>
      <c r="Q288" s="272">
        <f>IF(B288&lt;&gt;0,P288/$P$11,"")</f>
        <v>6.8141312034128761E-3</v>
      </c>
      <c r="R288" s="272">
        <f>IF(B288&lt;&gt;0,(P288-L288)/L288,"")</f>
        <v>0.42991146218548931</v>
      </c>
      <c r="T288" s="25">
        <v>1185973.34087</v>
      </c>
      <c r="U288" s="272">
        <f>IF(B288&lt;&gt;0,T288/$T$11,"")</f>
        <v>2.9309051907982107E-3</v>
      </c>
      <c r="V288" s="272">
        <f>IF(B288&lt;&gt;0,(T288-P288)/P288,"")</f>
        <v>-0.53658803033472202</v>
      </c>
      <c r="X288" s="84">
        <v>1412860.90912</v>
      </c>
      <c r="Y288" s="272">
        <f t="shared" si="67"/>
        <v>3.5867433803691341E-3</v>
      </c>
      <c r="Z288" s="272">
        <f t="shared" si="68"/>
        <v>0.19130916390039682</v>
      </c>
    </row>
    <row r="289" spans="1:27" ht="11" customHeight="1" thickBot="1">
      <c r="A289" s="283"/>
      <c r="B289" s="284"/>
      <c r="C289" s="285"/>
      <c r="D289" s="285"/>
      <c r="E289" s="285"/>
      <c r="F289" s="285"/>
      <c r="G289" s="285"/>
      <c r="H289" s="285"/>
      <c r="I289" s="285"/>
      <c r="J289" s="285"/>
      <c r="K289" s="285"/>
      <c r="L289" s="285"/>
      <c r="M289" s="285"/>
      <c r="N289" s="285"/>
      <c r="O289" s="285"/>
      <c r="P289" s="284"/>
      <c r="Q289" s="284"/>
      <c r="R289" s="284"/>
      <c r="S289" s="285"/>
      <c r="T289" s="284"/>
      <c r="U289" s="284"/>
      <c r="V289" s="284"/>
      <c r="W289" s="285"/>
      <c r="X289" s="285"/>
      <c r="Y289" s="285"/>
      <c r="Z289" s="285"/>
      <c r="AA289" s="285"/>
    </row>
    <row r="290" spans="1:27" ht="11" customHeight="1">
      <c r="A290" s="286"/>
      <c r="B290" s="286"/>
    </row>
    <row r="291" spans="1:27" ht="11" customHeight="1">
      <c r="A291" s="14"/>
      <c r="B291" s="27" t="s">
        <v>1880</v>
      </c>
    </row>
    <row r="292" spans="1:27" ht="11" customHeight="1">
      <c r="A292" s="14"/>
      <c r="B292" s="27" t="s">
        <v>1881</v>
      </c>
    </row>
    <row r="293" spans="1:27" ht="11" customHeight="1">
      <c r="B293" s="286"/>
      <c r="D293" s="25"/>
    </row>
    <row r="294" spans="1:27" ht="11" customHeight="1">
      <c r="B294" s="243" t="s">
        <v>1882</v>
      </c>
    </row>
    <row r="295" spans="1:27" ht="11" customHeight="1">
      <c r="B295" s="243" t="s">
        <v>976</v>
      </c>
    </row>
    <row r="309" spans="1:2">
      <c r="A309" s="14"/>
      <c r="B309" s="14"/>
    </row>
    <row r="310" spans="1:2">
      <c r="A310" s="14"/>
      <c r="B310" s="14"/>
    </row>
    <row r="311" spans="1:2">
      <c r="A311" s="14"/>
      <c r="B311" s="14"/>
    </row>
    <row r="312" spans="1:2">
      <c r="A312" s="14"/>
      <c r="B312" s="14"/>
    </row>
    <row r="313" spans="1:2">
      <c r="A313" s="14"/>
      <c r="B313" s="14"/>
    </row>
    <row r="314" spans="1:2">
      <c r="A314" s="14"/>
      <c r="B314" s="14"/>
    </row>
    <row r="315" spans="1:2">
      <c r="A315" s="14"/>
      <c r="B315" s="14"/>
    </row>
    <row r="316" spans="1:2">
      <c r="A316" s="14"/>
      <c r="B316" s="14"/>
    </row>
    <row r="317" spans="1:2">
      <c r="A317" s="14"/>
      <c r="B317" s="14"/>
    </row>
    <row r="318" spans="1:2">
      <c r="A318" s="14"/>
      <c r="B318" s="14"/>
    </row>
    <row r="319" spans="1:2">
      <c r="A319" s="14"/>
      <c r="B319" s="14"/>
    </row>
    <row r="320" spans="1:2">
      <c r="A320" s="14"/>
      <c r="B320" s="14"/>
    </row>
    <row r="321" spans="1:2">
      <c r="A321" s="14"/>
      <c r="B321" s="14"/>
    </row>
    <row r="322" spans="1:2">
      <c r="A322" s="14"/>
      <c r="B322" s="14"/>
    </row>
    <row r="323" spans="1:2">
      <c r="A323" s="14"/>
      <c r="B323" s="14"/>
    </row>
    <row r="324" spans="1:2">
      <c r="A324" s="14"/>
      <c r="B324" s="14"/>
    </row>
    <row r="325" spans="1:2">
      <c r="A325" s="14"/>
      <c r="B325" s="14"/>
    </row>
    <row r="326" spans="1:2">
      <c r="A326" s="14"/>
      <c r="B326" s="14"/>
    </row>
    <row r="327" spans="1:2">
      <c r="A327" s="14"/>
      <c r="B327" s="14"/>
    </row>
  </sheetData>
  <mergeCells count="24">
    <mergeCell ref="D265:F265"/>
    <mergeCell ref="H265:J265"/>
    <mergeCell ref="L265:N265"/>
    <mergeCell ref="X265:Z265"/>
    <mergeCell ref="D178:F178"/>
    <mergeCell ref="H178:J178"/>
    <mergeCell ref="L178:N178"/>
    <mergeCell ref="P178:R178"/>
    <mergeCell ref="T178:V178"/>
    <mergeCell ref="X178:Z178"/>
    <mergeCell ref="P265:R265"/>
    <mergeCell ref="T265:V265"/>
    <mergeCell ref="X92:Z92"/>
    <mergeCell ref="D7:F7"/>
    <mergeCell ref="H7:J7"/>
    <mergeCell ref="L7:N7"/>
    <mergeCell ref="P7:R7"/>
    <mergeCell ref="T7:V7"/>
    <mergeCell ref="X7:Z7"/>
    <mergeCell ref="D92:F92"/>
    <mergeCell ref="H92:J92"/>
    <mergeCell ref="L92:N92"/>
    <mergeCell ref="P92:R92"/>
    <mergeCell ref="T92:V92"/>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249977111117893"/>
  </sheetPr>
  <dimension ref="A3:G5"/>
  <sheetViews>
    <sheetView workbookViewId="0">
      <selection activeCell="B4" sqref="B4"/>
    </sheetView>
  </sheetViews>
  <sheetFormatPr baseColWidth="10" defaultRowHeight="15"/>
  <cols>
    <col min="1" max="1" width="12.6640625" bestFit="1" customWidth="1"/>
    <col min="2" max="5" width="13.6640625" bestFit="1" customWidth="1"/>
    <col min="257" max="257" width="12.6640625" bestFit="1" customWidth="1"/>
    <col min="258" max="261" width="13.6640625" bestFit="1" customWidth="1"/>
    <col min="513" max="513" width="12.6640625" bestFit="1" customWidth="1"/>
    <col min="514" max="517" width="13.6640625" bestFit="1" customWidth="1"/>
    <col min="769" max="769" width="12.6640625" bestFit="1" customWidth="1"/>
    <col min="770" max="773" width="13.6640625" bestFit="1" customWidth="1"/>
    <col min="1025" max="1025" width="12.6640625" bestFit="1" customWidth="1"/>
    <col min="1026" max="1029" width="13.6640625" bestFit="1" customWidth="1"/>
    <col min="1281" max="1281" width="12.6640625" bestFit="1" customWidth="1"/>
    <col min="1282" max="1285" width="13.6640625" bestFit="1" customWidth="1"/>
    <col min="1537" max="1537" width="12.6640625" bestFit="1" customWidth="1"/>
    <col min="1538" max="1541" width="13.6640625" bestFit="1" customWidth="1"/>
    <col min="1793" max="1793" width="12.6640625" bestFit="1" customWidth="1"/>
    <col min="1794" max="1797" width="13.6640625" bestFit="1" customWidth="1"/>
    <col min="2049" max="2049" width="12.6640625" bestFit="1" customWidth="1"/>
    <col min="2050" max="2053" width="13.6640625" bestFit="1" customWidth="1"/>
    <col min="2305" max="2305" width="12.6640625" bestFit="1" customWidth="1"/>
    <col min="2306" max="2309" width="13.6640625" bestFit="1" customWidth="1"/>
    <col min="2561" max="2561" width="12.6640625" bestFit="1" customWidth="1"/>
    <col min="2562" max="2565" width="13.6640625" bestFit="1" customWidth="1"/>
    <col min="2817" max="2817" width="12.6640625" bestFit="1" customWidth="1"/>
    <col min="2818" max="2821" width="13.6640625" bestFit="1" customWidth="1"/>
    <col min="3073" max="3073" width="12.6640625" bestFit="1" customWidth="1"/>
    <col min="3074" max="3077" width="13.6640625" bestFit="1" customWidth="1"/>
    <col min="3329" max="3329" width="12.6640625" bestFit="1" customWidth="1"/>
    <col min="3330" max="3333" width="13.6640625" bestFit="1" customWidth="1"/>
    <col min="3585" max="3585" width="12.6640625" bestFit="1" customWidth="1"/>
    <col min="3586" max="3589" width="13.6640625" bestFit="1" customWidth="1"/>
    <col min="3841" max="3841" width="12.6640625" bestFit="1" customWidth="1"/>
    <col min="3842" max="3845" width="13.6640625" bestFit="1" customWidth="1"/>
    <col min="4097" max="4097" width="12.6640625" bestFit="1" customWidth="1"/>
    <col min="4098" max="4101" width="13.6640625" bestFit="1" customWidth="1"/>
    <col min="4353" max="4353" width="12.6640625" bestFit="1" customWidth="1"/>
    <col min="4354" max="4357" width="13.6640625" bestFit="1" customWidth="1"/>
    <col min="4609" max="4609" width="12.6640625" bestFit="1" customWidth="1"/>
    <col min="4610" max="4613" width="13.6640625" bestFit="1" customWidth="1"/>
    <col min="4865" max="4865" width="12.6640625" bestFit="1" customWidth="1"/>
    <col min="4866" max="4869" width="13.6640625" bestFit="1" customWidth="1"/>
    <col min="5121" max="5121" width="12.6640625" bestFit="1" customWidth="1"/>
    <col min="5122" max="5125" width="13.6640625" bestFit="1" customWidth="1"/>
    <col min="5377" max="5377" width="12.6640625" bestFit="1" customWidth="1"/>
    <col min="5378" max="5381" width="13.6640625" bestFit="1" customWidth="1"/>
    <col min="5633" max="5633" width="12.6640625" bestFit="1" customWidth="1"/>
    <col min="5634" max="5637" width="13.6640625" bestFit="1" customWidth="1"/>
    <col min="5889" max="5889" width="12.6640625" bestFit="1" customWidth="1"/>
    <col min="5890" max="5893" width="13.6640625" bestFit="1" customWidth="1"/>
    <col min="6145" max="6145" width="12.6640625" bestFit="1" customWidth="1"/>
    <col min="6146" max="6149" width="13.6640625" bestFit="1" customWidth="1"/>
    <col min="6401" max="6401" width="12.6640625" bestFit="1" customWidth="1"/>
    <col min="6402" max="6405" width="13.6640625" bestFit="1" customWidth="1"/>
    <col min="6657" max="6657" width="12.6640625" bestFit="1" customWidth="1"/>
    <col min="6658" max="6661" width="13.6640625" bestFit="1" customWidth="1"/>
    <col min="6913" max="6913" width="12.6640625" bestFit="1" customWidth="1"/>
    <col min="6914" max="6917" width="13.6640625" bestFit="1" customWidth="1"/>
    <col min="7169" max="7169" width="12.6640625" bestFit="1" customWidth="1"/>
    <col min="7170" max="7173" width="13.6640625" bestFit="1" customWidth="1"/>
    <col min="7425" max="7425" width="12.6640625" bestFit="1" customWidth="1"/>
    <col min="7426" max="7429" width="13.6640625" bestFit="1" customWidth="1"/>
    <col min="7681" max="7681" width="12.6640625" bestFit="1" customWidth="1"/>
    <col min="7682" max="7685" width="13.6640625" bestFit="1" customWidth="1"/>
    <col min="7937" max="7937" width="12.6640625" bestFit="1" customWidth="1"/>
    <col min="7938" max="7941" width="13.6640625" bestFit="1" customWidth="1"/>
    <col min="8193" max="8193" width="12.6640625" bestFit="1" customWidth="1"/>
    <col min="8194" max="8197" width="13.6640625" bestFit="1" customWidth="1"/>
    <col min="8449" max="8449" width="12.6640625" bestFit="1" customWidth="1"/>
    <col min="8450" max="8453" width="13.6640625" bestFit="1" customWidth="1"/>
    <col min="8705" max="8705" width="12.6640625" bestFit="1" customWidth="1"/>
    <col min="8706" max="8709" width="13.6640625" bestFit="1" customWidth="1"/>
    <col min="8961" max="8961" width="12.6640625" bestFit="1" customWidth="1"/>
    <col min="8962" max="8965" width="13.6640625" bestFit="1" customWidth="1"/>
    <col min="9217" max="9217" width="12.6640625" bestFit="1" customWidth="1"/>
    <col min="9218" max="9221" width="13.6640625" bestFit="1" customWidth="1"/>
    <col min="9473" max="9473" width="12.6640625" bestFit="1" customWidth="1"/>
    <col min="9474" max="9477" width="13.6640625" bestFit="1" customWidth="1"/>
    <col min="9729" max="9729" width="12.6640625" bestFit="1" customWidth="1"/>
    <col min="9730" max="9733" width="13.6640625" bestFit="1" customWidth="1"/>
    <col min="9985" max="9985" width="12.6640625" bestFit="1" customWidth="1"/>
    <col min="9986" max="9989" width="13.6640625" bestFit="1" customWidth="1"/>
    <col min="10241" max="10241" width="12.6640625" bestFit="1" customWidth="1"/>
    <col min="10242" max="10245" width="13.6640625" bestFit="1" customWidth="1"/>
    <col min="10497" max="10497" width="12.6640625" bestFit="1" customWidth="1"/>
    <col min="10498" max="10501" width="13.6640625" bestFit="1" customWidth="1"/>
    <col min="10753" max="10753" width="12.6640625" bestFit="1" customWidth="1"/>
    <col min="10754" max="10757" width="13.6640625" bestFit="1" customWidth="1"/>
    <col min="11009" max="11009" width="12.6640625" bestFit="1" customWidth="1"/>
    <col min="11010" max="11013" width="13.6640625" bestFit="1" customWidth="1"/>
    <col min="11265" max="11265" width="12.6640625" bestFit="1" customWidth="1"/>
    <col min="11266" max="11269" width="13.6640625" bestFit="1" customWidth="1"/>
    <col min="11521" max="11521" width="12.6640625" bestFit="1" customWidth="1"/>
    <col min="11522" max="11525" width="13.6640625" bestFit="1" customWidth="1"/>
    <col min="11777" max="11777" width="12.6640625" bestFit="1" customWidth="1"/>
    <col min="11778" max="11781" width="13.6640625" bestFit="1" customWidth="1"/>
    <col min="12033" max="12033" width="12.6640625" bestFit="1" customWidth="1"/>
    <col min="12034" max="12037" width="13.6640625" bestFit="1" customWidth="1"/>
    <col min="12289" max="12289" width="12.6640625" bestFit="1" customWidth="1"/>
    <col min="12290" max="12293" width="13.6640625" bestFit="1" customWidth="1"/>
    <col min="12545" max="12545" width="12.6640625" bestFit="1" customWidth="1"/>
    <col min="12546" max="12549" width="13.6640625" bestFit="1" customWidth="1"/>
    <col min="12801" max="12801" width="12.6640625" bestFit="1" customWidth="1"/>
    <col min="12802" max="12805" width="13.6640625" bestFit="1" customWidth="1"/>
    <col min="13057" max="13057" width="12.6640625" bestFit="1" customWidth="1"/>
    <col min="13058" max="13061" width="13.6640625" bestFit="1" customWidth="1"/>
    <col min="13313" max="13313" width="12.6640625" bestFit="1" customWidth="1"/>
    <col min="13314" max="13317" width="13.6640625" bestFit="1" customWidth="1"/>
    <col min="13569" max="13569" width="12.6640625" bestFit="1" customWidth="1"/>
    <col min="13570" max="13573" width="13.6640625" bestFit="1" customWidth="1"/>
    <col min="13825" max="13825" width="12.6640625" bestFit="1" customWidth="1"/>
    <col min="13826" max="13829" width="13.6640625" bestFit="1" customWidth="1"/>
    <col min="14081" max="14081" width="12.6640625" bestFit="1" customWidth="1"/>
    <col min="14082" max="14085" width="13.6640625" bestFit="1" customWidth="1"/>
    <col min="14337" max="14337" width="12.6640625" bestFit="1" customWidth="1"/>
    <col min="14338" max="14341" width="13.6640625" bestFit="1" customWidth="1"/>
    <col min="14593" max="14593" width="12.6640625" bestFit="1" customWidth="1"/>
    <col min="14594" max="14597" width="13.6640625" bestFit="1" customWidth="1"/>
    <col min="14849" max="14849" width="12.6640625" bestFit="1" customWidth="1"/>
    <col min="14850" max="14853" width="13.6640625" bestFit="1" customWidth="1"/>
    <col min="15105" max="15105" width="12.6640625" bestFit="1" customWidth="1"/>
    <col min="15106" max="15109" width="13.6640625" bestFit="1" customWidth="1"/>
    <col min="15361" max="15361" width="12.6640625" bestFit="1" customWidth="1"/>
    <col min="15362" max="15365" width="13.6640625" bestFit="1" customWidth="1"/>
    <col min="15617" max="15617" width="12.6640625" bestFit="1" customWidth="1"/>
    <col min="15618" max="15621" width="13.6640625" bestFit="1" customWidth="1"/>
    <col min="15873" max="15873" width="12.6640625" bestFit="1" customWidth="1"/>
    <col min="15874" max="15877" width="13.6640625" bestFit="1" customWidth="1"/>
    <col min="16129" max="16129" width="12.6640625" bestFit="1" customWidth="1"/>
    <col min="16130" max="16133" width="13.6640625" bestFit="1" customWidth="1"/>
  </cols>
  <sheetData>
    <row r="3" spans="1:7">
      <c r="B3" s="33"/>
      <c r="C3" s="33"/>
      <c r="D3" s="33" t="s">
        <v>977</v>
      </c>
      <c r="E3" s="33" t="s">
        <v>978</v>
      </c>
      <c r="F3" s="33" t="s">
        <v>979</v>
      </c>
      <c r="G3" s="33" t="s">
        <v>1897</v>
      </c>
    </row>
    <row r="4" spans="1:7">
      <c r="D4">
        <v>11.75</v>
      </c>
      <c r="E4">
        <v>12.76</v>
      </c>
      <c r="F4">
        <v>7.74</v>
      </c>
      <c r="G4" s="28">
        <v>-2.6522434966672798E-2</v>
      </c>
    </row>
    <row r="5" spans="1:7">
      <c r="A5" s="28"/>
      <c r="B5" s="28"/>
      <c r="C5" s="28"/>
      <c r="D5" s="28"/>
      <c r="E5" s="28"/>
      <c r="G5" s="28"/>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19"/>
  <sheetViews>
    <sheetView workbookViewId="0">
      <selection activeCell="B4" sqref="B4"/>
    </sheetView>
  </sheetViews>
  <sheetFormatPr baseColWidth="10" defaultRowHeight="15"/>
  <cols>
    <col min="1" max="1" width="14.1640625" customWidth="1"/>
    <col min="2" max="2" width="112.83203125" customWidth="1"/>
  </cols>
  <sheetData>
    <row r="1" spans="1:2" ht="16">
      <c r="A1" s="5" t="s">
        <v>126</v>
      </c>
    </row>
    <row r="2" spans="1:2" ht="16">
      <c r="A2" s="7" t="s">
        <v>127</v>
      </c>
    </row>
    <row r="3" spans="1:2">
      <c r="A3" s="8" t="s">
        <v>128</v>
      </c>
    </row>
    <row r="4" spans="1:2" ht="17">
      <c r="A4" s="9" t="s">
        <v>129</v>
      </c>
      <c r="B4" s="10" t="s">
        <v>1825</v>
      </c>
    </row>
    <row r="5" spans="1:2" ht="17">
      <c r="A5" s="9" t="s">
        <v>130</v>
      </c>
      <c r="B5" s="10" t="s">
        <v>1826</v>
      </c>
    </row>
    <row r="6" spans="1:2" ht="17">
      <c r="A6" s="9" t="s">
        <v>131</v>
      </c>
      <c r="B6" s="10" t="s">
        <v>1837</v>
      </c>
    </row>
    <row r="7" spans="1:2" ht="17">
      <c r="A7" s="9" t="s">
        <v>132</v>
      </c>
      <c r="B7" s="10" t="s">
        <v>1827</v>
      </c>
    </row>
    <row r="8" spans="1:2" ht="17">
      <c r="A8" s="9" t="s">
        <v>133</v>
      </c>
      <c r="B8" s="10" t="s">
        <v>1838</v>
      </c>
    </row>
    <row r="9" spans="1:2" ht="17">
      <c r="A9" s="9" t="s">
        <v>134</v>
      </c>
      <c r="B9" s="10" t="s">
        <v>1828</v>
      </c>
    </row>
    <row r="10" spans="1:2" ht="17">
      <c r="A10" s="9" t="s">
        <v>135</v>
      </c>
      <c r="B10" s="10" t="s">
        <v>1829</v>
      </c>
    </row>
    <row r="11" spans="1:2" ht="17">
      <c r="A11" s="9" t="s">
        <v>136</v>
      </c>
      <c r="B11" s="10" t="s">
        <v>1830</v>
      </c>
    </row>
    <row r="12" spans="1:2" ht="17">
      <c r="A12" s="9" t="s">
        <v>137</v>
      </c>
      <c r="B12" s="10" t="s">
        <v>1831</v>
      </c>
    </row>
    <row r="13" spans="1:2" ht="17">
      <c r="A13" s="9" t="s">
        <v>138</v>
      </c>
      <c r="B13" s="10" t="s">
        <v>1832</v>
      </c>
    </row>
    <row r="14" spans="1:2" ht="17">
      <c r="A14" s="9" t="s">
        <v>139</v>
      </c>
      <c r="B14" s="10" t="s">
        <v>1833</v>
      </c>
    </row>
    <row r="15" spans="1:2" ht="17">
      <c r="A15" s="9" t="s">
        <v>140</v>
      </c>
      <c r="B15" s="10" t="s">
        <v>1834</v>
      </c>
    </row>
    <row r="16" spans="1:2" ht="17">
      <c r="A16" s="9" t="s">
        <v>141</v>
      </c>
      <c r="B16" s="10" t="s">
        <v>1835</v>
      </c>
    </row>
    <row r="17" spans="1:2" ht="17">
      <c r="A17" s="9" t="s">
        <v>142</v>
      </c>
      <c r="B17" s="10" t="s">
        <v>1836</v>
      </c>
    </row>
    <row r="18" spans="1:2" ht="17">
      <c r="A18" s="9" t="s">
        <v>143</v>
      </c>
      <c r="B18" s="11" t="s">
        <v>1839</v>
      </c>
    </row>
    <row r="19" spans="1:2">
      <c r="A19" s="8"/>
    </row>
  </sheetData>
  <pageMargins left="0.70866141732283472" right="0.70866141732283472" top="0.74803149606299213" bottom="0.74803149606299213" header="0.31496062992125984" footer="0.31496062992125984"/>
  <pageSetup scale="90" orientation="landscape"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45"/>
  <sheetViews>
    <sheetView workbookViewId="0">
      <selection activeCell="B4" sqref="B4"/>
    </sheetView>
  </sheetViews>
  <sheetFormatPr baseColWidth="10" defaultColWidth="11.5" defaultRowHeight="13"/>
  <cols>
    <col min="1" max="2" width="11.5" style="95"/>
    <col min="3" max="3" width="2" style="95" customWidth="1"/>
    <col min="4" max="4" width="17.5" style="95" customWidth="1"/>
    <col min="5" max="5" width="6.5" style="95" customWidth="1"/>
    <col min="6" max="6" width="1.83203125" style="95" customWidth="1"/>
    <col min="7" max="7" width="17.5" style="95" customWidth="1"/>
    <col min="8" max="8" width="6.5" style="95" customWidth="1"/>
    <col min="9" max="9" width="1.83203125" style="95" customWidth="1"/>
    <col min="10" max="10" width="17.5" style="95" customWidth="1"/>
    <col min="11" max="11" width="6.5" style="95" customWidth="1"/>
    <col min="12" max="12" width="2.33203125" style="95" customWidth="1"/>
    <col min="13" max="13" width="17.83203125" style="95" customWidth="1"/>
    <col min="14" max="14" width="6.6640625" style="95" customWidth="1"/>
    <col min="15" max="15" width="2" style="95" customWidth="1"/>
    <col min="16" max="16" width="18.1640625" style="95" customWidth="1"/>
    <col min="17" max="17" width="6.6640625" style="95" customWidth="1"/>
    <col min="18" max="18" width="2.1640625" style="95" customWidth="1"/>
    <col min="19" max="16384" width="11.5" style="95"/>
  </cols>
  <sheetData>
    <row r="1" spans="1:19">
      <c r="A1" s="95" t="s">
        <v>388</v>
      </c>
    </row>
    <row r="2" spans="1:19">
      <c r="A2" s="95" t="s">
        <v>389</v>
      </c>
    </row>
    <row r="4" spans="1:19">
      <c r="A4" s="111" t="s">
        <v>1883</v>
      </c>
      <c r="B4" s="111"/>
      <c r="C4" s="111"/>
      <c r="D4" s="111"/>
    </row>
    <row r="5" spans="1:19" ht="14" thickBot="1">
      <c r="A5" s="102"/>
      <c r="C5" s="128"/>
      <c r="D5" s="128"/>
      <c r="E5" s="128"/>
      <c r="F5" s="128"/>
      <c r="G5" s="128"/>
      <c r="H5" s="128"/>
      <c r="I5" s="128"/>
      <c r="J5" s="128"/>
      <c r="K5" s="128"/>
      <c r="L5" s="128"/>
      <c r="M5" s="128"/>
      <c r="N5" s="128"/>
      <c r="O5" s="128"/>
      <c r="P5" s="128"/>
      <c r="Q5" s="128"/>
      <c r="R5" s="128"/>
    </row>
    <row r="6" spans="1:19">
      <c r="A6" s="116"/>
      <c r="B6" s="97"/>
      <c r="D6" s="129"/>
      <c r="E6" s="129"/>
      <c r="G6" s="129"/>
      <c r="H6" s="129"/>
      <c r="J6" s="129"/>
      <c r="K6" s="129"/>
      <c r="M6" s="129"/>
      <c r="N6" s="129"/>
      <c r="P6" s="129"/>
      <c r="Q6" s="129"/>
    </row>
    <row r="7" spans="1:19">
      <c r="A7" s="116" t="s">
        <v>617</v>
      </c>
      <c r="B7" s="116"/>
      <c r="D7" s="1028" t="s">
        <v>619</v>
      </c>
      <c r="E7" s="1028"/>
      <c r="G7" s="1028" t="s">
        <v>620</v>
      </c>
      <c r="H7" s="1028"/>
      <c r="J7" s="1028" t="s">
        <v>621</v>
      </c>
      <c r="K7" s="1028"/>
      <c r="M7" s="1028" t="s">
        <v>622</v>
      </c>
      <c r="N7" s="1028"/>
      <c r="P7" s="1028" t="s">
        <v>1872</v>
      </c>
      <c r="Q7" s="1028"/>
    </row>
    <row r="8" spans="1:19">
      <c r="A8" s="116"/>
      <c r="B8" s="116"/>
      <c r="D8" s="130" t="s">
        <v>152</v>
      </c>
      <c r="E8" s="130" t="s">
        <v>153</v>
      </c>
      <c r="G8" s="130" t="s">
        <v>152</v>
      </c>
      <c r="H8" s="130" t="s">
        <v>153</v>
      </c>
      <c r="J8" s="130" t="s">
        <v>152</v>
      </c>
      <c r="K8" s="130" t="s">
        <v>153</v>
      </c>
      <c r="M8" s="130" t="s">
        <v>152</v>
      </c>
      <c r="N8" s="130" t="s">
        <v>153</v>
      </c>
      <c r="P8" s="130" t="s">
        <v>152</v>
      </c>
      <c r="Q8" s="130" t="s">
        <v>153</v>
      </c>
    </row>
    <row r="9" spans="1:19" ht="14" thickBot="1">
      <c r="A9" s="102"/>
      <c r="B9" s="102"/>
      <c r="C9" s="128"/>
      <c r="D9" s="128"/>
      <c r="E9" s="128"/>
      <c r="F9" s="128"/>
      <c r="G9" s="128"/>
      <c r="H9" s="128"/>
      <c r="I9" s="128"/>
      <c r="J9" s="128"/>
      <c r="K9" s="128"/>
      <c r="L9" s="128"/>
      <c r="M9" s="128"/>
      <c r="N9" s="128"/>
      <c r="O9" s="128"/>
      <c r="P9" s="128"/>
      <c r="Q9" s="128"/>
      <c r="R9" s="128"/>
    </row>
    <row r="10" spans="1:19">
      <c r="A10" s="116"/>
      <c r="B10" s="116"/>
      <c r="D10" s="131"/>
      <c r="E10" s="131"/>
      <c r="G10" s="131"/>
      <c r="H10" s="131"/>
      <c r="J10" s="131"/>
      <c r="K10" s="131"/>
      <c r="M10" s="131"/>
      <c r="N10" s="131"/>
      <c r="P10" s="131"/>
      <c r="Q10" s="131"/>
    </row>
    <row r="11" spans="1:19">
      <c r="A11" s="68" t="s">
        <v>623</v>
      </c>
      <c r="B11" s="116"/>
      <c r="D11" s="80">
        <f>D13+D18+D20+D22</f>
        <v>298055159703.14001</v>
      </c>
      <c r="E11" s="81">
        <f>E13+E18+E20+E22</f>
        <v>100.00000000000001</v>
      </c>
      <c r="G11" s="80">
        <f>G13+G18+G20+G22</f>
        <v>333079758813.91998</v>
      </c>
      <c r="H11" s="81">
        <f>H13+H18+H20+H22</f>
        <v>100.00000000000001</v>
      </c>
      <c r="J11" s="80">
        <f>J13+J18+J20+J22</f>
        <v>375575442939.54999</v>
      </c>
      <c r="K11" s="81">
        <f>K13+K18+K20+K22</f>
        <v>100</v>
      </c>
      <c r="M11" s="80">
        <f>M13+M18+M20+M22</f>
        <v>404644048055.40002</v>
      </c>
      <c r="N11" s="81">
        <f>N13+N18+N20+N22</f>
        <v>100.00000000000001</v>
      </c>
      <c r="P11" s="80">
        <f>P13+P18+P20+P22</f>
        <v>393911902605.81</v>
      </c>
      <c r="Q11" s="81">
        <f>Q13+Q18+Q20+Q22</f>
        <v>100</v>
      </c>
    </row>
    <row r="12" spans="1:19">
      <c r="A12" s="116"/>
      <c r="B12" s="116"/>
      <c r="D12" s="82"/>
      <c r="E12" s="82"/>
      <c r="G12" s="82"/>
      <c r="H12" s="82"/>
      <c r="J12" s="82"/>
      <c r="K12" s="82"/>
      <c r="M12" s="82"/>
      <c r="N12" s="82"/>
      <c r="P12" s="82"/>
      <c r="Q12" s="82"/>
    </row>
    <row r="13" spans="1:19">
      <c r="A13" s="106" t="s">
        <v>624</v>
      </c>
      <c r="B13" s="106"/>
      <c r="D13" s="112">
        <f>258370271959.22+224674459.99</f>
        <v>258594946419.20999</v>
      </c>
      <c r="E13" s="82">
        <f>D13/D$11*100</f>
        <v>86.760768267446878</v>
      </c>
      <c r="G13" s="112">
        <f>287973179684.87+212396224.32</f>
        <v>288185575909.19</v>
      </c>
      <c r="H13" s="82">
        <f>G13/G$11*100</f>
        <v>86.521491709794716</v>
      </c>
      <c r="J13" s="112">
        <f>321492652504.62+254787133.11</f>
        <v>321747439637.72998</v>
      </c>
      <c r="K13" s="82">
        <f>J13/J$11*100</f>
        <v>85.667858664954352</v>
      </c>
      <c r="M13" s="112">
        <f>345075588373.84+182377264.53</f>
        <v>345257965638.37006</v>
      </c>
      <c r="N13" s="82">
        <f>M13/M$11*100</f>
        <v>85.323871016410109</v>
      </c>
      <c r="P13" s="112">
        <f>340397593831.49+137282084.92</f>
        <v>340534875916.40997</v>
      </c>
      <c r="Q13" s="82">
        <f>P13/P$11*100</f>
        <v>86.449501440220573</v>
      </c>
    </row>
    <row r="14" spans="1:19">
      <c r="A14" s="106"/>
      <c r="B14" s="106"/>
      <c r="D14" s="82"/>
      <c r="E14" s="82"/>
      <c r="G14" s="82"/>
      <c r="H14" s="82"/>
      <c r="J14" s="82"/>
      <c r="K14" s="82"/>
      <c r="M14" s="82"/>
      <c r="N14" s="82"/>
      <c r="P14" s="82"/>
      <c r="Q14" s="82"/>
    </row>
    <row r="15" spans="1:19" ht="15">
      <c r="A15" s="106" t="s">
        <v>625</v>
      </c>
      <c r="B15" s="106"/>
      <c r="D15" s="82">
        <v>225836121793.75</v>
      </c>
      <c r="E15" s="82">
        <f>D15/D$11*100</f>
        <v>75.769908502399531</v>
      </c>
      <c r="G15" s="82">
        <v>237935278999</v>
      </c>
      <c r="H15" s="82">
        <f>G15/G$11*100</f>
        <v>71.434925930736654</v>
      </c>
      <c r="J15" s="82">
        <v>263336668921.14001</v>
      </c>
      <c r="K15" s="82">
        <f>J15/J$11*100</f>
        <v>70.115518432211459</v>
      </c>
      <c r="M15" s="82">
        <v>272225781916.64001</v>
      </c>
      <c r="N15" s="82">
        <f>M15/M$11*100</f>
        <v>67.275370347068446</v>
      </c>
      <c r="P15" s="785">
        <v>269546833779</v>
      </c>
      <c r="Q15" s="82">
        <f>P15/P$11*100</f>
        <v>68.428202345725282</v>
      </c>
      <c r="S15" s="111"/>
    </row>
    <row r="16" spans="1:19" ht="15">
      <c r="A16" s="106" t="s">
        <v>626</v>
      </c>
      <c r="B16" s="106"/>
      <c r="D16" s="82">
        <f>D13-D15</f>
        <v>32758824625.459991</v>
      </c>
      <c r="E16" s="82">
        <f>D16/D$11*100</f>
        <v>10.990859765047334</v>
      </c>
      <c r="G16" s="82">
        <f>G13-G15</f>
        <v>50250296910.190002</v>
      </c>
      <c r="H16" s="82">
        <f>G16/G$11*100</f>
        <v>15.086565779058066</v>
      </c>
      <c r="J16" s="82">
        <f>J13-J15</f>
        <v>58410770716.589966</v>
      </c>
      <c r="K16" s="82">
        <f>J16/J$11*100</f>
        <v>15.552340232742894</v>
      </c>
      <c r="M16" s="82">
        <f>M13-M15</f>
        <v>73032183721.730042</v>
      </c>
      <c r="N16" s="82">
        <f>M16/M$11*100</f>
        <v>18.048500669341657</v>
      </c>
      <c r="P16" s="82">
        <f>P13-P15</f>
        <v>70988042137.409973</v>
      </c>
      <c r="Q16" s="82">
        <f>P16/P$11*100</f>
        <v>18.021299094495284</v>
      </c>
    </row>
    <row r="17" spans="1:18">
      <c r="A17" s="106"/>
      <c r="B17" s="106"/>
      <c r="D17" s="82"/>
      <c r="E17" s="82"/>
      <c r="G17" s="82"/>
      <c r="H17" s="82"/>
      <c r="J17" s="82"/>
      <c r="K17" s="82"/>
      <c r="M17" s="82"/>
      <c r="N17" s="82"/>
      <c r="P17" s="82"/>
      <c r="Q17" s="82"/>
    </row>
    <row r="18" spans="1:18">
      <c r="A18" s="106" t="s">
        <v>627</v>
      </c>
      <c r="B18" s="106"/>
      <c r="C18" s="111"/>
      <c r="D18" s="112">
        <v>5357169188.6300001</v>
      </c>
      <c r="E18" s="82">
        <f>D18/D$11*100</f>
        <v>1.7973750878749046</v>
      </c>
      <c r="G18" s="112">
        <v>5859559126.3599997</v>
      </c>
      <c r="H18" s="82">
        <f>G18/G$11*100</f>
        <v>1.7592060073615974</v>
      </c>
      <c r="J18" s="112">
        <v>6965706801.8299999</v>
      </c>
      <c r="K18" s="82">
        <f>J18/J$11*100</f>
        <v>1.8546757869233617</v>
      </c>
      <c r="M18" s="112">
        <v>7603406596.1800003</v>
      </c>
      <c r="N18" s="82">
        <f>M18/M$11*100</f>
        <v>1.8790358174597479</v>
      </c>
      <c r="P18" s="112">
        <v>6326343054.5100002</v>
      </c>
      <c r="Q18" s="82">
        <f>P18/P$11*100</f>
        <v>1.6060299302102607</v>
      </c>
    </row>
    <row r="19" spans="1:18">
      <c r="A19" s="106"/>
      <c r="B19" s="106"/>
      <c r="C19" s="111"/>
      <c r="D19" s="82"/>
      <c r="E19" s="82"/>
      <c r="G19" s="82"/>
      <c r="H19" s="82"/>
      <c r="J19" s="82"/>
      <c r="K19" s="82"/>
      <c r="M19" s="82"/>
      <c r="N19" s="82"/>
      <c r="P19" s="82"/>
      <c r="Q19" s="82"/>
    </row>
    <row r="20" spans="1:18" ht="15">
      <c r="A20" s="83" t="s">
        <v>628</v>
      </c>
      <c r="B20" s="106"/>
      <c r="C20" s="111"/>
      <c r="D20" s="82">
        <f>14099827405.26+7030598696.84+7999021864.29+1438721597.47</f>
        <v>30568169563.860001</v>
      </c>
      <c r="E20" s="82">
        <f>D20/D$11*100</f>
        <v>10.255876661992898</v>
      </c>
      <c r="G20" s="82">
        <f>15648187325.92+7911056829.68+8449925859.74+3404384803.52</f>
        <v>35413554818.859993</v>
      </c>
      <c r="H20" s="82">
        <f>G20/G$11*100</f>
        <v>10.632154576118902</v>
      </c>
      <c r="J20" s="82">
        <f>15276160610.95+9841439214.44+9574372545.12+8775224368.38</f>
        <v>43467196738.889999</v>
      </c>
      <c r="K20" s="82">
        <f>J20/J$11*100</f>
        <v>11.57349277116773</v>
      </c>
      <c r="M20" s="82">
        <f>15162930306.83+10639240225.13+11270346883.82+11180792929.88</f>
        <v>48253310345.659996</v>
      </c>
      <c r="N20" s="82">
        <f>M20/M$11*100</f>
        <v>11.92487831652317</v>
      </c>
      <c r="P20" s="82">
        <f>18706012109.51+11167392937.59+6518405010.76+7182157566.73</f>
        <v>43573967624.589996</v>
      </c>
      <c r="Q20" s="82">
        <f>P20/P$11*100</f>
        <v>11.061856048608597</v>
      </c>
    </row>
    <row r="21" spans="1:18">
      <c r="A21" s="106"/>
      <c r="B21" s="106"/>
      <c r="C21" s="111"/>
      <c r="D21" s="82"/>
      <c r="E21" s="82"/>
      <c r="G21" s="82"/>
      <c r="H21" s="82"/>
      <c r="J21" s="82"/>
      <c r="K21" s="82"/>
      <c r="M21" s="82"/>
      <c r="N21" s="82"/>
      <c r="P21" s="82"/>
      <c r="Q21" s="82"/>
    </row>
    <row r="22" spans="1:18">
      <c r="A22" s="106" t="s">
        <v>629</v>
      </c>
      <c r="B22" s="106"/>
      <c r="C22" s="111"/>
      <c r="D22" s="82">
        <f>884444823.84+2650429707.6</f>
        <v>3534874531.4400001</v>
      </c>
      <c r="E22" s="82">
        <f>D22/D$11*100</f>
        <v>1.185979982685319</v>
      </c>
      <c r="G22" s="82">
        <f>925670343.3+2695398616.21</f>
        <v>3621068959.5100002</v>
      </c>
      <c r="H22" s="82">
        <f>G22/G$11*100</f>
        <v>1.0871477067247923</v>
      </c>
      <c r="J22" s="82">
        <f>891165600.75+2503934160.35</f>
        <v>3395099761.0999999</v>
      </c>
      <c r="K22" s="82">
        <f>J22/J$11*100</f>
        <v>0.90397277695454958</v>
      </c>
      <c r="M22" s="82">
        <f>988672080.22+2540693394.97</f>
        <v>3529365475.1899996</v>
      </c>
      <c r="N22" s="82">
        <f>M22/M$11*100</f>
        <v>0.87221484960697915</v>
      </c>
      <c r="P22" s="82">
        <f>859198663.98+2617517346.32</f>
        <v>3476716010.3000002</v>
      </c>
      <c r="Q22" s="82">
        <f>P22/P$11*100</f>
        <v>0.88261258096056328</v>
      </c>
    </row>
    <row r="23" spans="1:18" ht="14" thickBot="1">
      <c r="C23" s="123"/>
      <c r="D23" s="123"/>
      <c r="E23" s="128"/>
      <c r="F23" s="128"/>
      <c r="G23" s="123"/>
      <c r="H23" s="128"/>
      <c r="I23" s="128"/>
      <c r="J23" s="123"/>
      <c r="K23" s="128"/>
      <c r="L23" s="128"/>
      <c r="M23" s="123"/>
      <c r="N23" s="128"/>
      <c r="O23" s="128"/>
      <c r="P23" s="123"/>
      <c r="Q23" s="128"/>
      <c r="R23" s="128"/>
    </row>
    <row r="24" spans="1:18">
      <c r="A24" s="97"/>
      <c r="B24" s="97"/>
      <c r="D24" s="82"/>
      <c r="G24" s="82"/>
      <c r="J24" s="82"/>
      <c r="M24" s="82"/>
      <c r="P24" s="82"/>
    </row>
    <row r="25" spans="1:18" s="33" customFormat="1" ht="15">
      <c r="A25" s="59" t="s">
        <v>1884</v>
      </c>
      <c r="B25" s="57"/>
    </row>
    <row r="26" spans="1:18" s="33" customFormat="1" ht="15">
      <c r="A26" s="59" t="s">
        <v>630</v>
      </c>
      <c r="B26" s="57"/>
      <c r="C26" s="111"/>
      <c r="J26" s="80"/>
      <c r="P26" s="84"/>
    </row>
    <row r="27" spans="1:18" s="33" customFormat="1" ht="15">
      <c r="A27" s="59" t="s">
        <v>631</v>
      </c>
      <c r="B27" s="57"/>
      <c r="C27" s="111"/>
      <c r="M27" s="132"/>
    </row>
    <row r="28" spans="1:18" s="33" customFormat="1">
      <c r="A28" s="57"/>
      <c r="B28" s="57"/>
      <c r="C28" s="111"/>
    </row>
    <row r="29" spans="1:18" s="33" customFormat="1">
      <c r="A29" s="33" t="s">
        <v>2219</v>
      </c>
      <c r="C29" s="111"/>
      <c r="M29" s="82"/>
    </row>
    <row r="30" spans="1:18" s="33" customFormat="1">
      <c r="A30" s="33" t="s">
        <v>452</v>
      </c>
      <c r="C30" s="111"/>
      <c r="M30" s="85"/>
      <c r="P30" s="84"/>
    </row>
    <row r="31" spans="1:18">
      <c r="G31" s="112"/>
    </row>
    <row r="32" spans="1:18">
      <c r="G32" s="112"/>
      <c r="P32" s="104"/>
    </row>
    <row r="33" spans="1:16">
      <c r="G33" s="112"/>
      <c r="J33" s="112"/>
    </row>
    <row r="34" spans="1:16">
      <c r="G34" s="112"/>
      <c r="P34" s="84"/>
    </row>
    <row r="35" spans="1:16">
      <c r="C35" s="111"/>
      <c r="G35" s="112"/>
    </row>
    <row r="36" spans="1:16">
      <c r="A36" s="107"/>
      <c r="C36" s="112"/>
      <c r="D36" s="104"/>
      <c r="G36" s="112"/>
      <c r="P36" s="84"/>
    </row>
    <row r="37" spans="1:16">
      <c r="A37" s="107"/>
      <c r="C37" s="111"/>
      <c r="D37" s="104"/>
      <c r="G37" s="112"/>
      <c r="P37" s="84"/>
    </row>
    <row r="38" spans="1:16">
      <c r="A38" s="107"/>
      <c r="C38" s="111"/>
      <c r="D38" s="104"/>
      <c r="G38" s="112"/>
      <c r="P38" s="104"/>
    </row>
    <row r="39" spans="1:16">
      <c r="A39" s="107"/>
      <c r="C39" s="111"/>
      <c r="D39" s="104"/>
      <c r="G39" s="112"/>
    </row>
    <row r="40" spans="1:16">
      <c r="A40" s="107"/>
      <c r="C40" s="111"/>
      <c r="D40" s="104"/>
      <c r="G40" s="104"/>
    </row>
    <row r="41" spans="1:16">
      <c r="A41" s="107"/>
      <c r="C41" s="111"/>
      <c r="D41" s="104"/>
    </row>
    <row r="42" spans="1:16">
      <c r="A42" s="107"/>
      <c r="C42" s="111"/>
      <c r="D42" s="104"/>
    </row>
    <row r="43" spans="1:16">
      <c r="A43" s="107"/>
      <c r="D43" s="104"/>
    </row>
    <row r="44" spans="1:16">
      <c r="A44" s="107"/>
      <c r="D44" s="104"/>
    </row>
    <row r="45" spans="1:16">
      <c r="A45" s="107"/>
      <c r="D45" s="104"/>
    </row>
  </sheetData>
  <mergeCells count="5">
    <mergeCell ref="D7:E7"/>
    <mergeCell ref="G7:H7"/>
    <mergeCell ref="J7:K7"/>
    <mergeCell ref="M7:N7"/>
    <mergeCell ref="P7:Q7"/>
  </mergeCell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1326"/>
  <sheetViews>
    <sheetView workbookViewId="0">
      <selection activeCell="B4" sqref="B4"/>
    </sheetView>
  </sheetViews>
  <sheetFormatPr baseColWidth="10" defaultColWidth="8.6640625" defaultRowHeight="13"/>
  <cols>
    <col min="1" max="1" width="16.5" style="95" customWidth="1"/>
    <col min="2" max="2" width="2.33203125" style="95" customWidth="1"/>
    <col min="3" max="3" width="17.33203125" style="95" customWidth="1"/>
    <col min="4" max="4" width="2.6640625" style="95" customWidth="1"/>
    <col min="5" max="5" width="17.5" style="110" customWidth="1"/>
    <col min="6" max="6" width="7.1640625" style="111" customWidth="1"/>
    <col min="7" max="7" width="2.6640625" style="111" customWidth="1"/>
    <col min="8" max="8" width="16" style="110" customWidth="1"/>
    <col min="9" max="9" width="7" style="110" customWidth="1"/>
    <col min="10" max="10" width="2.6640625" style="110" customWidth="1"/>
    <col min="11" max="11" width="16.33203125" style="110" customWidth="1"/>
    <col min="12" max="12" width="6.6640625" style="110" customWidth="1"/>
    <col min="13" max="13" width="2.6640625" style="110" customWidth="1"/>
    <col min="14" max="14" width="15.5" style="110" customWidth="1"/>
    <col min="15" max="15" width="6.83203125" style="110" customWidth="1"/>
    <col min="16" max="16" width="2.6640625" style="111" customWidth="1"/>
    <col min="17" max="17" width="15.1640625" style="111" customWidth="1"/>
    <col min="18" max="18" width="8.5" style="112" customWidth="1"/>
    <col min="19" max="19" width="3" style="112" customWidth="1"/>
    <col min="20" max="20" width="15.5" style="111" customWidth="1"/>
    <col min="21" max="21" width="6.5" style="111" customWidth="1"/>
    <col min="22" max="22" width="2.5" style="111" customWidth="1"/>
    <col min="23" max="23" width="15.6640625" style="111" customWidth="1"/>
    <col min="24" max="24" width="7.5" style="111" customWidth="1"/>
    <col min="25" max="25" width="3.1640625" style="111" customWidth="1"/>
    <col min="26" max="26" width="17.5" style="95" hidden="1" customWidth="1"/>
    <col min="27" max="27" width="0" style="95" hidden="1" customWidth="1"/>
    <col min="28" max="28" width="2.83203125" style="95" hidden="1" customWidth="1"/>
    <col min="29" max="29" width="0" style="95" hidden="1" customWidth="1"/>
    <col min="30" max="30" width="17.5" style="95" customWidth="1"/>
    <col min="31" max="256" width="11.5" style="95" customWidth="1"/>
    <col min="257" max="16384" width="8.6640625" style="95"/>
  </cols>
  <sheetData>
    <row r="1" spans="1:30">
      <c r="A1" s="95" t="s">
        <v>589</v>
      </c>
    </row>
    <row r="2" spans="1:30">
      <c r="A2" s="95" t="s">
        <v>590</v>
      </c>
    </row>
    <row r="4" spans="1:30">
      <c r="A4" s="14" t="s">
        <v>1885</v>
      </c>
      <c r="B4" s="111"/>
      <c r="C4" s="111"/>
    </row>
    <row r="5" spans="1:30" ht="11.25" customHeight="1" thickBot="1">
      <c r="Q5" s="110"/>
      <c r="R5" s="110"/>
      <c r="S5" s="111"/>
      <c r="T5" s="110"/>
      <c r="U5" s="110"/>
      <c r="W5" s="110"/>
      <c r="X5" s="110"/>
      <c r="Z5" s="111"/>
      <c r="AA5" s="111"/>
      <c r="AB5" s="111"/>
    </row>
    <row r="6" spans="1:30" ht="15" customHeight="1">
      <c r="A6" s="97"/>
      <c r="B6" s="97"/>
      <c r="C6" s="97"/>
      <c r="D6" s="97"/>
      <c r="E6" s="113"/>
      <c r="F6" s="114"/>
      <c r="G6" s="114"/>
      <c r="H6" s="113"/>
      <c r="I6" s="113"/>
      <c r="J6" s="113"/>
      <c r="K6" s="113"/>
      <c r="L6" s="113"/>
      <c r="M6" s="113"/>
      <c r="N6" s="113"/>
      <c r="O6" s="113"/>
      <c r="P6" s="115"/>
      <c r="Q6" s="113"/>
      <c r="R6" s="113"/>
      <c r="S6" s="115"/>
      <c r="T6" s="113"/>
      <c r="U6" s="113"/>
      <c r="V6" s="115"/>
      <c r="W6" s="113"/>
      <c r="X6" s="113"/>
      <c r="Y6" s="115"/>
      <c r="Z6" s="115"/>
      <c r="AA6" s="115"/>
      <c r="AB6" s="115"/>
    </row>
    <row r="7" spans="1:30" ht="15" customHeight="1">
      <c r="A7" s="116"/>
      <c r="B7" s="116"/>
      <c r="D7" s="116"/>
      <c r="E7" s="1030" t="s">
        <v>632</v>
      </c>
      <c r="F7" s="1030"/>
      <c r="G7" s="1030"/>
      <c r="H7" s="1030"/>
      <c r="I7" s="1030"/>
      <c r="J7" s="1030"/>
      <c r="K7" s="1030"/>
      <c r="L7" s="1030"/>
      <c r="M7" s="1030"/>
      <c r="N7" s="1030"/>
      <c r="O7" s="1030"/>
      <c r="P7" s="1030"/>
      <c r="Q7" s="1030"/>
      <c r="R7" s="1030"/>
      <c r="S7" s="1030"/>
      <c r="T7" s="1030"/>
      <c r="U7" s="1030"/>
      <c r="V7" s="1030"/>
      <c r="W7" s="1030"/>
      <c r="X7" s="1030"/>
      <c r="Y7" s="765"/>
    </row>
    <row r="8" spans="1:30" ht="15" customHeight="1">
      <c r="A8" s="116" t="s">
        <v>633</v>
      </c>
      <c r="B8" s="116"/>
      <c r="C8" s="117" t="s">
        <v>148</v>
      </c>
      <c r="D8" s="116"/>
      <c r="E8" s="1031" t="s">
        <v>624</v>
      </c>
      <c r="F8" s="1031"/>
      <c r="G8" s="118"/>
      <c r="H8" s="1031" t="s">
        <v>627</v>
      </c>
      <c r="I8" s="1031"/>
      <c r="J8" s="118"/>
      <c r="K8" s="1029" t="s">
        <v>634</v>
      </c>
      <c r="L8" s="1029"/>
      <c r="M8" s="118"/>
      <c r="N8" s="1029" t="s">
        <v>635</v>
      </c>
      <c r="O8" s="1029"/>
      <c r="P8" s="119"/>
      <c r="Q8" s="1029" t="s">
        <v>636</v>
      </c>
      <c r="R8" s="1029"/>
      <c r="S8" s="119"/>
      <c r="T8" s="1029" t="s">
        <v>637</v>
      </c>
      <c r="U8" s="1029"/>
      <c r="V8" s="119"/>
      <c r="W8" s="1029" t="s">
        <v>638</v>
      </c>
      <c r="X8" s="1029"/>
      <c r="Y8" s="119"/>
      <c r="Z8" s="1029" t="s">
        <v>639</v>
      </c>
      <c r="AA8" s="1029"/>
      <c r="AB8" s="119"/>
    </row>
    <row r="9" spans="1:30" ht="15" customHeight="1">
      <c r="B9" s="116"/>
      <c r="C9" s="116"/>
      <c r="D9" s="116"/>
      <c r="E9" s="120" t="s">
        <v>437</v>
      </c>
      <c r="F9" s="120" t="s">
        <v>153</v>
      </c>
      <c r="G9" s="121"/>
      <c r="H9" s="120" t="s">
        <v>437</v>
      </c>
      <c r="I9" s="120" t="s">
        <v>153</v>
      </c>
      <c r="J9" s="122"/>
      <c r="K9" s="120" t="s">
        <v>437</v>
      </c>
      <c r="L9" s="120" t="s">
        <v>153</v>
      </c>
      <c r="M9" s="122"/>
      <c r="N9" s="120" t="s">
        <v>437</v>
      </c>
      <c r="O9" s="120" t="s">
        <v>153</v>
      </c>
      <c r="P9" s="119"/>
      <c r="Q9" s="120" t="s">
        <v>437</v>
      </c>
      <c r="R9" s="120" t="s">
        <v>153</v>
      </c>
      <c r="S9" s="119"/>
      <c r="T9" s="120" t="s">
        <v>437</v>
      </c>
      <c r="U9" s="120" t="s">
        <v>153</v>
      </c>
      <c r="V9" s="119"/>
      <c r="W9" s="120" t="s">
        <v>437</v>
      </c>
      <c r="X9" s="120" t="s">
        <v>153</v>
      </c>
      <c r="Y9" s="119"/>
      <c r="Z9" s="120" t="s">
        <v>437</v>
      </c>
      <c r="AA9" s="120" t="s">
        <v>153</v>
      </c>
      <c r="AB9" s="119"/>
    </row>
    <row r="10" spans="1:30" ht="15" customHeight="1" thickBot="1">
      <c r="A10" s="102"/>
      <c r="B10" s="102"/>
      <c r="C10" s="102"/>
      <c r="D10" s="102"/>
      <c r="E10" s="123"/>
      <c r="F10" s="124"/>
      <c r="G10" s="124"/>
      <c r="H10" s="123"/>
      <c r="I10" s="123"/>
      <c r="J10" s="123"/>
      <c r="K10" s="123"/>
      <c r="L10" s="123"/>
      <c r="M10" s="123"/>
      <c r="N10" s="123"/>
      <c r="O10" s="123"/>
      <c r="P10" s="125"/>
      <c r="Q10" s="123"/>
      <c r="R10" s="123"/>
      <c r="S10" s="125"/>
      <c r="T10" s="123"/>
      <c r="U10" s="123"/>
      <c r="V10" s="125"/>
      <c r="W10" s="123"/>
      <c r="X10" s="123"/>
      <c r="Y10" s="125"/>
      <c r="Z10" s="123"/>
      <c r="AA10" s="123"/>
      <c r="AB10" s="125"/>
    </row>
    <row r="11" spans="1:30" ht="15" customHeight="1">
      <c r="A11" s="116"/>
      <c r="B11" s="116"/>
      <c r="C11" s="116"/>
      <c r="D11" s="116"/>
      <c r="E11" s="122"/>
      <c r="F11" s="121"/>
      <c r="G11" s="121"/>
      <c r="H11" s="122"/>
      <c r="I11" s="122"/>
      <c r="J11" s="122"/>
      <c r="K11" s="122"/>
      <c r="L11" s="122"/>
      <c r="Q11" s="110"/>
      <c r="R11" s="110"/>
      <c r="S11" s="111"/>
      <c r="T11" s="110"/>
      <c r="U11" s="110"/>
      <c r="W11" s="110"/>
      <c r="X11" s="110"/>
      <c r="Z11" s="110"/>
      <c r="AA11" s="110"/>
      <c r="AB11" s="111"/>
    </row>
    <row r="12" spans="1:30" ht="15" customHeight="1">
      <c r="A12" s="68" t="s">
        <v>623</v>
      </c>
      <c r="B12" s="116"/>
      <c r="C12" s="126">
        <f>IF(A12&lt;&gt;0,E12+H12+K12+N12+Q12+T12+W12+Z12,"")</f>
        <v>321058482945.46002</v>
      </c>
      <c r="D12" s="121"/>
      <c r="E12" s="122">
        <f>SUM(E14:E28)</f>
        <v>301962140829.41003</v>
      </c>
      <c r="F12" s="122">
        <f>SUM(F14:F28)</f>
        <v>99.999999999999986</v>
      </c>
      <c r="G12" s="121"/>
      <c r="H12" s="122">
        <f>SUM(H14:H28)</f>
        <v>2937924955.04</v>
      </c>
      <c r="I12" s="122">
        <f>SUM(I14:I28)</f>
        <v>100</v>
      </c>
      <c r="J12" s="122"/>
      <c r="K12" s="122">
        <f>SUM(K14:K28)</f>
        <v>6538501880.79</v>
      </c>
      <c r="L12" s="122">
        <f>SUM(L14:L28)</f>
        <v>100</v>
      </c>
      <c r="N12" s="122">
        <f>SUM(N14:N28)</f>
        <v>435559944.24000001</v>
      </c>
      <c r="O12" s="122">
        <f>SUM(O14:O28)</f>
        <v>100</v>
      </c>
      <c r="Q12" s="122">
        <f>SUM(Q14:Q28)</f>
        <v>2401677094.3800001</v>
      </c>
      <c r="R12" s="122">
        <f>SUM(R14:R28)</f>
        <v>100</v>
      </c>
      <c r="T12" s="122">
        <f>SUM(T14:T28)</f>
        <v>2246480806.8200002</v>
      </c>
      <c r="U12" s="122">
        <f>SUM(U14:U28)</f>
        <v>99.999999999999986</v>
      </c>
      <c r="V12" s="112"/>
      <c r="W12" s="122">
        <f>SUM(W14:W28)</f>
        <v>4536197434.7799997</v>
      </c>
      <c r="X12" s="122">
        <f>SUM(X14:X28)</f>
        <v>99.999999999999986</v>
      </c>
      <c r="Z12" s="122">
        <f>SUM(Z14:Z28)</f>
        <v>0</v>
      </c>
      <c r="AA12" s="122" t="e">
        <f>SUM(AA14:AA28)</f>
        <v>#DIV/0!</v>
      </c>
      <c r="AB12" s="111"/>
      <c r="AD12" s="33" t="s">
        <v>1886</v>
      </c>
    </row>
    <row r="13" spans="1:30" ht="15" customHeight="1">
      <c r="A13" s="116"/>
      <c r="B13" s="116"/>
      <c r="C13" s="126" t="str">
        <f t="shared" ref="C13:C28" si="0">IF(A13&lt;&gt;0,E13+H13+K13+N13+Q13+T13+W13+Z13,"")</f>
        <v/>
      </c>
      <c r="D13" s="121"/>
      <c r="E13" s="122"/>
      <c r="F13" s="110"/>
      <c r="G13" s="121"/>
      <c r="H13" s="33"/>
      <c r="I13" s="122"/>
      <c r="J13" s="122"/>
      <c r="K13" s="33"/>
      <c r="L13" s="122"/>
      <c r="N13" s="33"/>
      <c r="Q13" s="33"/>
      <c r="T13" s="33"/>
      <c r="U13" s="112"/>
      <c r="V13" s="112"/>
      <c r="W13" s="112"/>
      <c r="X13" s="112"/>
      <c r="Z13" s="112"/>
      <c r="AA13" s="112"/>
      <c r="AB13" s="111"/>
    </row>
    <row r="14" spans="1:30" ht="14" customHeight="1">
      <c r="A14" s="106" t="s">
        <v>80</v>
      </c>
      <c r="B14" s="106"/>
      <c r="C14" s="126">
        <f t="shared" si="0"/>
        <v>105991608856.67999</v>
      </c>
      <c r="D14" s="127"/>
      <c r="E14" s="87">
        <v>100768682907.50999</v>
      </c>
      <c r="F14" s="110">
        <f>IF($A12&lt;&gt;"",E14/E$12*100,"")</f>
        <v>33.371297021118309</v>
      </c>
      <c r="G14" s="127"/>
      <c r="H14" s="112">
        <v>277629770.25999999</v>
      </c>
      <c r="I14" s="110">
        <f t="shared" ref="I14:I28" si="1">IF($A12&lt;&gt;"",H14/H$12*100,"")</f>
        <v>9.4498591525875124</v>
      </c>
      <c r="K14" s="112">
        <v>26745681.850000001</v>
      </c>
      <c r="L14" s="110">
        <f t="shared" ref="L14:L28" si="2">IF($A12&lt;&gt;"",K14/K$12*100,"")</f>
        <v>0.40904908093057724</v>
      </c>
      <c r="N14" s="112">
        <v>161833672.44999999</v>
      </c>
      <c r="O14" s="110">
        <f t="shared" ref="O14:O26" si="3">IF($A12&lt;&gt;"",N14/N$12*100,"")</f>
        <v>37.155315724080275</v>
      </c>
      <c r="Q14" s="112">
        <v>2401677094.3800001</v>
      </c>
      <c r="R14" s="110">
        <f t="shared" ref="R14:R28" si="4">IF($A12&lt;&gt;"",Q14/Q$12*100,"")</f>
        <v>100</v>
      </c>
      <c r="T14" s="112">
        <v>218751898.43000001</v>
      </c>
      <c r="U14" s="110">
        <f>IF($A12&lt;&gt;"",T14/T$12*100,"")</f>
        <v>9.7375369407074377</v>
      </c>
      <c r="V14" s="112"/>
      <c r="W14" s="112">
        <v>2136287831.8</v>
      </c>
      <c r="X14" s="110">
        <f t="shared" ref="X14:X28" si="5">IF($A12&lt;&gt;"",W14/W$12*100,"")</f>
        <v>47.094242755410562</v>
      </c>
      <c r="Z14" s="786"/>
      <c r="AA14" s="110" t="e">
        <f t="shared" ref="AA14:AA28" si="6">IF($A12&lt;&gt;"",Z14/Z$12*100,"")</f>
        <v>#DIV/0!</v>
      </c>
      <c r="AB14" s="111"/>
      <c r="AD14" s="33" t="s">
        <v>1887</v>
      </c>
    </row>
    <row r="15" spans="1:30" ht="14" customHeight="1">
      <c r="A15" s="106"/>
      <c r="B15" s="106"/>
      <c r="C15" s="126" t="str">
        <f t="shared" si="0"/>
        <v/>
      </c>
      <c r="D15" s="127"/>
      <c r="E15" s="33"/>
      <c r="F15" s="110" t="str">
        <f t="shared" ref="F15:F28" si="7">IF($A13&lt;&gt;"",E15/E$12*100,"")</f>
        <v/>
      </c>
      <c r="G15" s="127"/>
      <c r="H15" s="33"/>
      <c r="I15" s="110" t="str">
        <f t="shared" si="1"/>
        <v/>
      </c>
      <c r="K15" s="111"/>
      <c r="L15" s="110" t="str">
        <f t="shared" si="2"/>
        <v/>
      </c>
      <c r="N15" s="111"/>
      <c r="O15" s="110" t="str">
        <f t="shared" si="3"/>
        <v/>
      </c>
      <c r="Q15" s="112"/>
      <c r="R15" s="110" t="str">
        <f t="shared" si="4"/>
        <v/>
      </c>
      <c r="U15" s="110" t="str">
        <f t="shared" ref="U15:U28" si="8">IF($A13&lt;&gt;"",T15/T$12*100,"")</f>
        <v/>
      </c>
      <c r="V15" s="112"/>
      <c r="W15" s="33"/>
      <c r="X15" s="110" t="str">
        <f t="shared" si="5"/>
        <v/>
      </c>
      <c r="Z15" s="787"/>
      <c r="AA15" s="110" t="str">
        <f t="shared" si="6"/>
        <v/>
      </c>
      <c r="AB15" s="111"/>
    </row>
    <row r="16" spans="1:30" ht="14" customHeight="1">
      <c r="A16" s="106" t="s">
        <v>84</v>
      </c>
      <c r="B16" s="106"/>
      <c r="C16" s="126">
        <f t="shared" si="0"/>
        <v>45233940277.650002</v>
      </c>
      <c r="D16" s="127"/>
      <c r="E16" s="87">
        <v>37192417382.68</v>
      </c>
      <c r="F16" s="110">
        <f t="shared" si="7"/>
        <v>12.316914060988665</v>
      </c>
      <c r="G16" s="127"/>
      <c r="H16" s="112">
        <v>1276429547.8299999</v>
      </c>
      <c r="I16" s="110">
        <f t="shared" si="1"/>
        <v>43.446635545958706</v>
      </c>
      <c r="J16" s="122"/>
      <c r="K16" s="112">
        <v>5512481563.9099998</v>
      </c>
      <c r="L16" s="110">
        <f t="shared" si="2"/>
        <v>84.308021384922611</v>
      </c>
      <c r="N16" s="112"/>
      <c r="O16" s="110">
        <f t="shared" si="3"/>
        <v>0</v>
      </c>
      <c r="Q16" s="112"/>
      <c r="R16" s="110">
        <f t="shared" si="4"/>
        <v>0</v>
      </c>
      <c r="T16" s="112">
        <v>999462211.72000003</v>
      </c>
      <c r="U16" s="110">
        <f t="shared" si="8"/>
        <v>44.490129124886053</v>
      </c>
      <c r="V16" s="112"/>
      <c r="W16" s="112">
        <v>253149571.50999999</v>
      </c>
      <c r="X16" s="110">
        <f t="shared" si="5"/>
        <v>5.5806559381443117</v>
      </c>
      <c r="Z16" s="786"/>
      <c r="AA16" s="110" t="e">
        <f t="shared" si="6"/>
        <v>#DIV/0!</v>
      </c>
      <c r="AB16" s="111"/>
      <c r="AD16" s="33" t="s">
        <v>1888</v>
      </c>
    </row>
    <row r="17" spans="1:30" ht="14" customHeight="1">
      <c r="A17" s="106"/>
      <c r="B17" s="106"/>
      <c r="C17" s="126" t="str">
        <f t="shared" si="0"/>
        <v/>
      </c>
      <c r="D17" s="127"/>
      <c r="E17" s="33"/>
      <c r="F17" s="110" t="str">
        <f t="shared" si="7"/>
        <v/>
      </c>
      <c r="G17" s="127"/>
      <c r="H17" s="33"/>
      <c r="I17" s="110" t="str">
        <f t="shared" si="1"/>
        <v/>
      </c>
      <c r="J17" s="122"/>
      <c r="K17" s="111"/>
      <c r="L17" s="110" t="str">
        <f t="shared" si="2"/>
        <v/>
      </c>
      <c r="N17" s="111"/>
      <c r="O17" s="110" t="str">
        <f t="shared" si="3"/>
        <v/>
      </c>
      <c r="Q17" s="112"/>
      <c r="R17" s="110" t="str">
        <f t="shared" si="4"/>
        <v/>
      </c>
      <c r="U17" s="110" t="str">
        <f t="shared" si="8"/>
        <v/>
      </c>
      <c r="V17" s="112"/>
      <c r="W17" s="33"/>
      <c r="X17" s="110" t="str">
        <f t="shared" si="5"/>
        <v/>
      </c>
      <c r="Z17" s="787"/>
      <c r="AA17" s="110" t="str">
        <f t="shared" si="6"/>
        <v/>
      </c>
      <c r="AB17" s="111"/>
    </row>
    <row r="18" spans="1:30" ht="14" customHeight="1">
      <c r="A18" s="106" t="s">
        <v>20</v>
      </c>
      <c r="B18" s="106"/>
      <c r="C18" s="126">
        <f t="shared" si="0"/>
        <v>8644109610.0600014</v>
      </c>
      <c r="D18" s="127"/>
      <c r="E18" s="87">
        <v>6487199085.5799999</v>
      </c>
      <c r="F18" s="110">
        <f t="shared" si="7"/>
        <v>2.148348487582378</v>
      </c>
      <c r="G18" s="127"/>
      <c r="H18" s="112">
        <v>917644853.34000003</v>
      </c>
      <c r="I18" s="110">
        <f t="shared" si="1"/>
        <v>31.234455181225222</v>
      </c>
      <c r="J18" s="122"/>
      <c r="K18" s="112">
        <v>514931180.06</v>
      </c>
      <c r="L18" s="110">
        <f t="shared" si="2"/>
        <v>7.8753694569219057</v>
      </c>
      <c r="N18" s="112">
        <v>273726271.79000002</v>
      </c>
      <c r="O18" s="110">
        <f t="shared" si="3"/>
        <v>62.844684275919725</v>
      </c>
      <c r="Q18" s="112"/>
      <c r="R18" s="110">
        <f t="shared" si="4"/>
        <v>0</v>
      </c>
      <c r="T18" s="112">
        <v>398675324.51999998</v>
      </c>
      <c r="U18" s="110">
        <f t="shared" si="8"/>
        <v>17.746660612887396</v>
      </c>
      <c r="V18" s="112"/>
      <c r="W18" s="87">
        <v>51932894.770000003</v>
      </c>
      <c r="X18" s="110">
        <f t="shared" si="5"/>
        <v>1.1448552563391388</v>
      </c>
      <c r="Z18" s="787"/>
      <c r="AA18" s="110" t="e">
        <f t="shared" si="6"/>
        <v>#DIV/0!</v>
      </c>
      <c r="AB18" s="111"/>
      <c r="AD18" s="33" t="s">
        <v>1889</v>
      </c>
    </row>
    <row r="19" spans="1:30" ht="14" customHeight="1">
      <c r="A19" s="106"/>
      <c r="B19" s="106"/>
      <c r="C19" s="126" t="str">
        <f t="shared" si="0"/>
        <v/>
      </c>
      <c r="D19" s="127"/>
      <c r="E19" s="33"/>
      <c r="F19" s="110" t="str">
        <f t="shared" si="7"/>
        <v/>
      </c>
      <c r="G19" s="127"/>
      <c r="H19" s="33"/>
      <c r="I19" s="110" t="str">
        <f t="shared" si="1"/>
        <v/>
      </c>
      <c r="K19" s="111"/>
      <c r="L19" s="110" t="str">
        <f t="shared" si="2"/>
        <v/>
      </c>
      <c r="O19" s="110" t="str">
        <f t="shared" si="3"/>
        <v/>
      </c>
      <c r="Q19" s="112"/>
      <c r="R19" s="110" t="str">
        <f t="shared" si="4"/>
        <v/>
      </c>
      <c r="U19" s="110" t="str">
        <f t="shared" si="8"/>
        <v/>
      </c>
      <c r="V19" s="112"/>
      <c r="W19" s="112"/>
      <c r="X19" s="110" t="str">
        <f t="shared" si="5"/>
        <v/>
      </c>
      <c r="Z19" s="787"/>
      <c r="AA19" s="110" t="str">
        <f t="shared" si="6"/>
        <v/>
      </c>
      <c r="AB19" s="111"/>
    </row>
    <row r="20" spans="1:30" ht="14" customHeight="1">
      <c r="A20" s="106" t="s">
        <v>122</v>
      </c>
      <c r="B20" s="106"/>
      <c r="C20" s="126">
        <f t="shared" si="0"/>
        <v>24016468011.799999</v>
      </c>
      <c r="D20" s="127"/>
      <c r="E20" s="110">
        <f>23356916788.42+392900</f>
        <v>23357309688.419998</v>
      </c>
      <c r="F20" s="110">
        <f t="shared" si="7"/>
        <v>7.7351781995794751</v>
      </c>
      <c r="G20" s="127"/>
      <c r="H20" s="112">
        <v>109075404.06999999</v>
      </c>
      <c r="I20" s="110">
        <f t="shared" si="1"/>
        <v>3.7126681497729042</v>
      </c>
      <c r="K20" s="112">
        <v>20667030</v>
      </c>
      <c r="L20" s="110">
        <f t="shared" si="2"/>
        <v>0.31608203800811557</v>
      </c>
      <c r="O20" s="110">
        <f t="shared" si="3"/>
        <v>0</v>
      </c>
      <c r="Q20" s="112"/>
      <c r="R20" s="110">
        <f t="shared" si="4"/>
        <v>0</v>
      </c>
      <c r="T20" s="112"/>
      <c r="U20" s="110">
        <f t="shared" si="8"/>
        <v>0</v>
      </c>
      <c r="V20" s="112"/>
      <c r="W20" s="87">
        <v>529415889.31</v>
      </c>
      <c r="X20" s="110">
        <f t="shared" si="5"/>
        <v>11.670918140618278</v>
      </c>
      <c r="Z20" s="787"/>
      <c r="AA20" s="110" t="e">
        <f t="shared" si="6"/>
        <v>#DIV/0!</v>
      </c>
      <c r="AB20" s="111"/>
      <c r="AD20" s="33" t="s">
        <v>1890</v>
      </c>
    </row>
    <row r="21" spans="1:30" ht="14" customHeight="1">
      <c r="A21" s="106"/>
      <c r="B21" s="106"/>
      <c r="C21" s="126" t="str">
        <f t="shared" si="0"/>
        <v/>
      </c>
      <c r="D21" s="127"/>
      <c r="E21" s="33"/>
      <c r="F21" s="110" t="str">
        <f t="shared" si="7"/>
        <v/>
      </c>
      <c r="G21" s="127"/>
      <c r="H21" s="33"/>
      <c r="I21" s="110" t="str">
        <f t="shared" si="1"/>
        <v/>
      </c>
      <c r="K21" s="111"/>
      <c r="L21" s="110" t="str">
        <f t="shared" si="2"/>
        <v/>
      </c>
      <c r="N21" s="110" t="str">
        <f>IF(A21&lt;&gt;0,H21-K21,"")</f>
        <v/>
      </c>
      <c r="O21" s="110" t="str">
        <f t="shared" si="3"/>
        <v/>
      </c>
      <c r="Q21" s="112"/>
      <c r="R21" s="110" t="str">
        <f t="shared" si="4"/>
        <v/>
      </c>
      <c r="U21" s="110" t="str">
        <f t="shared" si="8"/>
        <v/>
      </c>
      <c r="V21" s="112"/>
      <c r="W21" s="112"/>
      <c r="X21" s="110" t="str">
        <f t="shared" si="5"/>
        <v/>
      </c>
      <c r="Z21" s="787"/>
      <c r="AA21" s="110" t="str">
        <f t="shared" si="6"/>
        <v/>
      </c>
      <c r="AB21" s="111"/>
    </row>
    <row r="22" spans="1:30" ht="14" customHeight="1">
      <c r="A22" s="106" t="s">
        <v>22</v>
      </c>
      <c r="B22" s="106"/>
      <c r="C22" s="126">
        <f t="shared" si="0"/>
        <v>30491182291.140003</v>
      </c>
      <c r="D22" s="127"/>
      <c r="E22" s="87">
        <v>30319841067.130001</v>
      </c>
      <c r="F22" s="110">
        <f t="shared" si="7"/>
        <v>10.040941219932217</v>
      </c>
      <c r="G22" s="127"/>
      <c r="H22" s="25"/>
      <c r="I22" s="110">
        <f t="shared" si="1"/>
        <v>0</v>
      </c>
      <c r="K22" s="112">
        <v>22849775.359999999</v>
      </c>
      <c r="L22" s="110">
        <f t="shared" si="2"/>
        <v>0.34946499636456824</v>
      </c>
      <c r="O22" s="110">
        <f t="shared" si="3"/>
        <v>0</v>
      </c>
      <c r="Q22" s="112"/>
      <c r="R22" s="110">
        <f t="shared" si="4"/>
        <v>0</v>
      </c>
      <c r="T22" s="112"/>
      <c r="U22" s="110">
        <f t="shared" si="8"/>
        <v>0</v>
      </c>
      <c r="V22" s="112"/>
      <c r="W22" s="87">
        <v>148491448.65000001</v>
      </c>
      <c r="X22" s="110">
        <f t="shared" si="5"/>
        <v>3.2734785199489815</v>
      </c>
      <c r="Z22" s="787"/>
      <c r="AA22" s="110" t="e">
        <f t="shared" si="6"/>
        <v>#DIV/0!</v>
      </c>
      <c r="AB22" s="111"/>
      <c r="AD22" s="33" t="s">
        <v>1891</v>
      </c>
    </row>
    <row r="23" spans="1:30" ht="14" customHeight="1">
      <c r="A23" s="106"/>
      <c r="B23" s="106"/>
      <c r="C23" s="126" t="str">
        <f t="shared" si="0"/>
        <v/>
      </c>
      <c r="D23" s="127"/>
      <c r="E23" s="33"/>
      <c r="F23" s="110" t="str">
        <f t="shared" si="7"/>
        <v/>
      </c>
      <c r="G23" s="127"/>
      <c r="H23" s="111"/>
      <c r="I23" s="110" t="str">
        <f t="shared" si="1"/>
        <v/>
      </c>
      <c r="K23" s="111"/>
      <c r="L23" s="110" t="str">
        <f t="shared" si="2"/>
        <v/>
      </c>
      <c r="N23" s="110" t="str">
        <f>IF(A23&lt;&gt;0,H23-K23,"")</f>
        <v/>
      </c>
      <c r="O23" s="110" t="str">
        <f t="shared" si="3"/>
        <v/>
      </c>
      <c r="Q23" s="112"/>
      <c r="R23" s="110" t="str">
        <f t="shared" si="4"/>
        <v/>
      </c>
      <c r="U23" s="110" t="str">
        <f t="shared" si="8"/>
        <v/>
      </c>
      <c r="V23" s="112"/>
      <c r="W23" s="112"/>
      <c r="X23" s="110" t="str">
        <f t="shared" si="5"/>
        <v/>
      </c>
      <c r="Z23" s="787"/>
      <c r="AA23" s="110" t="str">
        <f t="shared" si="6"/>
        <v/>
      </c>
      <c r="AB23" s="111"/>
    </row>
    <row r="24" spans="1:30" ht="14" customHeight="1">
      <c r="A24" s="106" t="s">
        <v>82</v>
      </c>
      <c r="B24" s="106"/>
      <c r="C24" s="126">
        <f t="shared" si="0"/>
        <v>44052440429.169998</v>
      </c>
      <c r="D24" s="127"/>
      <c r="E24" s="110">
        <f>42171613587.75+1780582.18</f>
        <v>42173394169.93</v>
      </c>
      <c r="F24" s="110">
        <f t="shared" si="7"/>
        <v>13.966450911392686</v>
      </c>
      <c r="G24" s="127"/>
      <c r="H24" s="25"/>
      <c r="I24" s="110">
        <f t="shared" si="1"/>
        <v>0</v>
      </c>
      <c r="K24" s="112">
        <v>22997298.949999999</v>
      </c>
      <c r="L24" s="110">
        <f t="shared" si="2"/>
        <v>0.35172122558480323</v>
      </c>
      <c r="O24" s="110">
        <f t="shared" si="3"/>
        <v>0</v>
      </c>
      <c r="Q24" s="112"/>
      <c r="R24" s="110">
        <f t="shared" si="4"/>
        <v>0</v>
      </c>
      <c r="T24" s="112">
        <v>558753960.5</v>
      </c>
      <c r="U24" s="110">
        <f t="shared" si="8"/>
        <v>24.872411943324931</v>
      </c>
      <c r="V24" s="112"/>
      <c r="W24" s="87">
        <v>1297294999.79</v>
      </c>
      <c r="X24" s="110">
        <f t="shared" si="5"/>
        <v>28.598733155734372</v>
      </c>
      <c r="Z24" s="786"/>
      <c r="AA24" s="110" t="e">
        <f t="shared" si="6"/>
        <v>#DIV/0!</v>
      </c>
      <c r="AB24" s="111"/>
      <c r="AD24" s="33" t="s">
        <v>1892</v>
      </c>
    </row>
    <row r="25" spans="1:30" ht="14" customHeight="1">
      <c r="A25" s="106"/>
      <c r="B25" s="106"/>
      <c r="C25" s="126" t="str">
        <f t="shared" si="0"/>
        <v/>
      </c>
      <c r="D25" s="127"/>
      <c r="E25" s="33"/>
      <c r="F25" s="110" t="str">
        <f t="shared" si="7"/>
        <v/>
      </c>
      <c r="G25" s="127"/>
      <c r="H25" s="111"/>
      <c r="I25" s="110" t="str">
        <f t="shared" si="1"/>
        <v/>
      </c>
      <c r="K25" s="111"/>
      <c r="L25" s="110" t="str">
        <f t="shared" si="2"/>
        <v/>
      </c>
      <c r="N25" s="110" t="str">
        <f>IF(A25&lt;&gt;0,H25-K25,"")</f>
        <v/>
      </c>
      <c r="O25" s="110" t="str">
        <f t="shared" si="3"/>
        <v/>
      </c>
      <c r="Q25" s="112"/>
      <c r="R25" s="110" t="str">
        <f t="shared" si="4"/>
        <v/>
      </c>
      <c r="U25" s="110" t="str">
        <f t="shared" si="8"/>
        <v/>
      </c>
      <c r="V25" s="112"/>
      <c r="W25" s="112"/>
      <c r="X25" s="110" t="str">
        <f t="shared" si="5"/>
        <v/>
      </c>
      <c r="Z25" s="787"/>
      <c r="AA25" s="110" t="str">
        <f t="shared" si="6"/>
        <v/>
      </c>
      <c r="AB25" s="111"/>
    </row>
    <row r="26" spans="1:30" ht="14" customHeight="1">
      <c r="A26" s="106" t="s">
        <v>351</v>
      </c>
      <c r="B26" s="106"/>
      <c r="C26" s="126">
        <f t="shared" si="0"/>
        <v>43272181323.260002</v>
      </c>
      <c r="D26" s="127"/>
      <c r="E26" s="110">
        <v>42306744382.459999</v>
      </c>
      <c r="F26" s="110">
        <f t="shared" si="7"/>
        <v>14.010612147024318</v>
      </c>
      <c r="G26" s="127"/>
      <c r="H26" s="112">
        <v>357145379.54000002</v>
      </c>
      <c r="I26" s="110">
        <f t="shared" si="1"/>
        <v>12.156381970455657</v>
      </c>
      <c r="K26" s="112">
        <v>417829350.66000003</v>
      </c>
      <c r="L26" s="110">
        <f t="shared" si="2"/>
        <v>6.3902918172674257</v>
      </c>
      <c r="O26" s="110">
        <f t="shared" si="3"/>
        <v>0</v>
      </c>
      <c r="Q26" s="112"/>
      <c r="R26" s="110">
        <f t="shared" si="4"/>
        <v>0</v>
      </c>
      <c r="T26" s="112">
        <v>70837411.650000006</v>
      </c>
      <c r="U26" s="110">
        <f t="shared" si="8"/>
        <v>3.153261378194177</v>
      </c>
      <c r="V26" s="112"/>
      <c r="W26" s="87">
        <v>119624798.95</v>
      </c>
      <c r="X26" s="110">
        <f t="shared" si="5"/>
        <v>2.637116233804353</v>
      </c>
      <c r="Z26" s="786"/>
      <c r="AA26" s="110" t="e">
        <f t="shared" si="6"/>
        <v>#DIV/0!</v>
      </c>
      <c r="AB26" s="111"/>
      <c r="AD26" s="33" t="s">
        <v>1893</v>
      </c>
    </row>
    <row r="27" spans="1:30" ht="14" customHeight="1">
      <c r="A27" s="106"/>
      <c r="B27" s="106"/>
      <c r="C27" s="126" t="str">
        <f t="shared" si="0"/>
        <v/>
      </c>
      <c r="D27" s="127"/>
      <c r="E27" s="33"/>
      <c r="F27" s="110" t="str">
        <f t="shared" si="7"/>
        <v/>
      </c>
      <c r="G27" s="127"/>
      <c r="H27" s="33"/>
      <c r="I27" s="110" t="str">
        <f t="shared" si="1"/>
        <v/>
      </c>
      <c r="L27" s="110" t="str">
        <f t="shared" si="2"/>
        <v/>
      </c>
      <c r="Q27" s="112"/>
      <c r="R27" s="110" t="str">
        <f t="shared" si="4"/>
        <v/>
      </c>
      <c r="T27" s="112"/>
      <c r="U27" s="110" t="str">
        <f t="shared" si="8"/>
        <v/>
      </c>
      <c r="V27" s="112"/>
      <c r="W27" s="112"/>
      <c r="X27" s="110" t="str">
        <f t="shared" si="5"/>
        <v/>
      </c>
      <c r="Z27" s="787"/>
      <c r="AA27" s="110" t="str">
        <f t="shared" si="6"/>
        <v/>
      </c>
      <c r="AB27" s="111"/>
    </row>
    <row r="28" spans="1:30" ht="14" customHeight="1">
      <c r="A28" s="106" t="s">
        <v>640</v>
      </c>
      <c r="B28" s="106"/>
      <c r="C28" s="126">
        <f t="shared" si="0"/>
        <v>19356552145.700001</v>
      </c>
      <c r="D28" s="127"/>
      <c r="E28" s="112">
        <v>19356552145.700001</v>
      </c>
      <c r="F28" s="110">
        <f t="shared" si="7"/>
        <v>6.4102579523819365</v>
      </c>
      <c r="G28" s="127"/>
      <c r="I28" s="110">
        <f t="shared" si="1"/>
        <v>0</v>
      </c>
      <c r="K28" s="112"/>
      <c r="L28" s="110">
        <f t="shared" si="2"/>
        <v>0</v>
      </c>
      <c r="Q28" s="112"/>
      <c r="R28" s="110">
        <f t="shared" si="4"/>
        <v>0</v>
      </c>
      <c r="T28" s="112"/>
      <c r="U28" s="110">
        <f t="shared" si="8"/>
        <v>0</v>
      </c>
      <c r="V28" s="112"/>
      <c r="W28" s="112"/>
      <c r="X28" s="110">
        <f t="shared" si="5"/>
        <v>0</v>
      </c>
      <c r="Z28" s="786"/>
      <c r="AA28" s="110" t="e">
        <f t="shared" si="6"/>
        <v>#DIV/0!</v>
      </c>
      <c r="AB28" s="111"/>
    </row>
    <row r="29" spans="1:30" ht="15" customHeight="1" thickBot="1">
      <c r="E29" s="33"/>
      <c r="P29" s="110"/>
      <c r="Q29" s="110"/>
      <c r="R29" s="110"/>
      <c r="S29" s="110"/>
      <c r="T29" s="110"/>
      <c r="U29" s="110"/>
      <c r="V29" s="110"/>
      <c r="W29" s="110"/>
      <c r="X29" s="110"/>
      <c r="Y29" s="110"/>
      <c r="Z29" s="110"/>
      <c r="AA29" s="110"/>
      <c r="AB29" s="110"/>
    </row>
    <row r="30" spans="1:30" ht="13.25" customHeight="1">
      <c r="A30" s="97"/>
      <c r="B30" s="97"/>
      <c r="C30" s="97"/>
      <c r="D30" s="97"/>
      <c r="E30" s="113"/>
      <c r="F30" s="114"/>
      <c r="G30" s="114"/>
      <c r="H30" s="113"/>
      <c r="I30" s="113"/>
      <c r="J30" s="113"/>
      <c r="K30" s="113"/>
      <c r="L30" s="113"/>
      <c r="M30" s="113"/>
      <c r="N30" s="113"/>
      <c r="O30" s="113"/>
      <c r="P30" s="113"/>
      <c r="Q30" s="113"/>
      <c r="R30" s="113"/>
      <c r="S30" s="113"/>
      <c r="T30" s="113"/>
      <c r="U30" s="113"/>
      <c r="V30" s="113"/>
      <c r="W30" s="113"/>
      <c r="X30" s="113"/>
      <c r="Y30" s="113"/>
      <c r="Z30" s="113"/>
      <c r="AA30" s="113"/>
      <c r="AB30" s="113"/>
    </row>
    <row r="31" spans="1:30" s="111" customFormat="1">
      <c r="A31" s="14" t="s">
        <v>1894</v>
      </c>
      <c r="E31" s="110"/>
      <c r="H31" s="110"/>
      <c r="I31" s="110"/>
      <c r="J31" s="110"/>
      <c r="K31" s="110"/>
      <c r="L31" s="110"/>
      <c r="M31" s="110"/>
      <c r="N31" s="110"/>
      <c r="O31" s="110"/>
      <c r="R31" s="112"/>
      <c r="S31" s="112"/>
    </row>
    <row r="32" spans="1:30">
      <c r="A32" s="33" t="s">
        <v>452</v>
      </c>
      <c r="W32" s="112"/>
    </row>
    <row r="33" spans="1:27">
      <c r="T33" s="88"/>
      <c r="U33" s="89"/>
      <c r="V33" s="90"/>
      <c r="W33" s="88"/>
      <c r="X33" s="89"/>
      <c r="Y33" s="90"/>
      <c r="Z33" s="90"/>
      <c r="AA33" s="90"/>
    </row>
    <row r="34" spans="1:27">
      <c r="A34" s="104"/>
      <c r="C34" s="104"/>
      <c r="K34" s="88"/>
      <c r="L34" s="89"/>
      <c r="M34" s="90"/>
      <c r="N34" s="87"/>
      <c r="O34" s="90"/>
      <c r="T34" s="91"/>
      <c r="U34" s="92"/>
      <c r="V34" s="87"/>
      <c r="W34" s="91"/>
      <c r="X34" s="92"/>
      <c r="Y34" s="87"/>
      <c r="Z34" s="87"/>
      <c r="AA34" s="87"/>
    </row>
    <row r="35" spans="1:27">
      <c r="A35" s="104"/>
      <c r="E35" s="93"/>
      <c r="F35" s="89"/>
      <c r="G35" s="90"/>
      <c r="H35" s="88"/>
      <c r="I35" s="89"/>
      <c r="J35" s="90"/>
      <c r="K35" s="91"/>
      <c r="L35" s="92"/>
      <c r="M35" s="87"/>
      <c r="N35" s="87"/>
      <c r="O35" s="87"/>
      <c r="T35" s="91"/>
      <c r="U35" s="92"/>
      <c r="V35" s="87"/>
      <c r="W35" s="91"/>
      <c r="X35" s="92"/>
      <c r="Y35" s="87"/>
      <c r="Z35" s="87"/>
      <c r="AA35" s="87"/>
    </row>
    <row r="36" spans="1:27">
      <c r="A36" s="104"/>
      <c r="E36" s="87"/>
      <c r="F36" s="92"/>
      <c r="G36" s="87"/>
      <c r="H36" s="91"/>
      <c r="I36" s="92"/>
      <c r="J36" s="87"/>
      <c r="K36" s="91"/>
      <c r="L36" s="92"/>
      <c r="M36" s="87"/>
      <c r="N36" s="87"/>
      <c r="O36" s="87"/>
      <c r="T36" s="91"/>
      <c r="U36" s="92"/>
      <c r="V36" s="87"/>
      <c r="W36" s="91"/>
      <c r="X36" s="92"/>
      <c r="Y36" s="87"/>
      <c r="Z36" s="87"/>
      <c r="AA36" s="87"/>
    </row>
    <row r="37" spans="1:27">
      <c r="A37" s="104"/>
      <c r="E37" s="91"/>
      <c r="F37" s="92"/>
      <c r="G37" s="87"/>
      <c r="H37" s="91"/>
      <c r="I37" s="92"/>
      <c r="J37" s="87"/>
      <c r="K37" s="91"/>
      <c r="L37" s="92"/>
      <c r="M37" s="87"/>
      <c r="N37" s="87"/>
      <c r="O37" s="87"/>
      <c r="T37" s="91"/>
      <c r="U37" s="92"/>
      <c r="V37" s="87"/>
      <c r="W37" s="91"/>
      <c r="X37" s="92"/>
      <c r="Y37" s="87"/>
      <c r="Z37" s="87"/>
      <c r="AA37" s="87"/>
    </row>
    <row r="38" spans="1:27">
      <c r="A38" s="104"/>
      <c r="E38" s="91"/>
      <c r="F38" s="92"/>
      <c r="G38" s="87"/>
      <c r="H38" s="91"/>
      <c r="I38" s="92"/>
      <c r="J38" s="87"/>
      <c r="K38" s="91"/>
      <c r="L38" s="92"/>
      <c r="M38" s="87"/>
      <c r="N38" s="87"/>
      <c r="O38" s="87"/>
      <c r="T38" s="91"/>
      <c r="U38" s="92"/>
      <c r="V38" s="87"/>
      <c r="W38" s="91"/>
      <c r="X38" s="92"/>
      <c r="Y38" s="87"/>
      <c r="Z38" s="87"/>
      <c r="AA38" s="87"/>
    </row>
    <row r="39" spans="1:27">
      <c r="A39" s="104"/>
      <c r="E39" s="91"/>
      <c r="F39" s="92"/>
      <c r="G39" s="87"/>
      <c r="H39" s="91"/>
      <c r="I39" s="92"/>
      <c r="J39" s="87"/>
      <c r="K39" s="91"/>
      <c r="L39" s="92"/>
      <c r="M39" s="87"/>
      <c r="N39" s="87"/>
      <c r="O39" s="87"/>
      <c r="T39" s="91"/>
      <c r="U39" s="92"/>
      <c r="V39" s="87"/>
      <c r="W39" s="91"/>
      <c r="X39" s="92"/>
      <c r="Y39" s="87"/>
      <c r="Z39" s="87"/>
      <c r="AA39" s="87"/>
    </row>
    <row r="40" spans="1:27">
      <c r="A40" s="104"/>
      <c r="E40" s="91"/>
      <c r="F40" s="92"/>
      <c r="G40" s="87"/>
      <c r="H40" s="91"/>
      <c r="I40" s="92"/>
      <c r="J40" s="87"/>
      <c r="K40" s="91"/>
      <c r="L40" s="92"/>
      <c r="M40" s="87"/>
      <c r="N40" s="87"/>
      <c r="O40" s="87"/>
      <c r="W40" s="91"/>
      <c r="X40" s="92"/>
      <c r="Y40" s="87"/>
      <c r="Z40" s="87"/>
      <c r="AA40" s="87"/>
    </row>
    <row r="41" spans="1:27">
      <c r="A41" s="104"/>
      <c r="E41" s="91"/>
      <c r="F41" s="92"/>
      <c r="G41" s="87"/>
      <c r="H41" s="87"/>
      <c r="I41" s="87"/>
      <c r="K41" s="91"/>
      <c r="L41" s="92"/>
      <c r="M41" s="87"/>
      <c r="N41" s="87"/>
      <c r="O41" s="87"/>
      <c r="W41" s="91"/>
      <c r="X41" s="92"/>
      <c r="Y41" s="87"/>
      <c r="Z41" s="87"/>
      <c r="AA41" s="87"/>
    </row>
    <row r="42" spans="1:27">
      <c r="A42" s="104"/>
      <c r="C42" s="104"/>
      <c r="E42" s="91"/>
      <c r="F42" s="92"/>
      <c r="G42" s="87"/>
      <c r="H42" s="87"/>
      <c r="I42" s="87"/>
    </row>
    <row r="43" spans="1:27">
      <c r="A43" s="104"/>
      <c r="C43" s="104"/>
    </row>
    <row r="44" spans="1:27">
      <c r="A44" s="104"/>
      <c r="C44" s="104"/>
    </row>
    <row r="45" spans="1:27">
      <c r="A45" s="104"/>
      <c r="C45" s="104"/>
    </row>
    <row r="46" spans="1:27">
      <c r="A46" s="104"/>
      <c r="C46" s="104"/>
    </row>
    <row r="47" spans="1:27">
      <c r="A47" s="104"/>
      <c r="C47" s="104"/>
    </row>
    <row r="48" spans="1:27">
      <c r="A48" s="104"/>
      <c r="C48" s="104"/>
    </row>
    <row r="49" spans="1:5">
      <c r="A49" s="104"/>
      <c r="C49" s="104"/>
    </row>
    <row r="50" spans="1:5">
      <c r="A50" s="104"/>
      <c r="C50" s="104"/>
    </row>
    <row r="51" spans="1:5">
      <c r="A51" s="104"/>
      <c r="C51" s="104"/>
      <c r="E51" s="111"/>
    </row>
    <row r="52" spans="1:5">
      <c r="A52" s="104"/>
      <c r="C52" s="104"/>
    </row>
    <row r="53" spans="1:5">
      <c r="A53" s="104"/>
    </row>
    <row r="54" spans="1:5">
      <c r="A54" s="104"/>
    </row>
    <row r="55" spans="1:5">
      <c r="A55" s="104"/>
    </row>
    <row r="56" spans="1:5">
      <c r="A56" s="104"/>
    </row>
    <row r="57" spans="1:5">
      <c r="A57" s="104"/>
    </row>
    <row r="58" spans="1:5">
      <c r="A58" s="104"/>
    </row>
    <row r="59" spans="1:5">
      <c r="A59" s="104"/>
    </row>
    <row r="60" spans="1:5">
      <c r="A60" s="94"/>
    </row>
    <row r="61" spans="1:5">
      <c r="A61" s="104"/>
    </row>
    <row r="62" spans="1:5">
      <c r="A62" s="104"/>
    </row>
    <row r="63" spans="1:5">
      <c r="A63" s="104"/>
    </row>
    <row r="64" spans="1:5">
      <c r="A64" s="104"/>
    </row>
    <row r="65" spans="1:1">
      <c r="A65" s="104"/>
    </row>
    <row r="66" spans="1:1">
      <c r="A66" s="104"/>
    </row>
    <row r="67" spans="1:1">
      <c r="A67" s="104"/>
    </row>
    <row r="68" spans="1:1">
      <c r="A68" s="104"/>
    </row>
    <row r="69" spans="1:1">
      <c r="A69" s="104"/>
    </row>
    <row r="70" spans="1:1">
      <c r="A70" s="104"/>
    </row>
    <row r="71" spans="1:1">
      <c r="A71" s="104"/>
    </row>
    <row r="72" spans="1:1">
      <c r="A72" s="104"/>
    </row>
    <row r="73" spans="1:1">
      <c r="A73" s="104"/>
    </row>
    <row r="74" spans="1:1">
      <c r="A74" s="104"/>
    </row>
    <row r="75" spans="1:1">
      <c r="A75" s="104"/>
    </row>
    <row r="76" spans="1:1">
      <c r="A76" s="104"/>
    </row>
    <row r="77" spans="1:1">
      <c r="A77" s="104"/>
    </row>
    <row r="78" spans="1:1">
      <c r="A78" s="104"/>
    </row>
    <row r="79" spans="1:1">
      <c r="A79" s="104"/>
    </row>
    <row r="80" spans="1:1">
      <c r="A80" s="104"/>
    </row>
    <row r="81" spans="1:1">
      <c r="A81" s="104"/>
    </row>
    <row r="82" spans="1:1">
      <c r="A82" s="104"/>
    </row>
    <row r="83" spans="1:1">
      <c r="A83" s="104"/>
    </row>
    <row r="84" spans="1:1">
      <c r="A84" s="104"/>
    </row>
    <row r="85" spans="1:1">
      <c r="A85" s="104"/>
    </row>
    <row r="86" spans="1:1">
      <c r="A86" s="104"/>
    </row>
    <row r="87" spans="1:1">
      <c r="A87" s="104"/>
    </row>
    <row r="88" spans="1:1">
      <c r="A88" s="104"/>
    </row>
    <row r="89" spans="1:1">
      <c r="A89" s="104"/>
    </row>
    <row r="90" spans="1:1">
      <c r="A90" s="104"/>
    </row>
    <row r="91" spans="1:1">
      <c r="A91" s="104"/>
    </row>
    <row r="92" spans="1:1">
      <c r="A92" s="104"/>
    </row>
    <row r="93" spans="1:1">
      <c r="A93" s="104"/>
    </row>
    <row r="94" spans="1:1">
      <c r="A94" s="104"/>
    </row>
    <row r="95" spans="1:1">
      <c r="A95" s="104"/>
    </row>
    <row r="96" spans="1:1">
      <c r="A96" s="104"/>
    </row>
    <row r="97" spans="1:1">
      <c r="A97" s="104"/>
    </row>
    <row r="98" spans="1:1">
      <c r="A98" s="104"/>
    </row>
    <row r="99" spans="1:1">
      <c r="A99" s="104"/>
    </row>
    <row r="100" spans="1:1">
      <c r="A100" s="104"/>
    </row>
    <row r="101" spans="1:1">
      <c r="A101" s="104"/>
    </row>
    <row r="102" spans="1:1">
      <c r="A102" s="104"/>
    </row>
    <row r="103" spans="1:1">
      <c r="A103" s="104"/>
    </row>
    <row r="104" spans="1:1">
      <c r="A104" s="104"/>
    </row>
    <row r="105" spans="1:1">
      <c r="A105" s="104"/>
    </row>
    <row r="106" spans="1:1">
      <c r="A106" s="104"/>
    </row>
    <row r="107" spans="1:1">
      <c r="A107" s="104"/>
    </row>
    <row r="108" spans="1:1">
      <c r="A108" s="104"/>
    </row>
    <row r="109" spans="1:1">
      <c r="A109" s="104"/>
    </row>
    <row r="110" spans="1:1">
      <c r="A110" s="104"/>
    </row>
    <row r="111" spans="1:1">
      <c r="A111" s="104"/>
    </row>
    <row r="112" spans="1:1">
      <c r="A112" s="104"/>
    </row>
    <row r="113" spans="1:1">
      <c r="A113" s="104"/>
    </row>
    <row r="114" spans="1:1">
      <c r="A114" s="104"/>
    </row>
    <row r="115" spans="1:1">
      <c r="A115" s="104"/>
    </row>
    <row r="116" spans="1:1">
      <c r="A116" s="104"/>
    </row>
    <row r="117" spans="1:1">
      <c r="A117" s="104"/>
    </row>
    <row r="118" spans="1:1">
      <c r="A118" s="104"/>
    </row>
    <row r="119" spans="1:1">
      <c r="A119" s="104"/>
    </row>
    <row r="120" spans="1:1">
      <c r="A120" s="104"/>
    </row>
    <row r="121" spans="1:1">
      <c r="A121" s="104"/>
    </row>
    <row r="122" spans="1:1">
      <c r="A122" s="104"/>
    </row>
    <row r="123" spans="1:1">
      <c r="A123" s="104"/>
    </row>
    <row r="124" spans="1:1">
      <c r="A124" s="104"/>
    </row>
    <row r="125" spans="1:1">
      <c r="A125" s="104"/>
    </row>
    <row r="126" spans="1:1">
      <c r="A126" s="104"/>
    </row>
    <row r="127" spans="1:1">
      <c r="A127" s="104"/>
    </row>
    <row r="128" spans="1:1">
      <c r="A128" s="104"/>
    </row>
    <row r="129" spans="1:1">
      <c r="A129" s="104"/>
    </row>
    <row r="130" spans="1:1">
      <c r="A130" s="104"/>
    </row>
    <row r="131" spans="1:1">
      <c r="A131" s="104"/>
    </row>
    <row r="132" spans="1:1">
      <c r="A132" s="104"/>
    </row>
    <row r="133" spans="1:1">
      <c r="A133" s="104"/>
    </row>
    <row r="134" spans="1:1">
      <c r="A134" s="104"/>
    </row>
    <row r="135" spans="1:1">
      <c r="A135" s="104"/>
    </row>
    <row r="136" spans="1:1">
      <c r="A136" s="104"/>
    </row>
    <row r="137" spans="1:1">
      <c r="A137" s="104"/>
    </row>
    <row r="138" spans="1:1">
      <c r="A138" s="104"/>
    </row>
    <row r="139" spans="1:1">
      <c r="A139" s="104"/>
    </row>
    <row r="140" spans="1:1">
      <c r="A140" s="104"/>
    </row>
    <row r="141" spans="1:1">
      <c r="A141" s="104"/>
    </row>
    <row r="142" spans="1:1">
      <c r="A142" s="104"/>
    </row>
    <row r="143" spans="1:1">
      <c r="A143" s="104"/>
    </row>
    <row r="144" spans="1:1">
      <c r="A144" s="104"/>
    </row>
    <row r="145" spans="1:1">
      <c r="A145" s="104"/>
    </row>
    <row r="146" spans="1:1">
      <c r="A146" s="104"/>
    </row>
    <row r="147" spans="1:1">
      <c r="A147" s="104"/>
    </row>
    <row r="148" spans="1:1">
      <c r="A148" s="104"/>
    </row>
    <row r="149" spans="1:1">
      <c r="A149" s="104"/>
    </row>
    <row r="150" spans="1:1">
      <c r="A150" s="104"/>
    </row>
    <row r="151" spans="1:1">
      <c r="A151" s="104"/>
    </row>
    <row r="152" spans="1:1">
      <c r="A152" s="104"/>
    </row>
    <row r="153" spans="1:1">
      <c r="A153" s="104"/>
    </row>
    <row r="154" spans="1:1">
      <c r="A154" s="104"/>
    </row>
    <row r="155" spans="1:1">
      <c r="A155" s="104"/>
    </row>
    <row r="156" spans="1:1">
      <c r="A156" s="104"/>
    </row>
    <row r="157" spans="1:1">
      <c r="A157" s="104"/>
    </row>
    <row r="158" spans="1:1">
      <c r="A158" s="104"/>
    </row>
    <row r="159" spans="1:1">
      <c r="A159" s="104"/>
    </row>
    <row r="160" spans="1:1">
      <c r="A160" s="104"/>
    </row>
    <row r="161" spans="1:1">
      <c r="A161" s="104"/>
    </row>
    <row r="162" spans="1:1">
      <c r="A162" s="104"/>
    </row>
    <row r="163" spans="1:1">
      <c r="A163" s="104"/>
    </row>
    <row r="164" spans="1:1">
      <c r="A164" s="104"/>
    </row>
    <row r="165" spans="1:1">
      <c r="A165" s="104"/>
    </row>
    <row r="166" spans="1:1">
      <c r="A166" s="104"/>
    </row>
    <row r="167" spans="1:1">
      <c r="A167" s="104"/>
    </row>
    <row r="168" spans="1:1">
      <c r="A168" s="104"/>
    </row>
    <row r="169" spans="1:1">
      <c r="A169" s="104"/>
    </row>
    <row r="170" spans="1:1">
      <c r="A170" s="104"/>
    </row>
    <row r="171" spans="1:1">
      <c r="A171" s="104"/>
    </row>
    <row r="172" spans="1:1">
      <c r="A172" s="104"/>
    </row>
    <row r="173" spans="1:1">
      <c r="A173" s="104"/>
    </row>
    <row r="174" spans="1:1">
      <c r="A174" s="104"/>
    </row>
    <row r="175" spans="1:1">
      <c r="A175" s="104"/>
    </row>
    <row r="176" spans="1:1">
      <c r="A176" s="104"/>
    </row>
    <row r="177" spans="1:1">
      <c r="A177" s="104"/>
    </row>
    <row r="178" spans="1:1">
      <c r="A178" s="104"/>
    </row>
    <row r="179" spans="1:1">
      <c r="A179" s="104"/>
    </row>
    <row r="180" spans="1:1">
      <c r="A180" s="104"/>
    </row>
    <row r="181" spans="1:1">
      <c r="A181" s="104"/>
    </row>
    <row r="182" spans="1:1">
      <c r="A182" s="104"/>
    </row>
    <row r="183" spans="1:1">
      <c r="A183" s="104"/>
    </row>
    <row r="184" spans="1:1">
      <c r="A184" s="104"/>
    </row>
    <row r="185" spans="1:1">
      <c r="A185" s="104"/>
    </row>
    <row r="186" spans="1:1">
      <c r="A186" s="104"/>
    </row>
    <row r="187" spans="1:1">
      <c r="A187" s="104"/>
    </row>
    <row r="188" spans="1:1">
      <c r="A188" s="104"/>
    </row>
    <row r="189" spans="1:1">
      <c r="A189" s="104"/>
    </row>
    <row r="190" spans="1:1">
      <c r="A190" s="104"/>
    </row>
    <row r="191" spans="1:1">
      <c r="A191" s="104"/>
    </row>
    <row r="192" spans="1:1">
      <c r="A192" s="104"/>
    </row>
    <row r="193" spans="1:1">
      <c r="A193" s="104"/>
    </row>
    <row r="194" spans="1:1">
      <c r="A194" s="104"/>
    </row>
    <row r="195" spans="1:1">
      <c r="A195" s="104"/>
    </row>
    <row r="196" spans="1:1">
      <c r="A196" s="104"/>
    </row>
    <row r="197" spans="1:1">
      <c r="A197" s="104"/>
    </row>
    <row r="198" spans="1:1">
      <c r="A198" s="104"/>
    </row>
    <row r="199" spans="1:1">
      <c r="A199" s="104"/>
    </row>
    <row r="200" spans="1:1">
      <c r="A200" s="104"/>
    </row>
    <row r="201" spans="1:1">
      <c r="A201" s="104"/>
    </row>
    <row r="202" spans="1:1">
      <c r="A202" s="104"/>
    </row>
    <row r="203" spans="1:1">
      <c r="A203" s="104"/>
    </row>
    <row r="204" spans="1:1">
      <c r="A204" s="104"/>
    </row>
    <row r="205" spans="1:1">
      <c r="A205" s="104"/>
    </row>
    <row r="206" spans="1:1">
      <c r="A206" s="104"/>
    </row>
    <row r="207" spans="1:1">
      <c r="A207" s="104"/>
    </row>
    <row r="208" spans="1:1">
      <c r="A208" s="104"/>
    </row>
    <row r="209" spans="1:1">
      <c r="A209" s="104"/>
    </row>
    <row r="210" spans="1:1">
      <c r="A210" s="104"/>
    </row>
    <row r="211" spans="1:1">
      <c r="A211" s="104"/>
    </row>
    <row r="212" spans="1:1">
      <c r="A212" s="104"/>
    </row>
    <row r="213" spans="1:1">
      <c r="A213" s="104"/>
    </row>
    <row r="214" spans="1:1">
      <c r="A214" s="104"/>
    </row>
    <row r="215" spans="1:1">
      <c r="A215" s="104"/>
    </row>
    <row r="216" spans="1:1">
      <c r="A216" s="104"/>
    </row>
    <row r="217" spans="1:1">
      <c r="A217" s="104"/>
    </row>
    <row r="218" spans="1:1">
      <c r="A218" s="104"/>
    </row>
    <row r="219" spans="1:1">
      <c r="A219" s="104"/>
    </row>
    <row r="220" spans="1:1">
      <c r="A220" s="104"/>
    </row>
    <row r="221" spans="1:1">
      <c r="A221" s="104"/>
    </row>
    <row r="222" spans="1:1">
      <c r="A222" s="104"/>
    </row>
    <row r="223" spans="1:1">
      <c r="A223" s="104"/>
    </row>
    <row r="224" spans="1:1">
      <c r="A224" s="104"/>
    </row>
    <row r="225" spans="1:1">
      <c r="A225" s="104"/>
    </row>
    <row r="226" spans="1:1">
      <c r="A226" s="104"/>
    </row>
    <row r="227" spans="1:1">
      <c r="A227" s="104"/>
    </row>
    <row r="228" spans="1:1">
      <c r="A228" s="104"/>
    </row>
    <row r="229" spans="1:1">
      <c r="A229" s="104"/>
    </row>
    <row r="230" spans="1:1">
      <c r="A230" s="104"/>
    </row>
    <row r="231" spans="1:1">
      <c r="A231" s="104"/>
    </row>
    <row r="232" spans="1:1">
      <c r="A232" s="104"/>
    </row>
    <row r="233" spans="1:1">
      <c r="A233" s="104"/>
    </row>
    <row r="234" spans="1:1">
      <c r="A234" s="104"/>
    </row>
    <row r="235" spans="1:1">
      <c r="A235" s="104"/>
    </row>
    <row r="236" spans="1:1">
      <c r="A236" s="104"/>
    </row>
    <row r="237" spans="1:1">
      <c r="A237" s="104"/>
    </row>
    <row r="238" spans="1:1">
      <c r="A238" s="104"/>
    </row>
    <row r="239" spans="1:1">
      <c r="A239" s="104"/>
    </row>
    <row r="240" spans="1:1">
      <c r="A240" s="104"/>
    </row>
    <row r="241" spans="1:1">
      <c r="A241" s="104"/>
    </row>
    <row r="242" spans="1:1">
      <c r="A242" s="104"/>
    </row>
    <row r="243" spans="1:1">
      <c r="A243" s="104"/>
    </row>
    <row r="244" spans="1:1">
      <c r="A244" s="104"/>
    </row>
    <row r="245" spans="1:1">
      <c r="A245" s="104"/>
    </row>
    <row r="246" spans="1:1">
      <c r="A246" s="104"/>
    </row>
    <row r="247" spans="1:1">
      <c r="A247" s="104"/>
    </row>
    <row r="248" spans="1:1">
      <c r="A248" s="104"/>
    </row>
    <row r="249" spans="1:1">
      <c r="A249" s="104"/>
    </row>
    <row r="250" spans="1:1">
      <c r="A250" s="104"/>
    </row>
    <row r="251" spans="1:1">
      <c r="A251" s="104"/>
    </row>
    <row r="252" spans="1:1">
      <c r="A252" s="104"/>
    </row>
    <row r="253" spans="1:1">
      <c r="A253" s="104"/>
    </row>
    <row r="254" spans="1:1">
      <c r="A254" s="104"/>
    </row>
    <row r="255" spans="1:1">
      <c r="A255" s="104"/>
    </row>
    <row r="256" spans="1:1">
      <c r="A256" s="104"/>
    </row>
    <row r="257" spans="1:1">
      <c r="A257" s="104"/>
    </row>
    <row r="258" spans="1:1">
      <c r="A258" s="104"/>
    </row>
    <row r="259" spans="1:1">
      <c r="A259" s="104"/>
    </row>
    <row r="260" spans="1:1">
      <c r="A260" s="104"/>
    </row>
    <row r="261" spans="1:1">
      <c r="A261" s="104"/>
    </row>
    <row r="262" spans="1:1">
      <c r="A262" s="104"/>
    </row>
    <row r="263" spans="1:1">
      <c r="A263" s="104"/>
    </row>
    <row r="264" spans="1:1">
      <c r="A264" s="104"/>
    </row>
    <row r="265" spans="1:1">
      <c r="A265" s="104"/>
    </row>
    <row r="266" spans="1:1">
      <c r="A266" s="104"/>
    </row>
    <row r="267" spans="1:1">
      <c r="A267" s="104"/>
    </row>
    <row r="268" spans="1:1">
      <c r="A268" s="104"/>
    </row>
    <row r="269" spans="1:1">
      <c r="A269" s="104"/>
    </row>
    <row r="270" spans="1:1">
      <c r="A270" s="104"/>
    </row>
    <row r="271" spans="1:1">
      <c r="A271" s="104"/>
    </row>
    <row r="272" spans="1:1">
      <c r="A272" s="104"/>
    </row>
    <row r="273" spans="1:1">
      <c r="A273" s="104"/>
    </row>
    <row r="274" spans="1:1">
      <c r="A274" s="104"/>
    </row>
    <row r="275" spans="1:1">
      <c r="A275" s="104"/>
    </row>
    <row r="276" spans="1:1">
      <c r="A276" s="104"/>
    </row>
    <row r="277" spans="1:1">
      <c r="A277" s="104"/>
    </row>
    <row r="278" spans="1:1">
      <c r="A278" s="104"/>
    </row>
    <row r="279" spans="1:1">
      <c r="A279" s="104"/>
    </row>
    <row r="280" spans="1:1">
      <c r="A280" s="104"/>
    </row>
    <row r="281" spans="1:1">
      <c r="A281" s="104"/>
    </row>
    <row r="282" spans="1:1">
      <c r="A282" s="104"/>
    </row>
    <row r="283" spans="1:1">
      <c r="A283" s="104"/>
    </row>
    <row r="284" spans="1:1">
      <c r="A284" s="104"/>
    </row>
    <row r="285" spans="1:1">
      <c r="A285" s="104"/>
    </row>
    <row r="286" spans="1:1">
      <c r="A286" s="104"/>
    </row>
    <row r="287" spans="1:1">
      <c r="A287" s="104"/>
    </row>
    <row r="288" spans="1:1">
      <c r="A288" s="104"/>
    </row>
    <row r="289" spans="1:1">
      <c r="A289" s="104"/>
    </row>
    <row r="290" spans="1:1">
      <c r="A290" s="104"/>
    </row>
    <row r="291" spans="1:1">
      <c r="A291" s="104"/>
    </row>
    <row r="292" spans="1:1">
      <c r="A292" s="104"/>
    </row>
    <row r="293" spans="1:1">
      <c r="A293" s="104"/>
    </row>
    <row r="294" spans="1:1">
      <c r="A294" s="104"/>
    </row>
    <row r="295" spans="1:1">
      <c r="A295" s="104"/>
    </row>
    <row r="296" spans="1:1">
      <c r="A296" s="104"/>
    </row>
    <row r="297" spans="1:1">
      <c r="A297" s="104"/>
    </row>
    <row r="298" spans="1:1">
      <c r="A298" s="104"/>
    </row>
    <row r="299" spans="1:1">
      <c r="A299" s="104"/>
    </row>
    <row r="300" spans="1:1">
      <c r="A300" s="104"/>
    </row>
    <row r="301" spans="1:1">
      <c r="A301" s="104"/>
    </row>
    <row r="302" spans="1:1">
      <c r="A302" s="104"/>
    </row>
    <row r="303" spans="1:1">
      <c r="A303" s="104"/>
    </row>
    <row r="304" spans="1:1">
      <c r="A304" s="104"/>
    </row>
    <row r="305" spans="1:1">
      <c r="A305" s="104"/>
    </row>
    <row r="306" spans="1:1">
      <c r="A306" s="104"/>
    </row>
    <row r="307" spans="1:1">
      <c r="A307" s="104"/>
    </row>
    <row r="308" spans="1:1">
      <c r="A308" s="104"/>
    </row>
    <row r="309" spans="1:1">
      <c r="A309" s="104"/>
    </row>
    <row r="310" spans="1:1">
      <c r="A310" s="104"/>
    </row>
    <row r="311" spans="1:1">
      <c r="A311" s="104"/>
    </row>
    <row r="312" spans="1:1">
      <c r="A312" s="104"/>
    </row>
    <row r="313" spans="1:1">
      <c r="A313" s="104"/>
    </row>
    <row r="314" spans="1:1">
      <c r="A314" s="104"/>
    </row>
    <row r="315" spans="1:1">
      <c r="A315" s="104"/>
    </row>
    <row r="316" spans="1:1">
      <c r="A316" s="104"/>
    </row>
    <row r="317" spans="1:1">
      <c r="A317" s="104"/>
    </row>
    <row r="318" spans="1:1">
      <c r="A318" s="104"/>
    </row>
    <row r="319" spans="1:1">
      <c r="A319" s="104"/>
    </row>
    <row r="320" spans="1:1">
      <c r="A320" s="104"/>
    </row>
    <row r="321" spans="1:1">
      <c r="A321" s="104"/>
    </row>
    <row r="322" spans="1:1">
      <c r="A322" s="104"/>
    </row>
    <row r="323" spans="1:1">
      <c r="A323" s="104"/>
    </row>
    <row r="324" spans="1:1">
      <c r="A324" s="104"/>
    </row>
    <row r="325" spans="1:1">
      <c r="A325" s="104"/>
    </row>
    <row r="326" spans="1:1">
      <c r="A326" s="104"/>
    </row>
    <row r="327" spans="1:1">
      <c r="A327" s="104"/>
    </row>
    <row r="328" spans="1:1">
      <c r="A328" s="104"/>
    </row>
    <row r="329" spans="1:1">
      <c r="A329" s="104"/>
    </row>
    <row r="330" spans="1:1">
      <c r="A330" s="104"/>
    </row>
    <row r="331" spans="1:1">
      <c r="A331" s="104"/>
    </row>
    <row r="332" spans="1:1">
      <c r="A332" s="104"/>
    </row>
    <row r="333" spans="1:1">
      <c r="A333" s="104"/>
    </row>
    <row r="334" spans="1:1">
      <c r="A334" s="104"/>
    </row>
    <row r="335" spans="1:1">
      <c r="A335" s="104"/>
    </row>
    <row r="336" spans="1:1">
      <c r="A336" s="104"/>
    </row>
    <row r="337" spans="1:1">
      <c r="A337" s="104"/>
    </row>
    <row r="338" spans="1:1">
      <c r="A338" s="104"/>
    </row>
    <row r="339" spans="1:1">
      <c r="A339" s="104"/>
    </row>
    <row r="340" spans="1:1">
      <c r="A340" s="104"/>
    </row>
    <row r="341" spans="1:1">
      <c r="A341" s="104"/>
    </row>
    <row r="342" spans="1:1">
      <c r="A342" s="104"/>
    </row>
    <row r="343" spans="1:1">
      <c r="A343" s="104"/>
    </row>
    <row r="344" spans="1:1">
      <c r="A344" s="104"/>
    </row>
    <row r="345" spans="1:1">
      <c r="A345" s="104"/>
    </row>
    <row r="346" spans="1:1">
      <c r="A346" s="104"/>
    </row>
    <row r="347" spans="1:1">
      <c r="A347" s="104"/>
    </row>
    <row r="348" spans="1:1">
      <c r="A348" s="104"/>
    </row>
    <row r="349" spans="1:1">
      <c r="A349" s="104"/>
    </row>
    <row r="350" spans="1:1">
      <c r="A350" s="104"/>
    </row>
    <row r="351" spans="1:1">
      <c r="A351" s="104"/>
    </row>
    <row r="352" spans="1:1">
      <c r="A352" s="104"/>
    </row>
    <row r="353" spans="1:1">
      <c r="A353" s="104"/>
    </row>
    <row r="354" spans="1:1">
      <c r="A354" s="104"/>
    </row>
    <row r="355" spans="1:1">
      <c r="A355" s="104"/>
    </row>
    <row r="356" spans="1:1">
      <c r="A356" s="104"/>
    </row>
    <row r="357" spans="1:1">
      <c r="A357" s="104"/>
    </row>
    <row r="358" spans="1:1">
      <c r="A358" s="104"/>
    </row>
    <row r="359" spans="1:1">
      <c r="A359" s="104"/>
    </row>
    <row r="360" spans="1:1">
      <c r="A360" s="104"/>
    </row>
    <row r="361" spans="1:1">
      <c r="A361" s="104"/>
    </row>
    <row r="362" spans="1:1">
      <c r="A362" s="104"/>
    </row>
    <row r="363" spans="1:1">
      <c r="A363" s="104"/>
    </row>
    <row r="364" spans="1:1">
      <c r="A364" s="104"/>
    </row>
    <row r="365" spans="1:1">
      <c r="A365" s="104"/>
    </row>
    <row r="366" spans="1:1">
      <c r="A366" s="104"/>
    </row>
    <row r="367" spans="1:1">
      <c r="A367" s="104"/>
    </row>
    <row r="368" spans="1:1">
      <c r="A368" s="104"/>
    </row>
    <row r="369" spans="1:1">
      <c r="A369" s="104"/>
    </row>
    <row r="370" spans="1:1">
      <c r="A370" s="104"/>
    </row>
    <row r="371" spans="1:1">
      <c r="A371" s="104"/>
    </row>
    <row r="372" spans="1:1">
      <c r="A372" s="104"/>
    </row>
    <row r="373" spans="1:1">
      <c r="A373" s="104"/>
    </row>
    <row r="374" spans="1:1">
      <c r="A374" s="104"/>
    </row>
    <row r="375" spans="1:1">
      <c r="A375" s="104"/>
    </row>
    <row r="376" spans="1:1">
      <c r="A376" s="104"/>
    </row>
    <row r="377" spans="1:1">
      <c r="A377" s="104"/>
    </row>
    <row r="378" spans="1:1">
      <c r="A378" s="104"/>
    </row>
    <row r="379" spans="1:1">
      <c r="A379" s="104"/>
    </row>
    <row r="380" spans="1:1">
      <c r="A380" s="104"/>
    </row>
    <row r="381" spans="1:1">
      <c r="A381" s="104"/>
    </row>
    <row r="382" spans="1:1">
      <c r="A382" s="104"/>
    </row>
    <row r="383" spans="1:1">
      <c r="A383" s="104"/>
    </row>
    <row r="384" spans="1:1">
      <c r="A384" s="104"/>
    </row>
    <row r="385" spans="1:1">
      <c r="A385" s="104"/>
    </row>
    <row r="386" spans="1:1">
      <c r="A386" s="104"/>
    </row>
    <row r="387" spans="1:1">
      <c r="A387" s="104"/>
    </row>
    <row r="388" spans="1:1">
      <c r="A388" s="104"/>
    </row>
    <row r="389" spans="1:1">
      <c r="A389" s="104"/>
    </row>
    <row r="390" spans="1:1">
      <c r="A390" s="104"/>
    </row>
    <row r="391" spans="1:1">
      <c r="A391" s="104"/>
    </row>
    <row r="392" spans="1:1">
      <c r="A392" s="104"/>
    </row>
    <row r="393" spans="1:1">
      <c r="A393" s="104"/>
    </row>
    <row r="394" spans="1:1">
      <c r="A394" s="104"/>
    </row>
    <row r="395" spans="1:1">
      <c r="A395" s="104"/>
    </row>
    <row r="396" spans="1:1">
      <c r="A396" s="104"/>
    </row>
    <row r="397" spans="1:1">
      <c r="A397" s="104"/>
    </row>
    <row r="398" spans="1:1">
      <c r="A398" s="104"/>
    </row>
    <row r="399" spans="1:1">
      <c r="A399" s="104"/>
    </row>
    <row r="400" spans="1:1">
      <c r="A400" s="104"/>
    </row>
    <row r="401" spans="1:1">
      <c r="A401" s="104"/>
    </row>
    <row r="402" spans="1:1">
      <c r="A402" s="104"/>
    </row>
    <row r="403" spans="1:1">
      <c r="A403" s="104"/>
    </row>
    <row r="404" spans="1:1">
      <c r="A404" s="104"/>
    </row>
    <row r="405" spans="1:1">
      <c r="A405" s="104"/>
    </row>
    <row r="406" spans="1:1">
      <c r="A406" s="104"/>
    </row>
    <row r="407" spans="1:1">
      <c r="A407" s="104"/>
    </row>
    <row r="408" spans="1:1">
      <c r="A408" s="104"/>
    </row>
    <row r="409" spans="1:1">
      <c r="A409" s="104"/>
    </row>
    <row r="410" spans="1:1">
      <c r="A410" s="104"/>
    </row>
    <row r="411" spans="1:1">
      <c r="A411" s="104"/>
    </row>
    <row r="412" spans="1:1">
      <c r="A412" s="104"/>
    </row>
    <row r="413" spans="1:1">
      <c r="A413" s="104"/>
    </row>
    <row r="414" spans="1:1">
      <c r="A414" s="104"/>
    </row>
    <row r="415" spans="1:1">
      <c r="A415" s="104"/>
    </row>
    <row r="416" spans="1:1">
      <c r="A416" s="104"/>
    </row>
    <row r="417" spans="1:1">
      <c r="A417" s="104"/>
    </row>
    <row r="418" spans="1:1">
      <c r="A418" s="104"/>
    </row>
    <row r="419" spans="1:1">
      <c r="A419" s="104"/>
    </row>
    <row r="420" spans="1:1">
      <c r="A420" s="104"/>
    </row>
    <row r="421" spans="1:1">
      <c r="A421" s="104"/>
    </row>
    <row r="422" spans="1:1">
      <c r="A422" s="104"/>
    </row>
    <row r="423" spans="1:1">
      <c r="A423" s="104"/>
    </row>
    <row r="424" spans="1:1">
      <c r="A424" s="104"/>
    </row>
    <row r="425" spans="1:1">
      <c r="A425" s="104"/>
    </row>
    <row r="426" spans="1:1">
      <c r="A426" s="104"/>
    </row>
    <row r="427" spans="1:1">
      <c r="A427" s="104"/>
    </row>
    <row r="428" spans="1:1">
      <c r="A428" s="104"/>
    </row>
    <row r="429" spans="1:1">
      <c r="A429" s="104"/>
    </row>
    <row r="430" spans="1:1">
      <c r="A430" s="104"/>
    </row>
    <row r="431" spans="1:1">
      <c r="A431" s="104"/>
    </row>
    <row r="432" spans="1:1">
      <c r="A432" s="104"/>
    </row>
    <row r="433" spans="1:1">
      <c r="A433" s="104"/>
    </row>
    <row r="434" spans="1:1">
      <c r="A434" s="104"/>
    </row>
    <row r="435" spans="1:1">
      <c r="A435" s="104"/>
    </row>
    <row r="436" spans="1:1">
      <c r="A436" s="104"/>
    </row>
    <row r="437" spans="1:1">
      <c r="A437" s="104"/>
    </row>
    <row r="438" spans="1:1">
      <c r="A438" s="104"/>
    </row>
    <row r="439" spans="1:1">
      <c r="A439" s="104"/>
    </row>
    <row r="440" spans="1:1">
      <c r="A440" s="104"/>
    </row>
    <row r="441" spans="1:1">
      <c r="A441" s="104"/>
    </row>
    <row r="442" spans="1:1">
      <c r="A442" s="104"/>
    </row>
    <row r="443" spans="1:1">
      <c r="A443" s="104"/>
    </row>
    <row r="444" spans="1:1">
      <c r="A444" s="104"/>
    </row>
    <row r="445" spans="1:1">
      <c r="A445" s="104"/>
    </row>
    <row r="446" spans="1:1">
      <c r="A446" s="104"/>
    </row>
    <row r="447" spans="1:1">
      <c r="A447" s="104"/>
    </row>
    <row r="448" spans="1:1">
      <c r="A448" s="104"/>
    </row>
    <row r="449" spans="1:1">
      <c r="A449" s="104"/>
    </row>
    <row r="450" spans="1:1">
      <c r="A450" s="104"/>
    </row>
    <row r="451" spans="1:1">
      <c r="A451" s="104"/>
    </row>
    <row r="452" spans="1:1">
      <c r="A452" s="104"/>
    </row>
    <row r="453" spans="1:1">
      <c r="A453" s="104"/>
    </row>
    <row r="454" spans="1:1">
      <c r="A454" s="104"/>
    </row>
    <row r="455" spans="1:1">
      <c r="A455" s="104"/>
    </row>
    <row r="456" spans="1:1">
      <c r="A456" s="104"/>
    </row>
    <row r="457" spans="1:1">
      <c r="A457" s="104"/>
    </row>
    <row r="458" spans="1:1">
      <c r="A458" s="104"/>
    </row>
    <row r="459" spans="1:1">
      <c r="A459" s="104"/>
    </row>
    <row r="460" spans="1:1">
      <c r="A460" s="104"/>
    </row>
    <row r="461" spans="1:1">
      <c r="A461" s="104"/>
    </row>
    <row r="462" spans="1:1">
      <c r="A462" s="104"/>
    </row>
    <row r="463" spans="1:1">
      <c r="A463" s="104"/>
    </row>
    <row r="464" spans="1:1">
      <c r="A464" s="104"/>
    </row>
    <row r="465" spans="1:1">
      <c r="A465" s="104"/>
    </row>
    <row r="466" spans="1:1">
      <c r="A466" s="104"/>
    </row>
    <row r="467" spans="1:1">
      <c r="A467" s="104"/>
    </row>
    <row r="468" spans="1:1">
      <c r="A468" s="104"/>
    </row>
    <row r="469" spans="1:1">
      <c r="A469" s="104"/>
    </row>
    <row r="470" spans="1:1">
      <c r="A470" s="104"/>
    </row>
    <row r="471" spans="1:1">
      <c r="A471" s="104"/>
    </row>
    <row r="472" spans="1:1">
      <c r="A472" s="104"/>
    </row>
    <row r="473" spans="1:1">
      <c r="A473" s="104"/>
    </row>
    <row r="474" spans="1:1">
      <c r="A474" s="104"/>
    </row>
    <row r="475" spans="1:1">
      <c r="A475" s="104"/>
    </row>
    <row r="476" spans="1:1">
      <c r="A476" s="104"/>
    </row>
    <row r="477" spans="1:1">
      <c r="A477" s="104"/>
    </row>
    <row r="478" spans="1:1">
      <c r="A478" s="104"/>
    </row>
    <row r="479" spans="1:1">
      <c r="A479" s="104"/>
    </row>
    <row r="480" spans="1:1">
      <c r="A480" s="104"/>
    </row>
    <row r="481" spans="1:1">
      <c r="A481" s="104"/>
    </row>
    <row r="482" spans="1:1">
      <c r="A482" s="104"/>
    </row>
    <row r="483" spans="1:1">
      <c r="A483" s="104"/>
    </row>
    <row r="484" spans="1:1">
      <c r="A484" s="104"/>
    </row>
    <row r="485" spans="1:1">
      <c r="A485" s="104"/>
    </row>
    <row r="486" spans="1:1">
      <c r="A486" s="104"/>
    </row>
    <row r="487" spans="1:1">
      <c r="A487" s="104"/>
    </row>
    <row r="488" spans="1:1">
      <c r="A488" s="104"/>
    </row>
    <row r="489" spans="1:1">
      <c r="A489" s="104"/>
    </row>
    <row r="490" spans="1:1">
      <c r="A490" s="104"/>
    </row>
    <row r="491" spans="1:1">
      <c r="A491" s="104"/>
    </row>
    <row r="492" spans="1:1">
      <c r="A492" s="104"/>
    </row>
    <row r="493" spans="1:1">
      <c r="A493" s="104"/>
    </row>
    <row r="494" spans="1:1">
      <c r="A494" s="104"/>
    </row>
    <row r="495" spans="1:1">
      <c r="A495" s="104"/>
    </row>
    <row r="496" spans="1:1">
      <c r="A496" s="104"/>
    </row>
    <row r="497" spans="1:1">
      <c r="A497" s="104"/>
    </row>
    <row r="498" spans="1:1">
      <c r="A498" s="104"/>
    </row>
    <row r="499" spans="1:1">
      <c r="A499" s="104"/>
    </row>
    <row r="500" spans="1:1">
      <c r="A500" s="104"/>
    </row>
    <row r="501" spans="1:1">
      <c r="A501" s="104"/>
    </row>
    <row r="502" spans="1:1">
      <c r="A502" s="104"/>
    </row>
    <row r="503" spans="1:1">
      <c r="A503" s="104"/>
    </row>
    <row r="504" spans="1:1">
      <c r="A504" s="104"/>
    </row>
    <row r="505" spans="1:1">
      <c r="A505" s="104"/>
    </row>
    <row r="506" spans="1:1">
      <c r="A506" s="104"/>
    </row>
    <row r="507" spans="1:1">
      <c r="A507" s="104"/>
    </row>
    <row r="508" spans="1:1">
      <c r="A508" s="104"/>
    </row>
    <row r="509" spans="1:1">
      <c r="A509" s="104"/>
    </row>
    <row r="510" spans="1:1">
      <c r="A510" s="104"/>
    </row>
    <row r="511" spans="1:1">
      <c r="A511" s="104"/>
    </row>
    <row r="512" spans="1:1">
      <c r="A512" s="104"/>
    </row>
    <row r="513" spans="1:1">
      <c r="A513" s="104"/>
    </row>
    <row r="514" spans="1:1">
      <c r="A514" s="104"/>
    </row>
    <row r="515" spans="1:1">
      <c r="A515" s="104"/>
    </row>
    <row r="516" spans="1:1">
      <c r="A516" s="104"/>
    </row>
    <row r="517" spans="1:1">
      <c r="A517" s="104"/>
    </row>
    <row r="518" spans="1:1">
      <c r="A518" s="104"/>
    </row>
    <row r="519" spans="1:1">
      <c r="A519" s="104"/>
    </row>
    <row r="520" spans="1:1">
      <c r="A520" s="104"/>
    </row>
    <row r="521" spans="1:1">
      <c r="A521" s="104"/>
    </row>
    <row r="522" spans="1:1">
      <c r="A522" s="104"/>
    </row>
    <row r="523" spans="1:1">
      <c r="A523" s="104"/>
    </row>
    <row r="524" spans="1:1">
      <c r="A524" s="104"/>
    </row>
    <row r="525" spans="1:1">
      <c r="A525" s="104"/>
    </row>
    <row r="526" spans="1:1">
      <c r="A526" s="104"/>
    </row>
    <row r="527" spans="1:1">
      <c r="A527" s="104"/>
    </row>
    <row r="528" spans="1:1">
      <c r="A528" s="104"/>
    </row>
    <row r="529" spans="1:1">
      <c r="A529" s="104"/>
    </row>
    <row r="530" spans="1:1">
      <c r="A530" s="104"/>
    </row>
    <row r="531" spans="1:1">
      <c r="A531" s="104"/>
    </row>
    <row r="532" spans="1:1">
      <c r="A532" s="104"/>
    </row>
    <row r="533" spans="1:1">
      <c r="A533" s="104"/>
    </row>
    <row r="534" spans="1:1">
      <c r="A534" s="104"/>
    </row>
    <row r="535" spans="1:1">
      <c r="A535" s="104"/>
    </row>
    <row r="536" spans="1:1">
      <c r="A536" s="104"/>
    </row>
    <row r="537" spans="1:1">
      <c r="A537" s="104"/>
    </row>
    <row r="538" spans="1:1">
      <c r="A538" s="104"/>
    </row>
    <row r="539" spans="1:1">
      <c r="A539" s="104"/>
    </row>
    <row r="540" spans="1:1">
      <c r="A540" s="104"/>
    </row>
    <row r="541" spans="1:1">
      <c r="A541" s="104"/>
    </row>
    <row r="542" spans="1:1">
      <c r="A542" s="104"/>
    </row>
    <row r="543" spans="1:1">
      <c r="A543" s="104"/>
    </row>
    <row r="544" spans="1:1">
      <c r="A544" s="104"/>
    </row>
    <row r="545" spans="1:1">
      <c r="A545" s="104"/>
    </row>
    <row r="546" spans="1:1">
      <c r="A546" s="104"/>
    </row>
    <row r="547" spans="1:1">
      <c r="A547" s="104"/>
    </row>
    <row r="548" spans="1:1">
      <c r="A548" s="104"/>
    </row>
    <row r="549" spans="1:1">
      <c r="A549" s="104"/>
    </row>
    <row r="550" spans="1:1">
      <c r="A550" s="104"/>
    </row>
    <row r="551" spans="1:1">
      <c r="A551" s="104"/>
    </row>
    <row r="552" spans="1:1">
      <c r="A552" s="104"/>
    </row>
    <row r="553" spans="1:1">
      <c r="A553" s="104"/>
    </row>
    <row r="554" spans="1:1">
      <c r="A554" s="104"/>
    </row>
    <row r="555" spans="1:1">
      <c r="A555" s="104"/>
    </row>
    <row r="556" spans="1:1">
      <c r="A556" s="104"/>
    </row>
    <row r="557" spans="1:1">
      <c r="A557" s="104"/>
    </row>
    <row r="558" spans="1:1">
      <c r="A558" s="104"/>
    </row>
    <row r="559" spans="1:1">
      <c r="A559" s="104"/>
    </row>
    <row r="560" spans="1:1">
      <c r="A560" s="104"/>
    </row>
    <row r="561" spans="1:1">
      <c r="A561" s="104"/>
    </row>
    <row r="562" spans="1:1">
      <c r="A562" s="104"/>
    </row>
    <row r="563" spans="1:1">
      <c r="A563" s="104"/>
    </row>
    <row r="564" spans="1:1">
      <c r="A564" s="104"/>
    </row>
    <row r="565" spans="1:1">
      <c r="A565" s="104"/>
    </row>
    <row r="566" spans="1:1">
      <c r="A566" s="104"/>
    </row>
    <row r="567" spans="1:1">
      <c r="A567" s="104"/>
    </row>
    <row r="568" spans="1:1">
      <c r="A568" s="104"/>
    </row>
    <row r="569" spans="1:1">
      <c r="A569" s="104"/>
    </row>
    <row r="570" spans="1:1">
      <c r="A570" s="104"/>
    </row>
    <row r="571" spans="1:1">
      <c r="A571" s="104"/>
    </row>
    <row r="572" spans="1:1">
      <c r="A572" s="104"/>
    </row>
    <row r="573" spans="1:1">
      <c r="A573" s="104"/>
    </row>
    <row r="574" spans="1:1">
      <c r="A574" s="104"/>
    </row>
    <row r="575" spans="1:1">
      <c r="A575" s="104"/>
    </row>
    <row r="576" spans="1:1">
      <c r="A576" s="104"/>
    </row>
    <row r="577" spans="1:1">
      <c r="A577" s="104"/>
    </row>
    <row r="578" spans="1:1">
      <c r="A578" s="104"/>
    </row>
    <row r="579" spans="1:1">
      <c r="A579" s="104"/>
    </row>
    <row r="580" spans="1:1">
      <c r="A580" s="104"/>
    </row>
    <row r="581" spans="1:1">
      <c r="A581" s="104"/>
    </row>
    <row r="582" spans="1:1">
      <c r="A582" s="104"/>
    </row>
    <row r="583" spans="1:1">
      <c r="A583" s="104"/>
    </row>
    <row r="584" spans="1:1">
      <c r="A584" s="104"/>
    </row>
    <row r="585" spans="1:1">
      <c r="A585" s="104"/>
    </row>
    <row r="586" spans="1:1">
      <c r="A586" s="104"/>
    </row>
    <row r="587" spans="1:1">
      <c r="A587" s="104"/>
    </row>
    <row r="588" spans="1:1">
      <c r="A588" s="104"/>
    </row>
    <row r="589" spans="1:1">
      <c r="A589" s="104"/>
    </row>
    <row r="590" spans="1:1">
      <c r="A590" s="104"/>
    </row>
    <row r="591" spans="1:1">
      <c r="A591" s="104"/>
    </row>
    <row r="592" spans="1:1">
      <c r="A592" s="104"/>
    </row>
    <row r="593" spans="1:1">
      <c r="A593" s="104"/>
    </row>
    <row r="594" spans="1:1">
      <c r="A594" s="104"/>
    </row>
    <row r="595" spans="1:1">
      <c r="A595" s="104"/>
    </row>
    <row r="596" spans="1:1">
      <c r="A596" s="104"/>
    </row>
    <row r="597" spans="1:1">
      <c r="A597" s="104"/>
    </row>
    <row r="598" spans="1:1">
      <c r="A598" s="104"/>
    </row>
    <row r="599" spans="1:1">
      <c r="A599" s="104"/>
    </row>
    <row r="600" spans="1:1">
      <c r="A600" s="104"/>
    </row>
    <row r="601" spans="1:1">
      <c r="A601" s="104"/>
    </row>
    <row r="602" spans="1:1">
      <c r="A602" s="104"/>
    </row>
    <row r="603" spans="1:1">
      <c r="A603" s="104"/>
    </row>
    <row r="604" spans="1:1">
      <c r="A604" s="104"/>
    </row>
    <row r="605" spans="1:1">
      <c r="A605" s="104"/>
    </row>
    <row r="606" spans="1:1">
      <c r="A606" s="104"/>
    </row>
    <row r="607" spans="1:1">
      <c r="A607" s="104"/>
    </row>
    <row r="608" spans="1:1">
      <c r="A608" s="104"/>
    </row>
    <row r="609" spans="1:1">
      <c r="A609" s="104"/>
    </row>
    <row r="610" spans="1:1">
      <c r="A610" s="104"/>
    </row>
    <row r="611" spans="1:1">
      <c r="A611" s="104"/>
    </row>
    <row r="612" spans="1:1">
      <c r="A612" s="104"/>
    </row>
    <row r="613" spans="1:1">
      <c r="A613" s="104"/>
    </row>
    <row r="614" spans="1:1">
      <c r="A614" s="104"/>
    </row>
    <row r="615" spans="1:1">
      <c r="A615" s="104"/>
    </row>
    <row r="616" spans="1:1">
      <c r="A616" s="104"/>
    </row>
    <row r="617" spans="1:1">
      <c r="A617" s="104"/>
    </row>
    <row r="618" spans="1:1">
      <c r="A618" s="104"/>
    </row>
    <row r="619" spans="1:1">
      <c r="A619" s="104"/>
    </row>
    <row r="620" spans="1:1">
      <c r="A620" s="104"/>
    </row>
    <row r="621" spans="1:1">
      <c r="A621" s="104"/>
    </row>
    <row r="622" spans="1:1">
      <c r="A622" s="104"/>
    </row>
    <row r="623" spans="1:1">
      <c r="A623" s="104"/>
    </row>
    <row r="624" spans="1:1">
      <c r="A624" s="104"/>
    </row>
    <row r="625" spans="1:1">
      <c r="A625" s="104"/>
    </row>
    <row r="626" spans="1:1">
      <c r="A626" s="104"/>
    </row>
    <row r="627" spans="1:1">
      <c r="A627" s="104"/>
    </row>
    <row r="628" spans="1:1">
      <c r="A628" s="104"/>
    </row>
    <row r="629" spans="1:1">
      <c r="A629" s="104"/>
    </row>
    <row r="630" spans="1:1">
      <c r="A630" s="104"/>
    </row>
    <row r="631" spans="1:1">
      <c r="A631" s="104"/>
    </row>
    <row r="632" spans="1:1">
      <c r="A632" s="104"/>
    </row>
    <row r="633" spans="1:1">
      <c r="A633" s="104"/>
    </row>
    <row r="634" spans="1:1">
      <c r="A634" s="104"/>
    </row>
    <row r="635" spans="1:1">
      <c r="A635" s="104"/>
    </row>
    <row r="636" spans="1:1">
      <c r="A636" s="104"/>
    </row>
    <row r="637" spans="1:1">
      <c r="A637" s="104"/>
    </row>
    <row r="638" spans="1:1">
      <c r="A638" s="104"/>
    </row>
    <row r="639" spans="1:1">
      <c r="A639" s="104"/>
    </row>
    <row r="640" spans="1:1">
      <c r="A640" s="104"/>
    </row>
    <row r="641" spans="1:1">
      <c r="A641" s="104"/>
    </row>
    <row r="642" spans="1:1">
      <c r="A642" s="104"/>
    </row>
    <row r="643" spans="1:1">
      <c r="A643" s="104"/>
    </row>
    <row r="644" spans="1:1">
      <c r="A644" s="104"/>
    </row>
    <row r="645" spans="1:1">
      <c r="A645" s="104"/>
    </row>
    <row r="646" spans="1:1">
      <c r="A646" s="104"/>
    </row>
    <row r="647" spans="1:1">
      <c r="A647" s="104"/>
    </row>
    <row r="648" spans="1:1">
      <c r="A648" s="104"/>
    </row>
    <row r="649" spans="1:1">
      <c r="A649" s="104"/>
    </row>
    <row r="650" spans="1:1">
      <c r="A650" s="104"/>
    </row>
    <row r="651" spans="1:1">
      <c r="A651" s="104"/>
    </row>
    <row r="652" spans="1:1">
      <c r="A652" s="104"/>
    </row>
    <row r="653" spans="1:1">
      <c r="A653" s="104"/>
    </row>
    <row r="654" spans="1:1">
      <c r="A654" s="104"/>
    </row>
    <row r="655" spans="1:1">
      <c r="A655" s="104"/>
    </row>
    <row r="656" spans="1:1">
      <c r="A656" s="104"/>
    </row>
    <row r="657" spans="1:1">
      <c r="A657" s="104"/>
    </row>
    <row r="658" spans="1:1">
      <c r="A658" s="104"/>
    </row>
    <row r="659" spans="1:1">
      <c r="A659" s="104"/>
    </row>
    <row r="660" spans="1:1">
      <c r="A660" s="104"/>
    </row>
    <row r="661" spans="1:1">
      <c r="A661" s="104"/>
    </row>
    <row r="662" spans="1:1">
      <c r="A662" s="104"/>
    </row>
    <row r="663" spans="1:1">
      <c r="A663" s="104"/>
    </row>
    <row r="664" spans="1:1">
      <c r="A664" s="104"/>
    </row>
    <row r="665" spans="1:1">
      <c r="A665" s="104"/>
    </row>
    <row r="666" spans="1:1">
      <c r="A666" s="104"/>
    </row>
    <row r="667" spans="1:1">
      <c r="A667" s="104"/>
    </row>
    <row r="668" spans="1:1">
      <c r="A668" s="104"/>
    </row>
    <row r="669" spans="1:1">
      <c r="A669" s="104"/>
    </row>
    <row r="670" spans="1:1">
      <c r="A670" s="104"/>
    </row>
    <row r="671" spans="1:1">
      <c r="A671" s="104"/>
    </row>
    <row r="672" spans="1:1">
      <c r="A672" s="104"/>
    </row>
    <row r="673" spans="1:1">
      <c r="A673" s="104"/>
    </row>
    <row r="674" spans="1:1">
      <c r="A674" s="104"/>
    </row>
    <row r="675" spans="1:1">
      <c r="A675" s="104"/>
    </row>
    <row r="676" spans="1:1">
      <c r="A676" s="104"/>
    </row>
    <row r="677" spans="1:1">
      <c r="A677" s="104"/>
    </row>
    <row r="678" spans="1:1">
      <c r="A678" s="104"/>
    </row>
    <row r="679" spans="1:1">
      <c r="A679" s="104"/>
    </row>
    <row r="680" spans="1:1">
      <c r="A680" s="104"/>
    </row>
    <row r="681" spans="1:1">
      <c r="A681" s="104"/>
    </row>
    <row r="682" spans="1:1">
      <c r="A682" s="104"/>
    </row>
    <row r="683" spans="1:1">
      <c r="A683" s="104"/>
    </row>
    <row r="684" spans="1:1">
      <c r="A684" s="104"/>
    </row>
    <row r="685" spans="1:1">
      <c r="A685" s="104"/>
    </row>
    <row r="686" spans="1:1">
      <c r="A686" s="104"/>
    </row>
    <row r="687" spans="1:1">
      <c r="A687" s="104"/>
    </row>
    <row r="688" spans="1:1">
      <c r="A688" s="104"/>
    </row>
    <row r="689" spans="1:1">
      <c r="A689" s="104"/>
    </row>
    <row r="690" spans="1:1">
      <c r="A690" s="104"/>
    </row>
    <row r="691" spans="1:1">
      <c r="A691" s="104"/>
    </row>
    <row r="692" spans="1:1">
      <c r="A692" s="104"/>
    </row>
    <row r="693" spans="1:1">
      <c r="A693" s="104"/>
    </row>
    <row r="694" spans="1:1">
      <c r="A694" s="104"/>
    </row>
    <row r="695" spans="1:1">
      <c r="A695" s="104"/>
    </row>
    <row r="696" spans="1:1">
      <c r="A696" s="104"/>
    </row>
    <row r="697" spans="1:1">
      <c r="A697" s="104"/>
    </row>
    <row r="698" spans="1:1">
      <c r="A698" s="104"/>
    </row>
    <row r="699" spans="1:1">
      <c r="A699" s="104"/>
    </row>
    <row r="700" spans="1:1">
      <c r="A700" s="104"/>
    </row>
    <row r="701" spans="1:1">
      <c r="A701" s="104"/>
    </row>
    <row r="702" spans="1:1">
      <c r="A702" s="104"/>
    </row>
    <row r="703" spans="1:1">
      <c r="A703" s="104"/>
    </row>
    <row r="704" spans="1:1">
      <c r="A704" s="104"/>
    </row>
    <row r="705" spans="1:1">
      <c r="A705" s="104"/>
    </row>
    <row r="706" spans="1:1">
      <c r="A706" s="104"/>
    </row>
    <row r="707" spans="1:1">
      <c r="A707" s="104"/>
    </row>
    <row r="708" spans="1:1">
      <c r="A708" s="104"/>
    </row>
    <row r="709" spans="1:1">
      <c r="A709" s="104"/>
    </row>
    <row r="710" spans="1:1">
      <c r="A710" s="104"/>
    </row>
    <row r="711" spans="1:1">
      <c r="A711" s="104"/>
    </row>
    <row r="712" spans="1:1">
      <c r="A712" s="104"/>
    </row>
    <row r="713" spans="1:1">
      <c r="A713" s="104"/>
    </row>
    <row r="714" spans="1:1">
      <c r="A714" s="104"/>
    </row>
    <row r="715" spans="1:1">
      <c r="A715" s="104"/>
    </row>
    <row r="716" spans="1:1">
      <c r="A716" s="104"/>
    </row>
    <row r="717" spans="1:1">
      <c r="A717" s="104"/>
    </row>
    <row r="718" spans="1:1">
      <c r="A718" s="104"/>
    </row>
    <row r="719" spans="1:1">
      <c r="A719" s="104"/>
    </row>
    <row r="720" spans="1:1">
      <c r="A720" s="104"/>
    </row>
    <row r="721" spans="1:1">
      <c r="A721" s="104"/>
    </row>
    <row r="722" spans="1:1">
      <c r="A722" s="104"/>
    </row>
    <row r="723" spans="1:1">
      <c r="A723" s="104"/>
    </row>
    <row r="724" spans="1:1">
      <c r="A724" s="104"/>
    </row>
    <row r="725" spans="1:1">
      <c r="A725" s="104"/>
    </row>
    <row r="726" spans="1:1">
      <c r="A726" s="104"/>
    </row>
    <row r="727" spans="1:1">
      <c r="A727" s="104"/>
    </row>
    <row r="728" spans="1:1">
      <c r="A728" s="104"/>
    </row>
    <row r="729" spans="1:1">
      <c r="A729" s="104"/>
    </row>
    <row r="730" spans="1:1">
      <c r="A730" s="104"/>
    </row>
    <row r="731" spans="1:1">
      <c r="A731" s="104"/>
    </row>
    <row r="732" spans="1:1">
      <c r="A732" s="104"/>
    </row>
    <row r="733" spans="1:1">
      <c r="A733" s="104"/>
    </row>
    <row r="734" spans="1:1">
      <c r="A734" s="104"/>
    </row>
    <row r="735" spans="1:1">
      <c r="A735" s="104"/>
    </row>
    <row r="736" spans="1:1">
      <c r="A736" s="104"/>
    </row>
    <row r="737" spans="1:1">
      <c r="A737" s="104"/>
    </row>
    <row r="738" spans="1:1">
      <c r="A738" s="104"/>
    </row>
    <row r="739" spans="1:1">
      <c r="A739" s="104"/>
    </row>
    <row r="740" spans="1:1">
      <c r="A740" s="104"/>
    </row>
    <row r="741" spans="1:1">
      <c r="A741" s="104"/>
    </row>
    <row r="742" spans="1:1">
      <c r="A742" s="104"/>
    </row>
    <row r="743" spans="1:1">
      <c r="A743" s="104"/>
    </row>
    <row r="744" spans="1:1">
      <c r="A744" s="104"/>
    </row>
    <row r="745" spans="1:1">
      <c r="A745" s="104"/>
    </row>
    <row r="746" spans="1:1">
      <c r="A746" s="104"/>
    </row>
    <row r="747" spans="1:1">
      <c r="A747" s="104"/>
    </row>
    <row r="748" spans="1:1">
      <c r="A748" s="104"/>
    </row>
    <row r="749" spans="1:1">
      <c r="A749" s="104"/>
    </row>
    <row r="750" spans="1:1">
      <c r="A750" s="104"/>
    </row>
    <row r="751" spans="1:1">
      <c r="A751" s="104"/>
    </row>
    <row r="752" spans="1:1">
      <c r="A752" s="104"/>
    </row>
    <row r="753" spans="1:1">
      <c r="A753" s="104"/>
    </row>
    <row r="754" spans="1:1">
      <c r="A754" s="104"/>
    </row>
    <row r="755" spans="1:1">
      <c r="A755" s="104"/>
    </row>
    <row r="756" spans="1:1">
      <c r="A756" s="104"/>
    </row>
    <row r="757" spans="1:1">
      <c r="A757" s="104"/>
    </row>
    <row r="758" spans="1:1">
      <c r="A758" s="104"/>
    </row>
    <row r="759" spans="1:1">
      <c r="A759" s="104"/>
    </row>
    <row r="760" spans="1:1">
      <c r="A760" s="104"/>
    </row>
    <row r="761" spans="1:1">
      <c r="A761" s="104"/>
    </row>
    <row r="762" spans="1:1">
      <c r="A762" s="104"/>
    </row>
    <row r="763" spans="1:1">
      <c r="A763" s="104"/>
    </row>
    <row r="764" spans="1:1">
      <c r="A764" s="104"/>
    </row>
    <row r="765" spans="1:1">
      <c r="A765" s="104"/>
    </row>
    <row r="766" spans="1:1">
      <c r="A766" s="104"/>
    </row>
    <row r="767" spans="1:1">
      <c r="A767" s="104"/>
    </row>
    <row r="768" spans="1:1">
      <c r="A768" s="104"/>
    </row>
    <row r="769" spans="1:1">
      <c r="A769" s="104"/>
    </row>
    <row r="770" spans="1:1">
      <c r="A770" s="104"/>
    </row>
    <row r="771" spans="1:1">
      <c r="A771" s="104"/>
    </row>
    <row r="772" spans="1:1">
      <c r="A772" s="104"/>
    </row>
    <row r="773" spans="1:1">
      <c r="A773" s="104"/>
    </row>
    <row r="774" spans="1:1">
      <c r="A774" s="104"/>
    </row>
    <row r="775" spans="1:1">
      <c r="A775" s="104"/>
    </row>
    <row r="776" spans="1:1">
      <c r="A776" s="104"/>
    </row>
    <row r="777" spans="1:1">
      <c r="A777" s="104"/>
    </row>
    <row r="778" spans="1:1">
      <c r="A778" s="104"/>
    </row>
    <row r="779" spans="1:1">
      <c r="A779" s="104"/>
    </row>
    <row r="780" spans="1:1">
      <c r="A780" s="104"/>
    </row>
    <row r="781" spans="1:1">
      <c r="A781" s="104"/>
    </row>
    <row r="782" spans="1:1">
      <c r="A782" s="104"/>
    </row>
    <row r="783" spans="1:1">
      <c r="A783" s="104"/>
    </row>
    <row r="784" spans="1:1">
      <c r="A784" s="104"/>
    </row>
    <row r="785" spans="1:1">
      <c r="A785" s="104"/>
    </row>
    <row r="786" spans="1:1">
      <c r="A786" s="104"/>
    </row>
    <row r="787" spans="1:1">
      <c r="A787" s="104"/>
    </row>
    <row r="788" spans="1:1">
      <c r="A788" s="104"/>
    </row>
    <row r="789" spans="1:1">
      <c r="A789" s="104"/>
    </row>
    <row r="790" spans="1:1">
      <c r="A790" s="104"/>
    </row>
    <row r="791" spans="1:1">
      <c r="A791" s="104"/>
    </row>
    <row r="792" spans="1:1">
      <c r="A792" s="104"/>
    </row>
    <row r="793" spans="1:1">
      <c r="A793" s="104"/>
    </row>
    <row r="794" spans="1:1">
      <c r="A794" s="104"/>
    </row>
    <row r="795" spans="1:1">
      <c r="A795" s="104"/>
    </row>
    <row r="796" spans="1:1">
      <c r="A796" s="104"/>
    </row>
    <row r="797" spans="1:1">
      <c r="A797" s="104"/>
    </row>
    <row r="798" spans="1:1">
      <c r="A798" s="104"/>
    </row>
    <row r="799" spans="1:1">
      <c r="A799" s="104"/>
    </row>
    <row r="800" spans="1:1">
      <c r="A800" s="104"/>
    </row>
    <row r="801" spans="1:1">
      <c r="A801" s="104"/>
    </row>
    <row r="802" spans="1:1">
      <c r="A802" s="104"/>
    </row>
    <row r="803" spans="1:1">
      <c r="A803" s="104"/>
    </row>
    <row r="804" spans="1:1">
      <c r="A804" s="104"/>
    </row>
    <row r="805" spans="1:1">
      <c r="A805" s="104"/>
    </row>
    <row r="806" spans="1:1">
      <c r="A806" s="104"/>
    </row>
    <row r="807" spans="1:1">
      <c r="A807" s="104"/>
    </row>
    <row r="808" spans="1:1">
      <c r="A808" s="104"/>
    </row>
    <row r="809" spans="1:1">
      <c r="A809" s="104"/>
    </row>
    <row r="810" spans="1:1">
      <c r="A810" s="104"/>
    </row>
    <row r="811" spans="1:1">
      <c r="A811" s="104"/>
    </row>
    <row r="812" spans="1:1">
      <c r="A812" s="104"/>
    </row>
    <row r="813" spans="1:1">
      <c r="A813" s="104"/>
    </row>
    <row r="814" spans="1:1">
      <c r="A814" s="104"/>
    </row>
    <row r="815" spans="1:1">
      <c r="A815" s="104"/>
    </row>
    <row r="816" spans="1:1">
      <c r="A816" s="104"/>
    </row>
    <row r="817" spans="1:1">
      <c r="A817" s="104"/>
    </row>
    <row r="818" spans="1:1">
      <c r="A818" s="104"/>
    </row>
    <row r="819" spans="1:1">
      <c r="A819" s="104"/>
    </row>
    <row r="820" spans="1:1">
      <c r="A820" s="104"/>
    </row>
    <row r="821" spans="1:1">
      <c r="A821" s="104"/>
    </row>
    <row r="822" spans="1:1">
      <c r="A822" s="104"/>
    </row>
    <row r="823" spans="1:1">
      <c r="A823" s="104"/>
    </row>
    <row r="824" spans="1:1">
      <c r="A824" s="104"/>
    </row>
    <row r="825" spans="1:1">
      <c r="A825" s="104"/>
    </row>
    <row r="826" spans="1:1">
      <c r="A826" s="104"/>
    </row>
    <row r="827" spans="1:1">
      <c r="A827" s="104"/>
    </row>
    <row r="828" spans="1:1">
      <c r="A828" s="104"/>
    </row>
    <row r="829" spans="1:1">
      <c r="A829" s="104"/>
    </row>
    <row r="830" spans="1:1">
      <c r="A830" s="104"/>
    </row>
    <row r="831" spans="1:1">
      <c r="A831" s="104"/>
    </row>
    <row r="832" spans="1:1">
      <c r="A832" s="104"/>
    </row>
    <row r="833" spans="1:1">
      <c r="A833" s="104"/>
    </row>
    <row r="834" spans="1:1">
      <c r="A834" s="104"/>
    </row>
    <row r="835" spans="1:1">
      <c r="A835" s="104"/>
    </row>
    <row r="836" spans="1:1">
      <c r="A836" s="104"/>
    </row>
    <row r="837" spans="1:1">
      <c r="A837" s="104"/>
    </row>
    <row r="838" spans="1:1">
      <c r="A838" s="104"/>
    </row>
    <row r="839" spans="1:1">
      <c r="A839" s="104"/>
    </row>
    <row r="840" spans="1:1">
      <c r="A840" s="104"/>
    </row>
    <row r="841" spans="1:1">
      <c r="A841" s="104"/>
    </row>
    <row r="842" spans="1:1">
      <c r="A842" s="104"/>
    </row>
    <row r="843" spans="1:1">
      <c r="A843" s="104"/>
    </row>
    <row r="844" spans="1:1">
      <c r="A844" s="104"/>
    </row>
    <row r="845" spans="1:1">
      <c r="A845" s="104"/>
    </row>
    <row r="846" spans="1:1">
      <c r="A846" s="104"/>
    </row>
    <row r="847" spans="1:1">
      <c r="A847" s="104"/>
    </row>
    <row r="848" spans="1:1">
      <c r="A848" s="104"/>
    </row>
    <row r="849" spans="1:1">
      <c r="A849" s="104"/>
    </row>
    <row r="850" spans="1:1">
      <c r="A850" s="104"/>
    </row>
    <row r="851" spans="1:1">
      <c r="A851" s="104"/>
    </row>
    <row r="852" spans="1:1">
      <c r="A852" s="104"/>
    </row>
    <row r="853" spans="1:1">
      <c r="A853" s="104"/>
    </row>
    <row r="854" spans="1:1">
      <c r="A854" s="104"/>
    </row>
    <row r="855" spans="1:1">
      <c r="A855" s="104"/>
    </row>
    <row r="856" spans="1:1">
      <c r="A856" s="104"/>
    </row>
    <row r="857" spans="1:1">
      <c r="A857" s="104"/>
    </row>
    <row r="858" spans="1:1">
      <c r="A858" s="104"/>
    </row>
    <row r="859" spans="1:1">
      <c r="A859" s="104"/>
    </row>
    <row r="860" spans="1:1">
      <c r="A860" s="104"/>
    </row>
    <row r="861" spans="1:1">
      <c r="A861" s="104"/>
    </row>
    <row r="862" spans="1:1">
      <c r="A862" s="104"/>
    </row>
    <row r="863" spans="1:1">
      <c r="A863" s="104"/>
    </row>
    <row r="864" spans="1:1">
      <c r="A864" s="104"/>
    </row>
    <row r="865" spans="1:1">
      <c r="A865" s="104"/>
    </row>
    <row r="866" spans="1:1">
      <c r="A866" s="104"/>
    </row>
    <row r="867" spans="1:1">
      <c r="A867" s="104"/>
    </row>
    <row r="868" spans="1:1">
      <c r="A868" s="104"/>
    </row>
    <row r="869" spans="1:1">
      <c r="A869" s="104"/>
    </row>
    <row r="870" spans="1:1">
      <c r="A870" s="104"/>
    </row>
    <row r="871" spans="1:1">
      <c r="A871" s="104"/>
    </row>
    <row r="872" spans="1:1">
      <c r="A872" s="104"/>
    </row>
    <row r="873" spans="1:1">
      <c r="A873" s="104"/>
    </row>
    <row r="874" spans="1:1">
      <c r="A874" s="104"/>
    </row>
    <row r="875" spans="1:1">
      <c r="A875" s="104"/>
    </row>
    <row r="876" spans="1:1">
      <c r="A876" s="104"/>
    </row>
    <row r="877" spans="1:1">
      <c r="A877" s="104"/>
    </row>
    <row r="878" spans="1:1">
      <c r="A878" s="104"/>
    </row>
    <row r="879" spans="1:1">
      <c r="A879" s="104"/>
    </row>
    <row r="880" spans="1:1">
      <c r="A880" s="104"/>
    </row>
    <row r="881" spans="1:1">
      <c r="A881" s="104"/>
    </row>
    <row r="882" spans="1:1">
      <c r="A882" s="104"/>
    </row>
    <row r="883" spans="1:1">
      <c r="A883" s="104"/>
    </row>
    <row r="884" spans="1:1">
      <c r="A884" s="104"/>
    </row>
    <row r="885" spans="1:1">
      <c r="A885" s="104"/>
    </row>
    <row r="886" spans="1:1">
      <c r="A886" s="104"/>
    </row>
    <row r="887" spans="1:1">
      <c r="A887" s="104"/>
    </row>
    <row r="888" spans="1:1">
      <c r="A888" s="104"/>
    </row>
    <row r="889" spans="1:1">
      <c r="A889" s="104"/>
    </row>
    <row r="890" spans="1:1">
      <c r="A890" s="104"/>
    </row>
    <row r="891" spans="1:1">
      <c r="A891" s="104"/>
    </row>
    <row r="892" spans="1:1">
      <c r="A892" s="104"/>
    </row>
    <row r="893" spans="1:1">
      <c r="A893" s="104"/>
    </row>
    <row r="894" spans="1:1">
      <c r="A894" s="104"/>
    </row>
    <row r="895" spans="1:1">
      <c r="A895" s="104"/>
    </row>
    <row r="896" spans="1:1">
      <c r="A896" s="104"/>
    </row>
    <row r="897" spans="1:1">
      <c r="A897" s="104"/>
    </row>
    <row r="898" spans="1:1">
      <c r="A898" s="104"/>
    </row>
    <row r="899" spans="1:1">
      <c r="A899" s="104"/>
    </row>
    <row r="900" spans="1:1">
      <c r="A900" s="104"/>
    </row>
    <row r="901" spans="1:1">
      <c r="A901" s="104"/>
    </row>
    <row r="902" spans="1:1">
      <c r="A902" s="104"/>
    </row>
    <row r="903" spans="1:1">
      <c r="A903" s="104"/>
    </row>
    <row r="904" spans="1:1">
      <c r="A904" s="104"/>
    </row>
    <row r="905" spans="1:1">
      <c r="A905" s="104"/>
    </row>
    <row r="906" spans="1:1">
      <c r="A906" s="104"/>
    </row>
    <row r="907" spans="1:1">
      <c r="A907" s="104"/>
    </row>
    <row r="908" spans="1:1">
      <c r="A908" s="104"/>
    </row>
    <row r="909" spans="1:1">
      <c r="A909" s="104"/>
    </row>
    <row r="910" spans="1:1">
      <c r="A910" s="104"/>
    </row>
    <row r="911" spans="1:1">
      <c r="A911" s="104"/>
    </row>
    <row r="912" spans="1:1">
      <c r="A912" s="104"/>
    </row>
    <row r="913" spans="1:1">
      <c r="A913" s="104"/>
    </row>
    <row r="914" spans="1:1">
      <c r="A914" s="104"/>
    </row>
    <row r="915" spans="1:1">
      <c r="A915" s="104"/>
    </row>
    <row r="916" spans="1:1">
      <c r="A916" s="104"/>
    </row>
    <row r="917" spans="1:1">
      <c r="A917" s="104"/>
    </row>
    <row r="918" spans="1:1">
      <c r="A918" s="104"/>
    </row>
    <row r="919" spans="1:1">
      <c r="A919" s="104"/>
    </row>
    <row r="920" spans="1:1">
      <c r="A920" s="104"/>
    </row>
    <row r="921" spans="1:1">
      <c r="A921" s="104"/>
    </row>
    <row r="922" spans="1:1">
      <c r="A922" s="104"/>
    </row>
    <row r="923" spans="1:1">
      <c r="A923" s="104"/>
    </row>
    <row r="924" spans="1:1">
      <c r="A924" s="104"/>
    </row>
    <row r="925" spans="1:1">
      <c r="A925" s="104"/>
    </row>
    <row r="926" spans="1:1">
      <c r="A926" s="104"/>
    </row>
    <row r="927" spans="1:1">
      <c r="A927" s="104"/>
    </row>
    <row r="928" spans="1:1">
      <c r="A928" s="104"/>
    </row>
    <row r="929" spans="1:1">
      <c r="A929" s="104"/>
    </row>
    <row r="930" spans="1:1">
      <c r="A930" s="104"/>
    </row>
    <row r="931" spans="1:1">
      <c r="A931" s="104"/>
    </row>
    <row r="932" spans="1:1">
      <c r="A932" s="104"/>
    </row>
    <row r="933" spans="1:1">
      <c r="A933" s="104"/>
    </row>
    <row r="934" spans="1:1">
      <c r="A934" s="104"/>
    </row>
    <row r="935" spans="1:1">
      <c r="A935" s="104"/>
    </row>
    <row r="936" spans="1:1">
      <c r="A936" s="104"/>
    </row>
    <row r="937" spans="1:1">
      <c r="A937" s="104"/>
    </row>
    <row r="938" spans="1:1">
      <c r="A938" s="104"/>
    </row>
    <row r="939" spans="1:1">
      <c r="A939" s="104"/>
    </row>
    <row r="940" spans="1:1">
      <c r="A940" s="104"/>
    </row>
    <row r="941" spans="1:1">
      <c r="A941" s="104"/>
    </row>
    <row r="942" spans="1:1">
      <c r="A942" s="104"/>
    </row>
    <row r="943" spans="1:1">
      <c r="A943" s="104"/>
    </row>
    <row r="944" spans="1:1">
      <c r="A944" s="104"/>
    </row>
    <row r="945" spans="1:1">
      <c r="A945" s="104"/>
    </row>
    <row r="946" spans="1:1">
      <c r="A946" s="104"/>
    </row>
    <row r="947" spans="1:1">
      <c r="A947" s="104"/>
    </row>
    <row r="948" spans="1:1">
      <c r="A948" s="104"/>
    </row>
    <row r="949" spans="1:1">
      <c r="A949" s="104"/>
    </row>
    <row r="950" spans="1:1">
      <c r="A950" s="104"/>
    </row>
    <row r="951" spans="1:1">
      <c r="A951" s="104"/>
    </row>
    <row r="952" spans="1:1">
      <c r="A952" s="104"/>
    </row>
    <row r="953" spans="1:1">
      <c r="A953" s="104"/>
    </row>
    <row r="954" spans="1:1">
      <c r="A954" s="104"/>
    </row>
    <row r="955" spans="1:1">
      <c r="A955" s="104"/>
    </row>
    <row r="956" spans="1:1">
      <c r="A956" s="104"/>
    </row>
    <row r="957" spans="1:1">
      <c r="A957" s="104"/>
    </row>
    <row r="958" spans="1:1">
      <c r="A958" s="104"/>
    </row>
    <row r="959" spans="1:1">
      <c r="A959" s="104"/>
    </row>
    <row r="960" spans="1:1">
      <c r="A960" s="104"/>
    </row>
    <row r="961" spans="1:1">
      <c r="A961" s="104"/>
    </row>
    <row r="962" spans="1:1">
      <c r="A962" s="104"/>
    </row>
    <row r="963" spans="1:1">
      <c r="A963" s="104"/>
    </row>
    <row r="964" spans="1:1">
      <c r="A964" s="104"/>
    </row>
    <row r="965" spans="1:1">
      <c r="A965" s="104"/>
    </row>
    <row r="966" spans="1:1">
      <c r="A966" s="104"/>
    </row>
    <row r="967" spans="1:1">
      <c r="A967" s="104"/>
    </row>
    <row r="968" spans="1:1">
      <c r="A968" s="104"/>
    </row>
    <row r="969" spans="1:1">
      <c r="A969" s="104"/>
    </row>
    <row r="970" spans="1:1">
      <c r="A970" s="104"/>
    </row>
    <row r="971" spans="1:1">
      <c r="A971" s="104"/>
    </row>
    <row r="972" spans="1:1">
      <c r="A972" s="104"/>
    </row>
    <row r="973" spans="1:1">
      <c r="A973" s="104"/>
    </row>
    <row r="974" spans="1:1">
      <c r="A974" s="104"/>
    </row>
    <row r="975" spans="1:1">
      <c r="A975" s="104"/>
    </row>
    <row r="976" spans="1:1">
      <c r="A976" s="104"/>
    </row>
    <row r="977" spans="1:1">
      <c r="A977" s="104"/>
    </row>
    <row r="978" spans="1:1">
      <c r="A978" s="104"/>
    </row>
    <row r="979" spans="1:1">
      <c r="A979" s="104"/>
    </row>
    <row r="980" spans="1:1">
      <c r="A980" s="104"/>
    </row>
    <row r="981" spans="1:1">
      <c r="A981" s="104"/>
    </row>
    <row r="982" spans="1:1">
      <c r="A982" s="104"/>
    </row>
    <row r="983" spans="1:1">
      <c r="A983" s="104"/>
    </row>
    <row r="984" spans="1:1">
      <c r="A984" s="104"/>
    </row>
    <row r="985" spans="1:1">
      <c r="A985" s="104"/>
    </row>
    <row r="986" spans="1:1">
      <c r="A986" s="104"/>
    </row>
    <row r="987" spans="1:1">
      <c r="A987" s="104"/>
    </row>
    <row r="988" spans="1:1">
      <c r="A988" s="104"/>
    </row>
    <row r="989" spans="1:1">
      <c r="A989" s="104"/>
    </row>
    <row r="990" spans="1:1">
      <c r="A990" s="104"/>
    </row>
    <row r="991" spans="1:1">
      <c r="A991" s="104"/>
    </row>
    <row r="992" spans="1:1">
      <c r="A992" s="104"/>
    </row>
    <row r="993" spans="1:1">
      <c r="A993" s="104"/>
    </row>
    <row r="994" spans="1:1">
      <c r="A994" s="104"/>
    </row>
    <row r="995" spans="1:1">
      <c r="A995" s="104"/>
    </row>
    <row r="996" spans="1:1">
      <c r="A996" s="104"/>
    </row>
    <row r="997" spans="1:1">
      <c r="A997" s="104"/>
    </row>
    <row r="998" spans="1:1">
      <c r="A998" s="104"/>
    </row>
    <row r="999" spans="1:1">
      <c r="A999" s="104"/>
    </row>
    <row r="1000" spans="1:1">
      <c r="A1000" s="104"/>
    </row>
    <row r="1001" spans="1:1">
      <c r="A1001" s="104"/>
    </row>
    <row r="1002" spans="1:1">
      <c r="A1002" s="104"/>
    </row>
    <row r="1003" spans="1:1">
      <c r="A1003" s="104"/>
    </row>
    <row r="1004" spans="1:1">
      <c r="A1004" s="104"/>
    </row>
    <row r="1005" spans="1:1">
      <c r="A1005" s="104"/>
    </row>
    <row r="1006" spans="1:1">
      <c r="A1006" s="104"/>
    </row>
    <row r="1007" spans="1:1">
      <c r="A1007" s="104"/>
    </row>
    <row r="1008" spans="1:1">
      <c r="A1008" s="104"/>
    </row>
    <row r="1009" spans="1:1">
      <c r="A1009" s="104"/>
    </row>
    <row r="1010" spans="1:1">
      <c r="A1010" s="104"/>
    </row>
    <row r="1011" spans="1:1">
      <c r="A1011" s="104"/>
    </row>
    <row r="1012" spans="1:1">
      <c r="A1012" s="104"/>
    </row>
    <row r="1013" spans="1:1">
      <c r="A1013" s="104"/>
    </row>
    <row r="1014" spans="1:1">
      <c r="A1014" s="104"/>
    </row>
    <row r="1015" spans="1:1">
      <c r="A1015" s="104"/>
    </row>
    <row r="1016" spans="1:1">
      <c r="A1016" s="104"/>
    </row>
    <row r="1017" spans="1:1">
      <c r="A1017" s="104"/>
    </row>
    <row r="1018" spans="1:1">
      <c r="A1018" s="104"/>
    </row>
    <row r="1019" spans="1:1">
      <c r="A1019" s="104"/>
    </row>
    <row r="1020" spans="1:1">
      <c r="A1020" s="104"/>
    </row>
    <row r="1021" spans="1:1">
      <c r="A1021" s="104"/>
    </row>
    <row r="1022" spans="1:1">
      <c r="A1022" s="104"/>
    </row>
    <row r="1023" spans="1:1">
      <c r="A1023" s="104"/>
    </row>
    <row r="1024" spans="1:1">
      <c r="A1024" s="104"/>
    </row>
    <row r="1025" spans="1:1">
      <c r="A1025" s="104"/>
    </row>
    <row r="1026" spans="1:1">
      <c r="A1026" s="104"/>
    </row>
    <row r="1027" spans="1:1">
      <c r="A1027" s="104"/>
    </row>
    <row r="1028" spans="1:1">
      <c r="A1028" s="104"/>
    </row>
    <row r="1029" spans="1:1">
      <c r="A1029" s="104"/>
    </row>
    <row r="1030" spans="1:1">
      <c r="A1030" s="104"/>
    </row>
    <row r="1031" spans="1:1">
      <c r="A1031" s="104"/>
    </row>
    <row r="1032" spans="1:1">
      <c r="A1032" s="104"/>
    </row>
    <row r="1033" spans="1:1">
      <c r="A1033" s="104"/>
    </row>
    <row r="1034" spans="1:1">
      <c r="A1034" s="104"/>
    </row>
    <row r="1035" spans="1:1">
      <c r="A1035" s="104"/>
    </row>
    <row r="1036" spans="1:1">
      <c r="A1036" s="104"/>
    </row>
    <row r="1037" spans="1:1">
      <c r="A1037" s="104"/>
    </row>
    <row r="1038" spans="1:1">
      <c r="A1038" s="104"/>
    </row>
    <row r="1039" spans="1:1">
      <c r="A1039" s="104"/>
    </row>
    <row r="1040" spans="1:1">
      <c r="A1040" s="104"/>
    </row>
    <row r="1041" spans="1:1">
      <c r="A1041" s="104"/>
    </row>
    <row r="1042" spans="1:1">
      <c r="A1042" s="104"/>
    </row>
    <row r="1043" spans="1:1">
      <c r="A1043" s="104"/>
    </row>
    <row r="1044" spans="1:1">
      <c r="A1044" s="104"/>
    </row>
    <row r="1045" spans="1:1">
      <c r="A1045" s="104"/>
    </row>
    <row r="1046" spans="1:1">
      <c r="A1046" s="104"/>
    </row>
    <row r="1047" spans="1:1">
      <c r="A1047" s="104"/>
    </row>
    <row r="1048" spans="1:1">
      <c r="A1048" s="104"/>
    </row>
    <row r="1049" spans="1:1">
      <c r="A1049" s="104"/>
    </row>
    <row r="1050" spans="1:1">
      <c r="A1050" s="104"/>
    </row>
    <row r="1051" spans="1:1">
      <c r="A1051" s="104"/>
    </row>
    <row r="1052" spans="1:1">
      <c r="A1052" s="104"/>
    </row>
    <row r="1053" spans="1:1">
      <c r="A1053" s="104"/>
    </row>
    <row r="1054" spans="1:1">
      <c r="A1054" s="104"/>
    </row>
    <row r="1055" spans="1:1">
      <c r="A1055" s="104"/>
    </row>
    <row r="1056" spans="1:1">
      <c r="A1056" s="104"/>
    </row>
    <row r="1057" spans="1:1">
      <c r="A1057" s="104"/>
    </row>
    <row r="1058" spans="1:1">
      <c r="A1058" s="104"/>
    </row>
    <row r="1059" spans="1:1">
      <c r="A1059" s="104"/>
    </row>
    <row r="1060" spans="1:1">
      <c r="A1060" s="104"/>
    </row>
    <row r="1061" spans="1:1">
      <c r="A1061" s="104"/>
    </row>
    <row r="1062" spans="1:1">
      <c r="A1062" s="104"/>
    </row>
    <row r="1063" spans="1:1">
      <c r="A1063" s="104"/>
    </row>
    <row r="1064" spans="1:1">
      <c r="A1064" s="104"/>
    </row>
    <row r="1065" spans="1:1">
      <c r="A1065" s="104"/>
    </row>
    <row r="1066" spans="1:1">
      <c r="A1066" s="104"/>
    </row>
    <row r="1067" spans="1:1">
      <c r="A1067" s="104"/>
    </row>
    <row r="1068" spans="1:1">
      <c r="A1068" s="104"/>
    </row>
    <row r="1069" spans="1:1">
      <c r="A1069" s="104"/>
    </row>
    <row r="1070" spans="1:1">
      <c r="A1070" s="104"/>
    </row>
    <row r="1071" spans="1:1">
      <c r="A1071" s="104"/>
    </row>
    <row r="1072" spans="1:1">
      <c r="A1072" s="104"/>
    </row>
    <row r="1073" spans="1:1">
      <c r="A1073" s="104"/>
    </row>
    <row r="1074" spans="1:1">
      <c r="A1074" s="104"/>
    </row>
    <row r="1075" spans="1:1">
      <c r="A1075" s="104"/>
    </row>
    <row r="1076" spans="1:1">
      <c r="A1076" s="104"/>
    </row>
    <row r="1077" spans="1:1">
      <c r="A1077" s="104"/>
    </row>
    <row r="1078" spans="1:1">
      <c r="A1078" s="104"/>
    </row>
    <row r="1079" spans="1:1">
      <c r="A1079" s="104"/>
    </row>
    <row r="1080" spans="1:1">
      <c r="A1080" s="104"/>
    </row>
    <row r="1081" spans="1:1">
      <c r="A1081" s="104"/>
    </row>
    <row r="1082" spans="1:1">
      <c r="A1082" s="104"/>
    </row>
    <row r="1083" spans="1:1">
      <c r="A1083" s="104"/>
    </row>
    <row r="1084" spans="1:1">
      <c r="A1084" s="104"/>
    </row>
    <row r="1085" spans="1:1">
      <c r="A1085" s="104"/>
    </row>
    <row r="1086" spans="1:1">
      <c r="A1086" s="104"/>
    </row>
    <row r="1087" spans="1:1">
      <c r="A1087" s="104"/>
    </row>
    <row r="1088" spans="1:1">
      <c r="A1088" s="104"/>
    </row>
    <row r="1089" spans="1:1">
      <c r="A1089" s="104"/>
    </row>
    <row r="1090" spans="1:1">
      <c r="A1090" s="104"/>
    </row>
    <row r="1091" spans="1:1">
      <c r="A1091" s="104"/>
    </row>
    <row r="1092" spans="1:1">
      <c r="A1092" s="104"/>
    </row>
    <row r="1093" spans="1:1">
      <c r="A1093" s="104"/>
    </row>
    <row r="1094" spans="1:1">
      <c r="A1094" s="104"/>
    </row>
    <row r="1095" spans="1:1">
      <c r="A1095" s="104"/>
    </row>
    <row r="1096" spans="1:1">
      <c r="A1096" s="104"/>
    </row>
    <row r="1097" spans="1:1">
      <c r="A1097" s="104"/>
    </row>
    <row r="1098" spans="1:1">
      <c r="A1098" s="104"/>
    </row>
    <row r="1099" spans="1:1">
      <c r="A1099" s="104"/>
    </row>
    <row r="1100" spans="1:1">
      <c r="A1100" s="104"/>
    </row>
    <row r="1101" spans="1:1">
      <c r="A1101" s="104"/>
    </row>
    <row r="1102" spans="1:1">
      <c r="A1102" s="104"/>
    </row>
    <row r="1103" spans="1:1">
      <c r="A1103" s="104"/>
    </row>
    <row r="1104" spans="1:1">
      <c r="A1104" s="104"/>
    </row>
    <row r="1105" spans="1:1">
      <c r="A1105" s="104"/>
    </row>
    <row r="1106" spans="1:1">
      <c r="A1106" s="104"/>
    </row>
    <row r="1107" spans="1:1">
      <c r="A1107" s="104"/>
    </row>
    <row r="1108" spans="1:1">
      <c r="A1108" s="104"/>
    </row>
    <row r="1109" spans="1:1">
      <c r="A1109" s="104"/>
    </row>
    <row r="1110" spans="1:1">
      <c r="A1110" s="104"/>
    </row>
    <row r="1111" spans="1:1">
      <c r="A1111" s="104"/>
    </row>
    <row r="1112" spans="1:1">
      <c r="A1112" s="104"/>
    </row>
    <row r="1113" spans="1:1">
      <c r="A1113" s="104"/>
    </row>
    <row r="1114" spans="1:1">
      <c r="A1114" s="104"/>
    </row>
    <row r="1115" spans="1:1">
      <c r="A1115" s="104"/>
    </row>
    <row r="1116" spans="1:1">
      <c r="A1116" s="104"/>
    </row>
    <row r="1117" spans="1:1">
      <c r="A1117" s="104"/>
    </row>
    <row r="1118" spans="1:1">
      <c r="A1118" s="104"/>
    </row>
    <row r="1119" spans="1:1">
      <c r="A1119" s="104"/>
    </row>
    <row r="1120" spans="1:1">
      <c r="A1120" s="104"/>
    </row>
    <row r="1121" spans="1:1">
      <c r="A1121" s="104"/>
    </row>
    <row r="1122" spans="1:1">
      <c r="A1122" s="104"/>
    </row>
    <row r="1123" spans="1:1">
      <c r="A1123" s="104"/>
    </row>
    <row r="1124" spans="1:1">
      <c r="A1124" s="104"/>
    </row>
    <row r="1125" spans="1:1">
      <c r="A1125" s="104"/>
    </row>
    <row r="1126" spans="1:1">
      <c r="A1126" s="104"/>
    </row>
    <row r="1127" spans="1:1">
      <c r="A1127" s="104"/>
    </row>
    <row r="1128" spans="1:1">
      <c r="A1128" s="104"/>
    </row>
    <row r="1129" spans="1:1">
      <c r="A1129" s="104"/>
    </row>
    <row r="1130" spans="1:1">
      <c r="A1130" s="104"/>
    </row>
    <row r="1131" spans="1:1">
      <c r="A1131" s="104"/>
    </row>
    <row r="1132" spans="1:1">
      <c r="A1132" s="104"/>
    </row>
    <row r="1133" spans="1:1">
      <c r="A1133" s="104"/>
    </row>
    <row r="1134" spans="1:1">
      <c r="A1134" s="104"/>
    </row>
    <row r="1135" spans="1:1">
      <c r="A1135" s="104"/>
    </row>
    <row r="1136" spans="1:1">
      <c r="A1136" s="104"/>
    </row>
    <row r="1137" spans="1:1">
      <c r="A1137" s="104"/>
    </row>
    <row r="1138" spans="1:1">
      <c r="A1138" s="104"/>
    </row>
    <row r="1139" spans="1:1">
      <c r="A1139" s="104"/>
    </row>
    <row r="1140" spans="1:1">
      <c r="A1140" s="104"/>
    </row>
    <row r="1141" spans="1:1">
      <c r="A1141" s="104"/>
    </row>
    <row r="1142" spans="1:1">
      <c r="A1142" s="104"/>
    </row>
    <row r="1143" spans="1:1">
      <c r="A1143" s="104"/>
    </row>
    <row r="1144" spans="1:1">
      <c r="A1144" s="104"/>
    </row>
    <row r="1145" spans="1:1">
      <c r="A1145" s="104"/>
    </row>
    <row r="1146" spans="1:1">
      <c r="A1146" s="104"/>
    </row>
    <row r="1147" spans="1:1">
      <c r="A1147" s="104"/>
    </row>
    <row r="1148" spans="1:1">
      <c r="A1148" s="104"/>
    </row>
    <row r="1149" spans="1:1">
      <c r="A1149" s="104"/>
    </row>
    <row r="1150" spans="1:1">
      <c r="A1150" s="104"/>
    </row>
    <row r="1151" spans="1:1">
      <c r="A1151" s="104"/>
    </row>
    <row r="1152" spans="1:1">
      <c r="A1152" s="104"/>
    </row>
    <row r="1153" spans="1:1">
      <c r="A1153" s="104"/>
    </row>
    <row r="1154" spans="1:1">
      <c r="A1154" s="104"/>
    </row>
    <row r="1155" spans="1:1">
      <c r="A1155" s="104"/>
    </row>
    <row r="1156" spans="1:1">
      <c r="A1156" s="104"/>
    </row>
    <row r="1157" spans="1:1">
      <c r="A1157" s="104"/>
    </row>
    <row r="1158" spans="1:1">
      <c r="A1158" s="104"/>
    </row>
    <row r="1159" spans="1:1">
      <c r="A1159" s="104"/>
    </row>
    <row r="1160" spans="1:1">
      <c r="A1160" s="104"/>
    </row>
    <row r="1161" spans="1:1">
      <c r="A1161" s="104"/>
    </row>
    <row r="1162" spans="1:1">
      <c r="A1162" s="104"/>
    </row>
    <row r="1163" spans="1:1">
      <c r="A1163" s="104"/>
    </row>
    <row r="1164" spans="1:1">
      <c r="A1164" s="104"/>
    </row>
    <row r="1165" spans="1:1">
      <c r="A1165" s="104"/>
    </row>
    <row r="1166" spans="1:1">
      <c r="A1166" s="104"/>
    </row>
    <row r="1167" spans="1:1">
      <c r="A1167" s="104"/>
    </row>
    <row r="1168" spans="1:1">
      <c r="A1168" s="104"/>
    </row>
    <row r="1169" spans="1:1">
      <c r="A1169" s="104"/>
    </row>
    <row r="1170" spans="1:1">
      <c r="A1170" s="104"/>
    </row>
    <row r="1171" spans="1:1">
      <c r="A1171" s="104"/>
    </row>
    <row r="1172" spans="1:1">
      <c r="A1172" s="104"/>
    </row>
    <row r="1173" spans="1:1">
      <c r="A1173" s="104"/>
    </row>
    <row r="1174" spans="1:1">
      <c r="A1174" s="104"/>
    </row>
    <row r="1175" spans="1:1">
      <c r="A1175" s="104"/>
    </row>
    <row r="1176" spans="1:1">
      <c r="A1176" s="104"/>
    </row>
    <row r="1177" spans="1:1">
      <c r="A1177" s="104"/>
    </row>
    <row r="1178" spans="1:1">
      <c r="A1178" s="104"/>
    </row>
    <row r="1179" spans="1:1">
      <c r="A1179" s="104"/>
    </row>
    <row r="1180" spans="1:1">
      <c r="A1180" s="104"/>
    </row>
    <row r="1181" spans="1:1">
      <c r="A1181" s="104"/>
    </row>
    <row r="1182" spans="1:1">
      <c r="A1182" s="104"/>
    </row>
    <row r="1183" spans="1:1">
      <c r="A1183" s="104"/>
    </row>
    <row r="1184" spans="1:1">
      <c r="A1184" s="104"/>
    </row>
    <row r="1185" spans="1:1">
      <c r="A1185" s="104"/>
    </row>
    <row r="1186" spans="1:1">
      <c r="A1186" s="104"/>
    </row>
    <row r="1187" spans="1:1">
      <c r="A1187" s="104"/>
    </row>
    <row r="1188" spans="1:1">
      <c r="A1188" s="104"/>
    </row>
    <row r="1189" spans="1:1">
      <c r="A1189" s="104"/>
    </row>
    <row r="1190" spans="1:1">
      <c r="A1190" s="104"/>
    </row>
    <row r="1191" spans="1:1">
      <c r="A1191" s="104"/>
    </row>
    <row r="1192" spans="1:1">
      <c r="A1192" s="104"/>
    </row>
    <row r="1193" spans="1:1">
      <c r="A1193" s="104"/>
    </row>
    <row r="1194" spans="1:1">
      <c r="A1194" s="104"/>
    </row>
    <row r="1195" spans="1:1">
      <c r="A1195" s="104"/>
    </row>
    <row r="1196" spans="1:1">
      <c r="A1196" s="104"/>
    </row>
    <row r="1197" spans="1:1">
      <c r="A1197" s="104"/>
    </row>
    <row r="1198" spans="1:1">
      <c r="A1198" s="104"/>
    </row>
    <row r="1199" spans="1:1">
      <c r="A1199" s="104"/>
    </row>
    <row r="1200" spans="1:1">
      <c r="A1200" s="104"/>
    </row>
    <row r="1201" spans="1:1">
      <c r="A1201" s="104"/>
    </row>
    <row r="1202" spans="1:1">
      <c r="A1202" s="104"/>
    </row>
    <row r="1203" spans="1:1">
      <c r="A1203" s="104"/>
    </row>
    <row r="1204" spans="1:1">
      <c r="A1204" s="104"/>
    </row>
    <row r="1205" spans="1:1">
      <c r="A1205" s="104"/>
    </row>
    <row r="1206" spans="1:1">
      <c r="A1206" s="104"/>
    </row>
    <row r="1207" spans="1:1">
      <c r="A1207" s="104"/>
    </row>
    <row r="1208" spans="1:1">
      <c r="A1208" s="104"/>
    </row>
    <row r="1209" spans="1:1">
      <c r="A1209" s="104"/>
    </row>
    <row r="1210" spans="1:1">
      <c r="A1210" s="104"/>
    </row>
    <row r="1211" spans="1:1">
      <c r="A1211" s="104"/>
    </row>
    <row r="1212" spans="1:1">
      <c r="A1212" s="104"/>
    </row>
    <row r="1213" spans="1:1">
      <c r="A1213" s="104"/>
    </row>
    <row r="1214" spans="1:1">
      <c r="A1214" s="104"/>
    </row>
    <row r="1215" spans="1:1">
      <c r="A1215" s="104"/>
    </row>
    <row r="1216" spans="1:1">
      <c r="A1216" s="104"/>
    </row>
    <row r="1217" spans="1:1">
      <c r="A1217" s="104"/>
    </row>
    <row r="1218" spans="1:1">
      <c r="A1218" s="104"/>
    </row>
    <row r="1219" spans="1:1">
      <c r="A1219" s="104"/>
    </row>
    <row r="1220" spans="1:1">
      <c r="A1220" s="104"/>
    </row>
    <row r="1221" spans="1:1">
      <c r="A1221" s="104"/>
    </row>
    <row r="1222" spans="1:1">
      <c r="A1222" s="104"/>
    </row>
    <row r="1223" spans="1:1">
      <c r="A1223" s="104"/>
    </row>
    <row r="1224" spans="1:1">
      <c r="A1224" s="104"/>
    </row>
    <row r="1225" spans="1:1">
      <c r="A1225" s="104"/>
    </row>
    <row r="1226" spans="1:1">
      <c r="A1226" s="104"/>
    </row>
    <row r="1227" spans="1:1">
      <c r="A1227" s="104"/>
    </row>
    <row r="1228" spans="1:1">
      <c r="A1228" s="104"/>
    </row>
    <row r="1229" spans="1:1">
      <c r="A1229" s="104"/>
    </row>
    <row r="1230" spans="1:1">
      <c r="A1230" s="104"/>
    </row>
    <row r="1231" spans="1:1">
      <c r="A1231" s="104"/>
    </row>
    <row r="1232" spans="1:1">
      <c r="A1232" s="104"/>
    </row>
    <row r="1233" spans="1:1">
      <c r="A1233" s="104"/>
    </row>
    <row r="1234" spans="1:1">
      <c r="A1234" s="104"/>
    </row>
    <row r="1235" spans="1:1">
      <c r="A1235" s="104"/>
    </row>
    <row r="1236" spans="1:1">
      <c r="A1236" s="104"/>
    </row>
    <row r="1237" spans="1:1">
      <c r="A1237" s="104"/>
    </row>
    <row r="1238" spans="1:1">
      <c r="A1238" s="104"/>
    </row>
    <row r="1239" spans="1:1">
      <c r="A1239" s="104"/>
    </row>
    <row r="1240" spans="1:1">
      <c r="A1240" s="104"/>
    </row>
    <row r="1241" spans="1:1">
      <c r="A1241" s="104"/>
    </row>
    <row r="1242" spans="1:1">
      <c r="A1242" s="104"/>
    </row>
    <row r="1243" spans="1:1">
      <c r="A1243" s="104"/>
    </row>
    <row r="1244" spans="1:1">
      <c r="A1244" s="104"/>
    </row>
    <row r="1245" spans="1:1">
      <c r="A1245" s="104"/>
    </row>
    <row r="1246" spans="1:1">
      <c r="A1246" s="104"/>
    </row>
    <row r="1247" spans="1:1">
      <c r="A1247" s="104"/>
    </row>
    <row r="1248" spans="1:1">
      <c r="A1248" s="104"/>
    </row>
    <row r="1249" spans="1:1">
      <c r="A1249" s="104"/>
    </row>
    <row r="1250" spans="1:1">
      <c r="A1250" s="104"/>
    </row>
    <row r="1251" spans="1:1">
      <c r="A1251" s="104"/>
    </row>
    <row r="1252" spans="1:1">
      <c r="A1252" s="104"/>
    </row>
    <row r="1253" spans="1:1">
      <c r="A1253" s="104"/>
    </row>
    <row r="1254" spans="1:1">
      <c r="A1254" s="104"/>
    </row>
    <row r="1255" spans="1:1">
      <c r="A1255" s="104"/>
    </row>
    <row r="1256" spans="1:1">
      <c r="A1256" s="104"/>
    </row>
    <row r="1257" spans="1:1">
      <c r="A1257" s="104"/>
    </row>
    <row r="1258" spans="1:1">
      <c r="A1258" s="104"/>
    </row>
    <row r="1259" spans="1:1">
      <c r="A1259" s="104"/>
    </row>
    <row r="1260" spans="1:1">
      <c r="A1260" s="104"/>
    </row>
    <row r="1261" spans="1:1">
      <c r="A1261" s="104"/>
    </row>
    <row r="1262" spans="1:1">
      <c r="A1262" s="104"/>
    </row>
    <row r="1263" spans="1:1">
      <c r="A1263" s="104"/>
    </row>
    <row r="1264" spans="1:1">
      <c r="A1264" s="104"/>
    </row>
    <row r="1265" spans="1:1">
      <c r="A1265" s="104"/>
    </row>
    <row r="1266" spans="1:1">
      <c r="A1266" s="104"/>
    </row>
    <row r="1267" spans="1:1">
      <c r="A1267" s="104"/>
    </row>
    <row r="1268" spans="1:1">
      <c r="A1268" s="104"/>
    </row>
    <row r="1269" spans="1:1">
      <c r="A1269" s="104"/>
    </row>
    <row r="1270" spans="1:1">
      <c r="A1270" s="104"/>
    </row>
    <row r="1271" spans="1:1">
      <c r="A1271" s="104"/>
    </row>
    <row r="1272" spans="1:1">
      <c r="A1272" s="104"/>
    </row>
    <row r="1273" spans="1:1">
      <c r="A1273" s="104"/>
    </row>
    <row r="1274" spans="1:1">
      <c r="A1274" s="104"/>
    </row>
    <row r="1275" spans="1:1">
      <c r="A1275" s="104"/>
    </row>
    <row r="1276" spans="1:1">
      <c r="A1276" s="104"/>
    </row>
    <row r="1277" spans="1:1">
      <c r="A1277" s="104"/>
    </row>
    <row r="1278" spans="1:1">
      <c r="A1278" s="104"/>
    </row>
    <row r="1279" spans="1:1">
      <c r="A1279" s="104"/>
    </row>
    <row r="1280" spans="1:1">
      <c r="A1280" s="104"/>
    </row>
    <row r="1281" spans="1:1">
      <c r="A1281" s="104"/>
    </row>
    <row r="1282" spans="1:1">
      <c r="A1282" s="104"/>
    </row>
    <row r="1283" spans="1:1">
      <c r="A1283" s="104"/>
    </row>
    <row r="1284" spans="1:1">
      <c r="A1284" s="104"/>
    </row>
    <row r="1285" spans="1:1">
      <c r="A1285" s="104"/>
    </row>
    <row r="1286" spans="1:1">
      <c r="A1286" s="104"/>
    </row>
    <row r="1287" spans="1:1">
      <c r="A1287" s="104"/>
    </row>
    <row r="1288" spans="1:1">
      <c r="A1288" s="104"/>
    </row>
    <row r="1289" spans="1:1">
      <c r="A1289" s="104"/>
    </row>
    <row r="1290" spans="1:1">
      <c r="A1290" s="104"/>
    </row>
    <row r="1291" spans="1:1">
      <c r="A1291" s="104"/>
    </row>
    <row r="1292" spans="1:1">
      <c r="A1292" s="104"/>
    </row>
    <row r="1293" spans="1:1">
      <c r="A1293" s="104"/>
    </row>
    <row r="1294" spans="1:1">
      <c r="A1294" s="104"/>
    </row>
    <row r="1295" spans="1:1">
      <c r="A1295" s="104"/>
    </row>
    <row r="1296" spans="1:1">
      <c r="A1296" s="104"/>
    </row>
    <row r="1297" spans="1:1">
      <c r="A1297" s="104"/>
    </row>
    <row r="1298" spans="1:1">
      <c r="A1298" s="104"/>
    </row>
    <row r="1299" spans="1:1">
      <c r="A1299" s="104"/>
    </row>
    <row r="1300" spans="1:1">
      <c r="A1300" s="104"/>
    </row>
    <row r="1301" spans="1:1">
      <c r="A1301" s="104"/>
    </row>
    <row r="1302" spans="1:1">
      <c r="A1302" s="104"/>
    </row>
    <row r="1303" spans="1:1">
      <c r="A1303" s="104"/>
    </row>
    <row r="1304" spans="1:1">
      <c r="A1304" s="104"/>
    </row>
    <row r="1305" spans="1:1">
      <c r="A1305" s="104"/>
    </row>
    <row r="1306" spans="1:1">
      <c r="A1306" s="104"/>
    </row>
    <row r="1307" spans="1:1">
      <c r="A1307" s="104"/>
    </row>
    <row r="1308" spans="1:1">
      <c r="A1308" s="104"/>
    </row>
    <row r="1309" spans="1:1">
      <c r="A1309" s="104"/>
    </row>
    <row r="1310" spans="1:1">
      <c r="A1310" s="104"/>
    </row>
    <row r="1311" spans="1:1">
      <c r="A1311" s="104"/>
    </row>
    <row r="1312" spans="1:1">
      <c r="A1312" s="104"/>
    </row>
    <row r="1313" spans="1:1">
      <c r="A1313" s="104"/>
    </row>
    <row r="1314" spans="1:1">
      <c r="A1314" s="104"/>
    </row>
    <row r="1315" spans="1:1">
      <c r="A1315" s="104"/>
    </row>
    <row r="1316" spans="1:1">
      <c r="A1316" s="104"/>
    </row>
    <row r="1317" spans="1:1">
      <c r="A1317" s="104"/>
    </row>
    <row r="1318" spans="1:1">
      <c r="A1318" s="104"/>
    </row>
    <row r="1319" spans="1:1">
      <c r="A1319" s="104"/>
    </row>
    <row r="1320" spans="1:1">
      <c r="A1320" s="104"/>
    </row>
    <row r="1321" spans="1:1">
      <c r="A1321" s="104"/>
    </row>
    <row r="1322" spans="1:1">
      <c r="A1322" s="104"/>
    </row>
    <row r="1323" spans="1:1">
      <c r="A1323" s="104"/>
    </row>
    <row r="1324" spans="1:1">
      <c r="A1324" s="104"/>
    </row>
    <row r="1325" spans="1:1">
      <c r="A1325" s="104"/>
    </row>
    <row r="1326" spans="1:1">
      <c r="A1326" s="104"/>
    </row>
  </sheetData>
  <mergeCells count="9">
    <mergeCell ref="Z8:AA8"/>
    <mergeCell ref="E7:X7"/>
    <mergeCell ref="E8:F8"/>
    <mergeCell ref="H8:I8"/>
    <mergeCell ref="K8:L8"/>
    <mergeCell ref="N8:O8"/>
    <mergeCell ref="Q8:R8"/>
    <mergeCell ref="T8:U8"/>
    <mergeCell ref="W8:X8"/>
  </mergeCells>
  <pageMargins left="0.31496062992125984" right="0.31496062992125984" top="0.74803149606299213" bottom="0.74803149606299213" header="0.31496062992125984" footer="0.31496062992125984"/>
  <pageSetup scale="55"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35"/>
  <sheetViews>
    <sheetView workbookViewId="0">
      <selection activeCell="B4" sqref="B4"/>
    </sheetView>
  </sheetViews>
  <sheetFormatPr baseColWidth="10" defaultColWidth="8.6640625" defaultRowHeight="13"/>
  <cols>
    <col min="1" max="1" width="18.1640625" style="95" customWidth="1"/>
    <col min="2" max="2" width="1.6640625" style="95" customWidth="1"/>
    <col min="3" max="3" width="17.6640625" style="95" customWidth="1"/>
    <col min="4" max="4" width="11.5" style="95" customWidth="1"/>
    <col min="5" max="5" width="2.83203125" style="95" customWidth="1"/>
    <col min="6" max="6" width="17.6640625" style="95" customWidth="1"/>
    <col min="7" max="7" width="11.5" style="95" customWidth="1"/>
    <col min="8" max="8" width="2.83203125" style="95" customWidth="1"/>
    <col min="9" max="9" width="17.6640625" style="95" customWidth="1"/>
    <col min="10" max="10" width="11.5" style="95" customWidth="1"/>
    <col min="11" max="11" width="2.33203125" style="95" customWidth="1"/>
    <col min="12" max="12" width="18.5" style="95" customWidth="1"/>
    <col min="13" max="13" width="9.1640625" style="95" customWidth="1"/>
    <col min="14" max="14" width="2.1640625" style="95" customWidth="1"/>
    <col min="15" max="15" width="18.5" style="95" customWidth="1"/>
    <col min="16" max="16" width="11.5" style="95" customWidth="1"/>
    <col min="17" max="17" width="2" style="95" customWidth="1"/>
    <col min="18" max="256" width="11.5" style="95" customWidth="1"/>
    <col min="257" max="16384" width="8.6640625" style="95"/>
  </cols>
  <sheetData>
    <row r="1" spans="1:17">
      <c r="A1" s="95" t="s">
        <v>388</v>
      </c>
    </row>
    <row r="2" spans="1:17">
      <c r="A2" s="95" t="s">
        <v>389</v>
      </c>
    </row>
    <row r="4" spans="1:17">
      <c r="A4" s="33" t="s">
        <v>1895</v>
      </c>
    </row>
    <row r="6" spans="1:17" ht="14" thickBot="1"/>
    <row r="7" spans="1:17" ht="16" customHeight="1">
      <c r="A7" s="97"/>
      <c r="B7" s="97"/>
      <c r="C7" s="788"/>
      <c r="D7" s="788"/>
      <c r="E7" s="788"/>
      <c r="F7" s="788"/>
      <c r="G7" s="788"/>
      <c r="H7" s="788"/>
      <c r="I7" s="788"/>
      <c r="J7" s="788"/>
      <c r="K7" s="788"/>
      <c r="L7" s="788"/>
      <c r="M7" s="788"/>
      <c r="N7" s="788"/>
      <c r="O7" s="788"/>
      <c r="P7" s="788"/>
      <c r="Q7" s="788"/>
    </row>
    <row r="8" spans="1:17" ht="16" customHeight="1">
      <c r="A8" s="116" t="s">
        <v>632</v>
      </c>
      <c r="B8" s="116"/>
      <c r="C8" s="1028" t="s">
        <v>619</v>
      </c>
      <c r="D8" s="1028"/>
      <c r="E8" s="789"/>
      <c r="F8" s="1028" t="s">
        <v>620</v>
      </c>
      <c r="G8" s="1028"/>
      <c r="H8" s="789"/>
      <c r="I8" s="1032" t="s">
        <v>621</v>
      </c>
      <c r="J8" s="1028"/>
      <c r="K8" s="789"/>
      <c r="L8" s="1032" t="s">
        <v>622</v>
      </c>
      <c r="M8" s="1028"/>
      <c r="N8" s="789"/>
      <c r="O8" s="1032" t="s">
        <v>1872</v>
      </c>
      <c r="P8" s="1028"/>
      <c r="Q8" s="789"/>
    </row>
    <row r="9" spans="1:17" ht="16" customHeight="1">
      <c r="A9" s="116"/>
      <c r="B9" s="116"/>
      <c r="C9" s="130" t="s">
        <v>152</v>
      </c>
      <c r="D9" s="130" t="s">
        <v>153</v>
      </c>
      <c r="E9" s="789"/>
      <c r="F9" s="130" t="s">
        <v>152</v>
      </c>
      <c r="G9" s="130" t="s">
        <v>153</v>
      </c>
      <c r="H9" s="789"/>
      <c r="I9" s="130" t="s">
        <v>152</v>
      </c>
      <c r="J9" s="130" t="s">
        <v>153</v>
      </c>
      <c r="K9" s="789"/>
      <c r="L9" s="130" t="s">
        <v>152</v>
      </c>
      <c r="M9" s="130" t="s">
        <v>153</v>
      </c>
      <c r="N9" s="789"/>
      <c r="O9" s="130" t="s">
        <v>152</v>
      </c>
      <c r="P9" s="130" t="s">
        <v>153</v>
      </c>
      <c r="Q9" s="789"/>
    </row>
    <row r="10" spans="1:17" ht="16" customHeight="1" thickBot="1">
      <c r="A10" s="102"/>
      <c r="B10" s="102"/>
      <c r="C10" s="128"/>
      <c r="D10" s="128"/>
      <c r="E10" s="128"/>
      <c r="F10" s="128"/>
      <c r="G10" s="128"/>
      <c r="H10" s="128"/>
      <c r="I10" s="128"/>
      <c r="J10" s="128"/>
      <c r="K10" s="128"/>
      <c r="L10" s="128"/>
      <c r="M10" s="128"/>
      <c r="N10" s="128"/>
      <c r="O10" s="128"/>
      <c r="P10" s="128"/>
      <c r="Q10" s="128"/>
    </row>
    <row r="11" spans="1:17" ht="16" customHeight="1">
      <c r="A11" s="116"/>
      <c r="B11" s="116"/>
    </row>
    <row r="12" spans="1:17" ht="16" customHeight="1">
      <c r="A12" s="68" t="s">
        <v>623</v>
      </c>
      <c r="B12" s="116"/>
      <c r="C12" s="765">
        <f>C14+C16+C18+C20+C23+C25+C28+C31</f>
        <v>237649636667.08002</v>
      </c>
      <c r="D12" s="122">
        <f>D14+D16+D18+D20+D23+D25+D31+D28</f>
        <v>99.999999999999986</v>
      </c>
      <c r="F12" s="765">
        <f>F14+F16+F18+F20+F23+F25+F28+F31</f>
        <v>259295848684.91995</v>
      </c>
      <c r="G12" s="122">
        <f>G14+G16+G18+G20+G23+G25+G31+G28</f>
        <v>100.00000000000001</v>
      </c>
      <c r="I12" s="765">
        <f>I14+I16+I18+I20+I23+I25+I28+I31</f>
        <v>286035200279.58002</v>
      </c>
      <c r="J12" s="122">
        <f>J14+J16+J18+J20+J23+J25+J31+J28</f>
        <v>100</v>
      </c>
      <c r="L12" s="765">
        <f>L14+L16+L18+L20+L23+L25+L28+L31</f>
        <v>325363025056.57007</v>
      </c>
      <c r="M12" s="122">
        <f>M14+M16+M18+M20+M23+M25+M31+M28</f>
        <v>99.999999999999972</v>
      </c>
      <c r="O12" s="765">
        <f>O14+O16+O18+O20+O23+O25+O28+O31</f>
        <v>321058482945.46002</v>
      </c>
      <c r="P12" s="122">
        <f>P14+P16+P18+P20+P23+P25+P31+P28</f>
        <v>99.999999999999986</v>
      </c>
    </row>
    <row r="13" spans="1:17" ht="16" customHeight="1">
      <c r="A13" s="116"/>
      <c r="B13" s="116"/>
      <c r="C13" s="111"/>
      <c r="D13" s="122"/>
      <c r="F13" s="111"/>
      <c r="G13" s="122"/>
      <c r="I13" s="111"/>
      <c r="J13" s="122"/>
      <c r="L13" s="111"/>
      <c r="M13" s="122"/>
      <c r="O13" s="111"/>
      <c r="P13" s="122"/>
    </row>
    <row r="14" spans="1:17" ht="16" customHeight="1">
      <c r="A14" s="106" t="s">
        <v>624</v>
      </c>
      <c r="B14" s="106"/>
      <c r="C14" s="122">
        <v>221230456818.20999</v>
      </c>
      <c r="D14" s="110">
        <f>C14/C$12*100</f>
        <v>93.091014116772484</v>
      </c>
      <c r="F14" s="122">
        <v>240251908562.79999</v>
      </c>
      <c r="G14" s="110">
        <f>F14/F$12*100</f>
        <v>92.655516770243025</v>
      </c>
      <c r="I14" s="104">
        <v>261358615128.76001</v>
      </c>
      <c r="J14" s="110">
        <f>I14/I$12*100</f>
        <v>91.372885181019569</v>
      </c>
      <c r="L14" s="104">
        <v>290470086992.28998</v>
      </c>
      <c r="M14" s="110">
        <f>L14/L$12*100</f>
        <v>89.275690420503878</v>
      </c>
      <c r="O14" s="122">
        <v>301962140829.41003</v>
      </c>
      <c r="P14" s="110">
        <f>O14/O$12*100</f>
        <v>94.05206741748232</v>
      </c>
    </row>
    <row r="15" spans="1:17" ht="16" customHeight="1">
      <c r="A15" s="106"/>
      <c r="B15" s="106"/>
      <c r="C15" s="122"/>
      <c r="D15" s="86"/>
      <c r="F15" s="122"/>
      <c r="G15" s="110"/>
      <c r="J15" s="110"/>
      <c r="L15" s="129"/>
      <c r="M15" s="110"/>
      <c r="O15" s="129"/>
      <c r="P15" s="110"/>
    </row>
    <row r="16" spans="1:17" ht="16" customHeight="1">
      <c r="A16" s="127" t="s">
        <v>627</v>
      </c>
      <c r="B16" s="106"/>
      <c r="C16" s="122">
        <v>2143831525.2799997</v>
      </c>
      <c r="D16" s="110">
        <f t="shared" ref="D16:D31" si="0">C16/C$12*100</f>
        <v>0.90209753961596106</v>
      </c>
      <c r="F16" s="122">
        <v>2338806136.2999997</v>
      </c>
      <c r="G16" s="110">
        <f t="shared" ref="G16:G31" si="1">F16/F$12*100</f>
        <v>0.90198364075699877</v>
      </c>
      <c r="I16" s="104">
        <v>2969385662.1300001</v>
      </c>
      <c r="J16" s="110">
        <f t="shared" ref="J16:J31" si="2">I16/I$12*100</f>
        <v>1.0381189655076113</v>
      </c>
      <c r="L16" s="104">
        <v>3149862869.8400002</v>
      </c>
      <c r="M16" s="110">
        <f t="shared" ref="M16:M31" si="3">L16/L$12*100</f>
        <v>0.96810719942511636</v>
      </c>
      <c r="O16" s="122">
        <v>2937924955.04</v>
      </c>
      <c r="P16" s="110">
        <f t="shared" ref="P16:P31" si="4">O16/O$12*100</f>
        <v>0.91507470168264682</v>
      </c>
    </row>
    <row r="17" spans="1:17" ht="16" customHeight="1">
      <c r="A17" s="106"/>
      <c r="B17" s="106"/>
      <c r="C17" s="122"/>
      <c r="D17" s="110"/>
      <c r="F17" s="122"/>
      <c r="G17" s="110"/>
      <c r="J17" s="110"/>
      <c r="L17" s="129"/>
      <c r="M17" s="110"/>
      <c r="O17" s="129"/>
      <c r="P17" s="110"/>
    </row>
    <row r="18" spans="1:17" ht="16" customHeight="1">
      <c r="A18" s="127" t="s">
        <v>634</v>
      </c>
      <c r="B18" s="106"/>
      <c r="C18" s="122">
        <v>5554453492.8899994</v>
      </c>
      <c r="D18" s="110">
        <f t="shared" si="0"/>
        <v>2.337244681198968</v>
      </c>
      <c r="F18" s="122">
        <v>6880164808.6100006</v>
      </c>
      <c r="G18" s="110">
        <f t="shared" si="1"/>
        <v>2.6534033782277575</v>
      </c>
      <c r="I18" s="104">
        <v>7179178290.2600002</v>
      </c>
      <c r="J18" s="110">
        <f t="shared" si="2"/>
        <v>2.509893286995041</v>
      </c>
      <c r="L18" s="104">
        <v>6486294127.3399992</v>
      </c>
      <c r="M18" s="110">
        <f t="shared" si="3"/>
        <v>1.993556006006596</v>
      </c>
      <c r="O18" s="122">
        <v>6538501880.79</v>
      </c>
      <c r="P18" s="110">
        <f t="shared" si="4"/>
        <v>2.0365454358359787</v>
      </c>
    </row>
    <row r="19" spans="1:17" ht="16" customHeight="1">
      <c r="A19" s="106"/>
      <c r="B19" s="106"/>
      <c r="C19" s="122"/>
      <c r="D19" s="110"/>
      <c r="F19" s="122"/>
      <c r="G19" s="110"/>
      <c r="J19" s="110"/>
      <c r="M19" s="110"/>
      <c r="P19" s="110"/>
    </row>
    <row r="20" spans="1:17" ht="16" customHeight="1">
      <c r="A20" s="127" t="s">
        <v>635</v>
      </c>
      <c r="B20" s="106"/>
      <c r="C20" s="122">
        <v>418834932.53999996</v>
      </c>
      <c r="D20" s="110">
        <f t="shared" si="0"/>
        <v>0.17624051036389329</v>
      </c>
      <c r="F20" s="122">
        <v>449521973.65999997</v>
      </c>
      <c r="G20" s="110">
        <f t="shared" si="1"/>
        <v>0.17336258021092768</v>
      </c>
      <c r="I20" s="104">
        <v>431049872.37</v>
      </c>
      <c r="J20" s="110">
        <f t="shared" si="2"/>
        <v>0.15069819097393536</v>
      </c>
      <c r="L20" s="104">
        <v>567942418.96000004</v>
      </c>
      <c r="M20" s="110">
        <f t="shared" si="3"/>
        <v>0.17455653384746264</v>
      </c>
      <c r="O20" s="122">
        <v>435559944.24000001</v>
      </c>
      <c r="P20" s="110">
        <f t="shared" si="4"/>
        <v>0.13566373959164038</v>
      </c>
    </row>
    <row r="21" spans="1:17" ht="16" customHeight="1">
      <c r="A21" s="106"/>
      <c r="B21" s="106"/>
      <c r="C21" s="122"/>
      <c r="D21" s="110"/>
      <c r="F21" s="122"/>
      <c r="G21" s="110"/>
      <c r="J21" s="110"/>
      <c r="L21" s="104"/>
      <c r="M21" s="110"/>
      <c r="O21" s="104"/>
      <c r="P21" s="110"/>
    </row>
    <row r="22" spans="1:17" ht="16" customHeight="1">
      <c r="A22" s="106" t="s">
        <v>641</v>
      </c>
      <c r="B22" s="106"/>
      <c r="C22" s="122"/>
      <c r="D22" s="110"/>
      <c r="F22" s="122"/>
      <c r="G22" s="110"/>
      <c r="J22" s="110"/>
      <c r="M22" s="110"/>
      <c r="O22" s="104"/>
      <c r="P22" s="110"/>
    </row>
    <row r="23" spans="1:17" ht="16" customHeight="1">
      <c r="A23" s="127" t="s">
        <v>642</v>
      </c>
      <c r="B23" s="106"/>
      <c r="C23" s="122">
        <v>2226235013.3400002</v>
      </c>
      <c r="D23" s="110">
        <f t="shared" si="0"/>
        <v>0.93677189856540832</v>
      </c>
      <c r="F23" s="122">
        <v>2333809208.4899998</v>
      </c>
      <c r="G23" s="110">
        <f t="shared" si="1"/>
        <v>0.90005652629090038</v>
      </c>
      <c r="I23" s="104">
        <v>2236611668.5700002</v>
      </c>
      <c r="J23" s="110">
        <f t="shared" si="2"/>
        <v>0.78193581292927017</v>
      </c>
      <c r="L23" s="104">
        <v>2233616509.5100002</v>
      </c>
      <c r="M23" s="110">
        <f t="shared" si="3"/>
        <v>0.68649979791700266</v>
      </c>
      <c r="O23" s="122">
        <v>2401677094.3800001</v>
      </c>
      <c r="P23" s="110">
        <f t="shared" si="4"/>
        <v>0.74804972363492617</v>
      </c>
    </row>
    <row r="24" spans="1:17" ht="16" customHeight="1">
      <c r="A24" s="106"/>
      <c r="B24" s="106"/>
      <c r="C24" s="122"/>
      <c r="D24" s="110"/>
      <c r="F24" s="122"/>
      <c r="G24" s="110"/>
      <c r="J24" s="110"/>
      <c r="M24" s="110"/>
      <c r="O24" s="104"/>
      <c r="P24" s="110"/>
    </row>
    <row r="25" spans="1:17" ht="16" customHeight="1">
      <c r="A25" s="127" t="s">
        <v>637</v>
      </c>
      <c r="B25" s="106"/>
      <c r="C25" s="122">
        <v>980302818.13</v>
      </c>
      <c r="D25" s="110">
        <f t="shared" si="0"/>
        <v>0.41249918656652196</v>
      </c>
      <c r="F25" s="122">
        <v>971722662.4000001</v>
      </c>
      <c r="G25" s="110">
        <f t="shared" si="1"/>
        <v>0.37475442330770842</v>
      </c>
      <c r="I25" s="104">
        <v>1429602831.3800001</v>
      </c>
      <c r="J25" s="110">
        <f t="shared" si="2"/>
        <v>0.49979961556572761</v>
      </c>
      <c r="L25" s="104">
        <v>1988656395.5900002</v>
      </c>
      <c r="M25" s="110">
        <f t="shared" si="3"/>
        <v>0.61121155215600709</v>
      </c>
      <c r="O25" s="122">
        <v>2246480806.8200002</v>
      </c>
      <c r="P25" s="110">
        <f t="shared" si="4"/>
        <v>0.69971077736688314</v>
      </c>
    </row>
    <row r="26" spans="1:17" ht="16" customHeight="1">
      <c r="A26" s="106"/>
      <c r="B26" s="106"/>
      <c r="C26" s="122"/>
      <c r="D26" s="110"/>
      <c r="F26" s="122"/>
      <c r="G26" s="110"/>
      <c r="J26" s="110"/>
      <c r="L26" s="104"/>
      <c r="M26" s="110"/>
      <c r="O26" s="104"/>
      <c r="P26" s="110"/>
    </row>
    <row r="27" spans="1:17" ht="16" customHeight="1">
      <c r="A27" s="106" t="s">
        <v>643</v>
      </c>
      <c r="B27" s="106"/>
      <c r="C27" s="122"/>
      <c r="D27" s="110"/>
      <c r="F27" s="122"/>
      <c r="G27" s="110"/>
      <c r="J27" s="110"/>
      <c r="M27" s="110"/>
      <c r="O27" s="104"/>
      <c r="P27" s="110"/>
    </row>
    <row r="28" spans="1:17" ht="16" customHeight="1">
      <c r="A28" s="127" t="s">
        <v>644</v>
      </c>
      <c r="B28" s="106"/>
      <c r="C28" s="122">
        <v>3944464278.9100003</v>
      </c>
      <c r="D28" s="110">
        <f t="shared" si="0"/>
        <v>1.6597813210359518</v>
      </c>
      <c r="F28" s="122">
        <v>3426981738.7600002</v>
      </c>
      <c r="G28" s="110">
        <f t="shared" si="1"/>
        <v>1.3216492883093758</v>
      </c>
      <c r="I28" s="104">
        <v>3120028412.0499997</v>
      </c>
      <c r="J28" s="110">
        <f t="shared" si="2"/>
        <v>1.0907847736923229</v>
      </c>
      <c r="L28" s="104">
        <v>9957071691.6899986</v>
      </c>
      <c r="M28" s="110">
        <f t="shared" si="3"/>
        <v>3.0602960154918608</v>
      </c>
      <c r="O28" s="122">
        <v>4536197434.7799997</v>
      </c>
      <c r="P28" s="110">
        <f t="shared" si="4"/>
        <v>1.4128882044056095</v>
      </c>
    </row>
    <row r="29" spans="1:17" ht="16" customHeight="1">
      <c r="A29" s="127"/>
      <c r="B29" s="106"/>
      <c r="C29" s="122"/>
      <c r="D29" s="110"/>
      <c r="F29" s="122"/>
      <c r="G29" s="110"/>
      <c r="J29" s="110"/>
      <c r="L29" s="104"/>
      <c r="M29" s="110"/>
      <c r="O29" s="104"/>
      <c r="P29" s="110"/>
    </row>
    <row r="30" spans="1:17" ht="16" customHeight="1">
      <c r="A30" s="127" t="s">
        <v>645</v>
      </c>
      <c r="B30" s="106"/>
      <c r="C30" s="122"/>
      <c r="D30" s="110"/>
      <c r="F30" s="122"/>
      <c r="G30" s="110"/>
      <c r="J30" s="110"/>
      <c r="M30" s="110"/>
      <c r="P30" s="110"/>
    </row>
    <row r="31" spans="1:17" ht="16" customHeight="1">
      <c r="A31" s="127" t="s">
        <v>646</v>
      </c>
      <c r="B31" s="106"/>
      <c r="C31" s="122">
        <v>1151057787.78</v>
      </c>
      <c r="D31" s="110">
        <f t="shared" si="0"/>
        <v>0.48435074588079441</v>
      </c>
      <c r="F31" s="122">
        <v>2642933593.9000001</v>
      </c>
      <c r="G31" s="110">
        <f t="shared" si="1"/>
        <v>1.0192733926533188</v>
      </c>
      <c r="I31" s="104">
        <v>7310728414.0599995</v>
      </c>
      <c r="J31" s="110">
        <f t="shared" si="2"/>
        <v>2.555884173316521</v>
      </c>
      <c r="L31" s="104">
        <v>10509494051.35</v>
      </c>
      <c r="M31" s="110">
        <f t="shared" si="3"/>
        <v>3.2300824746520416</v>
      </c>
      <c r="O31" s="104"/>
      <c r="P31" s="110">
        <f t="shared" si="4"/>
        <v>0</v>
      </c>
    </row>
    <row r="32" spans="1:17" ht="16" customHeight="1" thickBot="1">
      <c r="C32" s="129"/>
      <c r="D32" s="129"/>
      <c r="E32" s="129"/>
      <c r="F32" s="129"/>
      <c r="G32" s="129"/>
      <c r="H32" s="129"/>
      <c r="I32" s="129"/>
      <c r="J32" s="129"/>
      <c r="K32" s="129"/>
      <c r="L32" s="129"/>
      <c r="M32" s="129"/>
      <c r="N32" s="129"/>
      <c r="O32" s="129"/>
      <c r="P32" s="129"/>
      <c r="Q32" s="129"/>
    </row>
    <row r="33" spans="1:17" ht="13.25" customHeight="1">
      <c r="A33" s="97"/>
      <c r="B33" s="97"/>
      <c r="C33" s="788"/>
      <c r="D33" s="788"/>
      <c r="E33" s="788"/>
      <c r="F33" s="788"/>
      <c r="G33" s="788"/>
      <c r="H33" s="788"/>
      <c r="I33" s="788"/>
      <c r="J33" s="788"/>
      <c r="K33" s="788"/>
      <c r="L33" s="788"/>
      <c r="M33" s="788"/>
      <c r="N33" s="788"/>
      <c r="O33" s="788"/>
      <c r="P33" s="788"/>
      <c r="Q33" s="788"/>
    </row>
    <row r="34" spans="1:17">
      <c r="A34" s="14" t="s">
        <v>1896</v>
      </c>
      <c r="B34" s="111"/>
    </row>
    <row r="35" spans="1:17">
      <c r="A35" s="95" t="s">
        <v>452</v>
      </c>
    </row>
  </sheetData>
  <mergeCells count="5">
    <mergeCell ref="C8:D8"/>
    <mergeCell ref="F8:G8"/>
    <mergeCell ref="I8:J8"/>
    <mergeCell ref="L8:M8"/>
    <mergeCell ref="O8:P8"/>
  </mergeCells>
  <pageMargins left="0.70866141732283472" right="0.70866141732283472" top="0.74803149606299213" bottom="0.74803149606299213" header="0.31496062992125984" footer="0.31496062992125984"/>
  <pageSetup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B28"/>
  <sheetViews>
    <sheetView tabSelected="1" workbookViewId="0">
      <selection activeCell="A5" sqref="A5"/>
    </sheetView>
  </sheetViews>
  <sheetFormatPr baseColWidth="10" defaultRowHeight="15"/>
  <cols>
    <col min="1" max="1" width="13.6640625" customWidth="1"/>
    <col min="2" max="2" width="109.5" customWidth="1"/>
  </cols>
  <sheetData>
    <row r="1" spans="1:2" ht="16">
      <c r="A1" s="5" t="s">
        <v>126</v>
      </c>
    </row>
    <row r="2" spans="1:2" ht="16">
      <c r="A2" s="7" t="s">
        <v>650</v>
      </c>
    </row>
    <row r="3" spans="1:2">
      <c r="A3" s="8"/>
    </row>
    <row r="4" spans="1:2" ht="16">
      <c r="A4" s="7" t="s">
        <v>651</v>
      </c>
    </row>
    <row r="5" spans="1:2" ht="17">
      <c r="A5" s="9" t="s">
        <v>652</v>
      </c>
      <c r="B5" s="10" t="s">
        <v>1898</v>
      </c>
    </row>
    <row r="6" spans="1:2">
      <c r="A6" s="8"/>
    </row>
    <row r="7" spans="1:2" ht="16">
      <c r="A7" s="7" t="s">
        <v>653</v>
      </c>
    </row>
    <row r="8" spans="1:2" ht="17">
      <c r="A8" s="9" t="s">
        <v>654</v>
      </c>
      <c r="B8" s="10" t="s">
        <v>1899</v>
      </c>
    </row>
    <row r="9" spans="1:2" ht="17">
      <c r="A9" s="9" t="s">
        <v>655</v>
      </c>
      <c r="B9" s="10" t="s">
        <v>1900</v>
      </c>
    </row>
    <row r="10" spans="1:2" ht="17">
      <c r="A10" s="9" t="s">
        <v>656</v>
      </c>
      <c r="B10" s="10" t="s">
        <v>1901</v>
      </c>
    </row>
    <row r="11" spans="1:2" ht="17">
      <c r="A11" s="9" t="s">
        <v>657</v>
      </c>
      <c r="B11" s="10" t="s">
        <v>2220</v>
      </c>
    </row>
    <row r="12" spans="1:2" ht="17">
      <c r="A12" s="9" t="s">
        <v>658</v>
      </c>
      <c r="B12" s="10" t="s">
        <v>1902</v>
      </c>
    </row>
    <row r="13" spans="1:2" ht="17">
      <c r="A13" s="9" t="s">
        <v>659</v>
      </c>
      <c r="B13" s="10" t="s">
        <v>2221</v>
      </c>
    </row>
    <row r="14" spans="1:2" ht="17">
      <c r="A14" s="9" t="s">
        <v>660</v>
      </c>
      <c r="B14" s="10" t="s">
        <v>1903</v>
      </c>
    </row>
    <row r="15" spans="1:2" ht="17">
      <c r="A15" s="9" t="s">
        <v>661</v>
      </c>
      <c r="B15" s="10" t="s">
        <v>2223</v>
      </c>
    </row>
    <row r="16" spans="1:2" ht="17">
      <c r="A16" s="9" t="s">
        <v>662</v>
      </c>
      <c r="B16" s="10" t="s">
        <v>1904</v>
      </c>
    </row>
    <row r="17" spans="1:2" ht="17">
      <c r="A17" s="9" t="s">
        <v>663</v>
      </c>
      <c r="B17" s="10" t="s">
        <v>2222</v>
      </c>
    </row>
    <row r="18" spans="1:2" ht="17">
      <c r="A18" s="9" t="s">
        <v>664</v>
      </c>
      <c r="B18" s="10" t="s">
        <v>1905</v>
      </c>
    </row>
    <row r="19" spans="1:2" ht="17">
      <c r="A19" s="9" t="s">
        <v>665</v>
      </c>
      <c r="B19" s="10" t="s">
        <v>1906</v>
      </c>
    </row>
    <row r="20" spans="1:2" ht="17">
      <c r="A20" s="9" t="s">
        <v>666</v>
      </c>
      <c r="B20" s="10" t="s">
        <v>1907</v>
      </c>
    </row>
    <row r="21" spans="1:2" ht="17">
      <c r="A21" s="9" t="s">
        <v>667</v>
      </c>
      <c r="B21" s="10" t="s">
        <v>1908</v>
      </c>
    </row>
    <row r="22" spans="1:2">
      <c r="A22" s="8"/>
    </row>
    <row r="23" spans="1:2" ht="16">
      <c r="A23" s="7" t="s">
        <v>668</v>
      </c>
    </row>
    <row r="24" spans="1:2" ht="17">
      <c r="A24" s="9" t="s">
        <v>669</v>
      </c>
      <c r="B24" s="10" t="s">
        <v>1909</v>
      </c>
    </row>
    <row r="25" spans="1:2" ht="17">
      <c r="A25" s="9" t="s">
        <v>670</v>
      </c>
      <c r="B25" s="10" t="s">
        <v>1910</v>
      </c>
    </row>
    <row r="26" spans="1:2" ht="17">
      <c r="A26" s="9" t="s">
        <v>671</v>
      </c>
      <c r="B26" s="10" t="s">
        <v>2232</v>
      </c>
    </row>
    <row r="27" spans="1:2" ht="17">
      <c r="A27" s="9" t="s">
        <v>672</v>
      </c>
      <c r="B27" s="11" t="s">
        <v>1911</v>
      </c>
    </row>
    <row r="28" spans="1:2">
      <c r="A28" s="8"/>
    </row>
  </sheetData>
  <pageMargins left="0.70866141732283472" right="0.70866141732283472" top="0.74803149606299213" bottom="0.74803149606299213" header="0.31496062992125984" footer="0.31496062992125984"/>
  <pageSetup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heetViews>
  <sheetFormatPr baseColWidth="10" defaultColWidth="8.83203125" defaultRowHeight="10.5" customHeight="1"/>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ht="10.5" customHeight="1">
      <c r="A1" s="111" t="s">
        <v>144</v>
      </c>
    </row>
    <row r="2" spans="1:14" ht="10.5" customHeight="1">
      <c r="A2" s="111" t="s">
        <v>145</v>
      </c>
    </row>
    <row r="4" spans="1:14" ht="10.5" customHeight="1">
      <c r="A4" s="14" t="s">
        <v>1912</v>
      </c>
    </row>
    <row r="5" spans="1:14" ht="10.5" customHeight="1" thickBot="1"/>
    <row r="6" spans="1:14" ht="10.5" customHeight="1">
      <c r="A6" s="114"/>
      <c r="B6" s="97"/>
      <c r="C6" s="133"/>
      <c r="D6" s="114"/>
      <c r="E6" s="114"/>
      <c r="F6" s="133"/>
      <c r="G6" s="133"/>
      <c r="H6" s="133"/>
      <c r="I6" s="133"/>
      <c r="J6" s="133"/>
      <c r="K6" s="133"/>
      <c r="L6" s="133"/>
      <c r="M6" s="133"/>
    </row>
    <row r="7" spans="1:14" ht="10.5" customHeight="1">
      <c r="C7" s="1012" t="s">
        <v>146</v>
      </c>
      <c r="D7" s="1012"/>
      <c r="E7" s="1012"/>
      <c r="F7" s="1012"/>
      <c r="G7" s="1012"/>
      <c r="H7" s="1012"/>
      <c r="I7" s="1012"/>
      <c r="J7" s="1012"/>
      <c r="K7" s="1012"/>
      <c r="L7" s="1012"/>
      <c r="M7" s="1012"/>
      <c r="N7" s="16"/>
    </row>
    <row r="8" spans="1:14" ht="10.5" customHeight="1">
      <c r="A8" s="17" t="s">
        <v>147</v>
      </c>
      <c r="C8" s="1013" t="s">
        <v>148</v>
      </c>
      <c r="D8" s="1013"/>
      <c r="F8" s="18" t="s">
        <v>149</v>
      </c>
      <c r="G8" s="773"/>
      <c r="H8" s="19"/>
      <c r="I8" s="18" t="s">
        <v>150</v>
      </c>
      <c r="J8" s="773"/>
      <c r="K8" s="19"/>
      <c r="L8" s="18" t="s">
        <v>151</v>
      </c>
      <c r="M8" s="773"/>
      <c r="N8" s="16"/>
    </row>
    <row r="9" spans="1:14" ht="10.5" customHeight="1">
      <c r="C9" s="20" t="s">
        <v>152</v>
      </c>
      <c r="D9" s="21" t="s">
        <v>153</v>
      </c>
      <c r="F9" s="21" t="s">
        <v>152</v>
      </c>
      <c r="G9" s="21" t="s">
        <v>153</v>
      </c>
      <c r="I9" s="21" t="s">
        <v>152</v>
      </c>
      <c r="J9" s="21" t="s">
        <v>153</v>
      </c>
      <c r="L9" s="21" t="s">
        <v>152</v>
      </c>
      <c r="M9" s="21" t="s">
        <v>153</v>
      </c>
      <c r="N9" s="22"/>
    </row>
    <row r="10" spans="1:14" ht="10.5" customHeight="1" thickBot="1">
      <c r="A10" s="124"/>
      <c r="B10" s="102"/>
      <c r="C10" s="136"/>
      <c r="D10" s="124"/>
      <c r="E10" s="124"/>
      <c r="F10" s="136"/>
      <c r="G10" s="136"/>
      <c r="H10" s="136"/>
      <c r="I10" s="136"/>
      <c r="J10" s="136"/>
      <c r="K10" s="136"/>
      <c r="L10" s="136"/>
      <c r="M10" s="136"/>
    </row>
    <row r="12" spans="1:14" ht="10.5" customHeight="1">
      <c r="A12" s="17" t="s">
        <v>80</v>
      </c>
      <c r="C12" s="112">
        <f>IF($A12&lt;&gt;0,F12+I12+L12,"")</f>
        <v>3313.0612222222221</v>
      </c>
      <c r="D12" s="139">
        <f>IF($A12&lt;&gt;0,G12+J12+M12,"")</f>
        <v>100</v>
      </c>
      <c r="F12" s="112">
        <f>SUM(F14+F106)</f>
        <v>2597.9362222222221</v>
      </c>
      <c r="G12" s="112">
        <f>IF($A12&lt;&gt;0,F12/$C12*100,"")</f>
        <v>78.414977809545789</v>
      </c>
      <c r="I12" s="112">
        <f>SUM(I14+I106)</f>
        <v>234.875</v>
      </c>
      <c r="J12" s="112">
        <f t="shared" ref="J12:J75" si="0">IF($A12&lt;&gt;0,I12/$C12*100,"")</f>
        <v>7.0893649179974583</v>
      </c>
      <c r="L12" s="112">
        <f>SUM(L14+L106)</f>
        <v>480.25</v>
      </c>
      <c r="M12" s="112">
        <f t="shared" ref="M12:M75" si="1">IF($A12&lt;&gt;0,L12/$C12*100,"")</f>
        <v>14.49565727245675</v>
      </c>
    </row>
    <row r="13" spans="1:14" ht="10.5"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ht="10.5" customHeight="1">
      <c r="A14" s="17" t="s">
        <v>403</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10.5" customHeight="1">
      <c r="C15" s="112" t="str">
        <f t="shared" si="2"/>
        <v/>
      </c>
      <c r="D15" s="139" t="str">
        <f t="shared" si="2"/>
        <v/>
      </c>
      <c r="G15" s="112" t="str">
        <f t="shared" si="3"/>
        <v/>
      </c>
      <c r="J15" s="112" t="str">
        <f t="shared" si="0"/>
        <v/>
      </c>
      <c r="L15" s="112" t="s">
        <v>154</v>
      </c>
      <c r="M15" s="112" t="str">
        <f t="shared" si="1"/>
        <v/>
      </c>
    </row>
    <row r="16" spans="1:14" ht="10.5" customHeight="1">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ht="10.5" customHeight="1">
      <c r="C17" s="112" t="str">
        <f t="shared" si="2"/>
        <v/>
      </c>
      <c r="D17" s="139" t="str">
        <f t="shared" si="2"/>
        <v/>
      </c>
      <c r="G17" s="112" t="str">
        <f t="shared" si="3"/>
        <v/>
      </c>
      <c r="J17" s="112" t="str">
        <f t="shared" si="0"/>
        <v/>
      </c>
      <c r="L17" s="112" t="s">
        <v>154</v>
      </c>
      <c r="M17" s="112" t="str">
        <f t="shared" si="1"/>
        <v/>
      </c>
    </row>
    <row r="18" spans="1:13" ht="10.5" customHeight="1">
      <c r="A18" s="111" t="s">
        <v>156</v>
      </c>
      <c r="B18" s="111"/>
      <c r="C18" s="112">
        <f t="shared" si="2"/>
        <v>10.5</v>
      </c>
      <c r="D18" s="139">
        <f t="shared" si="2"/>
        <v>100</v>
      </c>
      <c r="F18" s="112">
        <v>10.5</v>
      </c>
      <c r="G18" s="112">
        <f t="shared" si="3"/>
        <v>100</v>
      </c>
      <c r="I18" s="112">
        <v>0</v>
      </c>
      <c r="J18" s="112">
        <f t="shared" si="0"/>
        <v>0</v>
      </c>
      <c r="L18" s="112">
        <v>0</v>
      </c>
      <c r="M18" s="112">
        <f t="shared" si="1"/>
        <v>0</v>
      </c>
    </row>
    <row r="19" spans="1:13" ht="10.5" customHeight="1">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ht="10.5" customHeight="1">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ht="10.5" customHeight="1">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ht="10.5" customHeight="1">
      <c r="A22" s="111" t="s">
        <v>160</v>
      </c>
      <c r="B22" s="111"/>
      <c r="C22" s="112">
        <f t="shared" si="2"/>
        <v>3.75</v>
      </c>
      <c r="D22" s="139">
        <f t="shared" si="2"/>
        <v>100</v>
      </c>
      <c r="F22" s="112">
        <v>3.75</v>
      </c>
      <c r="G22" s="112">
        <f t="shared" si="3"/>
        <v>100</v>
      </c>
      <c r="I22" s="112">
        <v>0</v>
      </c>
      <c r="J22" s="112">
        <f t="shared" si="0"/>
        <v>0</v>
      </c>
      <c r="L22" s="112">
        <v>0</v>
      </c>
      <c r="M22" s="112">
        <f t="shared" si="1"/>
        <v>0</v>
      </c>
    </row>
    <row r="23" spans="1:13" ht="10.5" customHeight="1">
      <c r="C23" s="112" t="str">
        <f t="shared" si="2"/>
        <v/>
      </c>
      <c r="D23" s="139" t="str">
        <f t="shared" si="2"/>
        <v/>
      </c>
      <c r="G23" s="112" t="str">
        <f t="shared" si="3"/>
        <v/>
      </c>
      <c r="J23" s="112" t="str">
        <f t="shared" si="0"/>
        <v/>
      </c>
      <c r="L23" s="112" t="s">
        <v>154</v>
      </c>
      <c r="M23" s="112" t="str">
        <f t="shared" si="1"/>
        <v/>
      </c>
    </row>
    <row r="24" spans="1:13" ht="10.5" customHeight="1">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ht="10.5" customHeight="1">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ht="10.5" customHeight="1">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ht="10.5" customHeight="1">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ht="10.5" customHeight="1">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ht="10.5" customHeight="1">
      <c r="C29" s="112" t="str">
        <f t="shared" si="2"/>
        <v/>
      </c>
      <c r="D29" s="139" t="str">
        <f t="shared" si="2"/>
        <v/>
      </c>
      <c r="G29" s="112" t="str">
        <f t="shared" si="3"/>
        <v/>
      </c>
      <c r="J29" s="112" t="str">
        <f t="shared" si="0"/>
        <v/>
      </c>
      <c r="L29" s="112" t="s">
        <v>154</v>
      </c>
      <c r="M29" s="112" t="str">
        <f t="shared" si="1"/>
        <v/>
      </c>
    </row>
    <row r="30" spans="1:13" ht="10.5" customHeight="1">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ht="10.5" customHeight="1">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ht="10.5" customHeight="1">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ht="10.5" customHeight="1">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ht="10.5" customHeight="1">
      <c r="C34" s="112" t="str">
        <f t="shared" si="2"/>
        <v/>
      </c>
      <c r="D34" s="139" t="str">
        <f t="shared" si="2"/>
        <v/>
      </c>
      <c r="G34" s="112" t="str">
        <f t="shared" si="3"/>
        <v/>
      </c>
      <c r="J34" s="112" t="str">
        <f t="shared" si="0"/>
        <v/>
      </c>
      <c r="L34" s="112" t="s">
        <v>154</v>
      </c>
      <c r="M34" s="112" t="str">
        <f t="shared" si="1"/>
        <v/>
      </c>
    </row>
    <row r="35" spans="1:13" ht="10.5" customHeight="1">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ht="10.5" customHeight="1">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ht="10.5" customHeight="1">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ht="10.5" customHeight="1">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ht="10.5" customHeight="1">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ht="10.5" customHeight="1">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ht="10.5" customHeight="1">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ht="10.5" customHeight="1">
      <c r="C42" s="112" t="str">
        <f t="shared" si="2"/>
        <v/>
      </c>
      <c r="D42" s="139" t="str">
        <f t="shared" si="2"/>
        <v/>
      </c>
      <c r="G42" s="112" t="str">
        <f t="shared" si="3"/>
        <v/>
      </c>
      <c r="J42" s="112" t="str">
        <f t="shared" si="0"/>
        <v/>
      </c>
      <c r="L42" s="112" t="s">
        <v>154</v>
      </c>
      <c r="M42" s="112" t="str">
        <f t="shared" si="1"/>
        <v/>
      </c>
    </row>
    <row r="43" spans="1:13" ht="10.5" customHeight="1">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ht="10.5" customHeight="1">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ht="10.5" customHeight="1">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ht="10.5" customHeight="1">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ht="10.5" customHeight="1">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ht="10.5" customHeight="1">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ht="10.5" customHeight="1">
      <c r="C49" s="112" t="str">
        <f t="shared" si="2"/>
        <v/>
      </c>
      <c r="D49" s="139" t="str">
        <f t="shared" si="2"/>
        <v/>
      </c>
      <c r="G49" s="112" t="str">
        <f t="shared" si="3"/>
        <v/>
      </c>
      <c r="J49" s="112" t="str">
        <f t="shared" si="0"/>
        <v/>
      </c>
      <c r="L49" s="112" t="s">
        <v>154</v>
      </c>
      <c r="M49" s="112" t="str">
        <f t="shared" si="1"/>
        <v/>
      </c>
    </row>
    <row r="50" spans="1:13" ht="10.5" customHeight="1">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ht="10.5" customHeight="1">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ht="10.5" customHeight="1">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ht="10.5" customHeight="1">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ht="10.5" customHeight="1">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ht="10.5" customHeight="1">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ht="10.5" customHeight="1">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ht="10.5" customHeight="1">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ht="10.5" customHeight="1">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ht="10.5" customHeight="1">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ht="10.5" customHeight="1">
      <c r="C61" s="112" t="str">
        <f t="shared" si="2"/>
        <v/>
      </c>
      <c r="D61" s="139" t="str">
        <f t="shared" si="2"/>
        <v/>
      </c>
      <c r="G61" s="112" t="str">
        <f t="shared" si="3"/>
        <v/>
      </c>
      <c r="J61" s="112" t="str">
        <f t="shared" si="0"/>
        <v/>
      </c>
      <c r="L61" s="112" t="s">
        <v>154</v>
      </c>
      <c r="M61" s="112" t="str">
        <f t="shared" si="1"/>
        <v/>
      </c>
    </row>
    <row r="62" spans="1:13" ht="10.5" customHeight="1">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ht="10.5" customHeight="1">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ht="10.5" customHeight="1">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ht="10.5" customHeight="1">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ht="10.5" customHeight="1">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ht="10.5" customHeight="1">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ht="10.5" customHeight="1">
      <c r="C68" s="112" t="str">
        <f t="shared" si="2"/>
        <v/>
      </c>
      <c r="D68" s="139" t="str">
        <f t="shared" si="2"/>
        <v/>
      </c>
      <c r="G68" s="112" t="str">
        <f t="shared" si="3"/>
        <v/>
      </c>
      <c r="J68" s="112" t="str">
        <f t="shared" si="0"/>
        <v/>
      </c>
      <c r="L68" s="112" t="s">
        <v>154</v>
      </c>
      <c r="M68" s="112" t="str">
        <f t="shared" si="1"/>
        <v/>
      </c>
    </row>
    <row r="69" spans="1:13" ht="10.5" customHeight="1">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ht="10.5" customHeight="1">
      <c r="C70" s="112" t="str">
        <f t="shared" si="2"/>
        <v/>
      </c>
      <c r="D70" s="139" t="str">
        <f t="shared" si="2"/>
        <v/>
      </c>
      <c r="G70" s="112" t="str">
        <f t="shared" si="3"/>
        <v/>
      </c>
      <c r="J70" s="112" t="str">
        <f t="shared" si="0"/>
        <v/>
      </c>
      <c r="L70" s="112" t="s">
        <v>154</v>
      </c>
      <c r="M70" s="112" t="str">
        <f t="shared" si="1"/>
        <v/>
      </c>
    </row>
    <row r="71" spans="1:13" ht="10.5" customHeight="1">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t="10.5" customHeight="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ht="10.5" customHeight="1">
      <c r="C73" s="112" t="str">
        <f t="shared" si="2"/>
        <v/>
      </c>
      <c r="D73" s="139" t="str">
        <f t="shared" si="2"/>
        <v/>
      </c>
      <c r="G73" s="112" t="str">
        <f t="shared" si="3"/>
        <v/>
      </c>
      <c r="J73" s="112" t="str">
        <f t="shared" si="0"/>
        <v/>
      </c>
      <c r="L73" s="112" t="s">
        <v>154</v>
      </c>
      <c r="M73" s="112" t="str">
        <f t="shared" si="1"/>
        <v/>
      </c>
    </row>
    <row r="74" spans="1:13" ht="10.5" customHeight="1">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ht="10.5" customHeight="1">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ht="10.5" customHeight="1">
      <c r="A76" s="111" t="s">
        <v>204</v>
      </c>
      <c r="C76" s="112">
        <f t="shared" ref="C76:D104" si="4">IF($A76&lt;&gt;0,F76+I76+L76,"")</f>
        <v>63.75</v>
      </c>
      <c r="D76" s="139">
        <f t="shared" si="4"/>
        <v>100.00000000000001</v>
      </c>
      <c r="F76" s="112">
        <v>49.25</v>
      </c>
      <c r="G76" s="112">
        <f t="shared" si="3"/>
        <v>77.254901960784323</v>
      </c>
      <c r="I76" s="112">
        <v>0</v>
      </c>
      <c r="J76" s="112">
        <f t="shared" ref="J76:J112" si="5">IF($A76&lt;&gt;0,I76/$C76*100,"")</f>
        <v>0</v>
      </c>
      <c r="L76" s="112">
        <v>14.5</v>
      </c>
      <c r="M76" s="112">
        <f t="shared" ref="M76:M112" si="6">IF($A76&lt;&gt;0,L76/$C76*100,"")</f>
        <v>22.745098039215687</v>
      </c>
    </row>
    <row r="77" spans="1:13" ht="10.5" customHeight="1">
      <c r="A77" s="111" t="s">
        <v>205</v>
      </c>
      <c r="C77" s="112">
        <f t="shared" si="4"/>
        <v>19.625</v>
      </c>
      <c r="D77" s="139">
        <f t="shared" si="4"/>
        <v>100</v>
      </c>
      <c r="F77" s="112">
        <v>15.625</v>
      </c>
      <c r="G77" s="112">
        <f t="shared" ref="G77:G112" si="7">IF($A77&lt;&gt;0,F77/$C77*100,"")</f>
        <v>79.617834394904463</v>
      </c>
      <c r="I77" s="112">
        <v>0</v>
      </c>
      <c r="J77" s="112">
        <f t="shared" si="5"/>
        <v>0</v>
      </c>
      <c r="L77" s="112">
        <v>4</v>
      </c>
      <c r="M77" s="112">
        <f t="shared" si="6"/>
        <v>20.382165605095544</v>
      </c>
    </row>
    <row r="78" spans="1:13" ht="10.5" customHeight="1">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ht="10.5" customHeight="1">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ht="10.5" customHeight="1">
      <c r="C80" s="112" t="str">
        <f t="shared" si="4"/>
        <v/>
      </c>
      <c r="D80" s="139" t="str">
        <f t="shared" si="4"/>
        <v/>
      </c>
      <c r="G80" s="112" t="str">
        <f t="shared" si="7"/>
        <v/>
      </c>
      <c r="J80" s="112" t="str">
        <f t="shared" si="5"/>
        <v/>
      </c>
      <c r="L80" s="112" t="s">
        <v>154</v>
      </c>
      <c r="M80" s="112" t="str">
        <f t="shared" si="6"/>
        <v/>
      </c>
    </row>
    <row r="81" spans="1:13" ht="10.5" customHeight="1">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ht="10.5" customHeight="1">
      <c r="C82" s="112" t="str">
        <f t="shared" si="4"/>
        <v/>
      </c>
      <c r="D82" s="139" t="str">
        <f t="shared" si="4"/>
        <v/>
      </c>
      <c r="G82" s="112" t="str">
        <f t="shared" si="7"/>
        <v/>
      </c>
      <c r="J82" s="112" t="str">
        <f t="shared" si="5"/>
        <v/>
      </c>
      <c r="L82" s="112" t="s">
        <v>154</v>
      </c>
      <c r="M82" s="112" t="str">
        <f t="shared" si="6"/>
        <v/>
      </c>
    </row>
    <row r="83" spans="1:13" ht="10.5" customHeight="1">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ht="10.5" customHeight="1">
      <c r="C84" s="112" t="str">
        <f t="shared" si="4"/>
        <v/>
      </c>
      <c r="D84" s="139" t="str">
        <f t="shared" si="4"/>
        <v/>
      </c>
      <c r="G84" s="112" t="str">
        <f t="shared" si="7"/>
        <v/>
      </c>
      <c r="J84" s="112" t="str">
        <f t="shared" si="5"/>
        <v/>
      </c>
      <c r="L84" s="112" t="s">
        <v>154</v>
      </c>
      <c r="M84" s="112" t="str">
        <f t="shared" si="6"/>
        <v/>
      </c>
    </row>
    <row r="85" spans="1:13" ht="10.5" customHeight="1">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0.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ht="10.5" customHeight="1">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ht="10.5" customHeight="1">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ht="10.5" customHeight="1">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ht="10.5" customHeight="1">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ht="10.5" customHeight="1">
      <c r="C91" s="112" t="str">
        <f t="shared" si="4"/>
        <v/>
      </c>
      <c r="D91" s="139" t="str">
        <f t="shared" si="4"/>
        <v/>
      </c>
      <c r="L91" s="112" t="s">
        <v>154</v>
      </c>
      <c r="M91" s="112" t="str">
        <f t="shared" si="6"/>
        <v/>
      </c>
    </row>
    <row r="92" spans="1:13" ht="10.5" customHeight="1">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ht="10.5" customHeight="1">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ht="10.5" customHeight="1">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ht="10.5" customHeight="1">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ht="10.5" customHeight="1">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ht="10.5" customHeight="1">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ht="10.5" customHeight="1">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ht="10.5" customHeight="1">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ht="10.5" customHeight="1">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ht="10.5" customHeight="1">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ht="10.5" customHeight="1">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ht="10.5" customHeight="1">
      <c r="C103" s="112" t="str">
        <f t="shared" si="4"/>
        <v/>
      </c>
      <c r="D103" s="139" t="str">
        <f t="shared" si="4"/>
        <v/>
      </c>
      <c r="L103" s="112" t="s">
        <v>154</v>
      </c>
      <c r="M103" s="112" t="str">
        <f t="shared" si="6"/>
        <v/>
      </c>
    </row>
    <row r="104" spans="1:13" ht="10.5" customHeight="1">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0.5" customHeight="1">
      <c r="C105" s="112" t="str">
        <f t="shared" ref="C105:D112" si="8">IF($A105&lt;&gt;0,F105+I105+L105,"")</f>
        <v/>
      </c>
      <c r="D105" s="139" t="str">
        <f t="shared" si="8"/>
        <v/>
      </c>
      <c r="G105" s="112" t="str">
        <f t="shared" si="7"/>
        <v/>
      </c>
      <c r="J105" s="112" t="str">
        <f t="shared" si="5"/>
        <v/>
      </c>
      <c r="L105" s="112" t="s">
        <v>154</v>
      </c>
      <c r="M105" s="112" t="str">
        <f t="shared" si="6"/>
        <v/>
      </c>
    </row>
    <row r="106" spans="1:13" ht="10.5" customHeight="1">
      <c r="A106" s="17" t="s">
        <v>351</v>
      </c>
      <c r="C106" s="112">
        <f t="shared" si="8"/>
        <v>520.69233333333329</v>
      </c>
      <c r="D106" s="139">
        <f t="shared" si="8"/>
        <v>99.999999999999986</v>
      </c>
      <c r="F106" s="112">
        <f>SUM(F108:F112)</f>
        <v>498.94233333333329</v>
      </c>
      <c r="G106" s="112">
        <f t="shared" si="7"/>
        <v>95.822869167140922</v>
      </c>
      <c r="I106" s="112">
        <f>SUM(I108:I112)</f>
        <v>10.5</v>
      </c>
      <c r="J106" s="112">
        <f t="shared" si="5"/>
        <v>2.0165459193112762</v>
      </c>
      <c r="L106" s="112">
        <f>SUM(L108:L112)</f>
        <v>11.25</v>
      </c>
      <c r="M106" s="112">
        <f t="shared" si="6"/>
        <v>2.1605849135477957</v>
      </c>
    </row>
    <row r="107" spans="1:13" ht="10.5" customHeight="1">
      <c r="C107" s="112" t="str">
        <f t="shared" si="8"/>
        <v/>
      </c>
      <c r="D107" s="139" t="str">
        <f t="shared" si="8"/>
        <v/>
      </c>
      <c r="G107" s="112" t="str">
        <f t="shared" si="7"/>
        <v/>
      </c>
      <c r="J107" s="112" t="str">
        <f t="shared" si="5"/>
        <v/>
      </c>
      <c r="L107" s="112" t="s">
        <v>154</v>
      </c>
      <c r="M107" s="112" t="str">
        <f t="shared" si="6"/>
        <v/>
      </c>
    </row>
    <row r="108" spans="1:13" ht="10.5" customHeight="1">
      <c r="A108" s="26" t="s">
        <v>353</v>
      </c>
      <c r="C108" s="112">
        <f t="shared" si="8"/>
        <v>194.25833333333333</v>
      </c>
      <c r="D108" s="139">
        <f t="shared" si="8"/>
        <v>100.00000000000001</v>
      </c>
      <c r="F108" s="156">
        <f>19/30+180.375</f>
        <v>181.00833333333333</v>
      </c>
      <c r="G108" s="112">
        <f t="shared" si="7"/>
        <v>93.179185792115319</v>
      </c>
      <c r="I108" s="112">
        <v>6.5</v>
      </c>
      <c r="J108" s="112">
        <f t="shared" si="5"/>
        <v>3.346059800094376</v>
      </c>
      <c r="L108" s="112">
        <v>6.75</v>
      </c>
      <c r="M108" s="112">
        <f t="shared" si="6"/>
        <v>3.4747544077903139</v>
      </c>
    </row>
    <row r="109" spans="1:13" ht="10.5" customHeight="1">
      <c r="A109" s="26" t="s">
        <v>1913</v>
      </c>
      <c r="C109" s="112">
        <f t="shared" si="8"/>
        <v>87.841999999999999</v>
      </c>
      <c r="D109" s="139">
        <f t="shared" si="8"/>
        <v>100</v>
      </c>
      <c r="F109" s="156">
        <v>86.841999999999999</v>
      </c>
      <c r="G109" s="112">
        <f t="shared" si="7"/>
        <v>98.861592404544524</v>
      </c>
      <c r="I109" s="112">
        <v>1</v>
      </c>
      <c r="J109" s="112">
        <f t="shared" si="5"/>
        <v>1.1384075954554769</v>
      </c>
      <c r="L109" s="112">
        <v>0</v>
      </c>
      <c r="M109" s="112">
        <f t="shared" si="6"/>
        <v>0</v>
      </c>
    </row>
    <row r="110" spans="1:13" ht="10.5" customHeight="1">
      <c r="A110" s="26" t="s">
        <v>365</v>
      </c>
      <c r="C110" s="112">
        <f t="shared" si="8"/>
        <v>105.717</v>
      </c>
      <c r="D110" s="139">
        <f t="shared" si="8"/>
        <v>100.00000000000001</v>
      </c>
      <c r="F110" s="156">
        <f>97.717+3</f>
        <v>100.717</v>
      </c>
      <c r="G110" s="112">
        <f t="shared" si="7"/>
        <v>95.270391706158904</v>
      </c>
      <c r="I110" s="112">
        <v>2</v>
      </c>
      <c r="J110" s="112">
        <f t="shared" si="5"/>
        <v>1.8918433175364415</v>
      </c>
      <c r="L110" s="112">
        <v>3</v>
      </c>
      <c r="M110" s="112">
        <f t="shared" si="6"/>
        <v>2.8377649763046624</v>
      </c>
    </row>
    <row r="111" spans="1:13" ht="10.5" customHeight="1">
      <c r="A111" s="26" t="s">
        <v>371</v>
      </c>
      <c r="C111" s="112">
        <f t="shared" si="8"/>
        <v>74.5</v>
      </c>
      <c r="D111" s="139">
        <f t="shared" si="8"/>
        <v>100.00000000000001</v>
      </c>
      <c r="F111" s="112">
        <v>72</v>
      </c>
      <c r="G111" s="112">
        <f t="shared" si="7"/>
        <v>96.644295302013433</v>
      </c>
      <c r="I111" s="112">
        <v>1</v>
      </c>
      <c r="J111" s="112">
        <f t="shared" si="5"/>
        <v>1.3422818791946309</v>
      </c>
      <c r="L111" s="112">
        <v>1.5</v>
      </c>
      <c r="M111" s="112">
        <f t="shared" si="6"/>
        <v>2.0134228187919461</v>
      </c>
    </row>
    <row r="112" spans="1:13" ht="10.5" customHeight="1">
      <c r="A112" s="26" t="s">
        <v>377</v>
      </c>
      <c r="C112" s="112">
        <f t="shared" si="8"/>
        <v>58.375</v>
      </c>
      <c r="D112" s="139">
        <f t="shared" si="8"/>
        <v>100</v>
      </c>
      <c r="F112" s="112">
        <v>58.375</v>
      </c>
      <c r="G112" s="112">
        <f t="shared" si="7"/>
        <v>100</v>
      </c>
      <c r="I112" s="112">
        <v>0</v>
      </c>
      <c r="J112" s="112">
        <f t="shared" si="5"/>
        <v>0</v>
      </c>
      <c r="L112" s="112">
        <v>0</v>
      </c>
      <c r="M112" s="112">
        <f t="shared" si="6"/>
        <v>0</v>
      </c>
    </row>
    <row r="113" spans="1:13" ht="10.5" customHeight="1" thickBot="1">
      <c r="A113" s="124"/>
      <c r="B113" s="102"/>
      <c r="C113" s="136"/>
      <c r="D113" s="124"/>
      <c r="E113" s="124"/>
      <c r="F113" s="136"/>
      <c r="G113" s="136"/>
      <c r="H113" s="136"/>
      <c r="I113" s="136"/>
      <c r="J113" s="136"/>
      <c r="K113" s="136"/>
      <c r="L113" s="136"/>
      <c r="M113" s="136"/>
    </row>
    <row r="115" spans="1:13" ht="10.5" customHeight="1">
      <c r="A115" s="27" t="s">
        <v>1841</v>
      </c>
    </row>
    <row r="116" spans="1:13" ht="10.5" customHeight="1">
      <c r="A116" s="27" t="s">
        <v>673</v>
      </c>
    </row>
    <row r="117" spans="1:13" ht="10.5" customHeight="1">
      <c r="A117" s="27" t="s">
        <v>386</v>
      </c>
    </row>
    <row r="118" spans="1:13" ht="10.5" customHeight="1">
      <c r="A118" s="14" t="s">
        <v>1842</v>
      </c>
    </row>
    <row r="119" spans="1:13" ht="10.5" customHeight="1">
      <c r="A119" s="111" t="s">
        <v>387</v>
      </c>
    </row>
    <row r="121" spans="1:13" ht="10.5" customHeight="1">
      <c r="A121" s="157"/>
    </row>
  </sheetData>
  <mergeCells count="2">
    <mergeCell ref="C7:M7"/>
    <mergeCell ref="C8:D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249977111117893"/>
  </sheetPr>
  <dimension ref="B2:K5"/>
  <sheetViews>
    <sheetView workbookViewId="0">
      <selection activeCell="J5" sqref="J5"/>
    </sheetView>
  </sheetViews>
  <sheetFormatPr baseColWidth="10" defaultRowHeight="15"/>
  <sheetData>
    <row r="2" spans="2:11" ht="23">
      <c r="J2" s="29"/>
    </row>
    <row r="3" spans="2:11">
      <c r="B3" t="s">
        <v>149</v>
      </c>
      <c r="C3" t="s">
        <v>151</v>
      </c>
      <c r="D3" t="s">
        <v>150</v>
      </c>
      <c r="F3" s="13"/>
      <c r="G3" s="13"/>
      <c r="H3" s="13"/>
    </row>
    <row r="4" spans="2:11" ht="23">
      <c r="B4" s="13">
        <v>78.41</v>
      </c>
      <c r="C4" s="13">
        <v>14.5</v>
      </c>
      <c r="D4" s="13">
        <v>7.09</v>
      </c>
      <c r="F4" s="28"/>
      <c r="G4" s="28"/>
      <c r="H4" s="28"/>
      <c r="K4" s="32"/>
    </row>
    <row r="5" spans="2:11">
      <c r="B5" s="13"/>
      <c r="C5" s="13"/>
      <c r="D5" s="13"/>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07"/>
  <sheetViews>
    <sheetView workbookViewId="0">
      <selection activeCell="A4" sqref="A4"/>
    </sheetView>
  </sheetViews>
  <sheetFormatPr baseColWidth="10" defaultRowHeight="14"/>
  <cols>
    <col min="1" max="1" width="42.6640625" style="14" customWidth="1"/>
    <col min="2" max="3" width="8.6640625" style="14" customWidth="1"/>
    <col min="4" max="4" width="2.6640625" style="14" customWidth="1"/>
    <col min="5" max="5" width="8.6640625" style="439" customWidth="1"/>
    <col min="6" max="6" width="8.6640625" style="797" customWidth="1"/>
    <col min="7" max="7" width="2.6640625" style="439" customWidth="1"/>
    <col min="8" max="8" width="8.6640625" style="439" customWidth="1"/>
    <col min="9" max="9" width="8.6640625" style="797" customWidth="1"/>
    <col min="10" max="10" width="2.6640625" style="439" customWidth="1"/>
    <col min="11" max="11" width="8.6640625" style="439" customWidth="1"/>
    <col min="12" max="12" width="8.6640625" style="25" customWidth="1"/>
    <col min="13" max="13" width="3.5" style="392" customWidth="1"/>
    <col min="14" max="256" width="10.83203125" style="392"/>
    <col min="257" max="257" width="42.6640625" style="392" customWidth="1"/>
    <col min="258" max="259" width="8.6640625" style="392" customWidth="1"/>
    <col min="260" max="260" width="2.6640625" style="392" customWidth="1"/>
    <col min="261" max="262" width="8.6640625" style="392" customWidth="1"/>
    <col min="263" max="263" width="2.6640625" style="392" customWidth="1"/>
    <col min="264" max="265" width="8.6640625" style="392" customWidth="1"/>
    <col min="266" max="266" width="2.6640625" style="392" customWidth="1"/>
    <col min="267" max="268" width="8.6640625" style="392" customWidth="1"/>
    <col min="269" max="269" width="3.5" style="392" customWidth="1"/>
    <col min="270" max="512" width="10.83203125" style="392"/>
    <col min="513" max="513" width="42.6640625" style="392" customWidth="1"/>
    <col min="514" max="515" width="8.6640625" style="392" customWidth="1"/>
    <col min="516" max="516" width="2.6640625" style="392" customWidth="1"/>
    <col min="517" max="518" width="8.6640625" style="392" customWidth="1"/>
    <col min="519" max="519" width="2.6640625" style="392" customWidth="1"/>
    <col min="520" max="521" width="8.6640625" style="392" customWidth="1"/>
    <col min="522" max="522" width="2.6640625" style="392" customWidth="1"/>
    <col min="523" max="524" width="8.6640625" style="392" customWidth="1"/>
    <col min="525" max="525" width="3.5" style="392" customWidth="1"/>
    <col min="526" max="768" width="10.83203125" style="392"/>
    <col min="769" max="769" width="42.6640625" style="392" customWidth="1"/>
    <col min="770" max="771" width="8.6640625" style="392" customWidth="1"/>
    <col min="772" max="772" width="2.6640625" style="392" customWidth="1"/>
    <col min="773" max="774" width="8.6640625" style="392" customWidth="1"/>
    <col min="775" max="775" width="2.6640625" style="392" customWidth="1"/>
    <col min="776" max="777" width="8.6640625" style="392" customWidth="1"/>
    <col min="778" max="778" width="2.6640625" style="392" customWidth="1"/>
    <col min="779" max="780" width="8.6640625" style="392" customWidth="1"/>
    <col min="781" max="781" width="3.5" style="392" customWidth="1"/>
    <col min="782" max="1024" width="10.83203125" style="392"/>
    <col min="1025" max="1025" width="42.6640625" style="392" customWidth="1"/>
    <col min="1026" max="1027" width="8.6640625" style="392" customWidth="1"/>
    <col min="1028" max="1028" width="2.6640625" style="392" customWidth="1"/>
    <col min="1029" max="1030" width="8.6640625" style="392" customWidth="1"/>
    <col min="1031" max="1031" width="2.6640625" style="392" customWidth="1"/>
    <col min="1032" max="1033" width="8.6640625" style="392" customWidth="1"/>
    <col min="1034" max="1034" width="2.6640625" style="392" customWidth="1"/>
    <col min="1035" max="1036" width="8.6640625" style="392" customWidth="1"/>
    <col min="1037" max="1037" width="3.5" style="392" customWidth="1"/>
    <col min="1038" max="1280" width="10.83203125" style="392"/>
    <col min="1281" max="1281" width="42.6640625" style="392" customWidth="1"/>
    <col min="1282" max="1283" width="8.6640625" style="392" customWidth="1"/>
    <col min="1284" max="1284" width="2.6640625" style="392" customWidth="1"/>
    <col min="1285" max="1286" width="8.6640625" style="392" customWidth="1"/>
    <col min="1287" max="1287" width="2.6640625" style="392" customWidth="1"/>
    <col min="1288" max="1289" width="8.6640625" style="392" customWidth="1"/>
    <col min="1290" max="1290" width="2.6640625" style="392" customWidth="1"/>
    <col min="1291" max="1292" width="8.6640625" style="392" customWidth="1"/>
    <col min="1293" max="1293" width="3.5" style="392" customWidth="1"/>
    <col min="1294" max="1536" width="10.83203125" style="392"/>
    <col min="1537" max="1537" width="42.6640625" style="392" customWidth="1"/>
    <col min="1538" max="1539" width="8.6640625" style="392" customWidth="1"/>
    <col min="1540" max="1540" width="2.6640625" style="392" customWidth="1"/>
    <col min="1541" max="1542" width="8.6640625" style="392" customWidth="1"/>
    <col min="1543" max="1543" width="2.6640625" style="392" customWidth="1"/>
    <col min="1544" max="1545" width="8.6640625" style="392" customWidth="1"/>
    <col min="1546" max="1546" width="2.6640625" style="392" customWidth="1"/>
    <col min="1547" max="1548" width="8.6640625" style="392" customWidth="1"/>
    <col min="1549" max="1549" width="3.5" style="392" customWidth="1"/>
    <col min="1550" max="1792" width="10.83203125" style="392"/>
    <col min="1793" max="1793" width="42.6640625" style="392" customWidth="1"/>
    <col min="1794" max="1795" width="8.6640625" style="392" customWidth="1"/>
    <col min="1796" max="1796" width="2.6640625" style="392" customWidth="1"/>
    <col min="1797" max="1798" width="8.6640625" style="392" customWidth="1"/>
    <col min="1799" max="1799" width="2.6640625" style="392" customWidth="1"/>
    <col min="1800" max="1801" width="8.6640625" style="392" customWidth="1"/>
    <col min="1802" max="1802" width="2.6640625" style="392" customWidth="1"/>
    <col min="1803" max="1804" width="8.6640625" style="392" customWidth="1"/>
    <col min="1805" max="1805" width="3.5" style="392" customWidth="1"/>
    <col min="1806" max="2048" width="10.83203125" style="392"/>
    <col min="2049" max="2049" width="42.6640625" style="392" customWidth="1"/>
    <col min="2050" max="2051" width="8.6640625" style="392" customWidth="1"/>
    <col min="2052" max="2052" width="2.6640625" style="392" customWidth="1"/>
    <col min="2053" max="2054" width="8.6640625" style="392" customWidth="1"/>
    <col min="2055" max="2055" width="2.6640625" style="392" customWidth="1"/>
    <col min="2056" max="2057" width="8.6640625" style="392" customWidth="1"/>
    <col min="2058" max="2058" width="2.6640625" style="392" customWidth="1"/>
    <col min="2059" max="2060" width="8.6640625" style="392" customWidth="1"/>
    <col min="2061" max="2061" width="3.5" style="392" customWidth="1"/>
    <col min="2062" max="2304" width="10.83203125" style="392"/>
    <col min="2305" max="2305" width="42.6640625" style="392" customWidth="1"/>
    <col min="2306" max="2307" width="8.6640625" style="392" customWidth="1"/>
    <col min="2308" max="2308" width="2.6640625" style="392" customWidth="1"/>
    <col min="2309" max="2310" width="8.6640625" style="392" customWidth="1"/>
    <col min="2311" max="2311" width="2.6640625" style="392" customWidth="1"/>
    <col min="2312" max="2313" width="8.6640625" style="392" customWidth="1"/>
    <col min="2314" max="2314" width="2.6640625" style="392" customWidth="1"/>
    <col min="2315" max="2316" width="8.6640625" style="392" customWidth="1"/>
    <col min="2317" max="2317" width="3.5" style="392" customWidth="1"/>
    <col min="2318" max="2560" width="10.83203125" style="392"/>
    <col min="2561" max="2561" width="42.6640625" style="392" customWidth="1"/>
    <col min="2562" max="2563" width="8.6640625" style="392" customWidth="1"/>
    <col min="2564" max="2564" width="2.6640625" style="392" customWidth="1"/>
    <col min="2565" max="2566" width="8.6640625" style="392" customWidth="1"/>
    <col min="2567" max="2567" width="2.6640625" style="392" customWidth="1"/>
    <col min="2568" max="2569" width="8.6640625" style="392" customWidth="1"/>
    <col min="2570" max="2570" width="2.6640625" style="392" customWidth="1"/>
    <col min="2571" max="2572" width="8.6640625" style="392" customWidth="1"/>
    <col min="2573" max="2573" width="3.5" style="392" customWidth="1"/>
    <col min="2574" max="2816" width="10.83203125" style="392"/>
    <col min="2817" max="2817" width="42.6640625" style="392" customWidth="1"/>
    <col min="2818" max="2819" width="8.6640625" style="392" customWidth="1"/>
    <col min="2820" max="2820" width="2.6640625" style="392" customWidth="1"/>
    <col min="2821" max="2822" width="8.6640625" style="392" customWidth="1"/>
    <col min="2823" max="2823" width="2.6640625" style="392" customWidth="1"/>
    <col min="2824" max="2825" width="8.6640625" style="392" customWidth="1"/>
    <col min="2826" max="2826" width="2.6640625" style="392" customWidth="1"/>
    <col min="2827" max="2828" width="8.6640625" style="392" customWidth="1"/>
    <col min="2829" max="2829" width="3.5" style="392" customWidth="1"/>
    <col min="2830" max="3072" width="10.83203125" style="392"/>
    <col min="3073" max="3073" width="42.6640625" style="392" customWidth="1"/>
    <col min="3074" max="3075" width="8.6640625" style="392" customWidth="1"/>
    <col min="3076" max="3076" width="2.6640625" style="392" customWidth="1"/>
    <col min="3077" max="3078" width="8.6640625" style="392" customWidth="1"/>
    <col min="3079" max="3079" width="2.6640625" style="392" customWidth="1"/>
    <col min="3080" max="3081" width="8.6640625" style="392" customWidth="1"/>
    <col min="3082" max="3082" width="2.6640625" style="392" customWidth="1"/>
    <col min="3083" max="3084" width="8.6640625" style="392" customWidth="1"/>
    <col min="3085" max="3085" width="3.5" style="392" customWidth="1"/>
    <col min="3086" max="3328" width="10.83203125" style="392"/>
    <col min="3329" max="3329" width="42.6640625" style="392" customWidth="1"/>
    <col min="3330" max="3331" width="8.6640625" style="392" customWidth="1"/>
    <col min="3332" max="3332" width="2.6640625" style="392" customWidth="1"/>
    <col min="3333" max="3334" width="8.6640625" style="392" customWidth="1"/>
    <col min="3335" max="3335" width="2.6640625" style="392" customWidth="1"/>
    <col min="3336" max="3337" width="8.6640625" style="392" customWidth="1"/>
    <col min="3338" max="3338" width="2.6640625" style="392" customWidth="1"/>
    <col min="3339" max="3340" width="8.6640625" style="392" customWidth="1"/>
    <col min="3341" max="3341" width="3.5" style="392" customWidth="1"/>
    <col min="3342" max="3584" width="10.83203125" style="392"/>
    <col min="3585" max="3585" width="42.6640625" style="392" customWidth="1"/>
    <col min="3586" max="3587" width="8.6640625" style="392" customWidth="1"/>
    <col min="3588" max="3588" width="2.6640625" style="392" customWidth="1"/>
    <col min="3589" max="3590" width="8.6640625" style="392" customWidth="1"/>
    <col min="3591" max="3591" width="2.6640625" style="392" customWidth="1"/>
    <col min="3592" max="3593" width="8.6640625" style="392" customWidth="1"/>
    <col min="3594" max="3594" width="2.6640625" style="392" customWidth="1"/>
    <col min="3595" max="3596" width="8.6640625" style="392" customWidth="1"/>
    <col min="3597" max="3597" width="3.5" style="392" customWidth="1"/>
    <col min="3598" max="3840" width="10.83203125" style="392"/>
    <col min="3841" max="3841" width="42.6640625" style="392" customWidth="1"/>
    <col min="3842" max="3843" width="8.6640625" style="392" customWidth="1"/>
    <col min="3844" max="3844" width="2.6640625" style="392" customWidth="1"/>
    <col min="3845" max="3846" width="8.6640625" style="392" customWidth="1"/>
    <col min="3847" max="3847" width="2.6640625" style="392" customWidth="1"/>
    <col min="3848" max="3849" width="8.6640625" style="392" customWidth="1"/>
    <col min="3850" max="3850" width="2.6640625" style="392" customWidth="1"/>
    <col min="3851" max="3852" width="8.6640625" style="392" customWidth="1"/>
    <col min="3853" max="3853" width="3.5" style="392" customWidth="1"/>
    <col min="3854" max="4096" width="10.83203125" style="392"/>
    <col min="4097" max="4097" width="42.6640625" style="392" customWidth="1"/>
    <col min="4098" max="4099" width="8.6640625" style="392" customWidth="1"/>
    <col min="4100" max="4100" width="2.6640625" style="392" customWidth="1"/>
    <col min="4101" max="4102" width="8.6640625" style="392" customWidth="1"/>
    <col min="4103" max="4103" width="2.6640625" style="392" customWidth="1"/>
    <col min="4104" max="4105" width="8.6640625" style="392" customWidth="1"/>
    <col min="4106" max="4106" width="2.6640625" style="392" customWidth="1"/>
    <col min="4107" max="4108" width="8.6640625" style="392" customWidth="1"/>
    <col min="4109" max="4109" width="3.5" style="392" customWidth="1"/>
    <col min="4110" max="4352" width="10.83203125" style="392"/>
    <col min="4353" max="4353" width="42.6640625" style="392" customWidth="1"/>
    <col min="4354" max="4355" width="8.6640625" style="392" customWidth="1"/>
    <col min="4356" max="4356" width="2.6640625" style="392" customWidth="1"/>
    <col min="4357" max="4358" width="8.6640625" style="392" customWidth="1"/>
    <col min="4359" max="4359" width="2.6640625" style="392" customWidth="1"/>
    <col min="4360" max="4361" width="8.6640625" style="392" customWidth="1"/>
    <col min="4362" max="4362" width="2.6640625" style="392" customWidth="1"/>
    <col min="4363" max="4364" width="8.6640625" style="392" customWidth="1"/>
    <col min="4365" max="4365" width="3.5" style="392" customWidth="1"/>
    <col min="4366" max="4608" width="10.83203125" style="392"/>
    <col min="4609" max="4609" width="42.6640625" style="392" customWidth="1"/>
    <col min="4610" max="4611" width="8.6640625" style="392" customWidth="1"/>
    <col min="4612" max="4612" width="2.6640625" style="392" customWidth="1"/>
    <col min="4613" max="4614" width="8.6640625" style="392" customWidth="1"/>
    <col min="4615" max="4615" width="2.6640625" style="392" customWidth="1"/>
    <col min="4616" max="4617" width="8.6640625" style="392" customWidth="1"/>
    <col min="4618" max="4618" width="2.6640625" style="392" customWidth="1"/>
    <col min="4619" max="4620" width="8.6640625" style="392" customWidth="1"/>
    <col min="4621" max="4621" width="3.5" style="392" customWidth="1"/>
    <col min="4622" max="4864" width="10.83203125" style="392"/>
    <col min="4865" max="4865" width="42.6640625" style="392" customWidth="1"/>
    <col min="4866" max="4867" width="8.6640625" style="392" customWidth="1"/>
    <col min="4868" max="4868" width="2.6640625" style="392" customWidth="1"/>
    <col min="4869" max="4870" width="8.6640625" style="392" customWidth="1"/>
    <col min="4871" max="4871" width="2.6640625" style="392" customWidth="1"/>
    <col min="4872" max="4873" width="8.6640625" style="392" customWidth="1"/>
    <col min="4874" max="4874" width="2.6640625" style="392" customWidth="1"/>
    <col min="4875" max="4876" width="8.6640625" style="392" customWidth="1"/>
    <col min="4877" max="4877" width="3.5" style="392" customWidth="1"/>
    <col min="4878" max="5120" width="10.83203125" style="392"/>
    <col min="5121" max="5121" width="42.6640625" style="392" customWidth="1"/>
    <col min="5122" max="5123" width="8.6640625" style="392" customWidth="1"/>
    <col min="5124" max="5124" width="2.6640625" style="392" customWidth="1"/>
    <col min="5125" max="5126" width="8.6640625" style="392" customWidth="1"/>
    <col min="5127" max="5127" width="2.6640625" style="392" customWidth="1"/>
    <col min="5128" max="5129" width="8.6640625" style="392" customWidth="1"/>
    <col min="5130" max="5130" width="2.6640625" style="392" customWidth="1"/>
    <col min="5131" max="5132" width="8.6640625" style="392" customWidth="1"/>
    <col min="5133" max="5133" width="3.5" style="392" customWidth="1"/>
    <col min="5134" max="5376" width="10.83203125" style="392"/>
    <col min="5377" max="5377" width="42.6640625" style="392" customWidth="1"/>
    <col min="5378" max="5379" width="8.6640625" style="392" customWidth="1"/>
    <col min="5380" max="5380" width="2.6640625" style="392" customWidth="1"/>
    <col min="5381" max="5382" width="8.6640625" style="392" customWidth="1"/>
    <col min="5383" max="5383" width="2.6640625" style="392" customWidth="1"/>
    <col min="5384" max="5385" width="8.6640625" style="392" customWidth="1"/>
    <col min="5386" max="5386" width="2.6640625" style="392" customWidth="1"/>
    <col min="5387" max="5388" width="8.6640625" style="392" customWidth="1"/>
    <col min="5389" max="5389" width="3.5" style="392" customWidth="1"/>
    <col min="5390" max="5632" width="10.83203125" style="392"/>
    <col min="5633" max="5633" width="42.6640625" style="392" customWidth="1"/>
    <col min="5634" max="5635" width="8.6640625" style="392" customWidth="1"/>
    <col min="5636" max="5636" width="2.6640625" style="392" customWidth="1"/>
    <col min="5637" max="5638" width="8.6640625" style="392" customWidth="1"/>
    <col min="5639" max="5639" width="2.6640625" style="392" customWidth="1"/>
    <col min="5640" max="5641" width="8.6640625" style="392" customWidth="1"/>
    <col min="5642" max="5642" width="2.6640625" style="392" customWidth="1"/>
    <col min="5643" max="5644" width="8.6640625" style="392" customWidth="1"/>
    <col min="5645" max="5645" width="3.5" style="392" customWidth="1"/>
    <col min="5646" max="5888" width="10.83203125" style="392"/>
    <col min="5889" max="5889" width="42.6640625" style="392" customWidth="1"/>
    <col min="5890" max="5891" width="8.6640625" style="392" customWidth="1"/>
    <col min="5892" max="5892" width="2.6640625" style="392" customWidth="1"/>
    <col min="5893" max="5894" width="8.6640625" style="392" customWidth="1"/>
    <col min="5895" max="5895" width="2.6640625" style="392" customWidth="1"/>
    <col min="5896" max="5897" width="8.6640625" style="392" customWidth="1"/>
    <col min="5898" max="5898" width="2.6640625" style="392" customWidth="1"/>
    <col min="5899" max="5900" width="8.6640625" style="392" customWidth="1"/>
    <col min="5901" max="5901" width="3.5" style="392" customWidth="1"/>
    <col min="5902" max="6144" width="10.83203125" style="392"/>
    <col min="6145" max="6145" width="42.6640625" style="392" customWidth="1"/>
    <col min="6146" max="6147" width="8.6640625" style="392" customWidth="1"/>
    <col min="6148" max="6148" width="2.6640625" style="392" customWidth="1"/>
    <col min="6149" max="6150" width="8.6640625" style="392" customWidth="1"/>
    <col min="6151" max="6151" width="2.6640625" style="392" customWidth="1"/>
    <col min="6152" max="6153" width="8.6640625" style="392" customWidth="1"/>
    <col min="6154" max="6154" width="2.6640625" style="392" customWidth="1"/>
    <col min="6155" max="6156" width="8.6640625" style="392" customWidth="1"/>
    <col min="6157" max="6157" width="3.5" style="392" customWidth="1"/>
    <col min="6158" max="6400" width="10.83203125" style="392"/>
    <col min="6401" max="6401" width="42.6640625" style="392" customWidth="1"/>
    <col min="6402" max="6403" width="8.6640625" style="392" customWidth="1"/>
    <col min="6404" max="6404" width="2.6640625" style="392" customWidth="1"/>
    <col min="6405" max="6406" width="8.6640625" style="392" customWidth="1"/>
    <col min="6407" max="6407" width="2.6640625" style="392" customWidth="1"/>
    <col min="6408" max="6409" width="8.6640625" style="392" customWidth="1"/>
    <col min="6410" max="6410" width="2.6640625" style="392" customWidth="1"/>
    <col min="6411" max="6412" width="8.6640625" style="392" customWidth="1"/>
    <col min="6413" max="6413" width="3.5" style="392" customWidth="1"/>
    <col min="6414" max="6656" width="10.83203125" style="392"/>
    <col min="6657" max="6657" width="42.6640625" style="392" customWidth="1"/>
    <col min="6658" max="6659" width="8.6640625" style="392" customWidth="1"/>
    <col min="6660" max="6660" width="2.6640625" style="392" customWidth="1"/>
    <col min="6661" max="6662" width="8.6640625" style="392" customWidth="1"/>
    <col min="6663" max="6663" width="2.6640625" style="392" customWidth="1"/>
    <col min="6664" max="6665" width="8.6640625" style="392" customWidth="1"/>
    <col min="6666" max="6666" width="2.6640625" style="392" customWidth="1"/>
    <col min="6667" max="6668" width="8.6640625" style="392" customWidth="1"/>
    <col min="6669" max="6669" width="3.5" style="392" customWidth="1"/>
    <col min="6670" max="6912" width="10.83203125" style="392"/>
    <col min="6913" max="6913" width="42.6640625" style="392" customWidth="1"/>
    <col min="6914" max="6915" width="8.6640625" style="392" customWidth="1"/>
    <col min="6916" max="6916" width="2.6640625" style="392" customWidth="1"/>
    <col min="6917" max="6918" width="8.6640625" style="392" customWidth="1"/>
    <col min="6919" max="6919" width="2.6640625" style="392" customWidth="1"/>
    <col min="6920" max="6921" width="8.6640625" style="392" customWidth="1"/>
    <col min="6922" max="6922" width="2.6640625" style="392" customWidth="1"/>
    <col min="6923" max="6924" width="8.6640625" style="392" customWidth="1"/>
    <col min="6925" max="6925" width="3.5" style="392" customWidth="1"/>
    <col min="6926" max="7168" width="10.83203125" style="392"/>
    <col min="7169" max="7169" width="42.6640625" style="392" customWidth="1"/>
    <col min="7170" max="7171" width="8.6640625" style="392" customWidth="1"/>
    <col min="7172" max="7172" width="2.6640625" style="392" customWidth="1"/>
    <col min="7173" max="7174" width="8.6640625" style="392" customWidth="1"/>
    <col min="7175" max="7175" width="2.6640625" style="392" customWidth="1"/>
    <col min="7176" max="7177" width="8.6640625" style="392" customWidth="1"/>
    <col min="7178" max="7178" width="2.6640625" style="392" customWidth="1"/>
    <col min="7179" max="7180" width="8.6640625" style="392" customWidth="1"/>
    <col min="7181" max="7181" width="3.5" style="392" customWidth="1"/>
    <col min="7182" max="7424" width="10.83203125" style="392"/>
    <col min="7425" max="7425" width="42.6640625" style="392" customWidth="1"/>
    <col min="7426" max="7427" width="8.6640625" style="392" customWidth="1"/>
    <col min="7428" max="7428" width="2.6640625" style="392" customWidth="1"/>
    <col min="7429" max="7430" width="8.6640625" style="392" customWidth="1"/>
    <col min="7431" max="7431" width="2.6640625" style="392" customWidth="1"/>
    <col min="7432" max="7433" width="8.6640625" style="392" customWidth="1"/>
    <col min="7434" max="7434" width="2.6640625" style="392" customWidth="1"/>
    <col min="7435" max="7436" width="8.6640625" style="392" customWidth="1"/>
    <col min="7437" max="7437" width="3.5" style="392" customWidth="1"/>
    <col min="7438" max="7680" width="10.83203125" style="392"/>
    <col min="7681" max="7681" width="42.6640625" style="392" customWidth="1"/>
    <col min="7682" max="7683" width="8.6640625" style="392" customWidth="1"/>
    <col min="7684" max="7684" width="2.6640625" style="392" customWidth="1"/>
    <col min="7685" max="7686" width="8.6640625" style="392" customWidth="1"/>
    <col min="7687" max="7687" width="2.6640625" style="392" customWidth="1"/>
    <col min="7688" max="7689" width="8.6640625" style="392" customWidth="1"/>
    <col min="7690" max="7690" width="2.6640625" style="392" customWidth="1"/>
    <col min="7691" max="7692" width="8.6640625" style="392" customWidth="1"/>
    <col min="7693" max="7693" width="3.5" style="392" customWidth="1"/>
    <col min="7694" max="7936" width="10.83203125" style="392"/>
    <col min="7937" max="7937" width="42.6640625" style="392" customWidth="1"/>
    <col min="7938" max="7939" width="8.6640625" style="392" customWidth="1"/>
    <col min="7940" max="7940" width="2.6640625" style="392" customWidth="1"/>
    <col min="7941" max="7942" width="8.6640625" style="392" customWidth="1"/>
    <col min="7943" max="7943" width="2.6640625" style="392" customWidth="1"/>
    <col min="7944" max="7945" width="8.6640625" style="392" customWidth="1"/>
    <col min="7946" max="7946" width="2.6640625" style="392" customWidth="1"/>
    <col min="7947" max="7948" width="8.6640625" style="392" customWidth="1"/>
    <col min="7949" max="7949" width="3.5" style="392" customWidth="1"/>
    <col min="7950" max="8192" width="10.83203125" style="392"/>
    <col min="8193" max="8193" width="42.6640625" style="392" customWidth="1"/>
    <col min="8194" max="8195" width="8.6640625" style="392" customWidth="1"/>
    <col min="8196" max="8196" width="2.6640625" style="392" customWidth="1"/>
    <col min="8197" max="8198" width="8.6640625" style="392" customWidth="1"/>
    <col min="8199" max="8199" width="2.6640625" style="392" customWidth="1"/>
    <col min="8200" max="8201" width="8.6640625" style="392" customWidth="1"/>
    <col min="8202" max="8202" width="2.6640625" style="392" customWidth="1"/>
    <col min="8203" max="8204" width="8.6640625" style="392" customWidth="1"/>
    <col min="8205" max="8205" width="3.5" style="392" customWidth="1"/>
    <col min="8206" max="8448" width="10.83203125" style="392"/>
    <col min="8449" max="8449" width="42.6640625" style="392" customWidth="1"/>
    <col min="8450" max="8451" width="8.6640625" style="392" customWidth="1"/>
    <col min="8452" max="8452" width="2.6640625" style="392" customWidth="1"/>
    <col min="8453" max="8454" width="8.6640625" style="392" customWidth="1"/>
    <col min="8455" max="8455" width="2.6640625" style="392" customWidth="1"/>
    <col min="8456" max="8457" width="8.6640625" style="392" customWidth="1"/>
    <col min="8458" max="8458" width="2.6640625" style="392" customWidth="1"/>
    <col min="8459" max="8460" width="8.6640625" style="392" customWidth="1"/>
    <col min="8461" max="8461" width="3.5" style="392" customWidth="1"/>
    <col min="8462" max="8704" width="10.83203125" style="392"/>
    <col min="8705" max="8705" width="42.6640625" style="392" customWidth="1"/>
    <col min="8706" max="8707" width="8.6640625" style="392" customWidth="1"/>
    <col min="8708" max="8708" width="2.6640625" style="392" customWidth="1"/>
    <col min="8709" max="8710" width="8.6640625" style="392" customWidth="1"/>
    <col min="8711" max="8711" width="2.6640625" style="392" customWidth="1"/>
    <col min="8712" max="8713" width="8.6640625" style="392" customWidth="1"/>
    <col min="8714" max="8714" width="2.6640625" style="392" customWidth="1"/>
    <col min="8715" max="8716" width="8.6640625" style="392" customWidth="1"/>
    <col min="8717" max="8717" width="3.5" style="392" customWidth="1"/>
    <col min="8718" max="8960" width="10.83203125" style="392"/>
    <col min="8961" max="8961" width="42.6640625" style="392" customWidth="1"/>
    <col min="8962" max="8963" width="8.6640625" style="392" customWidth="1"/>
    <col min="8964" max="8964" width="2.6640625" style="392" customWidth="1"/>
    <col min="8965" max="8966" width="8.6640625" style="392" customWidth="1"/>
    <col min="8967" max="8967" width="2.6640625" style="392" customWidth="1"/>
    <col min="8968" max="8969" width="8.6640625" style="392" customWidth="1"/>
    <col min="8970" max="8970" width="2.6640625" style="392" customWidth="1"/>
    <col min="8971" max="8972" width="8.6640625" style="392" customWidth="1"/>
    <col min="8973" max="8973" width="3.5" style="392" customWidth="1"/>
    <col min="8974" max="9216" width="10.83203125" style="392"/>
    <col min="9217" max="9217" width="42.6640625" style="392" customWidth="1"/>
    <col min="9218" max="9219" width="8.6640625" style="392" customWidth="1"/>
    <col min="9220" max="9220" width="2.6640625" style="392" customWidth="1"/>
    <col min="9221" max="9222" width="8.6640625" style="392" customWidth="1"/>
    <col min="9223" max="9223" width="2.6640625" style="392" customWidth="1"/>
    <col min="9224" max="9225" width="8.6640625" style="392" customWidth="1"/>
    <col min="9226" max="9226" width="2.6640625" style="392" customWidth="1"/>
    <col min="9227" max="9228" width="8.6640625" style="392" customWidth="1"/>
    <col min="9229" max="9229" width="3.5" style="392" customWidth="1"/>
    <col min="9230" max="9472" width="10.83203125" style="392"/>
    <col min="9473" max="9473" width="42.6640625" style="392" customWidth="1"/>
    <col min="9474" max="9475" width="8.6640625" style="392" customWidth="1"/>
    <col min="9476" max="9476" width="2.6640625" style="392" customWidth="1"/>
    <col min="9477" max="9478" width="8.6640625" style="392" customWidth="1"/>
    <col min="9479" max="9479" width="2.6640625" style="392" customWidth="1"/>
    <col min="9480" max="9481" width="8.6640625" style="392" customWidth="1"/>
    <col min="9482" max="9482" width="2.6640625" style="392" customWidth="1"/>
    <col min="9483" max="9484" width="8.6640625" style="392" customWidth="1"/>
    <col min="9485" max="9485" width="3.5" style="392" customWidth="1"/>
    <col min="9486" max="9728" width="10.83203125" style="392"/>
    <col min="9729" max="9729" width="42.6640625" style="392" customWidth="1"/>
    <col min="9730" max="9731" width="8.6640625" style="392" customWidth="1"/>
    <col min="9732" max="9732" width="2.6640625" style="392" customWidth="1"/>
    <col min="9733" max="9734" width="8.6640625" style="392" customWidth="1"/>
    <col min="9735" max="9735" width="2.6640625" style="392" customWidth="1"/>
    <col min="9736" max="9737" width="8.6640625" style="392" customWidth="1"/>
    <col min="9738" max="9738" width="2.6640625" style="392" customWidth="1"/>
    <col min="9739" max="9740" width="8.6640625" style="392" customWidth="1"/>
    <col min="9741" max="9741" width="3.5" style="392" customWidth="1"/>
    <col min="9742" max="9984" width="10.83203125" style="392"/>
    <col min="9985" max="9985" width="42.6640625" style="392" customWidth="1"/>
    <col min="9986" max="9987" width="8.6640625" style="392" customWidth="1"/>
    <col min="9988" max="9988" width="2.6640625" style="392" customWidth="1"/>
    <col min="9989" max="9990" width="8.6640625" style="392" customWidth="1"/>
    <col min="9991" max="9991" width="2.6640625" style="392" customWidth="1"/>
    <col min="9992" max="9993" width="8.6640625" style="392" customWidth="1"/>
    <col min="9994" max="9994" width="2.6640625" style="392" customWidth="1"/>
    <col min="9995" max="9996" width="8.6640625" style="392" customWidth="1"/>
    <col min="9997" max="9997" width="3.5" style="392" customWidth="1"/>
    <col min="9998" max="10240" width="10.83203125" style="392"/>
    <col min="10241" max="10241" width="42.6640625" style="392" customWidth="1"/>
    <col min="10242" max="10243" width="8.6640625" style="392" customWidth="1"/>
    <col min="10244" max="10244" width="2.6640625" style="392" customWidth="1"/>
    <col min="10245" max="10246" width="8.6640625" style="392" customWidth="1"/>
    <col min="10247" max="10247" width="2.6640625" style="392" customWidth="1"/>
    <col min="10248" max="10249" width="8.6640625" style="392" customWidth="1"/>
    <col min="10250" max="10250" width="2.6640625" style="392" customWidth="1"/>
    <col min="10251" max="10252" width="8.6640625" style="392" customWidth="1"/>
    <col min="10253" max="10253" width="3.5" style="392" customWidth="1"/>
    <col min="10254" max="10496" width="10.83203125" style="392"/>
    <col min="10497" max="10497" width="42.6640625" style="392" customWidth="1"/>
    <col min="10498" max="10499" width="8.6640625" style="392" customWidth="1"/>
    <col min="10500" max="10500" width="2.6640625" style="392" customWidth="1"/>
    <col min="10501" max="10502" width="8.6640625" style="392" customWidth="1"/>
    <col min="10503" max="10503" width="2.6640625" style="392" customWidth="1"/>
    <col min="10504" max="10505" width="8.6640625" style="392" customWidth="1"/>
    <col min="10506" max="10506" width="2.6640625" style="392" customWidth="1"/>
    <col min="10507" max="10508" width="8.6640625" style="392" customWidth="1"/>
    <col min="10509" max="10509" width="3.5" style="392" customWidth="1"/>
    <col min="10510" max="10752" width="10.83203125" style="392"/>
    <col min="10753" max="10753" width="42.6640625" style="392" customWidth="1"/>
    <col min="10754" max="10755" width="8.6640625" style="392" customWidth="1"/>
    <col min="10756" max="10756" width="2.6640625" style="392" customWidth="1"/>
    <col min="10757" max="10758" width="8.6640625" style="392" customWidth="1"/>
    <col min="10759" max="10759" width="2.6640625" style="392" customWidth="1"/>
    <col min="10760" max="10761" width="8.6640625" style="392" customWidth="1"/>
    <col min="10762" max="10762" width="2.6640625" style="392" customWidth="1"/>
    <col min="10763" max="10764" width="8.6640625" style="392" customWidth="1"/>
    <col min="10765" max="10765" width="3.5" style="392" customWidth="1"/>
    <col min="10766" max="11008" width="10.83203125" style="392"/>
    <col min="11009" max="11009" width="42.6640625" style="392" customWidth="1"/>
    <col min="11010" max="11011" width="8.6640625" style="392" customWidth="1"/>
    <col min="11012" max="11012" width="2.6640625" style="392" customWidth="1"/>
    <col min="11013" max="11014" width="8.6640625" style="392" customWidth="1"/>
    <col min="11015" max="11015" width="2.6640625" style="392" customWidth="1"/>
    <col min="11016" max="11017" width="8.6640625" style="392" customWidth="1"/>
    <col min="11018" max="11018" width="2.6640625" style="392" customWidth="1"/>
    <col min="11019" max="11020" width="8.6640625" style="392" customWidth="1"/>
    <col min="11021" max="11021" width="3.5" style="392" customWidth="1"/>
    <col min="11022" max="11264" width="10.83203125" style="392"/>
    <col min="11265" max="11265" width="42.6640625" style="392" customWidth="1"/>
    <col min="11266" max="11267" width="8.6640625" style="392" customWidth="1"/>
    <col min="11268" max="11268" width="2.6640625" style="392" customWidth="1"/>
    <col min="11269" max="11270" width="8.6640625" style="392" customWidth="1"/>
    <col min="11271" max="11271" width="2.6640625" style="392" customWidth="1"/>
    <col min="11272" max="11273" width="8.6640625" style="392" customWidth="1"/>
    <col min="11274" max="11274" width="2.6640625" style="392" customWidth="1"/>
    <col min="11275" max="11276" width="8.6640625" style="392" customWidth="1"/>
    <col min="11277" max="11277" width="3.5" style="392" customWidth="1"/>
    <col min="11278" max="11520" width="10.83203125" style="392"/>
    <col min="11521" max="11521" width="42.6640625" style="392" customWidth="1"/>
    <col min="11522" max="11523" width="8.6640625" style="392" customWidth="1"/>
    <col min="11524" max="11524" width="2.6640625" style="392" customWidth="1"/>
    <col min="11525" max="11526" width="8.6640625" style="392" customWidth="1"/>
    <col min="11527" max="11527" width="2.6640625" style="392" customWidth="1"/>
    <col min="11528" max="11529" width="8.6640625" style="392" customWidth="1"/>
    <col min="11530" max="11530" width="2.6640625" style="392" customWidth="1"/>
    <col min="11531" max="11532" width="8.6640625" style="392" customWidth="1"/>
    <col min="11533" max="11533" width="3.5" style="392" customWidth="1"/>
    <col min="11534" max="11776" width="10.83203125" style="392"/>
    <col min="11777" max="11777" width="42.6640625" style="392" customWidth="1"/>
    <col min="11778" max="11779" width="8.6640625" style="392" customWidth="1"/>
    <col min="11780" max="11780" width="2.6640625" style="392" customWidth="1"/>
    <col min="11781" max="11782" width="8.6640625" style="392" customWidth="1"/>
    <col min="11783" max="11783" width="2.6640625" style="392" customWidth="1"/>
    <col min="11784" max="11785" width="8.6640625" style="392" customWidth="1"/>
    <col min="11786" max="11786" width="2.6640625" style="392" customWidth="1"/>
    <col min="11787" max="11788" width="8.6640625" style="392" customWidth="1"/>
    <col min="11789" max="11789" width="3.5" style="392" customWidth="1"/>
    <col min="11790" max="12032" width="10.83203125" style="392"/>
    <col min="12033" max="12033" width="42.6640625" style="392" customWidth="1"/>
    <col min="12034" max="12035" width="8.6640625" style="392" customWidth="1"/>
    <col min="12036" max="12036" width="2.6640625" style="392" customWidth="1"/>
    <col min="12037" max="12038" width="8.6640625" style="392" customWidth="1"/>
    <col min="12039" max="12039" width="2.6640625" style="392" customWidth="1"/>
    <col min="12040" max="12041" width="8.6640625" style="392" customWidth="1"/>
    <col min="12042" max="12042" width="2.6640625" style="392" customWidth="1"/>
    <col min="12043" max="12044" width="8.6640625" style="392" customWidth="1"/>
    <col min="12045" max="12045" width="3.5" style="392" customWidth="1"/>
    <col min="12046" max="12288" width="10.83203125" style="392"/>
    <col min="12289" max="12289" width="42.6640625" style="392" customWidth="1"/>
    <col min="12290" max="12291" width="8.6640625" style="392" customWidth="1"/>
    <col min="12292" max="12292" width="2.6640625" style="392" customWidth="1"/>
    <col min="12293" max="12294" width="8.6640625" style="392" customWidth="1"/>
    <col min="12295" max="12295" width="2.6640625" style="392" customWidth="1"/>
    <col min="12296" max="12297" width="8.6640625" style="392" customWidth="1"/>
    <col min="12298" max="12298" width="2.6640625" style="392" customWidth="1"/>
    <col min="12299" max="12300" width="8.6640625" style="392" customWidth="1"/>
    <col min="12301" max="12301" width="3.5" style="392" customWidth="1"/>
    <col min="12302" max="12544" width="10.83203125" style="392"/>
    <col min="12545" max="12545" width="42.6640625" style="392" customWidth="1"/>
    <col min="12546" max="12547" width="8.6640625" style="392" customWidth="1"/>
    <col min="12548" max="12548" width="2.6640625" style="392" customWidth="1"/>
    <col min="12549" max="12550" width="8.6640625" style="392" customWidth="1"/>
    <col min="12551" max="12551" width="2.6640625" style="392" customWidth="1"/>
    <col min="12552" max="12553" width="8.6640625" style="392" customWidth="1"/>
    <col min="12554" max="12554" width="2.6640625" style="392" customWidth="1"/>
    <col min="12555" max="12556" width="8.6640625" style="392" customWidth="1"/>
    <col min="12557" max="12557" width="3.5" style="392" customWidth="1"/>
    <col min="12558" max="12800" width="10.83203125" style="392"/>
    <col min="12801" max="12801" width="42.6640625" style="392" customWidth="1"/>
    <col min="12802" max="12803" width="8.6640625" style="392" customWidth="1"/>
    <col min="12804" max="12804" width="2.6640625" style="392" customWidth="1"/>
    <col min="12805" max="12806" width="8.6640625" style="392" customWidth="1"/>
    <col min="12807" max="12807" width="2.6640625" style="392" customWidth="1"/>
    <col min="12808" max="12809" width="8.6640625" style="392" customWidth="1"/>
    <col min="12810" max="12810" width="2.6640625" style="392" customWidth="1"/>
    <col min="12811" max="12812" width="8.6640625" style="392" customWidth="1"/>
    <col min="12813" max="12813" width="3.5" style="392" customWidth="1"/>
    <col min="12814" max="13056" width="10.83203125" style="392"/>
    <col min="13057" max="13057" width="42.6640625" style="392" customWidth="1"/>
    <col min="13058" max="13059" width="8.6640625" style="392" customWidth="1"/>
    <col min="13060" max="13060" width="2.6640625" style="392" customWidth="1"/>
    <col min="13061" max="13062" width="8.6640625" style="392" customWidth="1"/>
    <col min="13063" max="13063" width="2.6640625" style="392" customWidth="1"/>
    <col min="13064" max="13065" width="8.6640625" style="392" customWidth="1"/>
    <col min="13066" max="13066" width="2.6640625" style="392" customWidth="1"/>
    <col min="13067" max="13068" width="8.6640625" style="392" customWidth="1"/>
    <col min="13069" max="13069" width="3.5" style="392" customWidth="1"/>
    <col min="13070" max="13312" width="10.83203125" style="392"/>
    <col min="13313" max="13313" width="42.6640625" style="392" customWidth="1"/>
    <col min="13314" max="13315" width="8.6640625" style="392" customWidth="1"/>
    <col min="13316" max="13316" width="2.6640625" style="392" customWidth="1"/>
    <col min="13317" max="13318" width="8.6640625" style="392" customWidth="1"/>
    <col min="13319" max="13319" width="2.6640625" style="392" customWidth="1"/>
    <col min="13320" max="13321" width="8.6640625" style="392" customWidth="1"/>
    <col min="13322" max="13322" width="2.6640625" style="392" customWidth="1"/>
    <col min="13323" max="13324" width="8.6640625" style="392" customWidth="1"/>
    <col min="13325" max="13325" width="3.5" style="392" customWidth="1"/>
    <col min="13326" max="13568" width="10.83203125" style="392"/>
    <col min="13569" max="13569" width="42.6640625" style="392" customWidth="1"/>
    <col min="13570" max="13571" width="8.6640625" style="392" customWidth="1"/>
    <col min="13572" max="13572" width="2.6640625" style="392" customWidth="1"/>
    <col min="13573" max="13574" width="8.6640625" style="392" customWidth="1"/>
    <col min="13575" max="13575" width="2.6640625" style="392" customWidth="1"/>
    <col min="13576" max="13577" width="8.6640625" style="392" customWidth="1"/>
    <col min="13578" max="13578" width="2.6640625" style="392" customWidth="1"/>
    <col min="13579" max="13580" width="8.6640625" style="392" customWidth="1"/>
    <col min="13581" max="13581" width="3.5" style="392" customWidth="1"/>
    <col min="13582" max="13824" width="10.83203125" style="392"/>
    <col min="13825" max="13825" width="42.6640625" style="392" customWidth="1"/>
    <col min="13826" max="13827" width="8.6640625" style="392" customWidth="1"/>
    <col min="13828" max="13828" width="2.6640625" style="392" customWidth="1"/>
    <col min="13829" max="13830" width="8.6640625" style="392" customWidth="1"/>
    <col min="13831" max="13831" width="2.6640625" style="392" customWidth="1"/>
    <col min="13832" max="13833" width="8.6640625" style="392" customWidth="1"/>
    <col min="13834" max="13834" width="2.6640625" style="392" customWidth="1"/>
    <col min="13835" max="13836" width="8.6640625" style="392" customWidth="1"/>
    <col min="13837" max="13837" width="3.5" style="392" customWidth="1"/>
    <col min="13838" max="14080" width="10.83203125" style="392"/>
    <col min="14081" max="14081" width="42.6640625" style="392" customWidth="1"/>
    <col min="14082" max="14083" width="8.6640625" style="392" customWidth="1"/>
    <col min="14084" max="14084" width="2.6640625" style="392" customWidth="1"/>
    <col min="14085" max="14086" width="8.6640625" style="392" customWidth="1"/>
    <col min="14087" max="14087" width="2.6640625" style="392" customWidth="1"/>
    <col min="14088" max="14089" width="8.6640625" style="392" customWidth="1"/>
    <col min="14090" max="14090" width="2.6640625" style="392" customWidth="1"/>
    <col min="14091" max="14092" width="8.6640625" style="392" customWidth="1"/>
    <col min="14093" max="14093" width="3.5" style="392" customWidth="1"/>
    <col min="14094" max="14336" width="10.83203125" style="392"/>
    <col min="14337" max="14337" width="42.6640625" style="392" customWidth="1"/>
    <col min="14338" max="14339" width="8.6640625" style="392" customWidth="1"/>
    <col min="14340" max="14340" width="2.6640625" style="392" customWidth="1"/>
    <col min="14341" max="14342" width="8.6640625" style="392" customWidth="1"/>
    <col min="14343" max="14343" width="2.6640625" style="392" customWidth="1"/>
    <col min="14344" max="14345" width="8.6640625" style="392" customWidth="1"/>
    <col min="14346" max="14346" width="2.6640625" style="392" customWidth="1"/>
    <col min="14347" max="14348" width="8.6640625" style="392" customWidth="1"/>
    <col min="14349" max="14349" width="3.5" style="392" customWidth="1"/>
    <col min="14350" max="14592" width="10.83203125" style="392"/>
    <col min="14593" max="14593" width="42.6640625" style="392" customWidth="1"/>
    <col min="14594" max="14595" width="8.6640625" style="392" customWidth="1"/>
    <col min="14596" max="14596" width="2.6640625" style="392" customWidth="1"/>
    <col min="14597" max="14598" width="8.6640625" style="392" customWidth="1"/>
    <col min="14599" max="14599" width="2.6640625" style="392" customWidth="1"/>
    <col min="14600" max="14601" width="8.6640625" style="392" customWidth="1"/>
    <col min="14602" max="14602" width="2.6640625" style="392" customWidth="1"/>
    <col min="14603" max="14604" width="8.6640625" style="392" customWidth="1"/>
    <col min="14605" max="14605" width="3.5" style="392" customWidth="1"/>
    <col min="14606" max="14848" width="10.83203125" style="392"/>
    <col min="14849" max="14849" width="42.6640625" style="392" customWidth="1"/>
    <col min="14850" max="14851" width="8.6640625" style="392" customWidth="1"/>
    <col min="14852" max="14852" width="2.6640625" style="392" customWidth="1"/>
    <col min="14853" max="14854" width="8.6640625" style="392" customWidth="1"/>
    <col min="14855" max="14855" width="2.6640625" style="392" customWidth="1"/>
    <col min="14856" max="14857" width="8.6640625" style="392" customWidth="1"/>
    <col min="14858" max="14858" width="2.6640625" style="392" customWidth="1"/>
    <col min="14859" max="14860" width="8.6640625" style="392" customWidth="1"/>
    <col min="14861" max="14861" width="3.5" style="392" customWidth="1"/>
    <col min="14862" max="15104" width="10.83203125" style="392"/>
    <col min="15105" max="15105" width="42.6640625" style="392" customWidth="1"/>
    <col min="15106" max="15107" width="8.6640625" style="392" customWidth="1"/>
    <col min="15108" max="15108" width="2.6640625" style="392" customWidth="1"/>
    <col min="15109" max="15110" width="8.6640625" style="392" customWidth="1"/>
    <col min="15111" max="15111" width="2.6640625" style="392" customWidth="1"/>
    <col min="15112" max="15113" width="8.6640625" style="392" customWidth="1"/>
    <col min="15114" max="15114" width="2.6640625" style="392" customWidth="1"/>
    <col min="15115" max="15116" width="8.6640625" style="392" customWidth="1"/>
    <col min="15117" max="15117" width="3.5" style="392" customWidth="1"/>
    <col min="15118" max="15360" width="10.83203125" style="392"/>
    <col min="15361" max="15361" width="42.6640625" style="392" customWidth="1"/>
    <col min="15362" max="15363" width="8.6640625" style="392" customWidth="1"/>
    <col min="15364" max="15364" width="2.6640625" style="392" customWidth="1"/>
    <col min="15365" max="15366" width="8.6640625" style="392" customWidth="1"/>
    <col min="15367" max="15367" width="2.6640625" style="392" customWidth="1"/>
    <col min="15368" max="15369" width="8.6640625" style="392" customWidth="1"/>
    <col min="15370" max="15370" width="2.6640625" style="392" customWidth="1"/>
    <col min="15371" max="15372" width="8.6640625" style="392" customWidth="1"/>
    <col min="15373" max="15373" width="3.5" style="392" customWidth="1"/>
    <col min="15374" max="15616" width="10.83203125" style="392"/>
    <col min="15617" max="15617" width="42.6640625" style="392" customWidth="1"/>
    <col min="15618" max="15619" width="8.6640625" style="392" customWidth="1"/>
    <col min="15620" max="15620" width="2.6640625" style="392" customWidth="1"/>
    <col min="15621" max="15622" width="8.6640625" style="392" customWidth="1"/>
    <col min="15623" max="15623" width="2.6640625" style="392" customWidth="1"/>
    <col min="15624" max="15625" width="8.6640625" style="392" customWidth="1"/>
    <col min="15626" max="15626" width="2.6640625" style="392" customWidth="1"/>
    <col min="15627" max="15628" width="8.6640625" style="392" customWidth="1"/>
    <col min="15629" max="15629" width="3.5" style="392" customWidth="1"/>
    <col min="15630" max="15872" width="10.83203125" style="392"/>
    <col min="15873" max="15873" width="42.6640625" style="392" customWidth="1"/>
    <col min="15874" max="15875" width="8.6640625" style="392" customWidth="1"/>
    <col min="15876" max="15876" width="2.6640625" style="392" customWidth="1"/>
    <col min="15877" max="15878" width="8.6640625" style="392" customWidth="1"/>
    <col min="15879" max="15879" width="2.6640625" style="392" customWidth="1"/>
    <col min="15880" max="15881" width="8.6640625" style="392" customWidth="1"/>
    <col min="15882" max="15882" width="2.6640625" style="392" customWidth="1"/>
    <col min="15883" max="15884" width="8.6640625" style="392" customWidth="1"/>
    <col min="15885" max="15885" width="3.5" style="392" customWidth="1"/>
    <col min="15886" max="16128" width="10.83203125" style="392"/>
    <col min="16129" max="16129" width="42.6640625" style="392" customWidth="1"/>
    <col min="16130" max="16131" width="8.6640625" style="392" customWidth="1"/>
    <col min="16132" max="16132" width="2.6640625" style="392" customWidth="1"/>
    <col min="16133" max="16134" width="8.6640625" style="392" customWidth="1"/>
    <col min="16135" max="16135" width="2.6640625" style="392" customWidth="1"/>
    <col min="16136" max="16137" width="8.6640625" style="392" customWidth="1"/>
    <col min="16138" max="16138" width="2.6640625" style="392" customWidth="1"/>
    <col min="16139" max="16140" width="8.6640625" style="392" customWidth="1"/>
    <col min="16141" max="16141" width="3.5" style="392" customWidth="1"/>
    <col min="16142" max="16384" width="10.83203125" style="392"/>
  </cols>
  <sheetData>
    <row r="1" spans="1:13" ht="13.25" customHeight="1">
      <c r="A1" s="14" t="s">
        <v>674</v>
      </c>
      <c r="E1" s="796"/>
      <c r="G1" s="796"/>
      <c r="H1" s="796"/>
      <c r="J1" s="796"/>
      <c r="K1" s="796"/>
    </row>
    <row r="2" spans="1:13" ht="13.25" customHeight="1">
      <c r="A2" s="14" t="s">
        <v>675</v>
      </c>
      <c r="E2" s="796"/>
      <c r="G2" s="796"/>
      <c r="H2" s="796"/>
      <c r="J2" s="796"/>
      <c r="K2" s="796"/>
    </row>
    <row r="3" spans="1:13" ht="8.25" customHeight="1"/>
    <row r="4" spans="1:13" ht="13.25" customHeight="1">
      <c r="A4" s="14" t="s">
        <v>1916</v>
      </c>
    </row>
    <row r="5" spans="1:13" ht="10.5" customHeight="1" thickBot="1">
      <c r="L5" s="797"/>
      <c r="M5" s="439"/>
    </row>
    <row r="6" spans="1:13" ht="11.25" customHeight="1">
      <c r="A6" s="798"/>
      <c r="B6" s="798"/>
      <c r="C6" s="798"/>
      <c r="D6" s="798"/>
      <c r="E6" s="799"/>
      <c r="F6" s="800"/>
      <c r="G6" s="799"/>
      <c r="H6" s="799"/>
      <c r="I6" s="800"/>
      <c r="J6" s="799"/>
      <c r="K6" s="799"/>
      <c r="L6" s="800"/>
      <c r="M6" s="799"/>
    </row>
    <row r="7" spans="1:13" ht="12" customHeight="1">
      <c r="A7" s="801" t="s">
        <v>147</v>
      </c>
      <c r="B7" s="1033" t="s">
        <v>148</v>
      </c>
      <c r="C7" s="1033"/>
      <c r="D7" s="801"/>
      <c r="E7" s="1034" t="s">
        <v>1053</v>
      </c>
      <c r="F7" s="1034"/>
      <c r="G7" s="802"/>
      <c r="H7" s="1034" t="s">
        <v>1282</v>
      </c>
      <c r="I7" s="1034"/>
      <c r="J7" s="802"/>
      <c r="K7" s="1035" t="s">
        <v>1283</v>
      </c>
      <c r="L7" s="1036"/>
    </row>
    <row r="8" spans="1:13" ht="15" customHeight="1">
      <c r="A8" s="802" t="s">
        <v>1763</v>
      </c>
      <c r="B8" s="774" t="s">
        <v>152</v>
      </c>
      <c r="C8" s="774" t="s">
        <v>153</v>
      </c>
      <c r="D8" s="774"/>
      <c r="E8" s="774" t="s">
        <v>152</v>
      </c>
      <c r="F8" s="803" t="s">
        <v>153</v>
      </c>
      <c r="G8" s="774"/>
      <c r="H8" s="774" t="s">
        <v>152</v>
      </c>
      <c r="I8" s="803" t="s">
        <v>153</v>
      </c>
      <c r="J8" s="774"/>
      <c r="K8" s="774" t="s">
        <v>152</v>
      </c>
      <c r="L8" s="803" t="s">
        <v>153</v>
      </c>
    </row>
    <row r="9" spans="1:13" ht="9.75" customHeight="1" thickBot="1">
      <c r="A9" s="804"/>
      <c r="B9" s="804"/>
      <c r="C9" s="804"/>
      <c r="D9" s="804"/>
      <c r="E9" s="805"/>
      <c r="F9" s="806"/>
      <c r="G9" s="805"/>
      <c r="H9" s="805"/>
      <c r="I9" s="806"/>
      <c r="J9" s="805"/>
      <c r="K9" s="805"/>
    </row>
    <row r="10" spans="1:13" ht="9.75" customHeight="1">
      <c r="E10" s="486"/>
      <c r="G10" s="486"/>
      <c r="H10" s="486"/>
      <c r="J10" s="486"/>
      <c r="K10" s="486"/>
      <c r="L10" s="800"/>
      <c r="M10" s="799"/>
    </row>
    <row r="11" spans="1:13" ht="13" customHeight="1">
      <c r="A11" s="17" t="s">
        <v>402</v>
      </c>
      <c r="B11" s="390">
        <f>IF($A11&lt;&gt;"",B13+B96,"")</f>
        <v>384</v>
      </c>
      <c r="C11" s="440">
        <f>SUM(C13+C96)</f>
        <v>100</v>
      </c>
      <c r="D11" s="17"/>
      <c r="E11" s="486">
        <f>SUM(E13+E96)</f>
        <v>12</v>
      </c>
      <c r="F11" s="797">
        <f>IF($A11&lt;&gt;"",E11/$B11*100,"")</f>
        <v>3.125</v>
      </c>
      <c r="G11" s="486"/>
      <c r="H11" s="486">
        <f>SUM(H13+H96)</f>
        <v>195</v>
      </c>
      <c r="I11" s="797">
        <f t="shared" ref="I11:I74" si="0">IF($A11&lt;&gt;"",H11/$B11*100,"")</f>
        <v>50.78125</v>
      </c>
      <c r="J11" s="486"/>
      <c r="K11" s="486">
        <f>SUM(K13+K96)</f>
        <v>177</v>
      </c>
      <c r="L11" s="797">
        <f t="shared" ref="L11:L74" si="1">IF($A11&lt;&gt;"",K11/$B11*100,"")</f>
        <v>46.09375</v>
      </c>
    </row>
    <row r="12" spans="1:13" ht="10.5" customHeight="1">
      <c r="B12" s="390" t="str">
        <f>IF($A12&lt;&gt;"",E12+H12+K12,"")</f>
        <v/>
      </c>
      <c r="C12" s="440" t="str">
        <f>IF(A12&lt;&gt;0,B12/$B$11*100,"")</f>
        <v/>
      </c>
      <c r="E12" s="486"/>
      <c r="F12" s="797" t="str">
        <f t="shared" ref="F12:F75" si="2">IF($A12&lt;&gt;"",E12/$B12*100,"")</f>
        <v/>
      </c>
      <c r="G12" s="486"/>
      <c r="H12" s="486"/>
      <c r="I12" s="797" t="str">
        <f t="shared" si="0"/>
        <v/>
      </c>
      <c r="J12" s="486"/>
      <c r="K12" s="486"/>
      <c r="L12" s="797" t="str">
        <f t="shared" si="1"/>
        <v/>
      </c>
    </row>
    <row r="13" spans="1:13" ht="13" customHeight="1">
      <c r="A13" s="17" t="s">
        <v>1285</v>
      </c>
      <c r="B13" s="390">
        <f t="shared" ref="B13:B76" si="3">IF($A13&lt;&gt;"",E13+H13+K13,"")</f>
        <v>201</v>
      </c>
      <c r="C13" s="440">
        <f>IF($A13&lt;&gt;0,B13/$B$11*100,"")</f>
        <v>52.34375</v>
      </c>
      <c r="D13" s="17"/>
      <c r="E13" s="486">
        <f>SUM(E15+E26+E34+E60+E72+E79+E93+E94)</f>
        <v>6</v>
      </c>
      <c r="F13" s="797">
        <f t="shared" si="2"/>
        <v>2.9850746268656714</v>
      </c>
      <c r="G13" s="486"/>
      <c r="H13" s="486">
        <f>SUM(H15+H26+H34+H60+H72+H79+H93+H94)</f>
        <v>95</v>
      </c>
      <c r="I13" s="797">
        <f t="shared" si="0"/>
        <v>47.263681592039802</v>
      </c>
      <c r="J13" s="486"/>
      <c r="K13" s="486">
        <f>SUM(K15+K26+K34+K60+K72+K79+K93+K94)</f>
        <v>100</v>
      </c>
      <c r="L13" s="797">
        <f t="shared" si="1"/>
        <v>49.75124378109453</v>
      </c>
    </row>
    <row r="14" spans="1:13" ht="10.5" customHeight="1">
      <c r="B14" s="390" t="str">
        <f t="shared" si="3"/>
        <v/>
      </c>
      <c r="C14" s="440" t="str">
        <f t="shared" ref="C14:C77" si="4">IF($A14&lt;&gt;0,B14/$B$11*100,"")</f>
        <v/>
      </c>
      <c r="E14" s="486"/>
      <c r="F14" s="797" t="str">
        <f t="shared" si="2"/>
        <v/>
      </c>
      <c r="G14" s="486"/>
      <c r="H14" s="486"/>
      <c r="I14" s="797" t="str">
        <f t="shared" si="0"/>
        <v/>
      </c>
      <c r="J14" s="486"/>
      <c r="K14" s="486"/>
      <c r="L14" s="797" t="str">
        <f t="shared" si="1"/>
        <v/>
      </c>
    </row>
    <row r="15" spans="1:13" ht="13" customHeight="1">
      <c r="A15" s="17" t="s">
        <v>404</v>
      </c>
      <c r="B15" s="390">
        <f t="shared" si="3"/>
        <v>42</v>
      </c>
      <c r="C15" s="440">
        <f t="shared" si="4"/>
        <v>10.9375</v>
      </c>
      <c r="D15" s="17"/>
      <c r="E15" s="486">
        <f>SUM(E16+E21)</f>
        <v>0</v>
      </c>
      <c r="F15" s="797">
        <f t="shared" si="2"/>
        <v>0</v>
      </c>
      <c r="G15" s="486"/>
      <c r="H15" s="486">
        <f>SUM(H16+H21)</f>
        <v>22</v>
      </c>
      <c r="I15" s="797">
        <f t="shared" si="0"/>
        <v>52.380952380952387</v>
      </c>
      <c r="J15" s="486"/>
      <c r="K15" s="486">
        <f>SUM(K16+K21)</f>
        <v>20</v>
      </c>
      <c r="L15" s="797">
        <f t="shared" si="1"/>
        <v>47.619047619047613</v>
      </c>
    </row>
    <row r="16" spans="1:13" ht="13" customHeight="1">
      <c r="A16" s="14" t="s">
        <v>162</v>
      </c>
      <c r="B16" s="390">
        <f t="shared" si="3"/>
        <v>32</v>
      </c>
      <c r="C16" s="440">
        <f t="shared" si="4"/>
        <v>8.3333333333333321</v>
      </c>
      <c r="E16" s="486">
        <f>SUM(E17:E19)</f>
        <v>0</v>
      </c>
      <c r="F16" s="797">
        <f t="shared" si="2"/>
        <v>0</v>
      </c>
      <c r="G16" s="486"/>
      <c r="H16" s="486">
        <f>SUM(H17:H19)</f>
        <v>16</v>
      </c>
      <c r="I16" s="797">
        <f t="shared" si="0"/>
        <v>50</v>
      </c>
      <c r="J16" s="486"/>
      <c r="K16" s="486">
        <f>SUM(K17:K19)</f>
        <v>16</v>
      </c>
      <c r="L16" s="797">
        <f t="shared" si="1"/>
        <v>50</v>
      </c>
    </row>
    <row r="17" spans="1:12" ht="13" customHeight="1">
      <c r="A17" s="14" t="s">
        <v>163</v>
      </c>
      <c r="B17" s="390">
        <f>IF($A17&lt;&gt;"",E17+H17+K17,"")</f>
        <v>2</v>
      </c>
      <c r="C17" s="440">
        <f t="shared" si="4"/>
        <v>0.52083333333333326</v>
      </c>
      <c r="E17" s="61"/>
      <c r="F17" s="797">
        <f t="shared" si="2"/>
        <v>0</v>
      </c>
      <c r="G17" s="61"/>
      <c r="H17" s="61">
        <v>1</v>
      </c>
      <c r="I17" s="797">
        <f t="shared" si="0"/>
        <v>50</v>
      </c>
      <c r="J17" s="61"/>
      <c r="K17" s="61">
        <v>1</v>
      </c>
      <c r="L17" s="797">
        <f t="shared" si="1"/>
        <v>50</v>
      </c>
    </row>
    <row r="18" spans="1:12" ht="13" customHeight="1">
      <c r="A18" s="14" t="s">
        <v>164</v>
      </c>
      <c r="B18" s="390">
        <f t="shared" si="3"/>
        <v>14</v>
      </c>
      <c r="C18" s="440">
        <f t="shared" si="4"/>
        <v>3.6458333333333335</v>
      </c>
      <c r="E18" s="61"/>
      <c r="F18" s="797">
        <f t="shared" si="2"/>
        <v>0</v>
      </c>
      <c r="G18" s="61"/>
      <c r="H18" s="61">
        <v>7</v>
      </c>
      <c r="I18" s="797">
        <f t="shared" si="0"/>
        <v>50</v>
      </c>
      <c r="J18" s="61"/>
      <c r="K18" s="61">
        <v>7</v>
      </c>
      <c r="L18" s="797">
        <f t="shared" si="1"/>
        <v>50</v>
      </c>
    </row>
    <row r="19" spans="1:12" ht="13" customHeight="1">
      <c r="A19" s="14" t="s">
        <v>165</v>
      </c>
      <c r="B19" s="390">
        <f>IF($A19&lt;&gt;"",E19+H19+K19,"")</f>
        <v>16</v>
      </c>
      <c r="C19" s="440">
        <f t="shared" si="4"/>
        <v>4.1666666666666661</v>
      </c>
      <c r="E19" s="61"/>
      <c r="F19" s="797">
        <f t="shared" si="2"/>
        <v>0</v>
      </c>
      <c r="G19" s="61"/>
      <c r="H19" s="61">
        <v>8</v>
      </c>
      <c r="I19" s="797">
        <f t="shared" si="0"/>
        <v>50</v>
      </c>
      <c r="J19" s="61"/>
      <c r="K19" s="61">
        <v>8</v>
      </c>
      <c r="L19" s="797">
        <f t="shared" si="1"/>
        <v>50</v>
      </c>
    </row>
    <row r="20" spans="1:12" ht="10.5" customHeight="1">
      <c r="B20" s="390" t="str">
        <f t="shared" si="3"/>
        <v/>
      </c>
      <c r="C20" s="440" t="str">
        <f t="shared" si="4"/>
        <v/>
      </c>
      <c r="E20" s="486"/>
      <c r="F20" s="797" t="str">
        <f t="shared" si="2"/>
        <v/>
      </c>
      <c r="G20" s="486"/>
      <c r="H20" s="486"/>
      <c r="I20" s="797" t="str">
        <f t="shared" si="0"/>
        <v/>
      </c>
      <c r="J20" s="486"/>
      <c r="K20" s="486"/>
      <c r="L20" s="797" t="str">
        <f t="shared" si="1"/>
        <v/>
      </c>
    </row>
    <row r="21" spans="1:12" ht="13" customHeight="1">
      <c r="A21" s="14" t="s">
        <v>1764</v>
      </c>
      <c r="B21" s="390">
        <f t="shared" si="3"/>
        <v>10</v>
      </c>
      <c r="C21" s="440">
        <f t="shared" si="4"/>
        <v>2.604166666666667</v>
      </c>
      <c r="E21" s="486">
        <f>SUM(E22:E24)</f>
        <v>0</v>
      </c>
      <c r="F21" s="797">
        <f t="shared" si="2"/>
        <v>0</v>
      </c>
      <c r="G21" s="486"/>
      <c r="H21" s="486">
        <f>SUM(H22:H24)</f>
        <v>6</v>
      </c>
      <c r="I21" s="797">
        <f t="shared" si="0"/>
        <v>60</v>
      </c>
      <c r="J21" s="486"/>
      <c r="K21" s="486">
        <f>SUM(K22:K24)</f>
        <v>4</v>
      </c>
      <c r="L21" s="797">
        <f t="shared" si="1"/>
        <v>40</v>
      </c>
    </row>
    <row r="22" spans="1:12" ht="13" customHeight="1">
      <c r="A22" s="14" t="s">
        <v>167</v>
      </c>
      <c r="B22" s="390">
        <f>IF($A22&lt;&gt;"",E22+H22+K22,"")</f>
        <v>4</v>
      </c>
      <c r="C22" s="440">
        <f t="shared" si="4"/>
        <v>1.0416666666666665</v>
      </c>
      <c r="E22" s="61"/>
      <c r="F22" s="797">
        <f t="shared" si="2"/>
        <v>0</v>
      </c>
      <c r="G22" s="61"/>
      <c r="H22" s="61">
        <v>2</v>
      </c>
      <c r="I22" s="797">
        <f t="shared" si="0"/>
        <v>50</v>
      </c>
      <c r="J22" s="61"/>
      <c r="K22" s="61">
        <v>2</v>
      </c>
      <c r="L22" s="797">
        <f t="shared" si="1"/>
        <v>50</v>
      </c>
    </row>
    <row r="23" spans="1:12" ht="13" customHeight="1">
      <c r="A23" s="14" t="s">
        <v>168</v>
      </c>
      <c r="B23" s="390">
        <f t="shared" si="3"/>
        <v>3</v>
      </c>
      <c r="C23" s="440">
        <f t="shared" si="4"/>
        <v>0.78125</v>
      </c>
      <c r="E23" s="61"/>
      <c r="F23" s="797">
        <f t="shared" si="2"/>
        <v>0</v>
      </c>
      <c r="G23" s="61"/>
      <c r="H23" s="61">
        <v>1</v>
      </c>
      <c r="I23" s="797">
        <f t="shared" si="0"/>
        <v>33.333333333333329</v>
      </c>
      <c r="J23" s="61"/>
      <c r="K23" s="61">
        <v>2</v>
      </c>
      <c r="L23" s="797">
        <f t="shared" si="1"/>
        <v>66.666666666666657</v>
      </c>
    </row>
    <row r="24" spans="1:12" ht="13" customHeight="1">
      <c r="A24" s="14" t="s">
        <v>169</v>
      </c>
      <c r="B24" s="390">
        <f>IF($A24&lt;&gt;"",E24+H24+K24,"")</f>
        <v>3</v>
      </c>
      <c r="C24" s="440">
        <f t="shared" si="4"/>
        <v>0.78125</v>
      </c>
      <c r="E24" s="61"/>
      <c r="F24" s="797">
        <f t="shared" si="2"/>
        <v>0</v>
      </c>
      <c r="G24" s="61"/>
      <c r="H24" s="61">
        <v>3</v>
      </c>
      <c r="I24" s="797">
        <f t="shared" si="0"/>
        <v>100</v>
      </c>
      <c r="J24" s="61"/>
      <c r="K24" s="61"/>
      <c r="L24" s="797">
        <f t="shared" si="1"/>
        <v>0</v>
      </c>
    </row>
    <row r="25" spans="1:12" ht="10.5" customHeight="1">
      <c r="B25" s="390" t="str">
        <f t="shared" si="3"/>
        <v/>
      </c>
      <c r="C25" s="440" t="str">
        <f t="shared" si="4"/>
        <v/>
      </c>
      <c r="E25" s="486"/>
      <c r="F25" s="797" t="str">
        <f t="shared" si="2"/>
        <v/>
      </c>
      <c r="G25" s="486"/>
      <c r="H25" s="486"/>
      <c r="I25" s="797" t="str">
        <f t="shared" si="0"/>
        <v/>
      </c>
      <c r="J25" s="486"/>
      <c r="K25" s="486"/>
      <c r="L25" s="797" t="str">
        <f t="shared" si="1"/>
        <v/>
      </c>
    </row>
    <row r="26" spans="1:12" ht="13" customHeight="1">
      <c r="A26" s="17" t="s">
        <v>464</v>
      </c>
      <c r="B26" s="390">
        <f t="shared" si="3"/>
        <v>15</v>
      </c>
      <c r="C26" s="440">
        <f t="shared" si="4"/>
        <v>3.90625</v>
      </c>
      <c r="D26" s="17"/>
      <c r="E26" s="486">
        <f t="shared" ref="E26:K26" si="5">SUM(E27)</f>
        <v>0</v>
      </c>
      <c r="F26" s="797">
        <f t="shared" si="2"/>
        <v>0</v>
      </c>
      <c r="G26" s="486"/>
      <c r="H26" s="486">
        <f t="shared" si="5"/>
        <v>8</v>
      </c>
      <c r="I26" s="797">
        <f t="shared" si="0"/>
        <v>53.333333333333336</v>
      </c>
      <c r="J26" s="486"/>
      <c r="K26" s="486">
        <f t="shared" si="5"/>
        <v>7</v>
      </c>
      <c r="L26" s="797">
        <f t="shared" si="1"/>
        <v>46.666666666666664</v>
      </c>
    </row>
    <row r="27" spans="1:12" ht="13" customHeight="1">
      <c r="A27" s="14" t="s">
        <v>1765</v>
      </c>
      <c r="B27" s="390">
        <f>IF($A27&lt;&gt;"",E27+H27+K27,"")</f>
        <v>15</v>
      </c>
      <c r="C27" s="440">
        <f t="shared" si="4"/>
        <v>3.90625</v>
      </c>
      <c r="E27" s="486">
        <f>SUM(E28:E32)</f>
        <v>0</v>
      </c>
      <c r="F27" s="797">
        <f t="shared" si="2"/>
        <v>0</v>
      </c>
      <c r="G27" s="486"/>
      <c r="H27" s="486">
        <f>SUM(H28:H32)</f>
        <v>8</v>
      </c>
      <c r="I27" s="797">
        <f t="shared" si="0"/>
        <v>53.333333333333336</v>
      </c>
      <c r="J27" s="486"/>
      <c r="K27" s="486">
        <f>SUM(K28:K32)</f>
        <v>7</v>
      </c>
      <c r="L27" s="797">
        <f t="shared" si="1"/>
        <v>46.666666666666664</v>
      </c>
    </row>
    <row r="28" spans="1:12" ht="13" customHeight="1">
      <c r="A28" s="14" t="s">
        <v>172</v>
      </c>
      <c r="B28" s="390">
        <f t="shared" si="3"/>
        <v>2</v>
      </c>
      <c r="C28" s="440">
        <f t="shared" si="4"/>
        <v>0.52083333333333326</v>
      </c>
      <c r="E28" s="61"/>
      <c r="F28" s="797">
        <f t="shared" si="2"/>
        <v>0</v>
      </c>
      <c r="G28" s="61"/>
      <c r="H28" s="61">
        <v>1</v>
      </c>
      <c r="I28" s="797">
        <f t="shared" si="0"/>
        <v>50</v>
      </c>
      <c r="J28" s="61"/>
      <c r="K28" s="61">
        <v>1</v>
      </c>
      <c r="L28" s="797">
        <f t="shared" si="1"/>
        <v>50</v>
      </c>
    </row>
    <row r="29" spans="1:12" ht="13" customHeight="1">
      <c r="A29" s="14" t="s">
        <v>173</v>
      </c>
      <c r="B29" s="390">
        <f t="shared" si="3"/>
        <v>3</v>
      </c>
      <c r="C29" s="440">
        <f t="shared" si="4"/>
        <v>0.78125</v>
      </c>
      <c r="E29" s="61"/>
      <c r="F29" s="797">
        <f t="shared" si="2"/>
        <v>0</v>
      </c>
      <c r="G29" s="61"/>
      <c r="H29" s="61">
        <v>2</v>
      </c>
      <c r="I29" s="797">
        <f t="shared" si="0"/>
        <v>66.666666666666657</v>
      </c>
      <c r="J29" s="61"/>
      <c r="K29" s="61">
        <v>1</v>
      </c>
      <c r="L29" s="797">
        <f t="shared" si="1"/>
        <v>33.333333333333329</v>
      </c>
    </row>
    <row r="30" spans="1:12" ht="13" customHeight="1">
      <c r="A30" s="14" t="s">
        <v>174</v>
      </c>
      <c r="B30" s="390">
        <f t="shared" si="3"/>
        <v>2</v>
      </c>
      <c r="C30" s="440">
        <f t="shared" si="4"/>
        <v>0.52083333333333326</v>
      </c>
      <c r="E30" s="61"/>
      <c r="F30" s="797">
        <f t="shared" si="2"/>
        <v>0</v>
      </c>
      <c r="G30" s="61"/>
      <c r="H30" s="61">
        <v>1</v>
      </c>
      <c r="I30" s="797">
        <f t="shared" si="0"/>
        <v>50</v>
      </c>
      <c r="J30" s="61"/>
      <c r="K30" s="61">
        <v>1</v>
      </c>
      <c r="L30" s="797">
        <f t="shared" si="1"/>
        <v>50</v>
      </c>
    </row>
    <row r="31" spans="1:12" ht="13" customHeight="1">
      <c r="A31" s="14" t="s">
        <v>175</v>
      </c>
      <c r="B31" s="390">
        <f t="shared" si="3"/>
        <v>6</v>
      </c>
      <c r="C31" s="440">
        <f t="shared" si="4"/>
        <v>1.5625</v>
      </c>
      <c r="E31" s="61"/>
      <c r="F31" s="797">
        <f t="shared" si="2"/>
        <v>0</v>
      </c>
      <c r="G31" s="61"/>
      <c r="H31" s="61">
        <v>3</v>
      </c>
      <c r="I31" s="797">
        <f t="shared" si="0"/>
        <v>50</v>
      </c>
      <c r="J31" s="61"/>
      <c r="K31" s="61">
        <v>3</v>
      </c>
      <c r="L31" s="797">
        <f t="shared" si="1"/>
        <v>50</v>
      </c>
    </row>
    <row r="32" spans="1:12" ht="13" customHeight="1">
      <c r="A32" s="14" t="s">
        <v>176</v>
      </c>
      <c r="B32" s="390">
        <f t="shared" si="3"/>
        <v>2</v>
      </c>
      <c r="C32" s="440">
        <f t="shared" si="4"/>
        <v>0.52083333333333326</v>
      </c>
      <c r="E32" s="61"/>
      <c r="F32" s="797">
        <f t="shared" si="2"/>
        <v>0</v>
      </c>
      <c r="G32" s="61"/>
      <c r="H32" s="61">
        <v>1</v>
      </c>
      <c r="I32" s="797">
        <f t="shared" si="0"/>
        <v>50</v>
      </c>
      <c r="J32" s="61"/>
      <c r="K32" s="61">
        <v>1</v>
      </c>
      <c r="L32" s="797">
        <f t="shared" si="1"/>
        <v>50</v>
      </c>
    </row>
    <row r="33" spans="1:12" ht="10.5" customHeight="1">
      <c r="B33" s="390" t="str">
        <f t="shared" si="3"/>
        <v/>
      </c>
      <c r="C33" s="440" t="str">
        <f t="shared" si="4"/>
        <v/>
      </c>
      <c r="E33" s="486"/>
      <c r="F33" s="797" t="str">
        <f t="shared" si="2"/>
        <v/>
      </c>
      <c r="G33" s="486"/>
      <c r="H33" s="486"/>
      <c r="I33" s="797" t="str">
        <f t="shared" si="0"/>
        <v/>
      </c>
      <c r="J33" s="486"/>
      <c r="K33" s="486"/>
      <c r="L33" s="797" t="str">
        <f t="shared" si="1"/>
        <v/>
      </c>
    </row>
    <row r="34" spans="1:12" ht="13" customHeight="1">
      <c r="A34" s="17" t="s">
        <v>406</v>
      </c>
      <c r="B34" s="390">
        <f t="shared" si="3"/>
        <v>81</v>
      </c>
      <c r="C34" s="440">
        <f t="shared" si="4"/>
        <v>21.09375</v>
      </c>
      <c r="D34" s="17"/>
      <c r="E34" s="486">
        <f>SUM(E35+E37+E44+E50)</f>
        <v>4</v>
      </c>
      <c r="F34" s="797">
        <f t="shared" si="2"/>
        <v>4.9382716049382713</v>
      </c>
      <c r="G34" s="486"/>
      <c r="H34" s="486">
        <f>SUM(H35+H37+H44+H50)</f>
        <v>39</v>
      </c>
      <c r="I34" s="797">
        <f t="shared" si="0"/>
        <v>48.148148148148145</v>
      </c>
      <c r="J34" s="486"/>
      <c r="K34" s="486">
        <f>SUM(K35+K37+K44+K50)</f>
        <v>38</v>
      </c>
      <c r="L34" s="797">
        <f t="shared" si="1"/>
        <v>46.913580246913575</v>
      </c>
    </row>
    <row r="35" spans="1:12" ht="13" customHeight="1">
      <c r="A35" s="14" t="s">
        <v>192</v>
      </c>
      <c r="B35" s="390">
        <f t="shared" si="3"/>
        <v>2</v>
      </c>
      <c r="C35" s="440">
        <f t="shared" si="4"/>
        <v>0.52083333333333326</v>
      </c>
      <c r="E35" s="807"/>
      <c r="F35" s="797">
        <f t="shared" si="2"/>
        <v>0</v>
      </c>
      <c r="G35" s="807"/>
      <c r="H35" s="807">
        <v>1</v>
      </c>
      <c r="I35" s="797">
        <f t="shared" si="0"/>
        <v>50</v>
      </c>
      <c r="J35" s="807"/>
      <c r="K35" s="807">
        <v>1</v>
      </c>
      <c r="L35" s="797">
        <f t="shared" si="1"/>
        <v>50</v>
      </c>
    </row>
    <row r="36" spans="1:12" ht="10.5" customHeight="1">
      <c r="B36" s="390" t="str">
        <f t="shared" si="3"/>
        <v/>
      </c>
      <c r="C36" s="440" t="str">
        <f t="shared" si="4"/>
        <v/>
      </c>
      <c r="E36" s="486"/>
      <c r="F36" s="797" t="str">
        <f t="shared" si="2"/>
        <v/>
      </c>
      <c r="G36" s="486"/>
      <c r="H36" s="486"/>
      <c r="I36" s="797" t="str">
        <f t="shared" si="0"/>
        <v/>
      </c>
      <c r="J36" s="486"/>
      <c r="K36" s="486"/>
      <c r="L36" s="797" t="str">
        <f t="shared" si="1"/>
        <v/>
      </c>
    </row>
    <row r="37" spans="1:12" ht="13" customHeight="1">
      <c r="A37" s="14" t="s">
        <v>1766</v>
      </c>
      <c r="B37" s="390">
        <f t="shared" si="3"/>
        <v>38</v>
      </c>
      <c r="C37" s="440">
        <f t="shared" si="4"/>
        <v>9.8958333333333321</v>
      </c>
      <c r="E37" s="486">
        <f>SUM(E38:E42)</f>
        <v>0</v>
      </c>
      <c r="F37" s="797">
        <f t="shared" si="2"/>
        <v>0</v>
      </c>
      <c r="G37" s="486"/>
      <c r="H37" s="486">
        <f>SUM(H38:H42)</f>
        <v>18</v>
      </c>
      <c r="I37" s="797">
        <f t="shared" si="0"/>
        <v>47.368421052631575</v>
      </c>
      <c r="J37" s="486"/>
      <c r="K37" s="486">
        <f>SUM(K38:K42)</f>
        <v>20</v>
      </c>
      <c r="L37" s="797">
        <f t="shared" si="1"/>
        <v>52.631578947368418</v>
      </c>
    </row>
    <row r="38" spans="1:12" ht="13" customHeight="1">
      <c r="A38" s="14" t="s">
        <v>194</v>
      </c>
      <c r="B38" s="390">
        <f t="shared" si="3"/>
        <v>2</v>
      </c>
      <c r="C38" s="440">
        <f t="shared" si="4"/>
        <v>0.52083333333333326</v>
      </c>
      <c r="E38" s="61"/>
      <c r="F38" s="797">
        <f t="shared" si="2"/>
        <v>0</v>
      </c>
      <c r="G38" s="61"/>
      <c r="H38" s="61"/>
      <c r="I38" s="797">
        <f t="shared" si="0"/>
        <v>0</v>
      </c>
      <c r="J38" s="61"/>
      <c r="K38" s="61">
        <v>2</v>
      </c>
      <c r="L38" s="797">
        <f t="shared" si="1"/>
        <v>100</v>
      </c>
    </row>
    <row r="39" spans="1:12" ht="15" customHeight="1">
      <c r="A39" s="14" t="s">
        <v>1767</v>
      </c>
      <c r="B39" s="390">
        <f t="shared" si="3"/>
        <v>24</v>
      </c>
      <c r="C39" s="440">
        <f t="shared" si="4"/>
        <v>6.25</v>
      </c>
      <c r="E39" s="61"/>
      <c r="F39" s="797">
        <f t="shared" si="2"/>
        <v>0</v>
      </c>
      <c r="G39" s="61"/>
      <c r="H39" s="61">
        <v>13</v>
      </c>
      <c r="I39" s="797">
        <f t="shared" si="0"/>
        <v>54.166666666666664</v>
      </c>
      <c r="J39" s="61"/>
      <c r="K39" s="61">
        <v>11</v>
      </c>
      <c r="L39" s="797">
        <f t="shared" si="1"/>
        <v>45.833333333333329</v>
      </c>
    </row>
    <row r="40" spans="1:12" ht="13" customHeight="1">
      <c r="A40" s="14" t="s">
        <v>196</v>
      </c>
      <c r="B40" s="390">
        <f t="shared" si="3"/>
        <v>7</v>
      </c>
      <c r="C40" s="440">
        <f t="shared" si="4"/>
        <v>1.8229166666666667</v>
      </c>
      <c r="E40" s="61"/>
      <c r="F40" s="797">
        <f t="shared" si="2"/>
        <v>0</v>
      </c>
      <c r="G40" s="61"/>
      <c r="H40" s="61">
        <v>2</v>
      </c>
      <c r="I40" s="797">
        <f t="shared" si="0"/>
        <v>28.571428571428569</v>
      </c>
      <c r="J40" s="61"/>
      <c r="K40" s="61">
        <v>5</v>
      </c>
      <c r="L40" s="797">
        <f t="shared" si="1"/>
        <v>71.428571428571431</v>
      </c>
    </row>
    <row r="41" spans="1:12" ht="13" customHeight="1">
      <c r="A41" s="14" t="s">
        <v>1768</v>
      </c>
      <c r="B41" s="390">
        <f t="shared" si="3"/>
        <v>4</v>
      </c>
      <c r="C41" s="440">
        <f t="shared" si="4"/>
        <v>1.0416666666666665</v>
      </c>
      <c r="E41" s="61"/>
      <c r="F41" s="797">
        <f t="shared" si="2"/>
        <v>0</v>
      </c>
      <c r="G41" s="61"/>
      <c r="H41" s="61">
        <v>2</v>
      </c>
      <c r="I41" s="797">
        <f t="shared" si="0"/>
        <v>50</v>
      </c>
      <c r="J41" s="61"/>
      <c r="K41" s="61">
        <v>2</v>
      </c>
      <c r="L41" s="797">
        <f t="shared" si="1"/>
        <v>50</v>
      </c>
    </row>
    <row r="42" spans="1:12" ht="13" customHeight="1">
      <c r="A42" s="14" t="s">
        <v>198</v>
      </c>
      <c r="B42" s="390">
        <f t="shared" si="3"/>
        <v>1</v>
      </c>
      <c r="C42" s="440">
        <f t="shared" si="4"/>
        <v>0.26041666666666663</v>
      </c>
      <c r="E42" s="61"/>
      <c r="F42" s="797">
        <f t="shared" si="2"/>
        <v>0</v>
      </c>
      <c r="G42" s="61"/>
      <c r="H42" s="61">
        <v>1</v>
      </c>
      <c r="I42" s="797">
        <f t="shared" si="0"/>
        <v>100</v>
      </c>
      <c r="J42" s="61"/>
      <c r="K42" s="61"/>
      <c r="L42" s="797">
        <f t="shared" si="1"/>
        <v>0</v>
      </c>
    </row>
    <row r="43" spans="1:12" ht="10.5" customHeight="1">
      <c r="B43" s="390" t="str">
        <f t="shared" si="3"/>
        <v/>
      </c>
      <c r="C43" s="440" t="str">
        <f t="shared" si="4"/>
        <v/>
      </c>
      <c r="E43" s="486"/>
      <c r="F43" s="797" t="str">
        <f t="shared" si="2"/>
        <v/>
      </c>
      <c r="G43" s="486"/>
      <c r="H43" s="486"/>
      <c r="I43" s="797" t="str">
        <f t="shared" si="0"/>
        <v/>
      </c>
      <c r="J43" s="486"/>
      <c r="K43" s="486"/>
      <c r="L43" s="797" t="str">
        <f t="shared" si="1"/>
        <v/>
      </c>
    </row>
    <row r="44" spans="1:12" ht="13" customHeight="1">
      <c r="A44" s="14" t="s">
        <v>178</v>
      </c>
      <c r="B44" s="390">
        <f t="shared" si="3"/>
        <v>20</v>
      </c>
      <c r="C44" s="440">
        <f t="shared" si="4"/>
        <v>5.2083333333333339</v>
      </c>
      <c r="E44" s="486">
        <f t="shared" ref="E44:K44" si="6">SUM(E45:E48)</f>
        <v>4</v>
      </c>
      <c r="F44" s="797">
        <f t="shared" si="2"/>
        <v>20</v>
      </c>
      <c r="G44" s="486"/>
      <c r="H44" s="486">
        <f t="shared" si="6"/>
        <v>9</v>
      </c>
      <c r="I44" s="797">
        <f t="shared" si="0"/>
        <v>45</v>
      </c>
      <c r="J44" s="486"/>
      <c r="K44" s="486">
        <f t="shared" si="6"/>
        <v>7</v>
      </c>
      <c r="L44" s="797">
        <f t="shared" si="1"/>
        <v>35</v>
      </c>
    </row>
    <row r="45" spans="1:12" ht="13" customHeight="1">
      <c r="A45" s="14" t="s">
        <v>1769</v>
      </c>
      <c r="B45" s="390">
        <f t="shared" si="3"/>
        <v>4</v>
      </c>
      <c r="C45" s="440">
        <f t="shared" si="4"/>
        <v>1.0416666666666665</v>
      </c>
      <c r="E45" s="61"/>
      <c r="F45" s="797">
        <f t="shared" si="2"/>
        <v>0</v>
      </c>
      <c r="G45" s="61"/>
      <c r="H45" s="61">
        <v>2</v>
      </c>
      <c r="I45" s="797">
        <f t="shared" si="0"/>
        <v>50</v>
      </c>
      <c r="J45" s="61"/>
      <c r="K45" s="61">
        <v>2</v>
      </c>
      <c r="L45" s="797">
        <f t="shared" si="1"/>
        <v>50</v>
      </c>
    </row>
    <row r="46" spans="1:12" ht="13" customHeight="1">
      <c r="A46" s="14" t="s">
        <v>180</v>
      </c>
      <c r="B46" s="390">
        <f t="shared" si="3"/>
        <v>12</v>
      </c>
      <c r="C46" s="440">
        <f t="shared" si="4"/>
        <v>3.125</v>
      </c>
      <c r="E46" s="61">
        <v>4</v>
      </c>
      <c r="F46" s="797">
        <f t="shared" si="2"/>
        <v>33.333333333333329</v>
      </c>
      <c r="G46" s="61"/>
      <c r="H46" s="61">
        <v>4</v>
      </c>
      <c r="I46" s="797">
        <f t="shared" si="0"/>
        <v>33.333333333333329</v>
      </c>
      <c r="J46" s="61"/>
      <c r="K46" s="61">
        <v>4</v>
      </c>
      <c r="L46" s="797">
        <f t="shared" si="1"/>
        <v>33.333333333333329</v>
      </c>
    </row>
    <row r="47" spans="1:12" ht="13" customHeight="1">
      <c r="A47" s="14" t="s">
        <v>1770</v>
      </c>
      <c r="B47" s="390">
        <f t="shared" si="3"/>
        <v>3</v>
      </c>
      <c r="C47" s="440">
        <f t="shared" si="4"/>
        <v>0.78125</v>
      </c>
      <c r="E47" s="61"/>
      <c r="F47" s="797">
        <f t="shared" si="2"/>
        <v>0</v>
      </c>
      <c r="G47" s="61"/>
      <c r="H47" s="61">
        <v>2</v>
      </c>
      <c r="I47" s="797">
        <f t="shared" si="0"/>
        <v>66.666666666666657</v>
      </c>
      <c r="J47" s="61"/>
      <c r="K47" s="61">
        <v>1</v>
      </c>
      <c r="L47" s="797">
        <f t="shared" si="1"/>
        <v>33.333333333333329</v>
      </c>
    </row>
    <row r="48" spans="1:12" ht="13" customHeight="1">
      <c r="A48" s="14" t="s">
        <v>1771</v>
      </c>
      <c r="B48" s="390">
        <f t="shared" si="3"/>
        <v>1</v>
      </c>
      <c r="C48" s="440">
        <f t="shared" si="4"/>
        <v>0.26041666666666663</v>
      </c>
      <c r="E48" s="61"/>
      <c r="F48" s="797">
        <f t="shared" si="2"/>
        <v>0</v>
      </c>
      <c r="G48" s="61"/>
      <c r="H48" s="61">
        <v>1</v>
      </c>
      <c r="I48" s="797">
        <f t="shared" si="0"/>
        <v>100</v>
      </c>
      <c r="J48" s="61"/>
      <c r="K48" s="61"/>
      <c r="L48" s="797">
        <f t="shared" si="1"/>
        <v>0</v>
      </c>
    </row>
    <row r="49" spans="1:12" ht="10.5" customHeight="1">
      <c r="B49" s="390" t="str">
        <f t="shared" si="3"/>
        <v/>
      </c>
      <c r="C49" s="440" t="str">
        <f t="shared" si="4"/>
        <v/>
      </c>
      <c r="E49" s="486"/>
      <c r="F49" s="797" t="str">
        <f t="shared" si="2"/>
        <v/>
      </c>
      <c r="G49" s="486"/>
      <c r="H49" s="486"/>
      <c r="I49" s="797" t="str">
        <f t="shared" si="0"/>
        <v/>
      </c>
      <c r="J49" s="486"/>
      <c r="K49" s="486"/>
      <c r="L49" s="797" t="str">
        <f t="shared" si="1"/>
        <v/>
      </c>
    </row>
    <row r="50" spans="1:12" ht="13" customHeight="1">
      <c r="A50" s="14" t="s">
        <v>1772</v>
      </c>
      <c r="B50" s="390">
        <f t="shared" si="3"/>
        <v>21</v>
      </c>
      <c r="C50" s="440">
        <f t="shared" si="4"/>
        <v>5.46875</v>
      </c>
      <c r="E50" s="486">
        <f>SUM(E51:E58)</f>
        <v>0</v>
      </c>
      <c r="F50" s="797">
        <f t="shared" si="2"/>
        <v>0</v>
      </c>
      <c r="G50" s="486"/>
      <c r="H50" s="486">
        <f>SUM(H51:H58)</f>
        <v>11</v>
      </c>
      <c r="I50" s="797">
        <f t="shared" si="0"/>
        <v>52.380952380952387</v>
      </c>
      <c r="J50" s="486"/>
      <c r="K50" s="486">
        <f>SUM(K51:K58)</f>
        <v>10</v>
      </c>
      <c r="L50" s="797">
        <f t="shared" si="1"/>
        <v>47.619047619047613</v>
      </c>
    </row>
    <row r="51" spans="1:12" ht="13" customHeight="1">
      <c r="A51" s="14" t="s">
        <v>191</v>
      </c>
      <c r="B51" s="390">
        <f t="shared" si="3"/>
        <v>3</v>
      </c>
      <c r="C51" s="440">
        <f t="shared" si="4"/>
        <v>0.78125</v>
      </c>
      <c r="E51" s="61"/>
      <c r="F51" s="797">
        <f t="shared" si="2"/>
        <v>0</v>
      </c>
      <c r="G51" s="61"/>
      <c r="H51" s="61">
        <v>2</v>
      </c>
      <c r="I51" s="797">
        <f t="shared" si="0"/>
        <v>66.666666666666657</v>
      </c>
      <c r="J51" s="61"/>
      <c r="K51" s="61">
        <v>1</v>
      </c>
      <c r="L51" s="797">
        <f t="shared" si="1"/>
        <v>33.333333333333329</v>
      </c>
    </row>
    <row r="52" spans="1:12" ht="13" customHeight="1">
      <c r="A52" s="14" t="s">
        <v>184</v>
      </c>
      <c r="B52" s="390">
        <f t="shared" si="3"/>
        <v>2</v>
      </c>
      <c r="C52" s="440">
        <f t="shared" si="4"/>
        <v>0.52083333333333326</v>
      </c>
      <c r="E52" s="61"/>
      <c r="F52" s="797">
        <f t="shared" si="2"/>
        <v>0</v>
      </c>
      <c r="G52" s="61"/>
      <c r="H52" s="61">
        <v>1</v>
      </c>
      <c r="I52" s="797">
        <f t="shared" si="0"/>
        <v>50</v>
      </c>
      <c r="J52" s="61"/>
      <c r="K52" s="61">
        <v>1</v>
      </c>
      <c r="L52" s="797">
        <f t="shared" si="1"/>
        <v>50</v>
      </c>
    </row>
    <row r="53" spans="1:12" ht="13" customHeight="1">
      <c r="A53" s="14" t="s">
        <v>185</v>
      </c>
      <c r="B53" s="390">
        <f t="shared" si="3"/>
        <v>4</v>
      </c>
      <c r="C53" s="440">
        <f t="shared" si="4"/>
        <v>1.0416666666666665</v>
      </c>
      <c r="E53" s="61"/>
      <c r="F53" s="797">
        <f t="shared" si="2"/>
        <v>0</v>
      </c>
      <c r="G53" s="61"/>
      <c r="H53" s="61">
        <v>2</v>
      </c>
      <c r="I53" s="797">
        <f t="shared" si="0"/>
        <v>50</v>
      </c>
      <c r="J53" s="61"/>
      <c r="K53" s="61">
        <v>2</v>
      </c>
      <c r="L53" s="797">
        <f t="shared" si="1"/>
        <v>50</v>
      </c>
    </row>
    <row r="54" spans="1:12" ht="13" customHeight="1">
      <c r="A54" s="14" t="s">
        <v>186</v>
      </c>
      <c r="B54" s="390">
        <f t="shared" si="3"/>
        <v>2</v>
      </c>
      <c r="C54" s="440">
        <f t="shared" si="4"/>
        <v>0.52083333333333326</v>
      </c>
      <c r="E54" s="61"/>
      <c r="F54" s="797">
        <f t="shared" si="2"/>
        <v>0</v>
      </c>
      <c r="G54" s="61"/>
      <c r="H54" s="61">
        <v>1</v>
      </c>
      <c r="I54" s="797">
        <f t="shared" si="0"/>
        <v>50</v>
      </c>
      <c r="J54" s="61"/>
      <c r="K54" s="61">
        <v>1</v>
      </c>
      <c r="L54" s="797">
        <f t="shared" si="1"/>
        <v>50</v>
      </c>
    </row>
    <row r="55" spans="1:12" ht="13" customHeight="1">
      <c r="A55" s="14" t="s">
        <v>531</v>
      </c>
      <c r="B55" s="390">
        <f t="shared" si="3"/>
        <v>4</v>
      </c>
      <c r="C55" s="440">
        <f t="shared" si="4"/>
        <v>1.0416666666666665</v>
      </c>
      <c r="E55" s="61"/>
      <c r="F55" s="797">
        <f t="shared" si="2"/>
        <v>0</v>
      </c>
      <c r="G55" s="61"/>
      <c r="H55" s="61">
        <v>2</v>
      </c>
      <c r="I55" s="797">
        <f t="shared" si="0"/>
        <v>50</v>
      </c>
      <c r="J55" s="61"/>
      <c r="K55" s="61">
        <v>2</v>
      </c>
      <c r="L55" s="797">
        <f t="shared" si="1"/>
        <v>50</v>
      </c>
    </row>
    <row r="56" spans="1:12" ht="13" customHeight="1">
      <c r="A56" s="14" t="s">
        <v>189</v>
      </c>
      <c r="B56" s="390">
        <f t="shared" si="3"/>
        <v>2</v>
      </c>
      <c r="C56" s="440">
        <f t="shared" si="4"/>
        <v>0.52083333333333326</v>
      </c>
      <c r="E56" s="61"/>
      <c r="F56" s="797">
        <f t="shared" si="2"/>
        <v>0</v>
      </c>
      <c r="G56" s="61"/>
      <c r="H56" s="61">
        <v>1</v>
      </c>
      <c r="I56" s="797">
        <f t="shared" si="0"/>
        <v>50</v>
      </c>
      <c r="J56" s="61"/>
      <c r="K56" s="61">
        <v>1</v>
      </c>
      <c r="L56" s="797">
        <f t="shared" si="1"/>
        <v>50</v>
      </c>
    </row>
    <row r="57" spans="1:12" ht="13" customHeight="1">
      <c r="A57" s="14" t="s">
        <v>188</v>
      </c>
      <c r="B57" s="390">
        <f t="shared" si="3"/>
        <v>2</v>
      </c>
      <c r="C57" s="440">
        <f t="shared" si="4"/>
        <v>0.52083333333333326</v>
      </c>
      <c r="E57" s="61"/>
      <c r="F57" s="797">
        <f t="shared" si="2"/>
        <v>0</v>
      </c>
      <c r="G57" s="61"/>
      <c r="H57" s="61">
        <v>1</v>
      </c>
      <c r="I57" s="797">
        <f t="shared" si="0"/>
        <v>50</v>
      </c>
      <c r="J57" s="61"/>
      <c r="K57" s="61">
        <v>1</v>
      </c>
      <c r="L57" s="797">
        <f t="shared" si="1"/>
        <v>50</v>
      </c>
    </row>
    <row r="58" spans="1:12" ht="13" customHeight="1">
      <c r="A58" s="14" t="s">
        <v>190</v>
      </c>
      <c r="B58" s="390">
        <f t="shared" si="3"/>
        <v>2</v>
      </c>
      <c r="C58" s="440">
        <f t="shared" si="4"/>
        <v>0.52083333333333326</v>
      </c>
      <c r="E58" s="61"/>
      <c r="F58" s="797">
        <f t="shared" si="2"/>
        <v>0</v>
      </c>
      <c r="G58" s="61"/>
      <c r="H58" s="61">
        <v>1</v>
      </c>
      <c r="I58" s="797">
        <f t="shared" si="0"/>
        <v>50</v>
      </c>
      <c r="J58" s="61"/>
      <c r="K58" s="61">
        <v>1</v>
      </c>
      <c r="L58" s="797">
        <f t="shared" si="1"/>
        <v>50</v>
      </c>
    </row>
    <row r="59" spans="1:12" ht="10.5" customHeight="1">
      <c r="B59" s="390" t="str">
        <f t="shared" si="3"/>
        <v/>
      </c>
      <c r="C59" s="440" t="str">
        <f t="shared" si="4"/>
        <v/>
      </c>
      <c r="E59" s="486"/>
      <c r="F59" s="797" t="str">
        <f t="shared" si="2"/>
        <v/>
      </c>
      <c r="G59" s="486"/>
      <c r="H59" s="486"/>
      <c r="I59" s="797" t="str">
        <f t="shared" si="0"/>
        <v/>
      </c>
      <c r="J59" s="486"/>
      <c r="K59" s="486"/>
      <c r="L59" s="797" t="str">
        <f t="shared" si="1"/>
        <v/>
      </c>
    </row>
    <row r="60" spans="1:12" ht="14.25" customHeight="1">
      <c r="A60" s="17" t="s">
        <v>483</v>
      </c>
      <c r="B60" s="390">
        <f t="shared" si="3"/>
        <v>16</v>
      </c>
      <c r="C60" s="440">
        <f t="shared" si="4"/>
        <v>4.1666666666666661</v>
      </c>
      <c r="D60" s="17"/>
      <c r="E60" s="486">
        <f t="shared" ref="E60:K60" si="7">SUM(E61)</f>
        <v>0</v>
      </c>
      <c r="F60" s="797">
        <f t="shared" si="2"/>
        <v>0</v>
      </c>
      <c r="G60" s="486"/>
      <c r="H60" s="486">
        <f t="shared" si="7"/>
        <v>6</v>
      </c>
      <c r="I60" s="797">
        <f t="shared" si="0"/>
        <v>37.5</v>
      </c>
      <c r="J60" s="486"/>
      <c r="K60" s="486">
        <f t="shared" si="7"/>
        <v>10</v>
      </c>
      <c r="L60" s="797">
        <f t="shared" si="1"/>
        <v>62.5</v>
      </c>
    </row>
    <row r="61" spans="1:12" ht="13.5" customHeight="1">
      <c r="A61" s="14" t="s">
        <v>1773</v>
      </c>
      <c r="B61" s="390">
        <f t="shared" si="3"/>
        <v>16</v>
      </c>
      <c r="C61" s="440">
        <f t="shared" si="4"/>
        <v>4.1666666666666661</v>
      </c>
      <c r="E61" s="486">
        <f>SUM(E62:E70)</f>
        <v>0</v>
      </c>
      <c r="F61" s="797">
        <f t="shared" si="2"/>
        <v>0</v>
      </c>
      <c r="G61" s="486"/>
      <c r="H61" s="486">
        <f>SUM(H62:H70)</f>
        <v>6</v>
      </c>
      <c r="I61" s="797">
        <f t="shared" si="0"/>
        <v>37.5</v>
      </c>
      <c r="J61" s="486"/>
      <c r="K61" s="486">
        <f>SUM(K62:K70)</f>
        <v>10</v>
      </c>
      <c r="L61" s="797">
        <f t="shared" si="1"/>
        <v>62.5</v>
      </c>
    </row>
    <row r="62" spans="1:12" ht="12.75" customHeight="1">
      <c r="A62" s="14" t="s">
        <v>1774</v>
      </c>
      <c r="B62" s="390">
        <f t="shared" si="3"/>
        <v>3</v>
      </c>
      <c r="C62" s="440">
        <f t="shared" si="4"/>
        <v>0.78125</v>
      </c>
      <c r="E62" s="61"/>
      <c r="F62" s="797">
        <f t="shared" si="2"/>
        <v>0</v>
      </c>
      <c r="G62" s="61"/>
      <c r="H62" s="61">
        <v>1</v>
      </c>
      <c r="I62" s="797">
        <f t="shared" si="0"/>
        <v>33.333333333333329</v>
      </c>
      <c r="J62" s="61"/>
      <c r="K62" s="61">
        <v>2</v>
      </c>
      <c r="L62" s="797">
        <f t="shared" si="1"/>
        <v>66.666666666666657</v>
      </c>
    </row>
    <row r="63" spans="1:12" ht="12.75" customHeight="1">
      <c r="A63" s="14" t="s">
        <v>218</v>
      </c>
      <c r="B63" s="390">
        <f t="shared" si="3"/>
        <v>1</v>
      </c>
      <c r="C63" s="440">
        <f t="shared" si="4"/>
        <v>0.26041666666666663</v>
      </c>
      <c r="E63" s="61"/>
      <c r="F63" s="797">
        <f t="shared" si="2"/>
        <v>0</v>
      </c>
      <c r="G63" s="61"/>
      <c r="H63" s="61"/>
      <c r="I63" s="797">
        <f t="shared" si="0"/>
        <v>0</v>
      </c>
      <c r="J63" s="61"/>
      <c r="K63" s="61">
        <v>1</v>
      </c>
      <c r="L63" s="797">
        <f t="shared" si="1"/>
        <v>100</v>
      </c>
    </row>
    <row r="64" spans="1:12" ht="12.75" customHeight="1">
      <c r="A64" s="14" t="s">
        <v>220</v>
      </c>
      <c r="B64" s="390">
        <f t="shared" si="3"/>
        <v>2</v>
      </c>
      <c r="C64" s="440">
        <f t="shared" si="4"/>
        <v>0.52083333333333326</v>
      </c>
      <c r="E64" s="61"/>
      <c r="F64" s="797">
        <f t="shared" si="2"/>
        <v>0</v>
      </c>
      <c r="G64" s="61"/>
      <c r="H64" s="61">
        <v>1</v>
      </c>
      <c r="I64" s="797">
        <f t="shared" si="0"/>
        <v>50</v>
      </c>
      <c r="J64" s="61"/>
      <c r="K64" s="61">
        <v>1</v>
      </c>
      <c r="L64" s="797">
        <f t="shared" si="1"/>
        <v>50</v>
      </c>
    </row>
    <row r="65" spans="1:12" ht="12.75" customHeight="1">
      <c r="A65" s="14" t="s">
        <v>222</v>
      </c>
      <c r="B65" s="390">
        <f t="shared" si="3"/>
        <v>1</v>
      </c>
      <c r="C65" s="440">
        <f t="shared" si="4"/>
        <v>0.26041666666666663</v>
      </c>
      <c r="E65" s="61"/>
      <c r="F65" s="797">
        <f t="shared" si="2"/>
        <v>0</v>
      </c>
      <c r="G65" s="61"/>
      <c r="H65" s="61"/>
      <c r="I65" s="797">
        <f t="shared" si="0"/>
        <v>0</v>
      </c>
      <c r="J65" s="61"/>
      <c r="K65" s="61">
        <v>1</v>
      </c>
      <c r="L65" s="797">
        <f t="shared" si="1"/>
        <v>100</v>
      </c>
    </row>
    <row r="66" spans="1:12" ht="12.75" customHeight="1">
      <c r="A66" s="14" t="s">
        <v>221</v>
      </c>
      <c r="B66" s="390">
        <f t="shared" si="3"/>
        <v>2</v>
      </c>
      <c r="C66" s="440">
        <f t="shared" si="4"/>
        <v>0.52083333333333326</v>
      </c>
      <c r="E66" s="61"/>
      <c r="F66" s="797">
        <f t="shared" si="2"/>
        <v>0</v>
      </c>
      <c r="G66" s="61"/>
      <c r="H66" s="61">
        <v>1</v>
      </c>
      <c r="I66" s="797">
        <f t="shared" si="0"/>
        <v>50</v>
      </c>
      <c r="J66" s="61"/>
      <c r="K66" s="61">
        <v>1</v>
      </c>
      <c r="L66" s="797">
        <f t="shared" si="1"/>
        <v>50</v>
      </c>
    </row>
    <row r="67" spans="1:12" ht="11.25" customHeight="1">
      <c r="A67" s="14" t="s">
        <v>219</v>
      </c>
      <c r="B67" s="390">
        <f t="shared" si="3"/>
        <v>1</v>
      </c>
      <c r="C67" s="440">
        <f t="shared" si="4"/>
        <v>0.26041666666666663</v>
      </c>
      <c r="E67" s="61"/>
      <c r="F67" s="797">
        <f t="shared" si="2"/>
        <v>0</v>
      </c>
      <c r="G67" s="61"/>
      <c r="H67" s="61"/>
      <c r="I67" s="797">
        <f t="shared" si="0"/>
        <v>0</v>
      </c>
      <c r="J67" s="61"/>
      <c r="K67" s="61">
        <v>1</v>
      </c>
      <c r="L67" s="797">
        <f t="shared" si="1"/>
        <v>100</v>
      </c>
    </row>
    <row r="68" spans="1:12" ht="12.75" customHeight="1">
      <c r="A68" s="14" t="s">
        <v>223</v>
      </c>
      <c r="B68" s="390">
        <f t="shared" si="3"/>
        <v>1</v>
      </c>
      <c r="C68" s="440">
        <f t="shared" si="4"/>
        <v>0.26041666666666663</v>
      </c>
      <c r="E68" s="61"/>
      <c r="F68" s="797">
        <f t="shared" si="2"/>
        <v>0</v>
      </c>
      <c r="G68" s="61"/>
      <c r="H68" s="61"/>
      <c r="I68" s="797">
        <f t="shared" si="0"/>
        <v>0</v>
      </c>
      <c r="J68" s="61"/>
      <c r="K68" s="61">
        <v>1</v>
      </c>
      <c r="L68" s="797">
        <f t="shared" si="1"/>
        <v>100</v>
      </c>
    </row>
    <row r="69" spans="1:12" ht="13.5" customHeight="1">
      <c r="A69" s="14" t="s">
        <v>226</v>
      </c>
      <c r="B69" s="390">
        <f t="shared" si="3"/>
        <v>2</v>
      </c>
      <c r="C69" s="440">
        <f t="shared" si="4"/>
        <v>0.52083333333333326</v>
      </c>
      <c r="E69" s="61"/>
      <c r="F69" s="797">
        <f t="shared" si="2"/>
        <v>0</v>
      </c>
      <c r="G69" s="61"/>
      <c r="H69" s="61">
        <v>1</v>
      </c>
      <c r="I69" s="797">
        <f t="shared" si="0"/>
        <v>50</v>
      </c>
      <c r="J69" s="61"/>
      <c r="K69" s="61">
        <v>1</v>
      </c>
      <c r="L69" s="797">
        <f t="shared" si="1"/>
        <v>50</v>
      </c>
    </row>
    <row r="70" spans="1:12" ht="12.75" customHeight="1">
      <c r="A70" s="14" t="s">
        <v>416</v>
      </c>
      <c r="B70" s="390">
        <f t="shared" si="3"/>
        <v>3</v>
      </c>
      <c r="C70" s="440">
        <f t="shared" si="4"/>
        <v>0.78125</v>
      </c>
      <c r="E70" s="61"/>
      <c r="F70" s="797">
        <f t="shared" si="2"/>
        <v>0</v>
      </c>
      <c r="G70" s="61"/>
      <c r="H70" s="61">
        <v>2</v>
      </c>
      <c r="I70" s="797">
        <f t="shared" si="0"/>
        <v>66.666666666666657</v>
      </c>
      <c r="J70" s="61"/>
      <c r="K70" s="61">
        <v>1</v>
      </c>
      <c r="L70" s="797">
        <f t="shared" si="1"/>
        <v>33.333333333333329</v>
      </c>
    </row>
    <row r="71" spans="1:12" ht="10.5" customHeight="1">
      <c r="B71" s="390" t="str">
        <f t="shared" si="3"/>
        <v/>
      </c>
      <c r="C71" s="440" t="str">
        <f t="shared" si="4"/>
        <v/>
      </c>
      <c r="E71" s="486"/>
      <c r="F71" s="797" t="str">
        <f t="shared" si="2"/>
        <v/>
      </c>
      <c r="G71" s="486"/>
      <c r="H71" s="486"/>
      <c r="I71" s="797" t="str">
        <f t="shared" si="0"/>
        <v/>
      </c>
      <c r="J71" s="486"/>
      <c r="K71" s="486"/>
      <c r="L71" s="797" t="str">
        <f t="shared" si="1"/>
        <v/>
      </c>
    </row>
    <row r="72" spans="1:12" ht="13" customHeight="1">
      <c r="A72" s="17" t="s">
        <v>413</v>
      </c>
      <c r="B72" s="390">
        <f t="shared" si="3"/>
        <v>11</v>
      </c>
      <c r="C72" s="440">
        <f t="shared" si="4"/>
        <v>2.864583333333333</v>
      </c>
      <c r="D72" s="17"/>
      <c r="E72" s="486">
        <f t="shared" ref="E72:K72" si="8">SUM(E73)</f>
        <v>0</v>
      </c>
      <c r="F72" s="797">
        <f t="shared" si="2"/>
        <v>0</v>
      </c>
      <c r="G72" s="486"/>
      <c r="H72" s="486">
        <f t="shared" si="8"/>
        <v>5</v>
      </c>
      <c r="I72" s="797">
        <f t="shared" si="0"/>
        <v>45.454545454545453</v>
      </c>
      <c r="J72" s="486"/>
      <c r="K72" s="486">
        <f t="shared" si="8"/>
        <v>6</v>
      </c>
      <c r="L72" s="797">
        <f t="shared" si="1"/>
        <v>54.54545454545454</v>
      </c>
    </row>
    <row r="73" spans="1:12" ht="13" customHeight="1">
      <c r="A73" s="14" t="s">
        <v>1775</v>
      </c>
      <c r="B73" s="390">
        <f t="shared" si="3"/>
        <v>11</v>
      </c>
      <c r="C73" s="440">
        <f t="shared" si="4"/>
        <v>2.864583333333333</v>
      </c>
      <c r="E73" s="486">
        <f>SUM(E74:E77)</f>
        <v>0</v>
      </c>
      <c r="F73" s="797">
        <f t="shared" si="2"/>
        <v>0</v>
      </c>
      <c r="G73" s="486"/>
      <c r="H73" s="486">
        <f>SUM(H74:H77)</f>
        <v>5</v>
      </c>
      <c r="I73" s="797">
        <f t="shared" si="0"/>
        <v>45.454545454545453</v>
      </c>
      <c r="J73" s="486"/>
      <c r="K73" s="486">
        <f>SUM(K74:K77)</f>
        <v>6</v>
      </c>
      <c r="L73" s="797">
        <f t="shared" si="1"/>
        <v>54.54545454545454</v>
      </c>
    </row>
    <row r="74" spans="1:12" ht="13" customHeight="1">
      <c r="A74" s="14" t="s">
        <v>212</v>
      </c>
      <c r="B74" s="390">
        <f t="shared" si="3"/>
        <v>3</v>
      </c>
      <c r="C74" s="440">
        <f t="shared" si="4"/>
        <v>0.78125</v>
      </c>
      <c r="E74" s="61"/>
      <c r="F74" s="797">
        <f t="shared" si="2"/>
        <v>0</v>
      </c>
      <c r="G74" s="61"/>
      <c r="H74" s="61">
        <v>2</v>
      </c>
      <c r="I74" s="797">
        <f t="shared" si="0"/>
        <v>66.666666666666657</v>
      </c>
      <c r="J74" s="61"/>
      <c r="K74" s="61">
        <v>1</v>
      </c>
      <c r="L74" s="797">
        <f t="shared" si="1"/>
        <v>33.333333333333329</v>
      </c>
    </row>
    <row r="75" spans="1:12" ht="13" customHeight="1">
      <c r="A75" s="14" t="s">
        <v>213</v>
      </c>
      <c r="B75" s="390">
        <f t="shared" si="3"/>
        <v>4</v>
      </c>
      <c r="C75" s="440">
        <f t="shared" si="4"/>
        <v>1.0416666666666665</v>
      </c>
      <c r="E75" s="61"/>
      <c r="F75" s="797">
        <f t="shared" si="2"/>
        <v>0</v>
      </c>
      <c r="G75" s="61"/>
      <c r="H75" s="61">
        <v>2</v>
      </c>
      <c r="I75" s="797">
        <f t="shared" ref="I75:I101" si="9">IF($A75&lt;&gt;"",H75/$B75*100,"")</f>
        <v>50</v>
      </c>
      <c r="J75" s="61"/>
      <c r="K75" s="61">
        <v>2</v>
      </c>
      <c r="L75" s="797">
        <f t="shared" ref="L75:L101" si="10">IF($A75&lt;&gt;"",K75/$B75*100,"")</f>
        <v>50</v>
      </c>
    </row>
    <row r="76" spans="1:12" ht="13" customHeight="1">
      <c r="A76" s="14" t="s">
        <v>214</v>
      </c>
      <c r="B76" s="390">
        <f t="shared" si="3"/>
        <v>2</v>
      </c>
      <c r="C76" s="440">
        <f t="shared" si="4"/>
        <v>0.52083333333333326</v>
      </c>
      <c r="E76" s="61"/>
      <c r="F76" s="797">
        <f t="shared" ref="F76:F101" si="11">IF($A76&lt;&gt;"",E76/$B76*100,"")</f>
        <v>0</v>
      </c>
      <c r="G76" s="61"/>
      <c r="H76" s="61">
        <v>1</v>
      </c>
      <c r="I76" s="797">
        <f t="shared" si="9"/>
        <v>50</v>
      </c>
      <c r="J76" s="61"/>
      <c r="K76" s="61">
        <v>1</v>
      </c>
      <c r="L76" s="797">
        <f t="shared" si="10"/>
        <v>50</v>
      </c>
    </row>
    <row r="77" spans="1:12" ht="13" customHeight="1">
      <c r="A77" s="14" t="s">
        <v>215</v>
      </c>
      <c r="B77" s="390">
        <f t="shared" ref="B77:B101" si="12">IF($A77&lt;&gt;"",E77+H77+K77,"")</f>
        <v>2</v>
      </c>
      <c r="C77" s="440">
        <f t="shared" si="4"/>
        <v>0.52083333333333326</v>
      </c>
      <c r="E77" s="61"/>
      <c r="F77" s="797">
        <f t="shared" si="11"/>
        <v>0</v>
      </c>
      <c r="G77" s="61"/>
      <c r="H77" s="61"/>
      <c r="I77" s="797">
        <f t="shared" si="9"/>
        <v>0</v>
      </c>
      <c r="J77" s="61"/>
      <c r="K77" s="61">
        <v>2</v>
      </c>
      <c r="L77" s="797">
        <f t="shared" si="10"/>
        <v>100</v>
      </c>
    </row>
    <row r="78" spans="1:12" ht="13" customHeight="1">
      <c r="B78" s="390" t="str">
        <f t="shared" si="12"/>
        <v/>
      </c>
      <c r="C78" s="440" t="str">
        <f t="shared" ref="C78:C101" si="13">IF($A78&lt;&gt;0,B78/$B$11*100,"")</f>
        <v/>
      </c>
      <c r="E78" s="486"/>
      <c r="F78" s="797" t="str">
        <f t="shared" si="11"/>
        <v/>
      </c>
      <c r="G78" s="486"/>
      <c r="H78" s="486"/>
      <c r="I78" s="797" t="str">
        <f t="shared" si="9"/>
        <v/>
      </c>
      <c r="J78" s="486"/>
      <c r="K78" s="486"/>
      <c r="L78" s="797" t="str">
        <f t="shared" si="10"/>
        <v/>
      </c>
    </row>
    <row r="79" spans="1:12" ht="13" customHeight="1">
      <c r="A79" s="17" t="s">
        <v>410</v>
      </c>
      <c r="B79" s="390">
        <f t="shared" si="12"/>
        <v>23</v>
      </c>
      <c r="C79" s="440">
        <f t="shared" si="13"/>
        <v>5.9895833333333339</v>
      </c>
      <c r="D79" s="17"/>
      <c r="E79" s="486">
        <f>SUM(E80+E87+E89+E91)</f>
        <v>2</v>
      </c>
      <c r="F79" s="797">
        <f t="shared" si="11"/>
        <v>8.695652173913043</v>
      </c>
      <c r="G79" s="486"/>
      <c r="H79" s="486">
        <f>SUM(H80+H87+H89+H91)</f>
        <v>8</v>
      </c>
      <c r="I79" s="797">
        <f t="shared" si="9"/>
        <v>34.782608695652172</v>
      </c>
      <c r="J79" s="486"/>
      <c r="K79" s="486">
        <f>SUM(K80+K87+K89+K91)</f>
        <v>13</v>
      </c>
      <c r="L79" s="797">
        <f t="shared" si="10"/>
        <v>56.521739130434781</v>
      </c>
    </row>
    <row r="80" spans="1:12" ht="13" customHeight="1">
      <c r="A80" s="14" t="s">
        <v>1776</v>
      </c>
      <c r="B80" s="390">
        <f t="shared" si="12"/>
        <v>19</v>
      </c>
      <c r="C80" s="440">
        <f t="shared" si="13"/>
        <v>4.9479166666666661</v>
      </c>
      <c r="E80" s="486">
        <f t="shared" ref="E80:K80" si="14">SUM(E81:E85)</f>
        <v>1</v>
      </c>
      <c r="F80" s="797">
        <f t="shared" si="11"/>
        <v>5.2631578947368416</v>
      </c>
      <c r="G80" s="486"/>
      <c r="H80" s="486">
        <f t="shared" si="14"/>
        <v>8</v>
      </c>
      <c r="I80" s="797">
        <f t="shared" si="9"/>
        <v>42.105263157894733</v>
      </c>
      <c r="J80" s="486"/>
      <c r="K80" s="486">
        <f t="shared" si="14"/>
        <v>10</v>
      </c>
      <c r="L80" s="797">
        <f t="shared" si="10"/>
        <v>52.631578947368418</v>
      </c>
    </row>
    <row r="81" spans="1:12" ht="13" customHeight="1">
      <c r="A81" s="14" t="s">
        <v>482</v>
      </c>
      <c r="B81" s="390">
        <f t="shared" si="12"/>
        <v>2</v>
      </c>
      <c r="C81" s="440">
        <f t="shared" si="13"/>
        <v>0.52083333333333326</v>
      </c>
      <c r="E81" s="61"/>
      <c r="F81" s="797">
        <f t="shared" si="11"/>
        <v>0</v>
      </c>
      <c r="G81" s="61"/>
      <c r="H81" s="61">
        <v>1</v>
      </c>
      <c r="I81" s="797">
        <f t="shared" si="9"/>
        <v>50</v>
      </c>
      <c r="J81" s="61"/>
      <c r="K81" s="61">
        <v>1</v>
      </c>
      <c r="L81" s="797">
        <f t="shared" si="10"/>
        <v>50</v>
      </c>
    </row>
    <row r="82" spans="1:12" ht="13" customHeight="1">
      <c r="A82" s="14" t="s">
        <v>204</v>
      </c>
      <c r="B82" s="390">
        <f t="shared" si="12"/>
        <v>1</v>
      </c>
      <c r="C82" s="440">
        <f t="shared" si="13"/>
        <v>0.26041666666666663</v>
      </c>
      <c r="E82" s="61"/>
      <c r="F82" s="797">
        <f t="shared" si="11"/>
        <v>0</v>
      </c>
      <c r="G82" s="61"/>
      <c r="H82" s="61"/>
      <c r="I82" s="797">
        <f t="shared" si="9"/>
        <v>0</v>
      </c>
      <c r="J82" s="61"/>
      <c r="K82" s="61">
        <v>1</v>
      </c>
      <c r="L82" s="797">
        <f t="shared" si="10"/>
        <v>100</v>
      </c>
    </row>
    <row r="83" spans="1:12" ht="13" customHeight="1">
      <c r="A83" s="14" t="s">
        <v>206</v>
      </c>
      <c r="B83" s="390">
        <f t="shared" si="12"/>
        <v>2</v>
      </c>
      <c r="C83" s="440">
        <f t="shared" si="13"/>
        <v>0.52083333333333326</v>
      </c>
      <c r="E83" s="61"/>
      <c r="F83" s="797">
        <f t="shared" si="11"/>
        <v>0</v>
      </c>
      <c r="G83" s="61"/>
      <c r="H83" s="61">
        <v>1</v>
      </c>
      <c r="I83" s="797">
        <f t="shared" si="9"/>
        <v>50</v>
      </c>
      <c r="J83" s="61"/>
      <c r="K83" s="61">
        <v>1</v>
      </c>
      <c r="L83" s="797">
        <f t="shared" si="10"/>
        <v>50</v>
      </c>
    </row>
    <row r="84" spans="1:12" ht="13" customHeight="1">
      <c r="A84" s="14" t="s">
        <v>205</v>
      </c>
      <c r="B84" s="390">
        <f t="shared" si="12"/>
        <v>2</v>
      </c>
      <c r="C84" s="440">
        <f t="shared" si="13"/>
        <v>0.52083333333333326</v>
      </c>
      <c r="E84" s="61"/>
      <c r="F84" s="797">
        <f t="shared" si="11"/>
        <v>0</v>
      </c>
      <c r="G84" s="61"/>
      <c r="H84" s="61">
        <v>1</v>
      </c>
      <c r="I84" s="797">
        <f t="shared" si="9"/>
        <v>50</v>
      </c>
      <c r="J84" s="61"/>
      <c r="K84" s="61">
        <v>1</v>
      </c>
      <c r="L84" s="797">
        <f t="shared" si="10"/>
        <v>50</v>
      </c>
    </row>
    <row r="85" spans="1:12" ht="13" customHeight="1">
      <c r="A85" s="14" t="s">
        <v>207</v>
      </c>
      <c r="B85" s="390">
        <f t="shared" si="12"/>
        <v>12</v>
      </c>
      <c r="C85" s="440">
        <f t="shared" si="13"/>
        <v>3.125</v>
      </c>
      <c r="E85" s="61">
        <v>1</v>
      </c>
      <c r="F85" s="797">
        <f t="shared" si="11"/>
        <v>8.3333333333333321</v>
      </c>
      <c r="G85" s="61"/>
      <c r="H85" s="61">
        <v>5</v>
      </c>
      <c r="I85" s="797">
        <f t="shared" si="9"/>
        <v>41.666666666666671</v>
      </c>
      <c r="J85" s="61"/>
      <c r="K85" s="61">
        <v>6</v>
      </c>
      <c r="L85" s="797">
        <f t="shared" si="10"/>
        <v>50</v>
      </c>
    </row>
    <row r="86" spans="1:12" ht="10.5" customHeight="1">
      <c r="B86" s="390" t="str">
        <f t="shared" si="12"/>
        <v/>
      </c>
      <c r="C86" s="440" t="str">
        <f t="shared" si="13"/>
        <v/>
      </c>
      <c r="E86" s="61"/>
      <c r="F86" s="797" t="str">
        <f t="shared" si="11"/>
        <v/>
      </c>
      <c r="G86" s="61"/>
      <c r="H86" s="61"/>
      <c r="I86" s="797" t="str">
        <f t="shared" si="9"/>
        <v/>
      </c>
      <c r="J86" s="61"/>
      <c r="K86" s="61"/>
      <c r="L86" s="797" t="str">
        <f t="shared" si="10"/>
        <v/>
      </c>
    </row>
    <row r="87" spans="1:12" ht="13" customHeight="1">
      <c r="A87" s="14" t="s">
        <v>411</v>
      </c>
      <c r="B87" s="390">
        <f t="shared" si="12"/>
        <v>1</v>
      </c>
      <c r="C87" s="440">
        <f t="shared" si="13"/>
        <v>0.26041666666666663</v>
      </c>
      <c r="E87" s="61"/>
      <c r="F87" s="797">
        <f t="shared" si="11"/>
        <v>0</v>
      </c>
      <c r="G87" s="61"/>
      <c r="H87" s="61"/>
      <c r="I87" s="797">
        <f t="shared" si="9"/>
        <v>0</v>
      </c>
      <c r="J87" s="61"/>
      <c r="K87" s="61">
        <v>1</v>
      </c>
      <c r="L87" s="797">
        <f t="shared" si="10"/>
        <v>100</v>
      </c>
    </row>
    <row r="88" spans="1:12" ht="10.5" customHeight="1">
      <c r="B88" s="390" t="str">
        <f t="shared" si="12"/>
        <v/>
      </c>
      <c r="C88" s="440" t="str">
        <f t="shared" si="13"/>
        <v/>
      </c>
      <c r="E88" s="61"/>
      <c r="F88" s="797" t="str">
        <f t="shared" si="11"/>
        <v/>
      </c>
      <c r="G88" s="61"/>
      <c r="H88" s="61"/>
      <c r="I88" s="797" t="str">
        <f t="shared" si="9"/>
        <v/>
      </c>
      <c r="J88" s="61"/>
      <c r="K88" s="61"/>
      <c r="L88" s="797" t="str">
        <f t="shared" si="10"/>
        <v/>
      </c>
    </row>
    <row r="89" spans="1:12" ht="13" customHeight="1">
      <c r="A89" s="14" t="s">
        <v>1777</v>
      </c>
      <c r="B89" s="390">
        <f t="shared" si="12"/>
        <v>1</v>
      </c>
      <c r="C89" s="440">
        <f t="shared" si="13"/>
        <v>0.26041666666666663</v>
      </c>
      <c r="E89" s="61"/>
      <c r="F89" s="797">
        <f t="shared" si="11"/>
        <v>0</v>
      </c>
      <c r="G89" s="61"/>
      <c r="H89" s="61"/>
      <c r="I89" s="797">
        <f t="shared" si="9"/>
        <v>0</v>
      </c>
      <c r="J89" s="61"/>
      <c r="K89" s="61">
        <v>1</v>
      </c>
      <c r="L89" s="797">
        <f t="shared" si="10"/>
        <v>100</v>
      </c>
    </row>
    <row r="90" spans="1:12" ht="10.5" customHeight="1">
      <c r="B90" s="390" t="str">
        <f t="shared" si="12"/>
        <v/>
      </c>
      <c r="C90" s="440" t="str">
        <f t="shared" si="13"/>
        <v/>
      </c>
      <c r="E90" s="61"/>
      <c r="F90" s="797" t="str">
        <f t="shared" si="11"/>
        <v/>
      </c>
      <c r="G90" s="61"/>
      <c r="H90" s="61"/>
      <c r="I90" s="797" t="str">
        <f t="shared" si="9"/>
        <v/>
      </c>
      <c r="J90" s="61"/>
      <c r="K90" s="61"/>
      <c r="L90" s="797" t="str">
        <f t="shared" si="10"/>
        <v/>
      </c>
    </row>
    <row r="91" spans="1:12" ht="13" customHeight="1">
      <c r="A91" s="14" t="s">
        <v>208</v>
      </c>
      <c r="B91" s="390">
        <f t="shared" si="12"/>
        <v>2</v>
      </c>
      <c r="C91" s="440">
        <f t="shared" si="13"/>
        <v>0.52083333333333326</v>
      </c>
      <c r="E91" s="61">
        <v>1</v>
      </c>
      <c r="F91" s="797">
        <f t="shared" si="11"/>
        <v>50</v>
      </c>
      <c r="G91" s="61"/>
      <c r="H91" s="61"/>
      <c r="I91" s="797">
        <f t="shared" si="9"/>
        <v>0</v>
      </c>
      <c r="J91" s="61"/>
      <c r="K91" s="61">
        <v>1</v>
      </c>
      <c r="L91" s="797">
        <f t="shared" si="10"/>
        <v>50</v>
      </c>
    </row>
    <row r="92" spans="1:12" ht="13" customHeight="1">
      <c r="B92" s="390" t="str">
        <f t="shared" si="12"/>
        <v/>
      </c>
      <c r="C92" s="440" t="str">
        <f t="shared" si="13"/>
        <v/>
      </c>
      <c r="E92" s="486"/>
      <c r="F92" s="797" t="str">
        <f t="shared" si="11"/>
        <v/>
      </c>
      <c r="G92" s="486"/>
      <c r="H92" s="486"/>
      <c r="I92" s="797" t="str">
        <f t="shared" si="9"/>
        <v/>
      </c>
      <c r="J92" s="486"/>
      <c r="K92" s="486"/>
      <c r="L92" s="797" t="str">
        <f t="shared" si="10"/>
        <v/>
      </c>
    </row>
    <row r="93" spans="1:12" ht="13" customHeight="1">
      <c r="A93" s="14" t="s">
        <v>1480</v>
      </c>
      <c r="B93" s="390">
        <f t="shared" si="12"/>
        <v>7</v>
      </c>
      <c r="C93" s="440">
        <f t="shared" si="13"/>
        <v>1.8229166666666667</v>
      </c>
      <c r="E93" s="61"/>
      <c r="F93" s="797">
        <f t="shared" si="11"/>
        <v>0</v>
      </c>
      <c r="G93" s="61"/>
      <c r="H93" s="61">
        <v>5</v>
      </c>
      <c r="I93" s="797">
        <f t="shared" si="9"/>
        <v>71.428571428571431</v>
      </c>
      <c r="J93" s="61"/>
      <c r="K93" s="61">
        <v>2</v>
      </c>
      <c r="L93" s="797">
        <f t="shared" si="10"/>
        <v>28.571428571428569</v>
      </c>
    </row>
    <row r="94" spans="1:12" ht="13" customHeight="1">
      <c r="A94" s="14" t="s">
        <v>1778</v>
      </c>
      <c r="B94" s="390">
        <f t="shared" si="12"/>
        <v>6</v>
      </c>
      <c r="C94" s="440">
        <f t="shared" si="13"/>
        <v>1.5625</v>
      </c>
      <c r="E94" s="61"/>
      <c r="F94" s="797">
        <f t="shared" si="11"/>
        <v>0</v>
      </c>
      <c r="G94" s="61"/>
      <c r="H94" s="61">
        <v>2</v>
      </c>
      <c r="I94" s="797">
        <f t="shared" si="9"/>
        <v>33.333333333333329</v>
      </c>
      <c r="J94" s="61"/>
      <c r="K94" s="61">
        <v>4</v>
      </c>
      <c r="L94" s="797">
        <f t="shared" si="10"/>
        <v>66.666666666666657</v>
      </c>
    </row>
    <row r="95" spans="1:12" ht="10.5" customHeight="1">
      <c r="B95" s="390" t="str">
        <f t="shared" si="12"/>
        <v/>
      </c>
      <c r="C95" s="440" t="str">
        <f t="shared" si="13"/>
        <v/>
      </c>
      <c r="E95" s="486"/>
      <c r="F95" s="797" t="str">
        <f t="shared" si="11"/>
        <v/>
      </c>
      <c r="G95" s="486"/>
      <c r="H95" s="486"/>
      <c r="I95" s="797" t="str">
        <f t="shared" si="9"/>
        <v/>
      </c>
      <c r="J95" s="486"/>
      <c r="K95" s="486"/>
      <c r="L95" s="797" t="str">
        <f t="shared" si="10"/>
        <v/>
      </c>
    </row>
    <row r="96" spans="1:12" ht="13" customHeight="1">
      <c r="A96" s="17" t="s">
        <v>423</v>
      </c>
      <c r="B96" s="390">
        <f t="shared" si="12"/>
        <v>183</v>
      </c>
      <c r="C96" s="440">
        <f t="shared" si="13"/>
        <v>47.65625</v>
      </c>
      <c r="D96" s="17"/>
      <c r="E96" s="486">
        <f>SUM(E97:E101)</f>
        <v>6</v>
      </c>
      <c r="F96" s="797">
        <f t="shared" si="11"/>
        <v>3.278688524590164</v>
      </c>
      <c r="G96" s="486"/>
      <c r="H96" s="486">
        <f>SUM(H97:H102)</f>
        <v>100</v>
      </c>
      <c r="I96" s="797">
        <f t="shared" si="9"/>
        <v>54.644808743169406</v>
      </c>
      <c r="J96" s="486"/>
      <c r="K96" s="486">
        <f>SUM(K97:K101)</f>
        <v>77</v>
      </c>
      <c r="L96" s="797">
        <f t="shared" si="10"/>
        <v>42.076502732240442</v>
      </c>
    </row>
    <row r="97" spans="1:13" ht="13" customHeight="1">
      <c r="A97" s="14" t="s">
        <v>1779</v>
      </c>
      <c r="B97" s="390">
        <f t="shared" si="12"/>
        <v>60</v>
      </c>
      <c r="C97" s="440">
        <f t="shared" si="13"/>
        <v>15.625</v>
      </c>
      <c r="E97" s="61"/>
      <c r="F97" s="797">
        <f t="shared" si="11"/>
        <v>0</v>
      </c>
      <c r="G97" s="61"/>
      <c r="H97" s="61">
        <v>35</v>
      </c>
      <c r="I97" s="797">
        <f t="shared" si="9"/>
        <v>58.333333333333336</v>
      </c>
      <c r="J97" s="61"/>
      <c r="K97" s="61">
        <v>25</v>
      </c>
      <c r="L97" s="797">
        <f t="shared" si="10"/>
        <v>41.666666666666671</v>
      </c>
    </row>
    <row r="98" spans="1:13" ht="13" customHeight="1">
      <c r="A98" s="14" t="s">
        <v>1780</v>
      </c>
      <c r="B98" s="390">
        <f t="shared" si="12"/>
        <v>48</v>
      </c>
      <c r="C98" s="440">
        <f t="shared" si="13"/>
        <v>12.5</v>
      </c>
      <c r="E98" s="61"/>
      <c r="F98" s="797">
        <f t="shared" si="11"/>
        <v>0</v>
      </c>
      <c r="G98" s="61"/>
      <c r="H98" s="61">
        <v>26</v>
      </c>
      <c r="I98" s="797">
        <f t="shared" si="9"/>
        <v>54.166666666666664</v>
      </c>
      <c r="J98" s="61"/>
      <c r="K98" s="61">
        <v>22</v>
      </c>
      <c r="L98" s="797">
        <f t="shared" si="10"/>
        <v>45.833333333333329</v>
      </c>
    </row>
    <row r="99" spans="1:13" ht="13" customHeight="1">
      <c r="A99" s="14" t="s">
        <v>1482</v>
      </c>
      <c r="B99" s="390">
        <f t="shared" si="12"/>
        <v>36</v>
      </c>
      <c r="C99" s="440">
        <f t="shared" si="13"/>
        <v>9.375</v>
      </c>
      <c r="E99" s="61">
        <v>2</v>
      </c>
      <c r="F99" s="797">
        <f t="shared" si="11"/>
        <v>5.5555555555555554</v>
      </c>
      <c r="G99" s="61"/>
      <c r="H99" s="61">
        <v>19</v>
      </c>
      <c r="I99" s="797">
        <f t="shared" si="9"/>
        <v>52.777777777777779</v>
      </c>
      <c r="J99" s="61"/>
      <c r="K99" s="61">
        <v>15</v>
      </c>
      <c r="L99" s="797">
        <f t="shared" si="10"/>
        <v>41.666666666666671</v>
      </c>
    </row>
    <row r="100" spans="1:13" ht="13" customHeight="1">
      <c r="A100" s="14" t="s">
        <v>1483</v>
      </c>
      <c r="B100" s="390">
        <f t="shared" si="12"/>
        <v>21</v>
      </c>
      <c r="C100" s="440">
        <f t="shared" si="13"/>
        <v>5.46875</v>
      </c>
      <c r="E100" s="61">
        <v>2</v>
      </c>
      <c r="F100" s="797">
        <f t="shared" si="11"/>
        <v>9.5238095238095237</v>
      </c>
      <c r="G100" s="61"/>
      <c r="H100" s="61">
        <v>11</v>
      </c>
      <c r="I100" s="797">
        <f t="shared" si="9"/>
        <v>52.380952380952387</v>
      </c>
      <c r="J100" s="61"/>
      <c r="K100" s="61">
        <v>8</v>
      </c>
      <c r="L100" s="797">
        <f t="shared" si="10"/>
        <v>38.095238095238095</v>
      </c>
    </row>
    <row r="101" spans="1:13" ht="13" customHeight="1">
      <c r="A101" s="14" t="s">
        <v>1484</v>
      </c>
      <c r="B101" s="390">
        <f t="shared" si="12"/>
        <v>18</v>
      </c>
      <c r="C101" s="440">
        <f t="shared" si="13"/>
        <v>4.6875</v>
      </c>
      <c r="E101" s="61">
        <v>2</v>
      </c>
      <c r="F101" s="797">
        <f t="shared" si="11"/>
        <v>11.111111111111111</v>
      </c>
      <c r="G101" s="61"/>
      <c r="H101" s="61">
        <v>9</v>
      </c>
      <c r="I101" s="797">
        <f t="shared" si="9"/>
        <v>50</v>
      </c>
      <c r="J101" s="61"/>
      <c r="K101" s="61">
        <v>7</v>
      </c>
      <c r="L101" s="797">
        <f t="shared" si="10"/>
        <v>38.888888888888893</v>
      </c>
    </row>
    <row r="102" spans="1:13" ht="13" customHeight="1" thickBot="1">
      <c r="A102" s="285"/>
      <c r="B102" s="285"/>
      <c r="C102" s="285"/>
      <c r="D102" s="285"/>
      <c r="E102" s="805"/>
      <c r="F102" s="806"/>
      <c r="G102" s="805"/>
      <c r="H102" s="805"/>
      <c r="I102" s="806"/>
      <c r="J102" s="805"/>
      <c r="K102" s="805"/>
    </row>
    <row r="103" spans="1:13" ht="8.25" customHeight="1">
      <c r="L103" s="800"/>
      <c r="M103" s="799"/>
    </row>
    <row r="104" spans="1:13" ht="12.75" customHeight="1">
      <c r="A104" s="14" t="s">
        <v>1914</v>
      </c>
      <c r="L104" s="803"/>
      <c r="M104" s="774"/>
    </row>
    <row r="105" spans="1:13" ht="7.5" customHeight="1"/>
    <row r="106" spans="1:13">
      <c r="A106" s="14" t="s">
        <v>1915</v>
      </c>
    </row>
    <row r="107" spans="1:13">
      <c r="A107" s="14" t="s">
        <v>452</v>
      </c>
    </row>
  </sheetData>
  <mergeCells count="4">
    <mergeCell ref="B7:C7"/>
    <mergeCell ref="E7:F7"/>
    <mergeCell ref="H7:I7"/>
    <mergeCell ref="K7:L7"/>
  </mergeCells>
  <conditionalFormatting sqref="B11:L101">
    <cfRule type="cellIs" dxfId="75" priority="1" operator="equal">
      <formula>0</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249977111117893"/>
  </sheetPr>
  <dimension ref="B2:K4"/>
  <sheetViews>
    <sheetView workbookViewId="0">
      <selection activeCell="J9" sqref="J9"/>
    </sheetView>
  </sheetViews>
  <sheetFormatPr baseColWidth="10" defaultRowHeight="15"/>
  <sheetData>
    <row r="2" spans="2:11" ht="23">
      <c r="B2" t="s">
        <v>501</v>
      </c>
      <c r="C2" t="s">
        <v>500</v>
      </c>
      <c r="D2" t="s">
        <v>1053</v>
      </c>
      <c r="J2" s="29"/>
    </row>
    <row r="3" spans="2:11" ht="23">
      <c r="B3" s="36">
        <v>50.78</v>
      </c>
      <c r="C3" s="36">
        <v>46.09</v>
      </c>
      <c r="D3" s="36">
        <v>3.13</v>
      </c>
      <c r="H3" s="30"/>
    </row>
    <row r="4" spans="2:11" ht="23">
      <c r="F4" s="721"/>
      <c r="G4" s="721"/>
      <c r="H4" s="721"/>
      <c r="K4" s="32"/>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29"/>
  <sheetViews>
    <sheetView workbookViewId="0">
      <selection activeCell="C17" sqref="C17"/>
    </sheetView>
  </sheetViews>
  <sheetFormatPr baseColWidth="10" defaultRowHeight="14"/>
  <cols>
    <col min="1" max="1" width="42.6640625" style="33" customWidth="1"/>
    <col min="2" max="3" width="10.5" style="33" customWidth="1"/>
    <col min="4" max="4" width="2.6640625" style="33" customWidth="1"/>
    <col min="5" max="5" width="12.6640625" style="809" customWidth="1"/>
    <col min="6" max="6" width="12.33203125" style="427" customWidth="1"/>
    <col min="7" max="7" width="2.6640625" style="439" customWidth="1"/>
    <col min="8" max="8" width="12.1640625" style="809" customWidth="1"/>
    <col min="9" max="9" width="13.5" style="427" customWidth="1"/>
    <col min="10" max="10" width="2.6640625" style="439" customWidth="1"/>
    <col min="11" max="11" width="13.33203125" style="809" customWidth="1"/>
    <col min="12" max="12" width="11.33203125" style="606" customWidth="1"/>
    <col min="13" max="13" width="2.83203125" style="392" customWidth="1"/>
    <col min="14" max="14" width="13.33203125" style="809" customWidth="1"/>
    <col min="15" max="15" width="11.33203125" style="606" customWidth="1"/>
    <col min="16" max="16" width="3.5" style="392" customWidth="1"/>
    <col min="17" max="256" width="10.83203125" style="392"/>
    <col min="257" max="257" width="42.6640625" style="392" customWidth="1"/>
    <col min="258" max="259" width="10.5" style="392" customWidth="1"/>
    <col min="260" max="260" width="2.6640625" style="392" customWidth="1"/>
    <col min="261" max="261" width="12.6640625" style="392" customWidth="1"/>
    <col min="262" max="262" width="12.33203125" style="392" customWidth="1"/>
    <col min="263" max="263" width="2.6640625" style="392" customWidth="1"/>
    <col min="264" max="264" width="12.1640625" style="392" customWidth="1"/>
    <col min="265" max="265" width="13.5" style="392" customWidth="1"/>
    <col min="266" max="266" width="2.6640625" style="392" customWidth="1"/>
    <col min="267" max="267" width="13.33203125" style="392" customWidth="1"/>
    <col min="268" max="268" width="11.33203125" style="392" customWidth="1"/>
    <col min="269" max="269" width="2.83203125" style="392" customWidth="1"/>
    <col min="270" max="270" width="13.33203125" style="392" customWidth="1"/>
    <col min="271" max="271" width="11.33203125" style="392" customWidth="1"/>
    <col min="272" max="272" width="3.5" style="392" customWidth="1"/>
    <col min="273" max="512" width="10.83203125" style="392"/>
    <col min="513" max="513" width="42.6640625" style="392" customWidth="1"/>
    <col min="514" max="515" width="10.5" style="392" customWidth="1"/>
    <col min="516" max="516" width="2.6640625" style="392" customWidth="1"/>
    <col min="517" max="517" width="12.6640625" style="392" customWidth="1"/>
    <col min="518" max="518" width="12.33203125" style="392" customWidth="1"/>
    <col min="519" max="519" width="2.6640625" style="392" customWidth="1"/>
    <col min="520" max="520" width="12.1640625" style="392" customWidth="1"/>
    <col min="521" max="521" width="13.5" style="392" customWidth="1"/>
    <col min="522" max="522" width="2.6640625" style="392" customWidth="1"/>
    <col min="523" max="523" width="13.33203125" style="392" customWidth="1"/>
    <col min="524" max="524" width="11.33203125" style="392" customWidth="1"/>
    <col min="525" max="525" width="2.83203125" style="392" customWidth="1"/>
    <col min="526" max="526" width="13.33203125" style="392" customWidth="1"/>
    <col min="527" max="527" width="11.33203125" style="392" customWidth="1"/>
    <col min="528" max="528" width="3.5" style="392" customWidth="1"/>
    <col min="529" max="768" width="10.83203125" style="392"/>
    <col min="769" max="769" width="42.6640625" style="392" customWidth="1"/>
    <col min="770" max="771" width="10.5" style="392" customWidth="1"/>
    <col min="772" max="772" width="2.6640625" style="392" customWidth="1"/>
    <col min="773" max="773" width="12.6640625" style="392" customWidth="1"/>
    <col min="774" max="774" width="12.33203125" style="392" customWidth="1"/>
    <col min="775" max="775" width="2.6640625" style="392" customWidth="1"/>
    <col min="776" max="776" width="12.1640625" style="392" customWidth="1"/>
    <col min="777" max="777" width="13.5" style="392" customWidth="1"/>
    <col min="778" max="778" width="2.6640625" style="392" customWidth="1"/>
    <col min="779" max="779" width="13.33203125" style="392" customWidth="1"/>
    <col min="780" max="780" width="11.33203125" style="392" customWidth="1"/>
    <col min="781" max="781" width="2.83203125" style="392" customWidth="1"/>
    <col min="782" max="782" width="13.33203125" style="392" customWidth="1"/>
    <col min="783" max="783" width="11.33203125" style="392" customWidth="1"/>
    <col min="784" max="784" width="3.5" style="392" customWidth="1"/>
    <col min="785" max="1024" width="10.83203125" style="392"/>
    <col min="1025" max="1025" width="42.6640625" style="392" customWidth="1"/>
    <col min="1026" max="1027" width="10.5" style="392" customWidth="1"/>
    <col min="1028" max="1028" width="2.6640625" style="392" customWidth="1"/>
    <col min="1029" max="1029" width="12.6640625" style="392" customWidth="1"/>
    <col min="1030" max="1030" width="12.33203125" style="392" customWidth="1"/>
    <col min="1031" max="1031" width="2.6640625" style="392" customWidth="1"/>
    <col min="1032" max="1032" width="12.1640625" style="392" customWidth="1"/>
    <col min="1033" max="1033" width="13.5" style="392" customWidth="1"/>
    <col min="1034" max="1034" width="2.6640625" style="392" customWidth="1"/>
    <col min="1035" max="1035" width="13.33203125" style="392" customWidth="1"/>
    <col min="1036" max="1036" width="11.33203125" style="392" customWidth="1"/>
    <col min="1037" max="1037" width="2.83203125" style="392" customWidth="1"/>
    <col min="1038" max="1038" width="13.33203125" style="392" customWidth="1"/>
    <col min="1039" max="1039" width="11.33203125" style="392" customWidth="1"/>
    <col min="1040" max="1040" width="3.5" style="392" customWidth="1"/>
    <col min="1041" max="1280" width="10.83203125" style="392"/>
    <col min="1281" max="1281" width="42.6640625" style="392" customWidth="1"/>
    <col min="1282" max="1283" width="10.5" style="392" customWidth="1"/>
    <col min="1284" max="1284" width="2.6640625" style="392" customWidth="1"/>
    <col min="1285" max="1285" width="12.6640625" style="392" customWidth="1"/>
    <col min="1286" max="1286" width="12.33203125" style="392" customWidth="1"/>
    <col min="1287" max="1287" width="2.6640625" style="392" customWidth="1"/>
    <col min="1288" max="1288" width="12.1640625" style="392" customWidth="1"/>
    <col min="1289" max="1289" width="13.5" style="392" customWidth="1"/>
    <col min="1290" max="1290" width="2.6640625" style="392" customWidth="1"/>
    <col min="1291" max="1291" width="13.33203125" style="392" customWidth="1"/>
    <col min="1292" max="1292" width="11.33203125" style="392" customWidth="1"/>
    <col min="1293" max="1293" width="2.83203125" style="392" customWidth="1"/>
    <col min="1294" max="1294" width="13.33203125" style="392" customWidth="1"/>
    <col min="1295" max="1295" width="11.33203125" style="392" customWidth="1"/>
    <col min="1296" max="1296" width="3.5" style="392" customWidth="1"/>
    <col min="1297" max="1536" width="10.83203125" style="392"/>
    <col min="1537" max="1537" width="42.6640625" style="392" customWidth="1"/>
    <col min="1538" max="1539" width="10.5" style="392" customWidth="1"/>
    <col min="1540" max="1540" width="2.6640625" style="392" customWidth="1"/>
    <col min="1541" max="1541" width="12.6640625" style="392" customWidth="1"/>
    <col min="1542" max="1542" width="12.33203125" style="392" customWidth="1"/>
    <col min="1543" max="1543" width="2.6640625" style="392" customWidth="1"/>
    <col min="1544" max="1544" width="12.1640625" style="392" customWidth="1"/>
    <col min="1545" max="1545" width="13.5" style="392" customWidth="1"/>
    <col min="1546" max="1546" width="2.6640625" style="392" customWidth="1"/>
    <col min="1547" max="1547" width="13.33203125" style="392" customWidth="1"/>
    <col min="1548" max="1548" width="11.33203125" style="392" customWidth="1"/>
    <col min="1549" max="1549" width="2.83203125" style="392" customWidth="1"/>
    <col min="1550" max="1550" width="13.33203125" style="392" customWidth="1"/>
    <col min="1551" max="1551" width="11.33203125" style="392" customWidth="1"/>
    <col min="1552" max="1552" width="3.5" style="392" customWidth="1"/>
    <col min="1553" max="1792" width="10.83203125" style="392"/>
    <col min="1793" max="1793" width="42.6640625" style="392" customWidth="1"/>
    <col min="1794" max="1795" width="10.5" style="392" customWidth="1"/>
    <col min="1796" max="1796" width="2.6640625" style="392" customWidth="1"/>
    <col min="1797" max="1797" width="12.6640625" style="392" customWidth="1"/>
    <col min="1798" max="1798" width="12.33203125" style="392" customWidth="1"/>
    <col min="1799" max="1799" width="2.6640625" style="392" customWidth="1"/>
    <col min="1800" max="1800" width="12.1640625" style="392" customWidth="1"/>
    <col min="1801" max="1801" width="13.5" style="392" customWidth="1"/>
    <col min="1802" max="1802" width="2.6640625" style="392" customWidth="1"/>
    <col min="1803" max="1803" width="13.33203125" style="392" customWidth="1"/>
    <col min="1804" max="1804" width="11.33203125" style="392" customWidth="1"/>
    <col min="1805" max="1805" width="2.83203125" style="392" customWidth="1"/>
    <col min="1806" max="1806" width="13.33203125" style="392" customWidth="1"/>
    <col min="1807" max="1807" width="11.33203125" style="392" customWidth="1"/>
    <col min="1808" max="1808" width="3.5" style="392" customWidth="1"/>
    <col min="1809" max="2048" width="10.83203125" style="392"/>
    <col min="2049" max="2049" width="42.6640625" style="392" customWidth="1"/>
    <col min="2050" max="2051" width="10.5" style="392" customWidth="1"/>
    <col min="2052" max="2052" width="2.6640625" style="392" customWidth="1"/>
    <col min="2053" max="2053" width="12.6640625" style="392" customWidth="1"/>
    <col min="2054" max="2054" width="12.33203125" style="392" customWidth="1"/>
    <col min="2055" max="2055" width="2.6640625" style="392" customWidth="1"/>
    <col min="2056" max="2056" width="12.1640625" style="392" customWidth="1"/>
    <col min="2057" max="2057" width="13.5" style="392" customWidth="1"/>
    <col min="2058" max="2058" width="2.6640625" style="392" customWidth="1"/>
    <col min="2059" max="2059" width="13.33203125" style="392" customWidth="1"/>
    <col min="2060" max="2060" width="11.33203125" style="392" customWidth="1"/>
    <col min="2061" max="2061" width="2.83203125" style="392" customWidth="1"/>
    <col min="2062" max="2062" width="13.33203125" style="392" customWidth="1"/>
    <col min="2063" max="2063" width="11.33203125" style="392" customWidth="1"/>
    <col min="2064" max="2064" width="3.5" style="392" customWidth="1"/>
    <col min="2065" max="2304" width="10.83203125" style="392"/>
    <col min="2305" max="2305" width="42.6640625" style="392" customWidth="1"/>
    <col min="2306" max="2307" width="10.5" style="392" customWidth="1"/>
    <col min="2308" max="2308" width="2.6640625" style="392" customWidth="1"/>
    <col min="2309" max="2309" width="12.6640625" style="392" customWidth="1"/>
    <col min="2310" max="2310" width="12.33203125" style="392" customWidth="1"/>
    <col min="2311" max="2311" width="2.6640625" style="392" customWidth="1"/>
    <col min="2312" max="2312" width="12.1640625" style="392" customWidth="1"/>
    <col min="2313" max="2313" width="13.5" style="392" customWidth="1"/>
    <col min="2314" max="2314" width="2.6640625" style="392" customWidth="1"/>
    <col min="2315" max="2315" width="13.33203125" style="392" customWidth="1"/>
    <col min="2316" max="2316" width="11.33203125" style="392" customWidth="1"/>
    <col min="2317" max="2317" width="2.83203125" style="392" customWidth="1"/>
    <col min="2318" max="2318" width="13.33203125" style="392" customWidth="1"/>
    <col min="2319" max="2319" width="11.33203125" style="392" customWidth="1"/>
    <col min="2320" max="2320" width="3.5" style="392" customWidth="1"/>
    <col min="2321" max="2560" width="10.83203125" style="392"/>
    <col min="2561" max="2561" width="42.6640625" style="392" customWidth="1"/>
    <col min="2562" max="2563" width="10.5" style="392" customWidth="1"/>
    <col min="2564" max="2564" width="2.6640625" style="392" customWidth="1"/>
    <col min="2565" max="2565" width="12.6640625" style="392" customWidth="1"/>
    <col min="2566" max="2566" width="12.33203125" style="392" customWidth="1"/>
    <col min="2567" max="2567" width="2.6640625" style="392" customWidth="1"/>
    <col min="2568" max="2568" width="12.1640625" style="392" customWidth="1"/>
    <col min="2569" max="2569" width="13.5" style="392" customWidth="1"/>
    <col min="2570" max="2570" width="2.6640625" style="392" customWidth="1"/>
    <col min="2571" max="2571" width="13.33203125" style="392" customWidth="1"/>
    <col min="2572" max="2572" width="11.33203125" style="392" customWidth="1"/>
    <col min="2573" max="2573" width="2.83203125" style="392" customWidth="1"/>
    <col min="2574" max="2574" width="13.33203125" style="392" customWidth="1"/>
    <col min="2575" max="2575" width="11.33203125" style="392" customWidth="1"/>
    <col min="2576" max="2576" width="3.5" style="392" customWidth="1"/>
    <col min="2577" max="2816" width="10.83203125" style="392"/>
    <col min="2817" max="2817" width="42.6640625" style="392" customWidth="1"/>
    <col min="2818" max="2819" width="10.5" style="392" customWidth="1"/>
    <col min="2820" max="2820" width="2.6640625" style="392" customWidth="1"/>
    <col min="2821" max="2821" width="12.6640625" style="392" customWidth="1"/>
    <col min="2822" max="2822" width="12.33203125" style="392" customWidth="1"/>
    <col min="2823" max="2823" width="2.6640625" style="392" customWidth="1"/>
    <col min="2824" max="2824" width="12.1640625" style="392" customWidth="1"/>
    <col min="2825" max="2825" width="13.5" style="392" customWidth="1"/>
    <col min="2826" max="2826" width="2.6640625" style="392" customWidth="1"/>
    <col min="2827" max="2827" width="13.33203125" style="392" customWidth="1"/>
    <col min="2828" max="2828" width="11.33203125" style="392" customWidth="1"/>
    <col min="2829" max="2829" width="2.83203125" style="392" customWidth="1"/>
    <col min="2830" max="2830" width="13.33203125" style="392" customWidth="1"/>
    <col min="2831" max="2831" width="11.33203125" style="392" customWidth="1"/>
    <col min="2832" max="2832" width="3.5" style="392" customWidth="1"/>
    <col min="2833" max="3072" width="10.83203125" style="392"/>
    <col min="3073" max="3073" width="42.6640625" style="392" customWidth="1"/>
    <col min="3074" max="3075" width="10.5" style="392" customWidth="1"/>
    <col min="3076" max="3076" width="2.6640625" style="392" customWidth="1"/>
    <col min="3077" max="3077" width="12.6640625" style="392" customWidth="1"/>
    <col min="3078" max="3078" width="12.33203125" style="392" customWidth="1"/>
    <col min="3079" max="3079" width="2.6640625" style="392" customWidth="1"/>
    <col min="3080" max="3080" width="12.1640625" style="392" customWidth="1"/>
    <col min="3081" max="3081" width="13.5" style="392" customWidth="1"/>
    <col min="3082" max="3082" width="2.6640625" style="392" customWidth="1"/>
    <col min="3083" max="3083" width="13.33203125" style="392" customWidth="1"/>
    <col min="3084" max="3084" width="11.33203125" style="392" customWidth="1"/>
    <col min="3085" max="3085" width="2.83203125" style="392" customWidth="1"/>
    <col min="3086" max="3086" width="13.33203125" style="392" customWidth="1"/>
    <col min="3087" max="3087" width="11.33203125" style="392" customWidth="1"/>
    <col min="3088" max="3088" width="3.5" style="392" customWidth="1"/>
    <col min="3089" max="3328" width="10.83203125" style="392"/>
    <col min="3329" max="3329" width="42.6640625" style="392" customWidth="1"/>
    <col min="3330" max="3331" width="10.5" style="392" customWidth="1"/>
    <col min="3332" max="3332" width="2.6640625" style="392" customWidth="1"/>
    <col min="3333" max="3333" width="12.6640625" style="392" customWidth="1"/>
    <col min="3334" max="3334" width="12.33203125" style="392" customWidth="1"/>
    <col min="3335" max="3335" width="2.6640625" style="392" customWidth="1"/>
    <col min="3336" max="3336" width="12.1640625" style="392" customWidth="1"/>
    <col min="3337" max="3337" width="13.5" style="392" customWidth="1"/>
    <col min="3338" max="3338" width="2.6640625" style="392" customWidth="1"/>
    <col min="3339" max="3339" width="13.33203125" style="392" customWidth="1"/>
    <col min="3340" max="3340" width="11.33203125" style="392" customWidth="1"/>
    <col min="3341" max="3341" width="2.83203125" style="392" customWidth="1"/>
    <col min="3342" max="3342" width="13.33203125" style="392" customWidth="1"/>
    <col min="3343" max="3343" width="11.33203125" style="392" customWidth="1"/>
    <col min="3344" max="3344" width="3.5" style="392" customWidth="1"/>
    <col min="3345" max="3584" width="10.83203125" style="392"/>
    <col min="3585" max="3585" width="42.6640625" style="392" customWidth="1"/>
    <col min="3586" max="3587" width="10.5" style="392" customWidth="1"/>
    <col min="3588" max="3588" width="2.6640625" style="392" customWidth="1"/>
    <col min="3589" max="3589" width="12.6640625" style="392" customWidth="1"/>
    <col min="3590" max="3590" width="12.33203125" style="392" customWidth="1"/>
    <col min="3591" max="3591" width="2.6640625" style="392" customWidth="1"/>
    <col min="3592" max="3592" width="12.1640625" style="392" customWidth="1"/>
    <col min="3593" max="3593" width="13.5" style="392" customWidth="1"/>
    <col min="3594" max="3594" width="2.6640625" style="392" customWidth="1"/>
    <col min="3595" max="3595" width="13.33203125" style="392" customWidth="1"/>
    <col min="3596" max="3596" width="11.33203125" style="392" customWidth="1"/>
    <col min="3597" max="3597" width="2.83203125" style="392" customWidth="1"/>
    <col min="3598" max="3598" width="13.33203125" style="392" customWidth="1"/>
    <col min="3599" max="3599" width="11.33203125" style="392" customWidth="1"/>
    <col min="3600" max="3600" width="3.5" style="392" customWidth="1"/>
    <col min="3601" max="3840" width="10.83203125" style="392"/>
    <col min="3841" max="3841" width="42.6640625" style="392" customWidth="1"/>
    <col min="3842" max="3843" width="10.5" style="392" customWidth="1"/>
    <col min="3844" max="3844" width="2.6640625" style="392" customWidth="1"/>
    <col min="3845" max="3845" width="12.6640625" style="392" customWidth="1"/>
    <col min="3846" max="3846" width="12.33203125" style="392" customWidth="1"/>
    <col min="3847" max="3847" width="2.6640625" style="392" customWidth="1"/>
    <col min="3848" max="3848" width="12.1640625" style="392" customWidth="1"/>
    <col min="3849" max="3849" width="13.5" style="392" customWidth="1"/>
    <col min="3850" max="3850" width="2.6640625" style="392" customWidth="1"/>
    <col min="3851" max="3851" width="13.33203125" style="392" customWidth="1"/>
    <col min="3852" max="3852" width="11.33203125" style="392" customWidth="1"/>
    <col min="3853" max="3853" width="2.83203125" style="392" customWidth="1"/>
    <col min="3854" max="3854" width="13.33203125" style="392" customWidth="1"/>
    <col min="3855" max="3855" width="11.33203125" style="392" customWidth="1"/>
    <col min="3856" max="3856" width="3.5" style="392" customWidth="1"/>
    <col min="3857" max="4096" width="10.83203125" style="392"/>
    <col min="4097" max="4097" width="42.6640625" style="392" customWidth="1"/>
    <col min="4098" max="4099" width="10.5" style="392" customWidth="1"/>
    <col min="4100" max="4100" width="2.6640625" style="392" customWidth="1"/>
    <col min="4101" max="4101" width="12.6640625" style="392" customWidth="1"/>
    <col min="4102" max="4102" width="12.33203125" style="392" customWidth="1"/>
    <col min="4103" max="4103" width="2.6640625" style="392" customWidth="1"/>
    <col min="4104" max="4104" width="12.1640625" style="392" customWidth="1"/>
    <col min="4105" max="4105" width="13.5" style="392" customWidth="1"/>
    <col min="4106" max="4106" width="2.6640625" style="392" customWidth="1"/>
    <col min="4107" max="4107" width="13.33203125" style="392" customWidth="1"/>
    <col min="4108" max="4108" width="11.33203125" style="392" customWidth="1"/>
    <col min="4109" max="4109" width="2.83203125" style="392" customWidth="1"/>
    <col min="4110" max="4110" width="13.33203125" style="392" customWidth="1"/>
    <col min="4111" max="4111" width="11.33203125" style="392" customWidth="1"/>
    <col min="4112" max="4112" width="3.5" style="392" customWidth="1"/>
    <col min="4113" max="4352" width="10.83203125" style="392"/>
    <col min="4353" max="4353" width="42.6640625" style="392" customWidth="1"/>
    <col min="4354" max="4355" width="10.5" style="392" customWidth="1"/>
    <col min="4356" max="4356" width="2.6640625" style="392" customWidth="1"/>
    <col min="4357" max="4357" width="12.6640625" style="392" customWidth="1"/>
    <col min="4358" max="4358" width="12.33203125" style="392" customWidth="1"/>
    <col min="4359" max="4359" width="2.6640625" style="392" customWidth="1"/>
    <col min="4360" max="4360" width="12.1640625" style="392" customWidth="1"/>
    <col min="4361" max="4361" width="13.5" style="392" customWidth="1"/>
    <col min="4362" max="4362" width="2.6640625" style="392" customWidth="1"/>
    <col min="4363" max="4363" width="13.33203125" style="392" customWidth="1"/>
    <col min="4364" max="4364" width="11.33203125" style="392" customWidth="1"/>
    <col min="4365" max="4365" width="2.83203125" style="392" customWidth="1"/>
    <col min="4366" max="4366" width="13.33203125" style="392" customWidth="1"/>
    <col min="4367" max="4367" width="11.33203125" style="392" customWidth="1"/>
    <col min="4368" max="4368" width="3.5" style="392" customWidth="1"/>
    <col min="4369" max="4608" width="10.83203125" style="392"/>
    <col min="4609" max="4609" width="42.6640625" style="392" customWidth="1"/>
    <col min="4610" max="4611" width="10.5" style="392" customWidth="1"/>
    <col min="4612" max="4612" width="2.6640625" style="392" customWidth="1"/>
    <col min="4613" max="4613" width="12.6640625" style="392" customWidth="1"/>
    <col min="4614" max="4614" width="12.33203125" style="392" customWidth="1"/>
    <col min="4615" max="4615" width="2.6640625" style="392" customWidth="1"/>
    <col min="4616" max="4616" width="12.1640625" style="392" customWidth="1"/>
    <col min="4617" max="4617" width="13.5" style="392" customWidth="1"/>
    <col min="4618" max="4618" width="2.6640625" style="392" customWidth="1"/>
    <col min="4619" max="4619" width="13.33203125" style="392" customWidth="1"/>
    <col min="4620" max="4620" width="11.33203125" style="392" customWidth="1"/>
    <col min="4621" max="4621" width="2.83203125" style="392" customWidth="1"/>
    <col min="4622" max="4622" width="13.33203125" style="392" customWidth="1"/>
    <col min="4623" max="4623" width="11.33203125" style="392" customWidth="1"/>
    <col min="4624" max="4624" width="3.5" style="392" customWidth="1"/>
    <col min="4625" max="4864" width="10.83203125" style="392"/>
    <col min="4865" max="4865" width="42.6640625" style="392" customWidth="1"/>
    <col min="4866" max="4867" width="10.5" style="392" customWidth="1"/>
    <col min="4868" max="4868" width="2.6640625" style="392" customWidth="1"/>
    <col min="4869" max="4869" width="12.6640625" style="392" customWidth="1"/>
    <col min="4870" max="4870" width="12.33203125" style="392" customWidth="1"/>
    <col min="4871" max="4871" width="2.6640625" style="392" customWidth="1"/>
    <col min="4872" max="4872" width="12.1640625" style="392" customWidth="1"/>
    <col min="4873" max="4873" width="13.5" style="392" customWidth="1"/>
    <col min="4874" max="4874" width="2.6640625" style="392" customWidth="1"/>
    <col min="4875" max="4875" width="13.33203125" style="392" customWidth="1"/>
    <col min="4876" max="4876" width="11.33203125" style="392" customWidth="1"/>
    <col min="4877" max="4877" width="2.83203125" style="392" customWidth="1"/>
    <col min="4878" max="4878" width="13.33203125" style="392" customWidth="1"/>
    <col min="4879" max="4879" width="11.33203125" style="392" customWidth="1"/>
    <col min="4880" max="4880" width="3.5" style="392" customWidth="1"/>
    <col min="4881" max="5120" width="10.83203125" style="392"/>
    <col min="5121" max="5121" width="42.6640625" style="392" customWidth="1"/>
    <col min="5122" max="5123" width="10.5" style="392" customWidth="1"/>
    <col min="5124" max="5124" width="2.6640625" style="392" customWidth="1"/>
    <col min="5125" max="5125" width="12.6640625" style="392" customWidth="1"/>
    <col min="5126" max="5126" width="12.33203125" style="392" customWidth="1"/>
    <col min="5127" max="5127" width="2.6640625" style="392" customWidth="1"/>
    <col min="5128" max="5128" width="12.1640625" style="392" customWidth="1"/>
    <col min="5129" max="5129" width="13.5" style="392" customWidth="1"/>
    <col min="5130" max="5130" width="2.6640625" style="392" customWidth="1"/>
    <col min="5131" max="5131" width="13.33203125" style="392" customWidth="1"/>
    <col min="5132" max="5132" width="11.33203125" style="392" customWidth="1"/>
    <col min="5133" max="5133" width="2.83203125" style="392" customWidth="1"/>
    <col min="5134" max="5134" width="13.33203125" style="392" customWidth="1"/>
    <col min="5135" max="5135" width="11.33203125" style="392" customWidth="1"/>
    <col min="5136" max="5136" width="3.5" style="392" customWidth="1"/>
    <col min="5137" max="5376" width="10.83203125" style="392"/>
    <col min="5377" max="5377" width="42.6640625" style="392" customWidth="1"/>
    <col min="5378" max="5379" width="10.5" style="392" customWidth="1"/>
    <col min="5380" max="5380" width="2.6640625" style="392" customWidth="1"/>
    <col min="5381" max="5381" width="12.6640625" style="392" customWidth="1"/>
    <col min="5382" max="5382" width="12.33203125" style="392" customWidth="1"/>
    <col min="5383" max="5383" width="2.6640625" style="392" customWidth="1"/>
    <col min="5384" max="5384" width="12.1640625" style="392" customWidth="1"/>
    <col min="5385" max="5385" width="13.5" style="392" customWidth="1"/>
    <col min="5386" max="5386" width="2.6640625" style="392" customWidth="1"/>
    <col min="5387" max="5387" width="13.33203125" style="392" customWidth="1"/>
    <col min="5388" max="5388" width="11.33203125" style="392" customWidth="1"/>
    <col min="5389" max="5389" width="2.83203125" style="392" customWidth="1"/>
    <col min="5390" max="5390" width="13.33203125" style="392" customWidth="1"/>
    <col min="5391" max="5391" width="11.33203125" style="392" customWidth="1"/>
    <col min="5392" max="5392" width="3.5" style="392" customWidth="1"/>
    <col min="5393" max="5632" width="10.83203125" style="392"/>
    <col min="5633" max="5633" width="42.6640625" style="392" customWidth="1"/>
    <col min="5634" max="5635" width="10.5" style="392" customWidth="1"/>
    <col min="5636" max="5636" width="2.6640625" style="392" customWidth="1"/>
    <col min="5637" max="5637" width="12.6640625" style="392" customWidth="1"/>
    <col min="5638" max="5638" width="12.33203125" style="392" customWidth="1"/>
    <col min="5639" max="5639" width="2.6640625" style="392" customWidth="1"/>
    <col min="5640" max="5640" width="12.1640625" style="392" customWidth="1"/>
    <col min="5641" max="5641" width="13.5" style="392" customWidth="1"/>
    <col min="5642" max="5642" width="2.6640625" style="392" customWidth="1"/>
    <col min="5643" max="5643" width="13.33203125" style="392" customWidth="1"/>
    <col min="5644" max="5644" width="11.33203125" style="392" customWidth="1"/>
    <col min="5645" max="5645" width="2.83203125" style="392" customWidth="1"/>
    <col min="5646" max="5646" width="13.33203125" style="392" customWidth="1"/>
    <col min="5647" max="5647" width="11.33203125" style="392" customWidth="1"/>
    <col min="5648" max="5648" width="3.5" style="392" customWidth="1"/>
    <col min="5649" max="5888" width="10.83203125" style="392"/>
    <col min="5889" max="5889" width="42.6640625" style="392" customWidth="1"/>
    <col min="5890" max="5891" width="10.5" style="392" customWidth="1"/>
    <col min="5892" max="5892" width="2.6640625" style="392" customWidth="1"/>
    <col min="5893" max="5893" width="12.6640625" style="392" customWidth="1"/>
    <col min="5894" max="5894" width="12.33203125" style="392" customWidth="1"/>
    <col min="5895" max="5895" width="2.6640625" style="392" customWidth="1"/>
    <col min="5896" max="5896" width="12.1640625" style="392" customWidth="1"/>
    <col min="5897" max="5897" width="13.5" style="392" customWidth="1"/>
    <col min="5898" max="5898" width="2.6640625" style="392" customWidth="1"/>
    <col min="5899" max="5899" width="13.33203125" style="392" customWidth="1"/>
    <col min="5900" max="5900" width="11.33203125" style="392" customWidth="1"/>
    <col min="5901" max="5901" width="2.83203125" style="392" customWidth="1"/>
    <col min="5902" max="5902" width="13.33203125" style="392" customWidth="1"/>
    <col min="5903" max="5903" width="11.33203125" style="392" customWidth="1"/>
    <col min="5904" max="5904" width="3.5" style="392" customWidth="1"/>
    <col min="5905" max="6144" width="10.83203125" style="392"/>
    <col min="6145" max="6145" width="42.6640625" style="392" customWidth="1"/>
    <col min="6146" max="6147" width="10.5" style="392" customWidth="1"/>
    <col min="6148" max="6148" width="2.6640625" style="392" customWidth="1"/>
    <col min="6149" max="6149" width="12.6640625" style="392" customWidth="1"/>
    <col min="6150" max="6150" width="12.33203125" style="392" customWidth="1"/>
    <col min="6151" max="6151" width="2.6640625" style="392" customWidth="1"/>
    <col min="6152" max="6152" width="12.1640625" style="392" customWidth="1"/>
    <col min="6153" max="6153" width="13.5" style="392" customWidth="1"/>
    <col min="6154" max="6154" width="2.6640625" style="392" customWidth="1"/>
    <col min="6155" max="6155" width="13.33203125" style="392" customWidth="1"/>
    <col min="6156" max="6156" width="11.33203125" style="392" customWidth="1"/>
    <col min="6157" max="6157" width="2.83203125" style="392" customWidth="1"/>
    <col min="6158" max="6158" width="13.33203125" style="392" customWidth="1"/>
    <col min="6159" max="6159" width="11.33203125" style="392" customWidth="1"/>
    <col min="6160" max="6160" width="3.5" style="392" customWidth="1"/>
    <col min="6161" max="6400" width="10.83203125" style="392"/>
    <col min="6401" max="6401" width="42.6640625" style="392" customWidth="1"/>
    <col min="6402" max="6403" width="10.5" style="392" customWidth="1"/>
    <col min="6404" max="6404" width="2.6640625" style="392" customWidth="1"/>
    <col min="6405" max="6405" width="12.6640625" style="392" customWidth="1"/>
    <col min="6406" max="6406" width="12.33203125" style="392" customWidth="1"/>
    <col min="6407" max="6407" width="2.6640625" style="392" customWidth="1"/>
    <col min="6408" max="6408" width="12.1640625" style="392" customWidth="1"/>
    <col min="6409" max="6409" width="13.5" style="392" customWidth="1"/>
    <col min="6410" max="6410" width="2.6640625" style="392" customWidth="1"/>
    <col min="6411" max="6411" width="13.33203125" style="392" customWidth="1"/>
    <col min="6412" max="6412" width="11.33203125" style="392" customWidth="1"/>
    <col min="6413" max="6413" width="2.83203125" style="392" customWidth="1"/>
    <col min="6414" max="6414" width="13.33203125" style="392" customWidth="1"/>
    <col min="6415" max="6415" width="11.33203125" style="392" customWidth="1"/>
    <col min="6416" max="6416" width="3.5" style="392" customWidth="1"/>
    <col min="6417" max="6656" width="10.83203125" style="392"/>
    <col min="6657" max="6657" width="42.6640625" style="392" customWidth="1"/>
    <col min="6658" max="6659" width="10.5" style="392" customWidth="1"/>
    <col min="6660" max="6660" width="2.6640625" style="392" customWidth="1"/>
    <col min="6661" max="6661" width="12.6640625" style="392" customWidth="1"/>
    <col min="6662" max="6662" width="12.33203125" style="392" customWidth="1"/>
    <col min="6663" max="6663" width="2.6640625" style="392" customWidth="1"/>
    <col min="6664" max="6664" width="12.1640625" style="392" customWidth="1"/>
    <col min="6665" max="6665" width="13.5" style="392" customWidth="1"/>
    <col min="6666" max="6666" width="2.6640625" style="392" customWidth="1"/>
    <col min="6667" max="6667" width="13.33203125" style="392" customWidth="1"/>
    <col min="6668" max="6668" width="11.33203125" style="392" customWidth="1"/>
    <col min="6669" max="6669" width="2.83203125" style="392" customWidth="1"/>
    <col min="6670" max="6670" width="13.33203125" style="392" customWidth="1"/>
    <col min="6671" max="6671" width="11.33203125" style="392" customWidth="1"/>
    <col min="6672" max="6672" width="3.5" style="392" customWidth="1"/>
    <col min="6673" max="6912" width="10.83203125" style="392"/>
    <col min="6913" max="6913" width="42.6640625" style="392" customWidth="1"/>
    <col min="6914" max="6915" width="10.5" style="392" customWidth="1"/>
    <col min="6916" max="6916" width="2.6640625" style="392" customWidth="1"/>
    <col min="6917" max="6917" width="12.6640625" style="392" customWidth="1"/>
    <col min="6918" max="6918" width="12.33203125" style="392" customWidth="1"/>
    <col min="6919" max="6919" width="2.6640625" style="392" customWidth="1"/>
    <col min="6920" max="6920" width="12.1640625" style="392" customWidth="1"/>
    <col min="6921" max="6921" width="13.5" style="392" customWidth="1"/>
    <col min="6922" max="6922" width="2.6640625" style="392" customWidth="1"/>
    <col min="6923" max="6923" width="13.33203125" style="392" customWidth="1"/>
    <col min="6924" max="6924" width="11.33203125" style="392" customWidth="1"/>
    <col min="6925" max="6925" width="2.83203125" style="392" customWidth="1"/>
    <col min="6926" max="6926" width="13.33203125" style="392" customWidth="1"/>
    <col min="6927" max="6927" width="11.33203125" style="392" customWidth="1"/>
    <col min="6928" max="6928" width="3.5" style="392" customWidth="1"/>
    <col min="6929" max="7168" width="10.83203125" style="392"/>
    <col min="7169" max="7169" width="42.6640625" style="392" customWidth="1"/>
    <col min="7170" max="7171" width="10.5" style="392" customWidth="1"/>
    <col min="7172" max="7172" width="2.6640625" style="392" customWidth="1"/>
    <col min="7173" max="7173" width="12.6640625" style="392" customWidth="1"/>
    <col min="7174" max="7174" width="12.33203125" style="392" customWidth="1"/>
    <col min="7175" max="7175" width="2.6640625" style="392" customWidth="1"/>
    <col min="7176" max="7176" width="12.1640625" style="392" customWidth="1"/>
    <col min="7177" max="7177" width="13.5" style="392" customWidth="1"/>
    <col min="7178" max="7178" width="2.6640625" style="392" customWidth="1"/>
    <col min="7179" max="7179" width="13.33203125" style="392" customWidth="1"/>
    <col min="7180" max="7180" width="11.33203125" style="392" customWidth="1"/>
    <col min="7181" max="7181" width="2.83203125" style="392" customWidth="1"/>
    <col min="7182" max="7182" width="13.33203125" style="392" customWidth="1"/>
    <col min="7183" max="7183" width="11.33203125" style="392" customWidth="1"/>
    <col min="7184" max="7184" width="3.5" style="392" customWidth="1"/>
    <col min="7185" max="7424" width="10.83203125" style="392"/>
    <col min="7425" max="7425" width="42.6640625" style="392" customWidth="1"/>
    <col min="7426" max="7427" width="10.5" style="392" customWidth="1"/>
    <col min="7428" max="7428" width="2.6640625" style="392" customWidth="1"/>
    <col min="7429" max="7429" width="12.6640625" style="392" customWidth="1"/>
    <col min="7430" max="7430" width="12.33203125" style="392" customWidth="1"/>
    <col min="7431" max="7431" width="2.6640625" style="392" customWidth="1"/>
    <col min="7432" max="7432" width="12.1640625" style="392" customWidth="1"/>
    <col min="7433" max="7433" width="13.5" style="392" customWidth="1"/>
    <col min="7434" max="7434" width="2.6640625" style="392" customWidth="1"/>
    <col min="7435" max="7435" width="13.33203125" style="392" customWidth="1"/>
    <col min="7436" max="7436" width="11.33203125" style="392" customWidth="1"/>
    <col min="7437" max="7437" width="2.83203125" style="392" customWidth="1"/>
    <col min="7438" max="7438" width="13.33203125" style="392" customWidth="1"/>
    <col min="7439" max="7439" width="11.33203125" style="392" customWidth="1"/>
    <col min="7440" max="7440" width="3.5" style="392" customWidth="1"/>
    <col min="7441" max="7680" width="10.83203125" style="392"/>
    <col min="7681" max="7681" width="42.6640625" style="392" customWidth="1"/>
    <col min="7682" max="7683" width="10.5" style="392" customWidth="1"/>
    <col min="7684" max="7684" width="2.6640625" style="392" customWidth="1"/>
    <col min="7685" max="7685" width="12.6640625" style="392" customWidth="1"/>
    <col min="7686" max="7686" width="12.33203125" style="392" customWidth="1"/>
    <col min="7687" max="7687" width="2.6640625" style="392" customWidth="1"/>
    <col min="7688" max="7688" width="12.1640625" style="392" customWidth="1"/>
    <col min="7689" max="7689" width="13.5" style="392" customWidth="1"/>
    <col min="7690" max="7690" width="2.6640625" style="392" customWidth="1"/>
    <col min="7691" max="7691" width="13.33203125" style="392" customWidth="1"/>
    <col min="7692" max="7692" width="11.33203125" style="392" customWidth="1"/>
    <col min="7693" max="7693" width="2.83203125" style="392" customWidth="1"/>
    <col min="7694" max="7694" width="13.33203125" style="392" customWidth="1"/>
    <col min="7695" max="7695" width="11.33203125" style="392" customWidth="1"/>
    <col min="7696" max="7696" width="3.5" style="392" customWidth="1"/>
    <col min="7697" max="7936" width="10.83203125" style="392"/>
    <col min="7937" max="7937" width="42.6640625" style="392" customWidth="1"/>
    <col min="7938" max="7939" width="10.5" style="392" customWidth="1"/>
    <col min="7940" max="7940" width="2.6640625" style="392" customWidth="1"/>
    <col min="7941" max="7941" width="12.6640625" style="392" customWidth="1"/>
    <col min="7942" max="7942" width="12.33203125" style="392" customWidth="1"/>
    <col min="7943" max="7943" width="2.6640625" style="392" customWidth="1"/>
    <col min="7944" max="7944" width="12.1640625" style="392" customWidth="1"/>
    <col min="7945" max="7945" width="13.5" style="392" customWidth="1"/>
    <col min="7946" max="7946" width="2.6640625" style="392" customWidth="1"/>
    <col min="7947" max="7947" width="13.33203125" style="392" customWidth="1"/>
    <col min="7948" max="7948" width="11.33203125" style="392" customWidth="1"/>
    <col min="7949" max="7949" width="2.83203125" style="392" customWidth="1"/>
    <col min="7950" max="7950" width="13.33203125" style="392" customWidth="1"/>
    <col min="7951" max="7951" width="11.33203125" style="392" customWidth="1"/>
    <col min="7952" max="7952" width="3.5" style="392" customWidth="1"/>
    <col min="7953" max="8192" width="10.83203125" style="392"/>
    <col min="8193" max="8193" width="42.6640625" style="392" customWidth="1"/>
    <col min="8194" max="8195" width="10.5" style="392" customWidth="1"/>
    <col min="8196" max="8196" width="2.6640625" style="392" customWidth="1"/>
    <col min="8197" max="8197" width="12.6640625" style="392" customWidth="1"/>
    <col min="8198" max="8198" width="12.33203125" style="392" customWidth="1"/>
    <col min="8199" max="8199" width="2.6640625" style="392" customWidth="1"/>
    <col min="8200" max="8200" width="12.1640625" style="392" customWidth="1"/>
    <col min="8201" max="8201" width="13.5" style="392" customWidth="1"/>
    <col min="8202" max="8202" width="2.6640625" style="392" customWidth="1"/>
    <col min="8203" max="8203" width="13.33203125" style="392" customWidth="1"/>
    <col min="8204" max="8204" width="11.33203125" style="392" customWidth="1"/>
    <col min="8205" max="8205" width="2.83203125" style="392" customWidth="1"/>
    <col min="8206" max="8206" width="13.33203125" style="392" customWidth="1"/>
    <col min="8207" max="8207" width="11.33203125" style="392" customWidth="1"/>
    <col min="8208" max="8208" width="3.5" style="392" customWidth="1"/>
    <col min="8209" max="8448" width="10.83203125" style="392"/>
    <col min="8449" max="8449" width="42.6640625" style="392" customWidth="1"/>
    <col min="8450" max="8451" width="10.5" style="392" customWidth="1"/>
    <col min="8452" max="8452" width="2.6640625" style="392" customWidth="1"/>
    <col min="8453" max="8453" width="12.6640625" style="392" customWidth="1"/>
    <col min="8454" max="8454" width="12.33203125" style="392" customWidth="1"/>
    <col min="8455" max="8455" width="2.6640625" style="392" customWidth="1"/>
    <col min="8456" max="8456" width="12.1640625" style="392" customWidth="1"/>
    <col min="8457" max="8457" width="13.5" style="392" customWidth="1"/>
    <col min="8458" max="8458" width="2.6640625" style="392" customWidth="1"/>
    <col min="8459" max="8459" width="13.33203125" style="392" customWidth="1"/>
    <col min="8460" max="8460" width="11.33203125" style="392" customWidth="1"/>
    <col min="8461" max="8461" width="2.83203125" style="392" customWidth="1"/>
    <col min="8462" max="8462" width="13.33203125" style="392" customWidth="1"/>
    <col min="8463" max="8463" width="11.33203125" style="392" customWidth="1"/>
    <col min="8464" max="8464" width="3.5" style="392" customWidth="1"/>
    <col min="8465" max="8704" width="10.83203125" style="392"/>
    <col min="8705" max="8705" width="42.6640625" style="392" customWidth="1"/>
    <col min="8706" max="8707" width="10.5" style="392" customWidth="1"/>
    <col min="8708" max="8708" width="2.6640625" style="392" customWidth="1"/>
    <col min="8709" max="8709" width="12.6640625" style="392" customWidth="1"/>
    <col min="8710" max="8710" width="12.33203125" style="392" customWidth="1"/>
    <col min="8711" max="8711" width="2.6640625" style="392" customWidth="1"/>
    <col min="8712" max="8712" width="12.1640625" style="392" customWidth="1"/>
    <col min="8713" max="8713" width="13.5" style="392" customWidth="1"/>
    <col min="8714" max="8714" width="2.6640625" style="392" customWidth="1"/>
    <col min="8715" max="8715" width="13.33203125" style="392" customWidth="1"/>
    <col min="8716" max="8716" width="11.33203125" style="392" customWidth="1"/>
    <col min="8717" max="8717" width="2.83203125" style="392" customWidth="1"/>
    <col min="8718" max="8718" width="13.33203125" style="392" customWidth="1"/>
    <col min="8719" max="8719" width="11.33203125" style="392" customWidth="1"/>
    <col min="8720" max="8720" width="3.5" style="392" customWidth="1"/>
    <col min="8721" max="8960" width="10.83203125" style="392"/>
    <col min="8961" max="8961" width="42.6640625" style="392" customWidth="1"/>
    <col min="8962" max="8963" width="10.5" style="392" customWidth="1"/>
    <col min="8964" max="8964" width="2.6640625" style="392" customWidth="1"/>
    <col min="8965" max="8965" width="12.6640625" style="392" customWidth="1"/>
    <col min="8966" max="8966" width="12.33203125" style="392" customWidth="1"/>
    <col min="8967" max="8967" width="2.6640625" style="392" customWidth="1"/>
    <col min="8968" max="8968" width="12.1640625" style="392" customWidth="1"/>
    <col min="8969" max="8969" width="13.5" style="392" customWidth="1"/>
    <col min="8970" max="8970" width="2.6640625" style="392" customWidth="1"/>
    <col min="8971" max="8971" width="13.33203125" style="392" customWidth="1"/>
    <col min="8972" max="8972" width="11.33203125" style="392" customWidth="1"/>
    <col min="8973" max="8973" width="2.83203125" style="392" customWidth="1"/>
    <col min="8974" max="8974" width="13.33203125" style="392" customWidth="1"/>
    <col min="8975" max="8975" width="11.33203125" style="392" customWidth="1"/>
    <col min="8976" max="8976" width="3.5" style="392" customWidth="1"/>
    <col min="8977" max="9216" width="10.83203125" style="392"/>
    <col min="9217" max="9217" width="42.6640625" style="392" customWidth="1"/>
    <col min="9218" max="9219" width="10.5" style="392" customWidth="1"/>
    <col min="9220" max="9220" width="2.6640625" style="392" customWidth="1"/>
    <col min="9221" max="9221" width="12.6640625" style="392" customWidth="1"/>
    <col min="9222" max="9222" width="12.33203125" style="392" customWidth="1"/>
    <col min="9223" max="9223" width="2.6640625" style="392" customWidth="1"/>
    <col min="9224" max="9224" width="12.1640625" style="392" customWidth="1"/>
    <col min="9225" max="9225" width="13.5" style="392" customWidth="1"/>
    <col min="9226" max="9226" width="2.6640625" style="392" customWidth="1"/>
    <col min="9227" max="9227" width="13.33203125" style="392" customWidth="1"/>
    <col min="9228" max="9228" width="11.33203125" style="392" customWidth="1"/>
    <col min="9229" max="9229" width="2.83203125" style="392" customWidth="1"/>
    <col min="9230" max="9230" width="13.33203125" style="392" customWidth="1"/>
    <col min="9231" max="9231" width="11.33203125" style="392" customWidth="1"/>
    <col min="9232" max="9232" width="3.5" style="392" customWidth="1"/>
    <col min="9233" max="9472" width="10.83203125" style="392"/>
    <col min="9473" max="9473" width="42.6640625" style="392" customWidth="1"/>
    <col min="9474" max="9475" width="10.5" style="392" customWidth="1"/>
    <col min="9476" max="9476" width="2.6640625" style="392" customWidth="1"/>
    <col min="9477" max="9477" width="12.6640625" style="392" customWidth="1"/>
    <col min="9478" max="9478" width="12.33203125" style="392" customWidth="1"/>
    <col min="9479" max="9479" width="2.6640625" style="392" customWidth="1"/>
    <col min="9480" max="9480" width="12.1640625" style="392" customWidth="1"/>
    <col min="9481" max="9481" width="13.5" style="392" customWidth="1"/>
    <col min="9482" max="9482" width="2.6640625" style="392" customWidth="1"/>
    <col min="9483" max="9483" width="13.33203125" style="392" customWidth="1"/>
    <col min="9484" max="9484" width="11.33203125" style="392" customWidth="1"/>
    <col min="9485" max="9485" width="2.83203125" style="392" customWidth="1"/>
    <col min="9486" max="9486" width="13.33203125" style="392" customWidth="1"/>
    <col min="9487" max="9487" width="11.33203125" style="392" customWidth="1"/>
    <col min="9488" max="9488" width="3.5" style="392" customWidth="1"/>
    <col min="9489" max="9728" width="10.83203125" style="392"/>
    <col min="9729" max="9729" width="42.6640625" style="392" customWidth="1"/>
    <col min="9730" max="9731" width="10.5" style="392" customWidth="1"/>
    <col min="9732" max="9732" width="2.6640625" style="392" customWidth="1"/>
    <col min="9733" max="9733" width="12.6640625" style="392" customWidth="1"/>
    <col min="9734" max="9734" width="12.33203125" style="392" customWidth="1"/>
    <col min="9735" max="9735" width="2.6640625" style="392" customWidth="1"/>
    <col min="9736" max="9736" width="12.1640625" style="392" customWidth="1"/>
    <col min="9737" max="9737" width="13.5" style="392" customWidth="1"/>
    <col min="9738" max="9738" width="2.6640625" style="392" customWidth="1"/>
    <col min="9739" max="9739" width="13.33203125" style="392" customWidth="1"/>
    <col min="9740" max="9740" width="11.33203125" style="392" customWidth="1"/>
    <col min="9741" max="9741" width="2.83203125" style="392" customWidth="1"/>
    <col min="9742" max="9742" width="13.33203125" style="392" customWidth="1"/>
    <col min="9743" max="9743" width="11.33203125" style="392" customWidth="1"/>
    <col min="9744" max="9744" width="3.5" style="392" customWidth="1"/>
    <col min="9745" max="9984" width="10.83203125" style="392"/>
    <col min="9985" max="9985" width="42.6640625" style="392" customWidth="1"/>
    <col min="9986" max="9987" width="10.5" style="392" customWidth="1"/>
    <col min="9988" max="9988" width="2.6640625" style="392" customWidth="1"/>
    <col min="9989" max="9989" width="12.6640625" style="392" customWidth="1"/>
    <col min="9990" max="9990" width="12.33203125" style="392" customWidth="1"/>
    <col min="9991" max="9991" width="2.6640625" style="392" customWidth="1"/>
    <col min="9992" max="9992" width="12.1640625" style="392" customWidth="1"/>
    <col min="9993" max="9993" width="13.5" style="392" customWidth="1"/>
    <col min="9994" max="9994" width="2.6640625" style="392" customWidth="1"/>
    <col min="9995" max="9995" width="13.33203125" style="392" customWidth="1"/>
    <col min="9996" max="9996" width="11.33203125" style="392" customWidth="1"/>
    <col min="9997" max="9997" width="2.83203125" style="392" customWidth="1"/>
    <col min="9998" max="9998" width="13.33203125" style="392" customWidth="1"/>
    <col min="9999" max="9999" width="11.33203125" style="392" customWidth="1"/>
    <col min="10000" max="10000" width="3.5" style="392" customWidth="1"/>
    <col min="10001" max="10240" width="10.83203125" style="392"/>
    <col min="10241" max="10241" width="42.6640625" style="392" customWidth="1"/>
    <col min="10242" max="10243" width="10.5" style="392" customWidth="1"/>
    <col min="10244" max="10244" width="2.6640625" style="392" customWidth="1"/>
    <col min="10245" max="10245" width="12.6640625" style="392" customWidth="1"/>
    <col min="10246" max="10246" width="12.33203125" style="392" customWidth="1"/>
    <col min="10247" max="10247" width="2.6640625" style="392" customWidth="1"/>
    <col min="10248" max="10248" width="12.1640625" style="392" customWidth="1"/>
    <col min="10249" max="10249" width="13.5" style="392" customWidth="1"/>
    <col min="10250" max="10250" width="2.6640625" style="392" customWidth="1"/>
    <col min="10251" max="10251" width="13.33203125" style="392" customWidth="1"/>
    <col min="10252" max="10252" width="11.33203125" style="392" customWidth="1"/>
    <col min="10253" max="10253" width="2.83203125" style="392" customWidth="1"/>
    <col min="10254" max="10254" width="13.33203125" style="392" customWidth="1"/>
    <col min="10255" max="10255" width="11.33203125" style="392" customWidth="1"/>
    <col min="10256" max="10256" width="3.5" style="392" customWidth="1"/>
    <col min="10257" max="10496" width="10.83203125" style="392"/>
    <col min="10497" max="10497" width="42.6640625" style="392" customWidth="1"/>
    <col min="10498" max="10499" width="10.5" style="392" customWidth="1"/>
    <col min="10500" max="10500" width="2.6640625" style="392" customWidth="1"/>
    <col min="10501" max="10501" width="12.6640625" style="392" customWidth="1"/>
    <col min="10502" max="10502" width="12.33203125" style="392" customWidth="1"/>
    <col min="10503" max="10503" width="2.6640625" style="392" customWidth="1"/>
    <col min="10504" max="10504" width="12.1640625" style="392" customWidth="1"/>
    <col min="10505" max="10505" width="13.5" style="392" customWidth="1"/>
    <col min="10506" max="10506" width="2.6640625" style="392" customWidth="1"/>
    <col min="10507" max="10507" width="13.33203125" style="392" customWidth="1"/>
    <col min="10508" max="10508" width="11.33203125" style="392" customWidth="1"/>
    <col min="10509" max="10509" width="2.83203125" style="392" customWidth="1"/>
    <col min="10510" max="10510" width="13.33203125" style="392" customWidth="1"/>
    <col min="10511" max="10511" width="11.33203125" style="392" customWidth="1"/>
    <col min="10512" max="10512" width="3.5" style="392" customWidth="1"/>
    <col min="10513" max="10752" width="10.83203125" style="392"/>
    <col min="10753" max="10753" width="42.6640625" style="392" customWidth="1"/>
    <col min="10754" max="10755" width="10.5" style="392" customWidth="1"/>
    <col min="10756" max="10756" width="2.6640625" style="392" customWidth="1"/>
    <col min="10757" max="10757" width="12.6640625" style="392" customWidth="1"/>
    <col min="10758" max="10758" width="12.33203125" style="392" customWidth="1"/>
    <col min="10759" max="10759" width="2.6640625" style="392" customWidth="1"/>
    <col min="10760" max="10760" width="12.1640625" style="392" customWidth="1"/>
    <col min="10761" max="10761" width="13.5" style="392" customWidth="1"/>
    <col min="10762" max="10762" width="2.6640625" style="392" customWidth="1"/>
    <col min="10763" max="10763" width="13.33203125" style="392" customWidth="1"/>
    <col min="10764" max="10764" width="11.33203125" style="392" customWidth="1"/>
    <col min="10765" max="10765" width="2.83203125" style="392" customWidth="1"/>
    <col min="10766" max="10766" width="13.33203125" style="392" customWidth="1"/>
    <col min="10767" max="10767" width="11.33203125" style="392" customWidth="1"/>
    <col min="10768" max="10768" width="3.5" style="392" customWidth="1"/>
    <col min="10769" max="11008" width="10.83203125" style="392"/>
    <col min="11009" max="11009" width="42.6640625" style="392" customWidth="1"/>
    <col min="11010" max="11011" width="10.5" style="392" customWidth="1"/>
    <col min="11012" max="11012" width="2.6640625" style="392" customWidth="1"/>
    <col min="11013" max="11013" width="12.6640625" style="392" customWidth="1"/>
    <col min="11014" max="11014" width="12.33203125" style="392" customWidth="1"/>
    <col min="11015" max="11015" width="2.6640625" style="392" customWidth="1"/>
    <col min="11016" max="11016" width="12.1640625" style="392" customWidth="1"/>
    <col min="11017" max="11017" width="13.5" style="392" customWidth="1"/>
    <col min="11018" max="11018" width="2.6640625" style="392" customWidth="1"/>
    <col min="11019" max="11019" width="13.33203125" style="392" customWidth="1"/>
    <col min="11020" max="11020" width="11.33203125" style="392" customWidth="1"/>
    <col min="11021" max="11021" width="2.83203125" style="392" customWidth="1"/>
    <col min="11022" max="11022" width="13.33203125" style="392" customWidth="1"/>
    <col min="11023" max="11023" width="11.33203125" style="392" customWidth="1"/>
    <col min="11024" max="11024" width="3.5" style="392" customWidth="1"/>
    <col min="11025" max="11264" width="10.83203125" style="392"/>
    <col min="11265" max="11265" width="42.6640625" style="392" customWidth="1"/>
    <col min="11266" max="11267" width="10.5" style="392" customWidth="1"/>
    <col min="11268" max="11268" width="2.6640625" style="392" customWidth="1"/>
    <col min="11269" max="11269" width="12.6640625" style="392" customWidth="1"/>
    <col min="11270" max="11270" width="12.33203125" style="392" customWidth="1"/>
    <col min="11271" max="11271" width="2.6640625" style="392" customWidth="1"/>
    <col min="11272" max="11272" width="12.1640625" style="392" customWidth="1"/>
    <col min="11273" max="11273" width="13.5" style="392" customWidth="1"/>
    <col min="11274" max="11274" width="2.6640625" style="392" customWidth="1"/>
    <col min="11275" max="11275" width="13.33203125" style="392" customWidth="1"/>
    <col min="11276" max="11276" width="11.33203125" style="392" customWidth="1"/>
    <col min="11277" max="11277" width="2.83203125" style="392" customWidth="1"/>
    <col min="11278" max="11278" width="13.33203125" style="392" customWidth="1"/>
    <col min="11279" max="11279" width="11.33203125" style="392" customWidth="1"/>
    <col min="11280" max="11280" width="3.5" style="392" customWidth="1"/>
    <col min="11281" max="11520" width="10.83203125" style="392"/>
    <col min="11521" max="11521" width="42.6640625" style="392" customWidth="1"/>
    <col min="11522" max="11523" width="10.5" style="392" customWidth="1"/>
    <col min="11524" max="11524" width="2.6640625" style="392" customWidth="1"/>
    <col min="11525" max="11525" width="12.6640625" style="392" customWidth="1"/>
    <col min="11526" max="11526" width="12.33203125" style="392" customWidth="1"/>
    <col min="11527" max="11527" width="2.6640625" style="392" customWidth="1"/>
    <col min="11528" max="11528" width="12.1640625" style="392" customWidth="1"/>
    <col min="11529" max="11529" width="13.5" style="392" customWidth="1"/>
    <col min="11530" max="11530" width="2.6640625" style="392" customWidth="1"/>
    <col min="11531" max="11531" width="13.33203125" style="392" customWidth="1"/>
    <col min="11532" max="11532" width="11.33203125" style="392" customWidth="1"/>
    <col min="11533" max="11533" width="2.83203125" style="392" customWidth="1"/>
    <col min="11534" max="11534" width="13.33203125" style="392" customWidth="1"/>
    <col min="11535" max="11535" width="11.33203125" style="392" customWidth="1"/>
    <col min="11536" max="11536" width="3.5" style="392" customWidth="1"/>
    <col min="11537" max="11776" width="10.83203125" style="392"/>
    <col min="11777" max="11777" width="42.6640625" style="392" customWidth="1"/>
    <col min="11778" max="11779" width="10.5" style="392" customWidth="1"/>
    <col min="11780" max="11780" width="2.6640625" style="392" customWidth="1"/>
    <col min="11781" max="11781" width="12.6640625" style="392" customWidth="1"/>
    <col min="11782" max="11782" width="12.33203125" style="392" customWidth="1"/>
    <col min="11783" max="11783" width="2.6640625" style="392" customWidth="1"/>
    <col min="11784" max="11784" width="12.1640625" style="392" customWidth="1"/>
    <col min="11785" max="11785" width="13.5" style="392" customWidth="1"/>
    <col min="11786" max="11786" width="2.6640625" style="392" customWidth="1"/>
    <col min="11787" max="11787" width="13.33203125" style="392" customWidth="1"/>
    <col min="11788" max="11788" width="11.33203125" style="392" customWidth="1"/>
    <col min="11789" max="11789" width="2.83203125" style="392" customWidth="1"/>
    <col min="11790" max="11790" width="13.33203125" style="392" customWidth="1"/>
    <col min="11791" max="11791" width="11.33203125" style="392" customWidth="1"/>
    <col min="11792" max="11792" width="3.5" style="392" customWidth="1"/>
    <col min="11793" max="12032" width="10.83203125" style="392"/>
    <col min="12033" max="12033" width="42.6640625" style="392" customWidth="1"/>
    <col min="12034" max="12035" width="10.5" style="392" customWidth="1"/>
    <col min="12036" max="12036" width="2.6640625" style="392" customWidth="1"/>
    <col min="12037" max="12037" width="12.6640625" style="392" customWidth="1"/>
    <col min="12038" max="12038" width="12.33203125" style="392" customWidth="1"/>
    <col min="12039" max="12039" width="2.6640625" style="392" customWidth="1"/>
    <col min="12040" max="12040" width="12.1640625" style="392" customWidth="1"/>
    <col min="12041" max="12041" width="13.5" style="392" customWidth="1"/>
    <col min="12042" max="12042" width="2.6640625" style="392" customWidth="1"/>
    <col min="12043" max="12043" width="13.33203125" style="392" customWidth="1"/>
    <col min="12044" max="12044" width="11.33203125" style="392" customWidth="1"/>
    <col min="12045" max="12045" width="2.83203125" style="392" customWidth="1"/>
    <col min="12046" max="12046" width="13.33203125" style="392" customWidth="1"/>
    <col min="12047" max="12047" width="11.33203125" style="392" customWidth="1"/>
    <col min="12048" max="12048" width="3.5" style="392" customWidth="1"/>
    <col min="12049" max="12288" width="10.83203125" style="392"/>
    <col min="12289" max="12289" width="42.6640625" style="392" customWidth="1"/>
    <col min="12290" max="12291" width="10.5" style="392" customWidth="1"/>
    <col min="12292" max="12292" width="2.6640625" style="392" customWidth="1"/>
    <col min="12293" max="12293" width="12.6640625" style="392" customWidth="1"/>
    <col min="12294" max="12294" width="12.33203125" style="392" customWidth="1"/>
    <col min="12295" max="12295" width="2.6640625" style="392" customWidth="1"/>
    <col min="12296" max="12296" width="12.1640625" style="392" customWidth="1"/>
    <col min="12297" max="12297" width="13.5" style="392" customWidth="1"/>
    <col min="12298" max="12298" width="2.6640625" style="392" customWidth="1"/>
    <col min="12299" max="12299" width="13.33203125" style="392" customWidth="1"/>
    <col min="12300" max="12300" width="11.33203125" style="392" customWidth="1"/>
    <col min="12301" max="12301" width="2.83203125" style="392" customWidth="1"/>
    <col min="12302" max="12302" width="13.33203125" style="392" customWidth="1"/>
    <col min="12303" max="12303" width="11.33203125" style="392" customWidth="1"/>
    <col min="12304" max="12304" width="3.5" style="392" customWidth="1"/>
    <col min="12305" max="12544" width="10.83203125" style="392"/>
    <col min="12545" max="12545" width="42.6640625" style="392" customWidth="1"/>
    <col min="12546" max="12547" width="10.5" style="392" customWidth="1"/>
    <col min="12548" max="12548" width="2.6640625" style="392" customWidth="1"/>
    <col min="12549" max="12549" width="12.6640625" style="392" customWidth="1"/>
    <col min="12550" max="12550" width="12.33203125" style="392" customWidth="1"/>
    <col min="12551" max="12551" width="2.6640625" style="392" customWidth="1"/>
    <col min="12552" max="12552" width="12.1640625" style="392" customWidth="1"/>
    <col min="12553" max="12553" width="13.5" style="392" customWidth="1"/>
    <col min="12554" max="12554" width="2.6640625" style="392" customWidth="1"/>
    <col min="12555" max="12555" width="13.33203125" style="392" customWidth="1"/>
    <col min="12556" max="12556" width="11.33203125" style="392" customWidth="1"/>
    <col min="12557" max="12557" width="2.83203125" style="392" customWidth="1"/>
    <col min="12558" max="12558" width="13.33203125" style="392" customWidth="1"/>
    <col min="12559" max="12559" width="11.33203125" style="392" customWidth="1"/>
    <col min="12560" max="12560" width="3.5" style="392" customWidth="1"/>
    <col min="12561" max="12800" width="10.83203125" style="392"/>
    <col min="12801" max="12801" width="42.6640625" style="392" customWidth="1"/>
    <col min="12802" max="12803" width="10.5" style="392" customWidth="1"/>
    <col min="12804" max="12804" width="2.6640625" style="392" customWidth="1"/>
    <col min="12805" max="12805" width="12.6640625" style="392" customWidth="1"/>
    <col min="12806" max="12806" width="12.33203125" style="392" customWidth="1"/>
    <col min="12807" max="12807" width="2.6640625" style="392" customWidth="1"/>
    <col min="12808" max="12808" width="12.1640625" style="392" customWidth="1"/>
    <col min="12809" max="12809" width="13.5" style="392" customWidth="1"/>
    <col min="12810" max="12810" width="2.6640625" style="392" customWidth="1"/>
    <col min="12811" max="12811" width="13.33203125" style="392" customWidth="1"/>
    <col min="12812" max="12812" width="11.33203125" style="392" customWidth="1"/>
    <col min="12813" max="12813" width="2.83203125" style="392" customWidth="1"/>
    <col min="12814" max="12814" width="13.33203125" style="392" customWidth="1"/>
    <col min="12815" max="12815" width="11.33203125" style="392" customWidth="1"/>
    <col min="12816" max="12816" width="3.5" style="392" customWidth="1"/>
    <col min="12817" max="13056" width="10.83203125" style="392"/>
    <col min="13057" max="13057" width="42.6640625" style="392" customWidth="1"/>
    <col min="13058" max="13059" width="10.5" style="392" customWidth="1"/>
    <col min="13060" max="13060" width="2.6640625" style="392" customWidth="1"/>
    <col min="13061" max="13061" width="12.6640625" style="392" customWidth="1"/>
    <col min="13062" max="13062" width="12.33203125" style="392" customWidth="1"/>
    <col min="13063" max="13063" width="2.6640625" style="392" customWidth="1"/>
    <col min="13064" max="13064" width="12.1640625" style="392" customWidth="1"/>
    <col min="13065" max="13065" width="13.5" style="392" customWidth="1"/>
    <col min="13066" max="13066" width="2.6640625" style="392" customWidth="1"/>
    <col min="13067" max="13067" width="13.33203125" style="392" customWidth="1"/>
    <col min="13068" max="13068" width="11.33203125" style="392" customWidth="1"/>
    <col min="13069" max="13069" width="2.83203125" style="392" customWidth="1"/>
    <col min="13070" max="13070" width="13.33203125" style="392" customWidth="1"/>
    <col min="13071" max="13071" width="11.33203125" style="392" customWidth="1"/>
    <col min="13072" max="13072" width="3.5" style="392" customWidth="1"/>
    <col min="13073" max="13312" width="10.83203125" style="392"/>
    <col min="13313" max="13313" width="42.6640625" style="392" customWidth="1"/>
    <col min="13314" max="13315" width="10.5" style="392" customWidth="1"/>
    <col min="13316" max="13316" width="2.6640625" style="392" customWidth="1"/>
    <col min="13317" max="13317" width="12.6640625" style="392" customWidth="1"/>
    <col min="13318" max="13318" width="12.33203125" style="392" customWidth="1"/>
    <col min="13319" max="13319" width="2.6640625" style="392" customWidth="1"/>
    <col min="13320" max="13320" width="12.1640625" style="392" customWidth="1"/>
    <col min="13321" max="13321" width="13.5" style="392" customWidth="1"/>
    <col min="13322" max="13322" width="2.6640625" style="392" customWidth="1"/>
    <col min="13323" max="13323" width="13.33203125" style="392" customWidth="1"/>
    <col min="13324" max="13324" width="11.33203125" style="392" customWidth="1"/>
    <col min="13325" max="13325" width="2.83203125" style="392" customWidth="1"/>
    <col min="13326" max="13326" width="13.33203125" style="392" customWidth="1"/>
    <col min="13327" max="13327" width="11.33203125" style="392" customWidth="1"/>
    <col min="13328" max="13328" width="3.5" style="392" customWidth="1"/>
    <col min="13329" max="13568" width="10.83203125" style="392"/>
    <col min="13569" max="13569" width="42.6640625" style="392" customWidth="1"/>
    <col min="13570" max="13571" width="10.5" style="392" customWidth="1"/>
    <col min="13572" max="13572" width="2.6640625" style="392" customWidth="1"/>
    <col min="13573" max="13573" width="12.6640625" style="392" customWidth="1"/>
    <col min="13574" max="13574" width="12.33203125" style="392" customWidth="1"/>
    <col min="13575" max="13575" width="2.6640625" style="392" customWidth="1"/>
    <col min="13576" max="13576" width="12.1640625" style="392" customWidth="1"/>
    <col min="13577" max="13577" width="13.5" style="392" customWidth="1"/>
    <col min="13578" max="13578" width="2.6640625" style="392" customWidth="1"/>
    <col min="13579" max="13579" width="13.33203125" style="392" customWidth="1"/>
    <col min="13580" max="13580" width="11.33203125" style="392" customWidth="1"/>
    <col min="13581" max="13581" width="2.83203125" style="392" customWidth="1"/>
    <col min="13582" max="13582" width="13.33203125" style="392" customWidth="1"/>
    <col min="13583" max="13583" width="11.33203125" style="392" customWidth="1"/>
    <col min="13584" max="13584" width="3.5" style="392" customWidth="1"/>
    <col min="13585" max="13824" width="10.83203125" style="392"/>
    <col min="13825" max="13825" width="42.6640625" style="392" customWidth="1"/>
    <col min="13826" max="13827" width="10.5" style="392" customWidth="1"/>
    <col min="13828" max="13828" width="2.6640625" style="392" customWidth="1"/>
    <col min="13829" max="13829" width="12.6640625" style="392" customWidth="1"/>
    <col min="13830" max="13830" width="12.33203125" style="392" customWidth="1"/>
    <col min="13831" max="13831" width="2.6640625" style="392" customWidth="1"/>
    <col min="13832" max="13832" width="12.1640625" style="392" customWidth="1"/>
    <col min="13833" max="13833" width="13.5" style="392" customWidth="1"/>
    <col min="13834" max="13834" width="2.6640625" style="392" customWidth="1"/>
    <col min="13835" max="13835" width="13.33203125" style="392" customWidth="1"/>
    <col min="13836" max="13836" width="11.33203125" style="392" customWidth="1"/>
    <col min="13837" max="13837" width="2.83203125" style="392" customWidth="1"/>
    <col min="13838" max="13838" width="13.33203125" style="392" customWidth="1"/>
    <col min="13839" max="13839" width="11.33203125" style="392" customWidth="1"/>
    <col min="13840" max="13840" width="3.5" style="392" customWidth="1"/>
    <col min="13841" max="14080" width="10.83203125" style="392"/>
    <col min="14081" max="14081" width="42.6640625" style="392" customWidth="1"/>
    <col min="14082" max="14083" width="10.5" style="392" customWidth="1"/>
    <col min="14084" max="14084" width="2.6640625" style="392" customWidth="1"/>
    <col min="14085" max="14085" width="12.6640625" style="392" customWidth="1"/>
    <col min="14086" max="14086" width="12.33203125" style="392" customWidth="1"/>
    <col min="14087" max="14087" width="2.6640625" style="392" customWidth="1"/>
    <col min="14088" max="14088" width="12.1640625" style="392" customWidth="1"/>
    <col min="14089" max="14089" width="13.5" style="392" customWidth="1"/>
    <col min="14090" max="14090" width="2.6640625" style="392" customWidth="1"/>
    <col min="14091" max="14091" width="13.33203125" style="392" customWidth="1"/>
    <col min="14092" max="14092" width="11.33203125" style="392" customWidth="1"/>
    <col min="14093" max="14093" width="2.83203125" style="392" customWidth="1"/>
    <col min="14094" max="14094" width="13.33203125" style="392" customWidth="1"/>
    <col min="14095" max="14095" width="11.33203125" style="392" customWidth="1"/>
    <col min="14096" max="14096" width="3.5" style="392" customWidth="1"/>
    <col min="14097" max="14336" width="10.83203125" style="392"/>
    <col min="14337" max="14337" width="42.6640625" style="392" customWidth="1"/>
    <col min="14338" max="14339" width="10.5" style="392" customWidth="1"/>
    <col min="14340" max="14340" width="2.6640625" style="392" customWidth="1"/>
    <col min="14341" max="14341" width="12.6640625" style="392" customWidth="1"/>
    <col min="14342" max="14342" width="12.33203125" style="392" customWidth="1"/>
    <col min="14343" max="14343" width="2.6640625" style="392" customWidth="1"/>
    <col min="14344" max="14344" width="12.1640625" style="392" customWidth="1"/>
    <col min="14345" max="14345" width="13.5" style="392" customWidth="1"/>
    <col min="14346" max="14346" width="2.6640625" style="392" customWidth="1"/>
    <col min="14347" max="14347" width="13.33203125" style="392" customWidth="1"/>
    <col min="14348" max="14348" width="11.33203125" style="392" customWidth="1"/>
    <col min="14349" max="14349" width="2.83203125" style="392" customWidth="1"/>
    <col min="14350" max="14350" width="13.33203125" style="392" customWidth="1"/>
    <col min="14351" max="14351" width="11.33203125" style="392" customWidth="1"/>
    <col min="14352" max="14352" width="3.5" style="392" customWidth="1"/>
    <col min="14353" max="14592" width="10.83203125" style="392"/>
    <col min="14593" max="14593" width="42.6640625" style="392" customWidth="1"/>
    <col min="14594" max="14595" width="10.5" style="392" customWidth="1"/>
    <col min="14596" max="14596" width="2.6640625" style="392" customWidth="1"/>
    <col min="14597" max="14597" width="12.6640625" style="392" customWidth="1"/>
    <col min="14598" max="14598" width="12.33203125" style="392" customWidth="1"/>
    <col min="14599" max="14599" width="2.6640625" style="392" customWidth="1"/>
    <col min="14600" max="14600" width="12.1640625" style="392" customWidth="1"/>
    <col min="14601" max="14601" width="13.5" style="392" customWidth="1"/>
    <col min="14602" max="14602" width="2.6640625" style="392" customWidth="1"/>
    <col min="14603" max="14603" width="13.33203125" style="392" customWidth="1"/>
    <col min="14604" max="14604" width="11.33203125" style="392" customWidth="1"/>
    <col min="14605" max="14605" width="2.83203125" style="392" customWidth="1"/>
    <col min="14606" max="14606" width="13.33203125" style="392" customWidth="1"/>
    <col min="14607" max="14607" width="11.33203125" style="392" customWidth="1"/>
    <col min="14608" max="14608" width="3.5" style="392" customWidth="1"/>
    <col min="14609" max="14848" width="10.83203125" style="392"/>
    <col min="14849" max="14849" width="42.6640625" style="392" customWidth="1"/>
    <col min="14850" max="14851" width="10.5" style="392" customWidth="1"/>
    <col min="14852" max="14852" width="2.6640625" style="392" customWidth="1"/>
    <col min="14853" max="14853" width="12.6640625" style="392" customWidth="1"/>
    <col min="14854" max="14854" width="12.33203125" style="392" customWidth="1"/>
    <col min="14855" max="14855" width="2.6640625" style="392" customWidth="1"/>
    <col min="14856" max="14856" width="12.1640625" style="392" customWidth="1"/>
    <col min="14857" max="14857" width="13.5" style="392" customWidth="1"/>
    <col min="14858" max="14858" width="2.6640625" style="392" customWidth="1"/>
    <col min="14859" max="14859" width="13.33203125" style="392" customWidth="1"/>
    <col min="14860" max="14860" width="11.33203125" style="392" customWidth="1"/>
    <col min="14861" max="14861" width="2.83203125" style="392" customWidth="1"/>
    <col min="14862" max="14862" width="13.33203125" style="392" customWidth="1"/>
    <col min="14863" max="14863" width="11.33203125" style="392" customWidth="1"/>
    <col min="14864" max="14864" width="3.5" style="392" customWidth="1"/>
    <col min="14865" max="15104" width="10.83203125" style="392"/>
    <col min="15105" max="15105" width="42.6640625" style="392" customWidth="1"/>
    <col min="15106" max="15107" width="10.5" style="392" customWidth="1"/>
    <col min="15108" max="15108" width="2.6640625" style="392" customWidth="1"/>
    <col min="15109" max="15109" width="12.6640625" style="392" customWidth="1"/>
    <col min="15110" max="15110" width="12.33203125" style="392" customWidth="1"/>
    <col min="15111" max="15111" width="2.6640625" style="392" customWidth="1"/>
    <col min="15112" max="15112" width="12.1640625" style="392" customWidth="1"/>
    <col min="15113" max="15113" width="13.5" style="392" customWidth="1"/>
    <col min="15114" max="15114" width="2.6640625" style="392" customWidth="1"/>
    <col min="15115" max="15115" width="13.33203125" style="392" customWidth="1"/>
    <col min="15116" max="15116" width="11.33203125" style="392" customWidth="1"/>
    <col min="15117" max="15117" width="2.83203125" style="392" customWidth="1"/>
    <col min="15118" max="15118" width="13.33203125" style="392" customWidth="1"/>
    <col min="15119" max="15119" width="11.33203125" style="392" customWidth="1"/>
    <col min="15120" max="15120" width="3.5" style="392" customWidth="1"/>
    <col min="15121" max="15360" width="10.83203125" style="392"/>
    <col min="15361" max="15361" width="42.6640625" style="392" customWidth="1"/>
    <col min="15362" max="15363" width="10.5" style="392" customWidth="1"/>
    <col min="15364" max="15364" width="2.6640625" style="392" customWidth="1"/>
    <col min="15365" max="15365" width="12.6640625" style="392" customWidth="1"/>
    <col min="15366" max="15366" width="12.33203125" style="392" customWidth="1"/>
    <col min="15367" max="15367" width="2.6640625" style="392" customWidth="1"/>
    <col min="15368" max="15368" width="12.1640625" style="392" customWidth="1"/>
    <col min="15369" max="15369" width="13.5" style="392" customWidth="1"/>
    <col min="15370" max="15370" width="2.6640625" style="392" customWidth="1"/>
    <col min="15371" max="15371" width="13.33203125" style="392" customWidth="1"/>
    <col min="15372" max="15372" width="11.33203125" style="392" customWidth="1"/>
    <col min="15373" max="15373" width="2.83203125" style="392" customWidth="1"/>
    <col min="15374" max="15374" width="13.33203125" style="392" customWidth="1"/>
    <col min="15375" max="15375" width="11.33203125" style="392" customWidth="1"/>
    <col min="15376" max="15376" width="3.5" style="392" customWidth="1"/>
    <col min="15377" max="15616" width="10.83203125" style="392"/>
    <col min="15617" max="15617" width="42.6640625" style="392" customWidth="1"/>
    <col min="15618" max="15619" width="10.5" style="392" customWidth="1"/>
    <col min="15620" max="15620" width="2.6640625" style="392" customWidth="1"/>
    <col min="15621" max="15621" width="12.6640625" style="392" customWidth="1"/>
    <col min="15622" max="15622" width="12.33203125" style="392" customWidth="1"/>
    <col min="15623" max="15623" width="2.6640625" style="392" customWidth="1"/>
    <col min="15624" max="15624" width="12.1640625" style="392" customWidth="1"/>
    <col min="15625" max="15625" width="13.5" style="392" customWidth="1"/>
    <col min="15626" max="15626" width="2.6640625" style="392" customWidth="1"/>
    <col min="15627" max="15627" width="13.33203125" style="392" customWidth="1"/>
    <col min="15628" max="15628" width="11.33203125" style="392" customWidth="1"/>
    <col min="15629" max="15629" width="2.83203125" style="392" customWidth="1"/>
    <col min="15630" max="15630" width="13.33203125" style="392" customWidth="1"/>
    <col min="15631" max="15631" width="11.33203125" style="392" customWidth="1"/>
    <col min="15632" max="15632" width="3.5" style="392" customWidth="1"/>
    <col min="15633" max="15872" width="10.83203125" style="392"/>
    <col min="15873" max="15873" width="42.6640625" style="392" customWidth="1"/>
    <col min="15874" max="15875" width="10.5" style="392" customWidth="1"/>
    <col min="15876" max="15876" width="2.6640625" style="392" customWidth="1"/>
    <col min="15877" max="15877" width="12.6640625" style="392" customWidth="1"/>
    <col min="15878" max="15878" width="12.33203125" style="392" customWidth="1"/>
    <col min="15879" max="15879" width="2.6640625" style="392" customWidth="1"/>
    <col min="15880" max="15880" width="12.1640625" style="392" customWidth="1"/>
    <col min="15881" max="15881" width="13.5" style="392" customWidth="1"/>
    <col min="15882" max="15882" width="2.6640625" style="392" customWidth="1"/>
    <col min="15883" max="15883" width="13.33203125" style="392" customWidth="1"/>
    <col min="15884" max="15884" width="11.33203125" style="392" customWidth="1"/>
    <col min="15885" max="15885" width="2.83203125" style="392" customWidth="1"/>
    <col min="15886" max="15886" width="13.33203125" style="392" customWidth="1"/>
    <col min="15887" max="15887" width="11.33203125" style="392" customWidth="1"/>
    <col min="15888" max="15888" width="3.5" style="392" customWidth="1"/>
    <col min="15889" max="16128" width="10.83203125" style="392"/>
    <col min="16129" max="16129" width="42.6640625" style="392" customWidth="1"/>
    <col min="16130" max="16131" width="10.5" style="392" customWidth="1"/>
    <col min="16132" max="16132" width="2.6640625" style="392" customWidth="1"/>
    <col min="16133" max="16133" width="12.6640625" style="392" customWidth="1"/>
    <col min="16134" max="16134" width="12.33203125" style="392" customWidth="1"/>
    <col min="16135" max="16135" width="2.6640625" style="392" customWidth="1"/>
    <col min="16136" max="16136" width="12.1640625" style="392" customWidth="1"/>
    <col min="16137" max="16137" width="13.5" style="392" customWidth="1"/>
    <col min="16138" max="16138" width="2.6640625" style="392" customWidth="1"/>
    <col min="16139" max="16139" width="13.33203125" style="392" customWidth="1"/>
    <col min="16140" max="16140" width="11.33203125" style="392" customWidth="1"/>
    <col min="16141" max="16141" width="2.83203125" style="392" customWidth="1"/>
    <col min="16142" max="16142" width="13.33203125" style="392" customWidth="1"/>
    <col min="16143" max="16143" width="11.33203125" style="392" customWidth="1"/>
    <col min="16144" max="16144" width="3.5" style="392" customWidth="1"/>
    <col min="16145" max="16384" width="10.83203125" style="392"/>
  </cols>
  <sheetData>
    <row r="1" spans="1:20">
      <c r="A1" s="33" t="s">
        <v>674</v>
      </c>
      <c r="E1" s="808"/>
      <c r="G1" s="796"/>
      <c r="H1" s="808"/>
      <c r="J1" s="796"/>
      <c r="K1" s="808"/>
      <c r="N1" s="808"/>
      <c r="Q1" s="419"/>
      <c r="T1" s="419"/>
    </row>
    <row r="2" spans="1:20">
      <c r="A2" s="33" t="s">
        <v>675</v>
      </c>
      <c r="E2" s="808"/>
      <c r="G2" s="796"/>
      <c r="H2" s="808"/>
      <c r="J2" s="796"/>
      <c r="K2" s="808"/>
      <c r="N2" s="808"/>
      <c r="Q2" s="419"/>
      <c r="T2" s="419"/>
    </row>
    <row r="4" spans="1:20">
      <c r="A4" s="14" t="s">
        <v>1917</v>
      </c>
    </row>
    <row r="5" spans="1:20" ht="15" thickBot="1">
      <c r="L5" s="427"/>
      <c r="O5" s="427"/>
      <c r="P5" s="439"/>
    </row>
    <row r="6" spans="1:20">
      <c r="A6" s="810"/>
      <c r="B6" s="810"/>
      <c r="C6" s="810"/>
      <c r="D6" s="810"/>
      <c r="E6" s="811"/>
      <c r="F6" s="812"/>
      <c r="G6" s="799"/>
      <c r="H6" s="811"/>
      <c r="I6" s="812"/>
      <c r="J6" s="799"/>
      <c r="K6" s="811"/>
      <c r="L6" s="812"/>
      <c r="M6" s="799"/>
      <c r="N6" s="811"/>
      <c r="O6" s="812"/>
      <c r="P6" s="799"/>
    </row>
    <row r="7" spans="1:20">
      <c r="A7" s="490" t="s">
        <v>676</v>
      </c>
      <c r="B7" s="1037" t="s">
        <v>148</v>
      </c>
      <c r="C7" s="1037"/>
      <c r="D7" s="490"/>
      <c r="E7" s="1035" t="s">
        <v>677</v>
      </c>
      <c r="F7" s="1035"/>
      <c r="G7" s="813"/>
      <c r="H7" s="1035" t="s">
        <v>1918</v>
      </c>
      <c r="I7" s="1035"/>
      <c r="J7" s="813"/>
      <c r="K7" s="1035" t="s">
        <v>1919</v>
      </c>
      <c r="L7" s="1035"/>
      <c r="N7" s="1035" t="s">
        <v>678</v>
      </c>
      <c r="O7" s="1035"/>
    </row>
    <row r="8" spans="1:20">
      <c r="A8" s="813" t="s">
        <v>679</v>
      </c>
      <c r="B8" s="814" t="s">
        <v>152</v>
      </c>
      <c r="C8" s="814" t="s">
        <v>153</v>
      </c>
      <c r="D8" s="814"/>
      <c r="E8" s="814" t="s">
        <v>152</v>
      </c>
      <c r="F8" s="815" t="s">
        <v>153</v>
      </c>
      <c r="G8" s="814"/>
      <c r="H8" s="774" t="s">
        <v>152</v>
      </c>
      <c r="I8" s="803" t="s">
        <v>153</v>
      </c>
      <c r="J8" s="774"/>
      <c r="K8" s="774" t="s">
        <v>152</v>
      </c>
      <c r="L8" s="803" t="s">
        <v>153</v>
      </c>
      <c r="M8" s="816"/>
      <c r="N8" s="774" t="s">
        <v>152</v>
      </c>
      <c r="O8" s="803" t="s">
        <v>153</v>
      </c>
    </row>
    <row r="9" spans="1:20" ht="15" thickBot="1">
      <c r="A9" s="817"/>
      <c r="B9" s="817"/>
      <c r="C9" s="817"/>
      <c r="D9" s="817"/>
      <c r="E9" s="818"/>
      <c r="F9" s="819"/>
      <c r="G9" s="805"/>
      <c r="H9" s="818"/>
      <c r="I9" s="819"/>
      <c r="J9" s="805"/>
      <c r="K9" s="818"/>
      <c r="N9" s="818"/>
    </row>
    <row r="10" spans="1:20">
      <c r="E10" s="820"/>
      <c r="G10" s="486"/>
      <c r="H10" s="820"/>
      <c r="J10" s="486"/>
      <c r="K10" s="820"/>
      <c r="L10" s="812"/>
      <c r="M10" s="799"/>
      <c r="N10" s="820"/>
      <c r="O10" s="812"/>
      <c r="P10" s="799"/>
    </row>
    <row r="11" spans="1:20">
      <c r="A11" s="55" t="s">
        <v>402</v>
      </c>
      <c r="B11" s="306">
        <f>IF($A11&lt;&gt;"",SUM(B12:B25),"")</f>
        <v>260</v>
      </c>
      <c r="C11" s="181">
        <f>IF($A11&lt;&gt;"",SUM(C12:C25),"")</f>
        <v>100.00000000000001</v>
      </c>
      <c r="D11" s="17"/>
      <c r="E11" s="613">
        <f>IF($A11&lt;&gt;"",SUM(E12:E25),"")</f>
        <v>76</v>
      </c>
      <c r="F11" s="821">
        <f>IF($A11&lt;&gt;"",E11/$B11*100,"")</f>
        <v>29.230769230769234</v>
      </c>
      <c r="G11" s="438"/>
      <c r="H11" s="613">
        <f>IF($A11&lt;&gt;"",SUM(H12:H25),"")</f>
        <v>81</v>
      </c>
      <c r="I11" s="821">
        <f t="shared" ref="I11:I25" si="0">IF($A11&lt;&gt;"",H11/$B11*100,"")</f>
        <v>31.153846153846153</v>
      </c>
      <c r="J11" s="438"/>
      <c r="K11" s="613">
        <f>IF($A11&lt;&gt;"",SUM(K12:K25),"")</f>
        <v>91</v>
      </c>
      <c r="L11" s="821">
        <f t="shared" ref="L11:L26" si="1">IF($A11&lt;&gt;"",K11/$B11*100,"")</f>
        <v>35</v>
      </c>
      <c r="M11" s="181"/>
      <c r="N11" s="613">
        <f>IF($A11&lt;&gt;"",SUM(N12:N25),"")</f>
        <v>12</v>
      </c>
      <c r="O11" s="821">
        <f t="shared" ref="O11:O25" si="2">IF($A11&lt;&gt;"",N11/$B11*100,"")</f>
        <v>4.6153846153846159</v>
      </c>
      <c r="Q11" s="822"/>
    </row>
    <row r="12" spans="1:20">
      <c r="B12" s="58" t="str">
        <f>IF($A12&lt;&gt;"",E12+H12+K12,"")</f>
        <v/>
      </c>
      <c r="C12" s="204" t="str">
        <f>IF($A12&lt;&gt;0,B12/$B$11*100,"")</f>
        <v/>
      </c>
      <c r="D12" s="14"/>
      <c r="E12" s="820"/>
      <c r="F12" s="427" t="str">
        <f t="shared" ref="F12:F25" si="3">IF($A12&lt;&gt;"",E12/$B12*100,"")</f>
        <v/>
      </c>
      <c r="G12" s="486"/>
      <c r="H12" s="820"/>
      <c r="I12" s="427" t="str">
        <f t="shared" si="0"/>
        <v/>
      </c>
      <c r="J12" s="486"/>
      <c r="K12" s="820"/>
      <c r="L12" s="427" t="str">
        <f t="shared" si="1"/>
        <v/>
      </c>
      <c r="M12" s="823"/>
      <c r="N12" s="820"/>
      <c r="O12" s="427" t="str">
        <f t="shared" si="2"/>
        <v/>
      </c>
    </row>
    <row r="13" spans="1:20">
      <c r="A13" s="33" t="s">
        <v>680</v>
      </c>
      <c r="B13" s="58">
        <f>IF($A13&lt;&gt;"",E13+H13+K13+N13,"")</f>
        <v>16</v>
      </c>
      <c r="C13" s="204">
        <f t="shared" ref="C13:C25" si="4">IF($A13&lt;&gt;0,B13/$B$11*100,"")</f>
        <v>6.1538461538461542</v>
      </c>
      <c r="D13" s="17"/>
      <c r="E13" s="820">
        <v>0</v>
      </c>
      <c r="F13" s="427">
        <f t="shared" si="3"/>
        <v>0</v>
      </c>
      <c r="G13" s="486"/>
      <c r="H13" s="820">
        <v>10</v>
      </c>
      <c r="I13" s="427">
        <f t="shared" si="0"/>
        <v>62.5</v>
      </c>
      <c r="J13" s="486"/>
      <c r="K13" s="820">
        <v>5</v>
      </c>
      <c r="L13" s="427">
        <f t="shared" si="1"/>
        <v>31.25</v>
      </c>
      <c r="M13" s="823"/>
      <c r="N13" s="820">
        <v>1</v>
      </c>
      <c r="O13" s="427">
        <f t="shared" si="2"/>
        <v>6.25</v>
      </c>
    </row>
    <row r="14" spans="1:20">
      <c r="B14" s="58" t="str">
        <f t="shared" ref="B14:B25" si="5">IF($A14&lt;&gt;"",E14+H14+K14+N14,"")</f>
        <v/>
      </c>
      <c r="C14" s="204" t="str">
        <f t="shared" si="4"/>
        <v/>
      </c>
      <c r="D14" s="14"/>
      <c r="E14" s="820"/>
      <c r="F14" s="427" t="str">
        <f t="shared" si="3"/>
        <v/>
      </c>
      <c r="G14" s="486"/>
      <c r="H14" s="820"/>
      <c r="I14" s="427" t="str">
        <f t="shared" si="0"/>
        <v/>
      </c>
      <c r="J14" s="486"/>
      <c r="K14" s="820"/>
      <c r="L14" s="427" t="str">
        <f t="shared" si="1"/>
        <v/>
      </c>
      <c r="M14" s="823"/>
      <c r="N14" s="820"/>
      <c r="O14" s="427" t="str">
        <f t="shared" si="2"/>
        <v/>
      </c>
    </row>
    <row r="15" spans="1:20">
      <c r="A15" s="33" t="s">
        <v>681</v>
      </c>
      <c r="B15" s="58">
        <f t="shared" si="5"/>
        <v>21</v>
      </c>
      <c r="C15" s="204">
        <f t="shared" si="4"/>
        <v>8.0769230769230766</v>
      </c>
      <c r="D15" s="17"/>
      <c r="E15" s="820">
        <v>1</v>
      </c>
      <c r="F15" s="427">
        <f t="shared" si="3"/>
        <v>4.7619047619047619</v>
      </c>
      <c r="G15" s="486"/>
      <c r="H15" s="820">
        <v>14</v>
      </c>
      <c r="I15" s="427">
        <f t="shared" si="0"/>
        <v>66.666666666666657</v>
      </c>
      <c r="J15" s="486"/>
      <c r="K15" s="820">
        <v>6</v>
      </c>
      <c r="L15" s="427">
        <f t="shared" si="1"/>
        <v>28.571428571428569</v>
      </c>
      <c r="M15" s="823"/>
      <c r="N15" s="820"/>
      <c r="O15" s="427">
        <f t="shared" si="2"/>
        <v>0</v>
      </c>
    </row>
    <row r="16" spans="1:20">
      <c r="B16" s="58" t="str">
        <f t="shared" si="5"/>
        <v/>
      </c>
      <c r="C16" s="204" t="str">
        <f t="shared" si="4"/>
        <v/>
      </c>
      <c r="D16" s="14"/>
      <c r="E16" s="820"/>
      <c r="F16" s="427" t="str">
        <f t="shared" si="3"/>
        <v/>
      </c>
      <c r="G16" s="486"/>
      <c r="H16" s="820"/>
      <c r="I16" s="427" t="str">
        <f t="shared" si="0"/>
        <v/>
      </c>
      <c r="J16" s="486"/>
      <c r="K16" s="820"/>
      <c r="L16" s="427" t="str">
        <f t="shared" si="1"/>
        <v/>
      </c>
      <c r="M16" s="823"/>
      <c r="N16" s="820"/>
      <c r="O16" s="427" t="str">
        <f t="shared" si="2"/>
        <v/>
      </c>
    </row>
    <row r="17" spans="1:16">
      <c r="A17" s="33" t="s">
        <v>682</v>
      </c>
      <c r="B17" s="58">
        <f t="shared" si="5"/>
        <v>72</v>
      </c>
      <c r="C17" s="204">
        <f t="shared" si="4"/>
        <v>27.692307692307693</v>
      </c>
      <c r="D17" s="17"/>
      <c r="E17" s="820">
        <v>3</v>
      </c>
      <c r="F17" s="427">
        <f t="shared" si="3"/>
        <v>4.1666666666666661</v>
      </c>
      <c r="G17" s="486"/>
      <c r="H17" s="820">
        <v>23</v>
      </c>
      <c r="I17" s="427">
        <f t="shared" si="0"/>
        <v>31.944444444444443</v>
      </c>
      <c r="J17" s="486"/>
      <c r="K17" s="820">
        <v>40</v>
      </c>
      <c r="L17" s="427">
        <f t="shared" si="1"/>
        <v>55.555555555555557</v>
      </c>
      <c r="M17" s="823"/>
      <c r="N17" s="820">
        <v>6</v>
      </c>
      <c r="O17" s="427">
        <f t="shared" si="2"/>
        <v>8.3333333333333321</v>
      </c>
    </row>
    <row r="18" spans="1:16">
      <c r="B18" s="58" t="str">
        <f t="shared" si="5"/>
        <v/>
      </c>
      <c r="C18" s="204" t="str">
        <f t="shared" si="4"/>
        <v/>
      </c>
      <c r="D18" s="14"/>
      <c r="E18" s="820"/>
      <c r="F18" s="427" t="str">
        <f t="shared" si="3"/>
        <v/>
      </c>
      <c r="G18" s="486"/>
      <c r="H18" s="820"/>
      <c r="I18" s="427" t="str">
        <f t="shared" si="0"/>
        <v/>
      </c>
      <c r="J18" s="486"/>
      <c r="K18" s="820"/>
      <c r="L18" s="427" t="str">
        <f t="shared" si="1"/>
        <v/>
      </c>
      <c r="M18" s="823"/>
      <c r="N18" s="820"/>
      <c r="O18" s="427" t="str">
        <f t="shared" si="2"/>
        <v/>
      </c>
    </row>
    <row r="19" spans="1:16">
      <c r="A19" s="33" t="s">
        <v>683</v>
      </c>
      <c r="B19" s="58">
        <f t="shared" si="5"/>
        <v>102</v>
      </c>
      <c r="C19" s="204">
        <f t="shared" si="4"/>
        <v>39.230769230769234</v>
      </c>
      <c r="D19" s="14"/>
      <c r="E19" s="820">
        <v>71</v>
      </c>
      <c r="F19" s="427">
        <f t="shared" si="3"/>
        <v>69.607843137254903</v>
      </c>
      <c r="G19" s="486"/>
      <c r="H19" s="820">
        <v>15</v>
      </c>
      <c r="I19" s="427">
        <f t="shared" si="0"/>
        <v>14.705882352941178</v>
      </c>
      <c r="J19" s="486"/>
      <c r="K19" s="820">
        <v>16</v>
      </c>
      <c r="L19" s="427">
        <f t="shared" si="1"/>
        <v>15.686274509803921</v>
      </c>
      <c r="M19" s="823"/>
      <c r="N19" s="820"/>
      <c r="O19" s="427">
        <f t="shared" si="2"/>
        <v>0</v>
      </c>
    </row>
    <row r="20" spans="1:16">
      <c r="B20" s="58" t="str">
        <f t="shared" si="5"/>
        <v/>
      </c>
      <c r="C20" s="204" t="str">
        <f t="shared" si="4"/>
        <v/>
      </c>
      <c r="D20" s="14"/>
      <c r="E20" s="820"/>
      <c r="F20" s="427" t="str">
        <f t="shared" si="3"/>
        <v/>
      </c>
      <c r="G20" s="486"/>
      <c r="H20" s="820"/>
      <c r="I20" s="427" t="str">
        <f t="shared" si="0"/>
        <v/>
      </c>
      <c r="J20" s="486"/>
      <c r="K20" s="820"/>
      <c r="L20" s="427" t="str">
        <f t="shared" si="1"/>
        <v/>
      </c>
      <c r="M20" s="823"/>
      <c r="N20" s="820"/>
      <c r="O20" s="427" t="str">
        <f t="shared" si="2"/>
        <v/>
      </c>
    </row>
    <row r="21" spans="1:16">
      <c r="A21" s="33" t="s">
        <v>684</v>
      </c>
      <c r="B21" s="58">
        <f t="shared" si="5"/>
        <v>29</v>
      </c>
      <c r="C21" s="204">
        <f t="shared" si="4"/>
        <v>11.153846153846155</v>
      </c>
      <c r="D21" s="17"/>
      <c r="E21" s="820">
        <v>1</v>
      </c>
      <c r="F21" s="427">
        <f t="shared" si="3"/>
        <v>3.4482758620689653</v>
      </c>
      <c r="G21" s="486"/>
      <c r="H21" s="820">
        <v>11</v>
      </c>
      <c r="I21" s="427">
        <f t="shared" si="0"/>
        <v>37.931034482758619</v>
      </c>
      <c r="J21" s="486"/>
      <c r="K21" s="820">
        <v>15</v>
      </c>
      <c r="L21" s="427">
        <f t="shared" si="1"/>
        <v>51.724137931034484</v>
      </c>
      <c r="M21" s="823"/>
      <c r="N21" s="820">
        <v>2</v>
      </c>
      <c r="O21" s="427">
        <f t="shared" si="2"/>
        <v>6.8965517241379306</v>
      </c>
    </row>
    <row r="22" spans="1:16">
      <c r="B22" s="72" t="str">
        <f t="shared" si="5"/>
        <v/>
      </c>
      <c r="C22" s="73" t="str">
        <f t="shared" si="4"/>
        <v/>
      </c>
      <c r="E22" s="820"/>
      <c r="F22" s="427" t="str">
        <f t="shared" si="3"/>
        <v/>
      </c>
      <c r="G22" s="486"/>
      <c r="H22" s="820"/>
      <c r="I22" s="427" t="str">
        <f t="shared" si="0"/>
        <v/>
      </c>
      <c r="J22" s="486"/>
      <c r="K22" s="820"/>
      <c r="L22" s="427" t="str">
        <f t="shared" si="1"/>
        <v/>
      </c>
      <c r="M22" s="823"/>
      <c r="N22" s="820"/>
      <c r="O22" s="427" t="str">
        <f t="shared" si="2"/>
        <v/>
      </c>
    </row>
    <row r="23" spans="1:16">
      <c r="A23" s="33" t="s">
        <v>685</v>
      </c>
      <c r="B23" s="72">
        <f t="shared" si="5"/>
        <v>6</v>
      </c>
      <c r="C23" s="73">
        <f t="shared" si="4"/>
        <v>2.3076923076923079</v>
      </c>
      <c r="D23" s="55"/>
      <c r="E23" s="820">
        <v>0</v>
      </c>
      <c r="F23" s="427">
        <f t="shared" si="3"/>
        <v>0</v>
      </c>
      <c r="G23" s="486"/>
      <c r="H23" s="820">
        <v>2</v>
      </c>
      <c r="I23" s="427">
        <f t="shared" si="0"/>
        <v>33.333333333333329</v>
      </c>
      <c r="J23" s="486"/>
      <c r="K23" s="820">
        <v>3</v>
      </c>
      <c r="L23" s="427">
        <f t="shared" si="1"/>
        <v>50</v>
      </c>
      <c r="M23" s="823"/>
      <c r="N23" s="820">
        <v>1</v>
      </c>
      <c r="O23" s="427">
        <f t="shared" si="2"/>
        <v>16.666666666666664</v>
      </c>
    </row>
    <row r="24" spans="1:16">
      <c r="B24" s="72" t="str">
        <f t="shared" si="5"/>
        <v/>
      </c>
      <c r="C24" s="73" t="str">
        <f t="shared" si="4"/>
        <v/>
      </c>
      <c r="E24" s="820"/>
      <c r="F24" s="427" t="str">
        <f t="shared" si="3"/>
        <v/>
      </c>
      <c r="G24" s="486"/>
      <c r="H24" s="820"/>
      <c r="I24" s="427" t="str">
        <f t="shared" si="0"/>
        <v/>
      </c>
      <c r="J24" s="486"/>
      <c r="K24" s="820"/>
      <c r="L24" s="427" t="str">
        <f t="shared" si="1"/>
        <v/>
      </c>
      <c r="M24" s="823"/>
      <c r="N24" s="820"/>
      <c r="O24" s="427" t="str">
        <f t="shared" si="2"/>
        <v/>
      </c>
    </row>
    <row r="25" spans="1:16">
      <c r="A25" s="33" t="s">
        <v>686</v>
      </c>
      <c r="B25" s="72">
        <f t="shared" si="5"/>
        <v>14</v>
      </c>
      <c r="C25" s="73">
        <f t="shared" si="4"/>
        <v>5.384615384615385</v>
      </c>
      <c r="D25" s="55"/>
      <c r="E25" s="820">
        <v>0</v>
      </c>
      <c r="F25" s="427">
        <f t="shared" si="3"/>
        <v>0</v>
      </c>
      <c r="G25" s="486"/>
      <c r="H25" s="820">
        <v>6</v>
      </c>
      <c r="I25" s="427">
        <f t="shared" si="0"/>
        <v>42.857142857142854</v>
      </c>
      <c r="J25" s="486"/>
      <c r="K25" s="820">
        <v>6</v>
      </c>
      <c r="L25" s="427">
        <f t="shared" si="1"/>
        <v>42.857142857142854</v>
      </c>
      <c r="M25" s="823"/>
      <c r="N25" s="820">
        <v>2</v>
      </c>
      <c r="O25" s="427">
        <f t="shared" si="2"/>
        <v>14.285714285714285</v>
      </c>
    </row>
    <row r="26" spans="1:16" ht="15" thickBot="1">
      <c r="A26" s="199"/>
      <c r="B26" s="199"/>
      <c r="C26" s="199"/>
      <c r="D26" s="199"/>
      <c r="E26" s="818"/>
      <c r="F26" s="819"/>
      <c r="G26" s="805"/>
      <c r="H26" s="818"/>
      <c r="I26" s="819"/>
      <c r="J26" s="805"/>
      <c r="K26" s="818"/>
      <c r="L26" s="427" t="str">
        <f t="shared" si="1"/>
        <v/>
      </c>
      <c r="N26" s="818"/>
    </row>
    <row r="27" spans="1:16">
      <c r="L27" s="812"/>
      <c r="M27" s="799"/>
      <c r="O27" s="812"/>
      <c r="P27" s="799"/>
    </row>
    <row r="28" spans="1:16">
      <c r="A28" s="33" t="s">
        <v>687</v>
      </c>
    </row>
    <row r="29" spans="1:16">
      <c r="A29" s="33" t="s">
        <v>688</v>
      </c>
    </row>
  </sheetData>
  <mergeCells count="5">
    <mergeCell ref="B7:C7"/>
    <mergeCell ref="E7:F7"/>
    <mergeCell ref="H7:I7"/>
    <mergeCell ref="K7:L7"/>
    <mergeCell ref="N7:O7"/>
  </mergeCells>
  <conditionalFormatting sqref="B11:O25">
    <cfRule type="cellIs" dxfId="7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249977111117893"/>
  </sheetPr>
  <dimension ref="B2:K4"/>
  <sheetViews>
    <sheetView workbookViewId="0">
      <selection sqref="A1:XFD1048576"/>
    </sheetView>
  </sheetViews>
  <sheetFormatPr baseColWidth="10" defaultRowHeight="15"/>
  <sheetData>
    <row r="2" spans="2:11">
      <c r="B2" s="33" t="s">
        <v>1134</v>
      </c>
      <c r="C2" s="33" t="s">
        <v>1135</v>
      </c>
      <c r="D2" s="33" t="s">
        <v>774</v>
      </c>
      <c r="E2" s="33" t="s">
        <v>678</v>
      </c>
      <c r="G2" s="33"/>
      <c r="H2" s="33"/>
      <c r="I2" s="33"/>
      <c r="J2" s="426"/>
    </row>
    <row r="3" spans="2:11">
      <c r="B3" s="178">
        <v>35</v>
      </c>
      <c r="C3" s="178">
        <v>31.15</v>
      </c>
      <c r="D3" s="427">
        <v>29.23</v>
      </c>
      <c r="E3">
        <v>4.62</v>
      </c>
      <c r="F3" s="28"/>
      <c r="G3" s="427"/>
      <c r="H3" s="178"/>
      <c r="I3" s="178"/>
      <c r="J3" s="178"/>
    </row>
    <row r="4" spans="2:11" ht="23">
      <c r="G4" s="178"/>
      <c r="H4" s="178"/>
      <c r="I4" s="178"/>
      <c r="J4" s="178"/>
      <c r="K4" s="3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314"/>
  <sheetViews>
    <sheetView workbookViewId="0">
      <selection activeCell="B4" sqref="B4"/>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1840</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58"/>
      <c r="H8" s="19"/>
      <c r="I8" s="18" t="s">
        <v>150</v>
      </c>
      <c r="J8" s="758"/>
      <c r="K8" s="19"/>
      <c r="L8" s="18" t="s">
        <v>151</v>
      </c>
      <c r="M8" s="758"/>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148</v>
      </c>
      <c r="C12" s="112">
        <f>IF($A12&lt;&gt;0,F12+I12+L12,"")</f>
        <v>6568.0832222222216</v>
      </c>
      <c r="D12" s="139">
        <f>IF($A12&lt;&gt;0,G12+J12+M12,"")</f>
        <v>100</v>
      </c>
      <c r="F12" s="112">
        <f>SUM(F14+F106+F177+F195+F203+F222+F262)</f>
        <v>3073.3282222222219</v>
      </c>
      <c r="G12" s="112">
        <f>IF($A12&lt;&gt;0,F12/$C12*100,"")</f>
        <v>46.791858724079979</v>
      </c>
      <c r="I12" s="112">
        <f>SUM(I14+I106+I177+I195+I203+I222+I262)</f>
        <v>805.505</v>
      </c>
      <c r="J12" s="112">
        <f t="shared" ref="J12:J75" si="0">IF($A12&lt;&gt;0,I12/$C12*100,"")</f>
        <v>12.26392804029466</v>
      </c>
      <c r="L12" s="112">
        <f>SUM(L14+L106+L177+L195+L203+L222+L262)</f>
        <v>2689.25</v>
      </c>
      <c r="M12" s="112">
        <f t="shared" ref="M12:M75" si="1">IF($A12&lt;&gt;0,L12/$C12*100,"")</f>
        <v>40.944213235625362</v>
      </c>
    </row>
    <row r="13" spans="1:14" ht="7" customHeight="1">
      <c r="C13" s="112" t="str">
        <f t="shared" ref="C13:D75" si="2">IF($A13&lt;&gt;0,F13+I13+L13,"")</f>
        <v/>
      </c>
      <c r="D13" s="139" t="str">
        <f t="shared" si="2"/>
        <v/>
      </c>
      <c r="G13" s="112" t="str">
        <f t="shared" ref="G13:G76" si="3">IF($A13&lt;&gt;0,F13/$C13*100,"")</f>
        <v/>
      </c>
      <c r="J13" s="112" t="str">
        <f t="shared" si="0"/>
        <v/>
      </c>
      <c r="L13" s="112" t="s">
        <v>154</v>
      </c>
      <c r="M13" s="112" t="str">
        <f t="shared" si="1"/>
        <v/>
      </c>
    </row>
    <row r="14" spans="1:14">
      <c r="A14" s="17" t="s">
        <v>80</v>
      </c>
      <c r="C14" s="112">
        <f t="shared" si="2"/>
        <v>2792.3688888888887</v>
      </c>
      <c r="D14" s="139">
        <f t="shared" si="2"/>
        <v>100</v>
      </c>
      <c r="F14" s="112">
        <f>F16+F24+F35+F43+F69+F85+F92+F104</f>
        <v>2098.9938888888887</v>
      </c>
      <c r="G14" s="112">
        <f>IF($A14&lt;&gt;0,F14/$C14*100,"")</f>
        <v>75.168932630677574</v>
      </c>
      <c r="I14" s="112">
        <f>I16+I24+I35+I43+I69+I85+I92+I104</f>
        <v>224.375</v>
      </c>
      <c r="J14" s="112">
        <f t="shared" si="0"/>
        <v>8.0352922170423202</v>
      </c>
      <c r="L14" s="112">
        <f>L16+L24+L35+L43+L69+L85+L92+L104</f>
        <v>469</v>
      </c>
      <c r="M14" s="112">
        <f t="shared" si="1"/>
        <v>16.795775152280104</v>
      </c>
    </row>
    <row r="15" spans="1:14" ht="7" customHeight="1">
      <c r="C15" s="112" t="str">
        <f t="shared" si="2"/>
        <v/>
      </c>
      <c r="D15" s="139" t="str">
        <f t="shared" si="2"/>
        <v/>
      </c>
      <c r="G15" s="112" t="str">
        <f t="shared" si="3"/>
        <v/>
      </c>
      <c r="J15" s="112" t="str">
        <f t="shared" si="0"/>
        <v/>
      </c>
      <c r="L15" s="112" t="s">
        <v>154</v>
      </c>
      <c r="M15" s="112" t="str">
        <f t="shared" si="1"/>
        <v/>
      </c>
    </row>
    <row r="16" spans="1:14">
      <c r="A16" s="111" t="s">
        <v>155</v>
      </c>
      <c r="C16" s="112">
        <f t="shared" si="2"/>
        <v>213.94755555555554</v>
      </c>
      <c r="D16" s="139">
        <f t="shared" si="2"/>
        <v>100</v>
      </c>
      <c r="F16" s="112">
        <f>SUM(F18:F22)</f>
        <v>173.19755555555554</v>
      </c>
      <c r="G16" s="112">
        <f t="shared" si="3"/>
        <v>80.953276192296343</v>
      </c>
      <c r="I16" s="112">
        <f>SUM(I18:I22)</f>
        <v>21.75</v>
      </c>
      <c r="J16" s="112">
        <f t="shared" si="0"/>
        <v>10.166042768528945</v>
      </c>
      <c r="L16" s="112">
        <f>SUM(L18:L22)</f>
        <v>19</v>
      </c>
      <c r="M16" s="112">
        <f t="shared" si="1"/>
        <v>8.8806810391747106</v>
      </c>
    </row>
    <row r="17" spans="1:13">
      <c r="C17" s="112" t="str">
        <f t="shared" si="2"/>
        <v/>
      </c>
      <c r="D17" s="139" t="str">
        <f t="shared" si="2"/>
        <v/>
      </c>
      <c r="G17" s="112" t="str">
        <f t="shared" si="3"/>
        <v/>
      </c>
      <c r="J17" s="112" t="str">
        <f t="shared" si="0"/>
        <v/>
      </c>
      <c r="L17" s="112" t="s">
        <v>154</v>
      </c>
      <c r="M17" s="112" t="str">
        <f t="shared" si="1"/>
        <v/>
      </c>
    </row>
    <row r="18" spans="1:13">
      <c r="A18" s="111" t="s">
        <v>156</v>
      </c>
      <c r="B18" s="111"/>
      <c r="C18" s="112">
        <f t="shared" si="2"/>
        <v>10.5</v>
      </c>
      <c r="D18" s="139">
        <f t="shared" si="2"/>
        <v>100</v>
      </c>
      <c r="F18" s="112">
        <v>10.5</v>
      </c>
      <c r="G18" s="112">
        <f t="shared" si="3"/>
        <v>100</v>
      </c>
      <c r="I18" s="112">
        <v>0</v>
      </c>
      <c r="J18" s="112">
        <f t="shared" si="0"/>
        <v>0</v>
      </c>
      <c r="L18" s="112">
        <v>0</v>
      </c>
      <c r="M18" s="112">
        <f t="shared" si="1"/>
        <v>0</v>
      </c>
    </row>
    <row r="19" spans="1:13">
      <c r="A19" s="111" t="s">
        <v>157</v>
      </c>
      <c r="B19" s="111"/>
      <c r="C19" s="112">
        <f t="shared" si="2"/>
        <v>45.5</v>
      </c>
      <c r="D19" s="139">
        <f t="shared" si="2"/>
        <v>100</v>
      </c>
      <c r="F19" s="112">
        <v>6.75</v>
      </c>
      <c r="G19" s="112">
        <f t="shared" si="3"/>
        <v>14.835164835164836</v>
      </c>
      <c r="I19" s="112">
        <v>21.75</v>
      </c>
      <c r="J19" s="112">
        <f t="shared" si="0"/>
        <v>47.802197802197803</v>
      </c>
      <c r="L19" s="112">
        <v>17</v>
      </c>
      <c r="M19" s="112">
        <f t="shared" si="1"/>
        <v>37.362637362637365</v>
      </c>
    </row>
    <row r="20" spans="1:13">
      <c r="A20" s="111" t="s">
        <v>158</v>
      </c>
      <c r="B20" s="111"/>
      <c r="C20" s="112">
        <f t="shared" si="2"/>
        <v>5.5555555555555554</v>
      </c>
      <c r="D20" s="139">
        <f t="shared" si="2"/>
        <v>100</v>
      </c>
      <c r="F20" s="112">
        <f>(1000)*2/12/30</f>
        <v>5.5555555555555554</v>
      </c>
      <c r="G20" s="112">
        <f t="shared" si="3"/>
        <v>100</v>
      </c>
      <c r="I20" s="112">
        <v>0</v>
      </c>
      <c r="J20" s="112">
        <f t="shared" si="0"/>
        <v>0</v>
      </c>
      <c r="L20" s="112">
        <v>0</v>
      </c>
      <c r="M20" s="112">
        <f t="shared" si="1"/>
        <v>0</v>
      </c>
    </row>
    <row r="21" spans="1:13">
      <c r="A21" s="111" t="s">
        <v>159</v>
      </c>
      <c r="B21" s="111"/>
      <c r="C21" s="112">
        <f t="shared" si="2"/>
        <v>148.642</v>
      </c>
      <c r="D21" s="139">
        <f t="shared" si="2"/>
        <v>100</v>
      </c>
      <c r="F21" s="112">
        <v>146.642</v>
      </c>
      <c r="G21" s="112">
        <f t="shared" si="3"/>
        <v>98.654485273341322</v>
      </c>
      <c r="I21" s="112">
        <v>0</v>
      </c>
      <c r="J21" s="112">
        <f t="shared" si="0"/>
        <v>0</v>
      </c>
      <c r="L21" s="112">
        <v>2</v>
      </c>
      <c r="M21" s="112">
        <f t="shared" si="1"/>
        <v>1.3455147266586833</v>
      </c>
    </row>
    <row r="22" spans="1:13">
      <c r="A22" s="111" t="s">
        <v>160</v>
      </c>
      <c r="B22" s="111"/>
      <c r="C22" s="112">
        <f t="shared" si="2"/>
        <v>3.75</v>
      </c>
      <c r="D22" s="139">
        <f t="shared" si="2"/>
        <v>100</v>
      </c>
      <c r="F22" s="112">
        <v>3.75</v>
      </c>
      <c r="G22" s="112">
        <f t="shared" si="3"/>
        <v>100</v>
      </c>
      <c r="I22" s="112">
        <v>0</v>
      </c>
      <c r="J22" s="112">
        <f t="shared" si="0"/>
        <v>0</v>
      </c>
      <c r="L22" s="112">
        <v>0</v>
      </c>
      <c r="M22" s="112">
        <f t="shared" si="1"/>
        <v>0</v>
      </c>
    </row>
    <row r="23" spans="1:13">
      <c r="C23" s="112" t="str">
        <f t="shared" si="2"/>
        <v/>
      </c>
      <c r="D23" s="139" t="str">
        <f t="shared" si="2"/>
        <v/>
      </c>
      <c r="G23" s="112" t="str">
        <f t="shared" si="3"/>
        <v/>
      </c>
      <c r="J23" s="112" t="str">
        <f t="shared" si="0"/>
        <v/>
      </c>
      <c r="L23" s="112" t="s">
        <v>154</v>
      </c>
      <c r="M23" s="112" t="str">
        <f t="shared" si="1"/>
        <v/>
      </c>
    </row>
    <row r="24" spans="1:13">
      <c r="A24" s="111" t="s">
        <v>161</v>
      </c>
      <c r="C24" s="112">
        <f t="shared" si="2"/>
        <v>266.30799999999999</v>
      </c>
      <c r="D24" s="139">
        <f t="shared" si="2"/>
        <v>100.00000000000001</v>
      </c>
      <c r="F24" s="112">
        <f>F25+F30</f>
        <v>217.30799999999999</v>
      </c>
      <c r="G24" s="112">
        <f t="shared" si="3"/>
        <v>81.600252339396491</v>
      </c>
      <c r="I24" s="112">
        <f>I25+I30</f>
        <v>9.5</v>
      </c>
      <c r="J24" s="112">
        <f t="shared" si="0"/>
        <v>3.5672980158312932</v>
      </c>
      <c r="L24" s="112">
        <f>L25+L30</f>
        <v>39.5</v>
      </c>
      <c r="M24" s="112">
        <f t="shared" si="1"/>
        <v>14.83244964477222</v>
      </c>
    </row>
    <row r="25" spans="1:13">
      <c r="A25" s="111" t="s">
        <v>162</v>
      </c>
      <c r="C25" s="112">
        <f t="shared" si="2"/>
        <v>125.65</v>
      </c>
      <c r="D25" s="139">
        <f t="shared" si="2"/>
        <v>100</v>
      </c>
      <c r="F25" s="112">
        <f>SUM(F26:F28)</f>
        <v>92.65</v>
      </c>
      <c r="G25" s="112">
        <f t="shared" si="3"/>
        <v>73.736569836848389</v>
      </c>
      <c r="I25" s="112">
        <f>SUM(I26:I28)</f>
        <v>6.5</v>
      </c>
      <c r="J25" s="112">
        <f t="shared" si="0"/>
        <v>5.1730998806207715</v>
      </c>
      <c r="L25" s="112">
        <f>SUM(L26:L28)</f>
        <v>26.5</v>
      </c>
      <c r="M25" s="112">
        <f t="shared" si="1"/>
        <v>21.090330282530839</v>
      </c>
    </row>
    <row r="26" spans="1:13">
      <c r="A26" s="111" t="s">
        <v>163</v>
      </c>
      <c r="C26" s="112">
        <f t="shared" si="2"/>
        <v>18.766999999999999</v>
      </c>
      <c r="D26" s="139">
        <f t="shared" si="2"/>
        <v>100</v>
      </c>
      <c r="F26" s="112">
        <v>13.766999999999999</v>
      </c>
      <c r="G26" s="112">
        <f t="shared" si="3"/>
        <v>73.357489209783139</v>
      </c>
      <c r="I26" s="112">
        <v>0.5</v>
      </c>
      <c r="J26" s="112">
        <f t="shared" si="0"/>
        <v>2.6642510790216871</v>
      </c>
      <c r="L26" s="112">
        <v>4.5</v>
      </c>
      <c r="M26" s="112">
        <f t="shared" si="1"/>
        <v>23.978259711195186</v>
      </c>
    </row>
    <row r="27" spans="1:13">
      <c r="A27" s="111" t="s">
        <v>164</v>
      </c>
      <c r="C27" s="112">
        <f t="shared" si="2"/>
        <v>56.633000000000003</v>
      </c>
      <c r="D27" s="139">
        <f t="shared" si="2"/>
        <v>100</v>
      </c>
      <c r="F27" s="112">
        <v>44.133000000000003</v>
      </c>
      <c r="G27" s="112">
        <f t="shared" si="3"/>
        <v>77.928063143396969</v>
      </c>
      <c r="I27" s="112">
        <v>1.5</v>
      </c>
      <c r="J27" s="112">
        <f t="shared" si="0"/>
        <v>2.6486324227923648</v>
      </c>
      <c r="L27" s="112">
        <v>11</v>
      </c>
      <c r="M27" s="112">
        <f t="shared" si="1"/>
        <v>19.423304433810674</v>
      </c>
    </row>
    <row r="28" spans="1:13">
      <c r="A28" s="111" t="s">
        <v>165</v>
      </c>
      <c r="C28" s="112">
        <f t="shared" si="2"/>
        <v>50.25</v>
      </c>
      <c r="D28" s="139">
        <f t="shared" si="2"/>
        <v>100</v>
      </c>
      <c r="F28" s="112">
        <v>34.75</v>
      </c>
      <c r="G28" s="112">
        <f t="shared" si="3"/>
        <v>69.154228855721385</v>
      </c>
      <c r="I28" s="112">
        <v>4.5</v>
      </c>
      <c r="J28" s="112">
        <f t="shared" si="0"/>
        <v>8.9552238805970141</v>
      </c>
      <c r="L28" s="112">
        <v>11</v>
      </c>
      <c r="M28" s="112">
        <f t="shared" si="1"/>
        <v>21.890547263681594</v>
      </c>
    </row>
    <row r="29" spans="1:13">
      <c r="C29" s="112" t="str">
        <f t="shared" si="2"/>
        <v/>
      </c>
      <c r="D29" s="139" t="str">
        <f t="shared" si="2"/>
        <v/>
      </c>
      <c r="G29" s="112" t="str">
        <f t="shared" si="3"/>
        <v/>
      </c>
      <c r="J29" s="112" t="str">
        <f t="shared" si="0"/>
        <v/>
      </c>
      <c r="L29" s="112" t="s">
        <v>154</v>
      </c>
      <c r="M29" s="112" t="str">
        <f t="shared" si="1"/>
        <v/>
      </c>
    </row>
    <row r="30" spans="1:13">
      <c r="A30" s="111" t="s">
        <v>166</v>
      </c>
      <c r="C30" s="112">
        <f t="shared" si="2"/>
        <v>140.65800000000002</v>
      </c>
      <c r="D30" s="139">
        <f t="shared" si="2"/>
        <v>100</v>
      </c>
      <c r="F30" s="112">
        <f>SUM(F31:F33)</f>
        <v>124.658</v>
      </c>
      <c r="G30" s="112">
        <f t="shared" si="3"/>
        <v>88.624891580997883</v>
      </c>
      <c r="I30" s="112">
        <f>SUM(I31:I33)</f>
        <v>3</v>
      </c>
      <c r="J30" s="112">
        <f t="shared" si="0"/>
        <v>2.132832828562897</v>
      </c>
      <c r="L30" s="112">
        <f>SUM(L31:L33)</f>
        <v>13</v>
      </c>
      <c r="M30" s="112">
        <f t="shared" si="1"/>
        <v>9.2422755904392204</v>
      </c>
    </row>
    <row r="31" spans="1:13">
      <c r="A31" s="111" t="s">
        <v>167</v>
      </c>
      <c r="C31" s="112">
        <f t="shared" si="2"/>
        <v>38.5</v>
      </c>
      <c r="D31" s="139">
        <f t="shared" si="2"/>
        <v>100</v>
      </c>
      <c r="F31" s="112">
        <v>33.5</v>
      </c>
      <c r="G31" s="112">
        <f t="shared" si="3"/>
        <v>87.012987012987011</v>
      </c>
      <c r="I31" s="112">
        <v>1</v>
      </c>
      <c r="J31" s="112">
        <f t="shared" si="0"/>
        <v>2.5974025974025974</v>
      </c>
      <c r="L31" s="112">
        <v>4</v>
      </c>
      <c r="M31" s="112">
        <f t="shared" si="1"/>
        <v>10.38961038961039</v>
      </c>
    </row>
    <row r="32" spans="1:13">
      <c r="A32" s="111" t="s">
        <v>168</v>
      </c>
      <c r="C32" s="112">
        <f t="shared" si="2"/>
        <v>25.5</v>
      </c>
      <c r="D32" s="139">
        <f t="shared" si="2"/>
        <v>100</v>
      </c>
      <c r="F32" s="112">
        <v>22.5</v>
      </c>
      <c r="G32" s="112">
        <f t="shared" si="3"/>
        <v>88.235294117647058</v>
      </c>
      <c r="I32" s="112">
        <v>0</v>
      </c>
      <c r="J32" s="112">
        <f t="shared" si="0"/>
        <v>0</v>
      </c>
      <c r="L32" s="112">
        <v>3</v>
      </c>
      <c r="M32" s="112">
        <f t="shared" si="1"/>
        <v>11.76470588235294</v>
      </c>
    </row>
    <row r="33" spans="1:13">
      <c r="A33" s="111" t="s">
        <v>169</v>
      </c>
      <c r="C33" s="112">
        <f t="shared" si="2"/>
        <v>76.658000000000001</v>
      </c>
      <c r="D33" s="139">
        <f t="shared" si="2"/>
        <v>100</v>
      </c>
      <c r="F33" s="112">
        <v>68.658000000000001</v>
      </c>
      <c r="G33" s="112">
        <f t="shared" si="3"/>
        <v>89.564037673823989</v>
      </c>
      <c r="I33" s="112">
        <v>2</v>
      </c>
      <c r="J33" s="112">
        <f t="shared" si="0"/>
        <v>2.6089905815440009</v>
      </c>
      <c r="L33" s="112">
        <v>6</v>
      </c>
      <c r="M33" s="112">
        <f t="shared" si="1"/>
        <v>7.8269717446320008</v>
      </c>
    </row>
    <row r="34" spans="1:13">
      <c r="C34" s="112" t="str">
        <f t="shared" si="2"/>
        <v/>
      </c>
      <c r="D34" s="139" t="str">
        <f t="shared" si="2"/>
        <v/>
      </c>
      <c r="G34" s="112" t="str">
        <f t="shared" si="3"/>
        <v/>
      </c>
      <c r="J34" s="112" t="str">
        <f t="shared" si="0"/>
        <v/>
      </c>
      <c r="L34" s="112" t="s">
        <v>154</v>
      </c>
      <c r="M34" s="112" t="str">
        <f t="shared" si="1"/>
        <v/>
      </c>
    </row>
    <row r="35" spans="1:13">
      <c r="A35" s="111" t="s">
        <v>170</v>
      </c>
      <c r="C35" s="112">
        <f t="shared" si="2"/>
        <v>342.29133333333334</v>
      </c>
      <c r="D35" s="139">
        <f t="shared" si="2"/>
        <v>100.00000000000001</v>
      </c>
      <c r="F35" s="112">
        <f>SUM(F36)</f>
        <v>246.54133333333334</v>
      </c>
      <c r="G35" s="112">
        <f t="shared" si="3"/>
        <v>72.026753038834372</v>
      </c>
      <c r="I35" s="112">
        <f>SUM(I36)</f>
        <v>39.5</v>
      </c>
      <c r="J35" s="112">
        <f t="shared" si="0"/>
        <v>11.539877336459975</v>
      </c>
      <c r="L35" s="112">
        <f>SUM(L36)</f>
        <v>56.25</v>
      </c>
      <c r="M35" s="112">
        <f t="shared" si="1"/>
        <v>16.433369624705659</v>
      </c>
    </row>
    <row r="36" spans="1:13">
      <c r="A36" s="111" t="s">
        <v>171</v>
      </c>
      <c r="C36" s="112">
        <f t="shared" si="2"/>
        <v>342.29133333333334</v>
      </c>
      <c r="D36" s="139">
        <f t="shared" si="2"/>
        <v>100.00000000000001</v>
      </c>
      <c r="F36" s="112">
        <f>SUM(F37:F41)</f>
        <v>246.54133333333334</v>
      </c>
      <c r="G36" s="112">
        <f t="shared" si="3"/>
        <v>72.026753038834372</v>
      </c>
      <c r="I36" s="112">
        <f>SUM(I37:I41)</f>
        <v>39.5</v>
      </c>
      <c r="J36" s="112">
        <f t="shared" si="0"/>
        <v>11.539877336459975</v>
      </c>
      <c r="L36" s="112">
        <f>SUM(L37:L41)</f>
        <v>56.25</v>
      </c>
      <c r="M36" s="112">
        <f t="shared" si="1"/>
        <v>16.433369624705659</v>
      </c>
    </row>
    <row r="37" spans="1:13">
      <c r="A37" s="111" t="s">
        <v>172</v>
      </c>
      <c r="C37" s="112">
        <f t="shared" si="2"/>
        <v>69.45</v>
      </c>
      <c r="D37" s="139">
        <f t="shared" si="2"/>
        <v>100</v>
      </c>
      <c r="F37" s="112">
        <f>4/30+2/30+44.25</f>
        <v>44.45</v>
      </c>
      <c r="G37" s="112">
        <f t="shared" si="3"/>
        <v>64.002879769618431</v>
      </c>
      <c r="I37" s="112">
        <v>11.25</v>
      </c>
      <c r="J37" s="112">
        <f t="shared" si="0"/>
        <v>16.198704103671705</v>
      </c>
      <c r="L37" s="112">
        <v>13.75</v>
      </c>
      <c r="M37" s="112">
        <f t="shared" si="1"/>
        <v>19.79841612670986</v>
      </c>
    </row>
    <row r="38" spans="1:13">
      <c r="A38" s="111" t="s">
        <v>173</v>
      </c>
      <c r="C38" s="112">
        <f t="shared" si="2"/>
        <v>61.957999999999998</v>
      </c>
      <c r="D38" s="139">
        <f t="shared" si="2"/>
        <v>100.00000000000001</v>
      </c>
      <c r="F38" s="112">
        <v>48.457999999999998</v>
      </c>
      <c r="G38" s="112">
        <f t="shared" si="3"/>
        <v>78.211046192582074</v>
      </c>
      <c r="I38" s="112">
        <v>6</v>
      </c>
      <c r="J38" s="112">
        <f t="shared" si="0"/>
        <v>9.6839794699635249</v>
      </c>
      <c r="L38" s="112">
        <v>7.5</v>
      </c>
      <c r="M38" s="112">
        <f t="shared" si="1"/>
        <v>12.104974337454404</v>
      </c>
    </row>
    <row r="39" spans="1:13">
      <c r="A39" s="111" t="s">
        <v>174</v>
      </c>
      <c r="C39" s="112">
        <f t="shared" si="2"/>
        <v>38.299999999999997</v>
      </c>
      <c r="D39" s="139">
        <f t="shared" si="2"/>
        <v>100</v>
      </c>
      <c r="F39" s="112">
        <f>8/30+16/30+21.25</f>
        <v>22.05</v>
      </c>
      <c r="G39" s="112">
        <f t="shared" si="3"/>
        <v>57.571801566579637</v>
      </c>
      <c r="I39" s="112">
        <v>7.25</v>
      </c>
      <c r="J39" s="112">
        <f t="shared" si="0"/>
        <v>18.929503916449086</v>
      </c>
      <c r="L39" s="112">
        <v>9</v>
      </c>
      <c r="M39" s="112">
        <f t="shared" si="1"/>
        <v>23.49869451697128</v>
      </c>
    </row>
    <row r="40" spans="1:13">
      <c r="A40" s="111" t="s">
        <v>175</v>
      </c>
      <c r="C40" s="112">
        <f t="shared" si="2"/>
        <v>90.75</v>
      </c>
      <c r="D40" s="139">
        <f t="shared" si="2"/>
        <v>100</v>
      </c>
      <c r="F40" s="112">
        <v>78.75</v>
      </c>
      <c r="G40" s="112">
        <f t="shared" si="3"/>
        <v>86.776859504132233</v>
      </c>
      <c r="I40" s="112">
        <v>1</v>
      </c>
      <c r="J40" s="112">
        <f t="shared" si="0"/>
        <v>1.1019283746556474</v>
      </c>
      <c r="L40" s="112">
        <v>11</v>
      </c>
      <c r="M40" s="112">
        <f t="shared" si="1"/>
        <v>12.121212121212121</v>
      </c>
    </row>
    <row r="41" spans="1:13">
      <c r="A41" s="111" t="s">
        <v>176</v>
      </c>
      <c r="C41" s="112">
        <f t="shared" si="2"/>
        <v>81.833333333333343</v>
      </c>
      <c r="D41" s="139">
        <f t="shared" si="2"/>
        <v>99.999999999999986</v>
      </c>
      <c r="F41" s="112">
        <f>25/30+52</f>
        <v>52.833333333333336</v>
      </c>
      <c r="G41" s="112">
        <f t="shared" si="3"/>
        <v>64.562118126272907</v>
      </c>
      <c r="I41" s="112">
        <v>14</v>
      </c>
      <c r="J41" s="112">
        <f t="shared" si="0"/>
        <v>17.107942973523418</v>
      </c>
      <c r="L41" s="112">
        <v>15</v>
      </c>
      <c r="M41" s="112">
        <f t="shared" si="1"/>
        <v>18.329938900203661</v>
      </c>
    </row>
    <row r="42" spans="1:13">
      <c r="C42" s="112" t="str">
        <f t="shared" si="2"/>
        <v/>
      </c>
      <c r="D42" s="139" t="str">
        <f t="shared" si="2"/>
        <v/>
      </c>
      <c r="G42" s="112" t="str">
        <f t="shared" si="3"/>
        <v/>
      </c>
      <c r="J42" s="112" t="str">
        <f t="shared" si="0"/>
        <v/>
      </c>
      <c r="L42" s="112" t="s">
        <v>154</v>
      </c>
      <c r="M42" s="112" t="str">
        <f t="shared" si="1"/>
        <v/>
      </c>
    </row>
    <row r="43" spans="1:13">
      <c r="A43" s="111" t="s">
        <v>177</v>
      </c>
      <c r="C43" s="112">
        <f t="shared" si="2"/>
        <v>739.22400000000005</v>
      </c>
      <c r="D43" s="139">
        <f t="shared" si="2"/>
        <v>100</v>
      </c>
      <c r="F43" s="112">
        <f>F44+F50+F60+F62</f>
        <v>589.97400000000005</v>
      </c>
      <c r="G43" s="112">
        <f t="shared" si="3"/>
        <v>79.8099087691958</v>
      </c>
      <c r="I43" s="112">
        <f>I44+I50+I60+I62</f>
        <v>25</v>
      </c>
      <c r="J43" s="112">
        <f t="shared" si="0"/>
        <v>3.3819248292804347</v>
      </c>
      <c r="L43" s="112">
        <f>L44+L50+L60+L62</f>
        <v>124.25</v>
      </c>
      <c r="M43" s="112">
        <f t="shared" si="1"/>
        <v>16.808166401523756</v>
      </c>
    </row>
    <row r="44" spans="1:13">
      <c r="A44" s="111" t="s">
        <v>178</v>
      </c>
      <c r="C44" s="112">
        <f t="shared" si="2"/>
        <v>158.28933333333333</v>
      </c>
      <c r="D44" s="139">
        <f t="shared" si="2"/>
        <v>100</v>
      </c>
      <c r="F44" s="112">
        <f>SUM(F45:F48)</f>
        <v>136.78933333333333</v>
      </c>
      <c r="G44" s="112">
        <f t="shared" si="3"/>
        <v>86.417278064641124</v>
      </c>
      <c r="I44" s="112">
        <f>SUM(I45:I48)</f>
        <v>1.5</v>
      </c>
      <c r="J44" s="112">
        <f t="shared" si="0"/>
        <v>0.94763176293201479</v>
      </c>
      <c r="L44" s="112">
        <f>SUM(L45:L48)</f>
        <v>20</v>
      </c>
      <c r="M44" s="112">
        <f t="shared" si="1"/>
        <v>12.635090172426864</v>
      </c>
    </row>
    <row r="45" spans="1:13">
      <c r="A45" s="111" t="s">
        <v>179</v>
      </c>
      <c r="C45" s="112">
        <f t="shared" si="2"/>
        <v>62.375999999999998</v>
      </c>
      <c r="D45" s="139">
        <f t="shared" si="2"/>
        <v>100</v>
      </c>
      <c r="F45" s="112">
        <v>54.375999999999998</v>
      </c>
      <c r="G45" s="112">
        <f t="shared" si="3"/>
        <v>87.174554315762478</v>
      </c>
      <c r="I45" s="112">
        <v>1</v>
      </c>
      <c r="J45" s="112">
        <f t="shared" si="0"/>
        <v>1.6031807105296909</v>
      </c>
      <c r="L45" s="112">
        <v>7</v>
      </c>
      <c r="M45" s="112">
        <f t="shared" si="1"/>
        <v>11.222264973707837</v>
      </c>
    </row>
    <row r="46" spans="1:13">
      <c r="A46" s="111" t="s">
        <v>180</v>
      </c>
      <c r="C46" s="112">
        <f t="shared" si="2"/>
        <v>41</v>
      </c>
      <c r="D46" s="139">
        <f t="shared" si="2"/>
        <v>100</v>
      </c>
      <c r="F46" s="112">
        <f>21/30+34.3</f>
        <v>35</v>
      </c>
      <c r="G46" s="112">
        <f t="shared" si="3"/>
        <v>85.365853658536579</v>
      </c>
      <c r="I46" s="112">
        <v>0</v>
      </c>
      <c r="J46" s="112">
        <f t="shared" si="0"/>
        <v>0</v>
      </c>
      <c r="L46" s="112">
        <v>6</v>
      </c>
      <c r="M46" s="112">
        <f t="shared" si="1"/>
        <v>14.634146341463413</v>
      </c>
    </row>
    <row r="47" spans="1:13">
      <c r="A47" s="111" t="s">
        <v>181</v>
      </c>
      <c r="C47" s="112">
        <f t="shared" si="2"/>
        <v>29.5</v>
      </c>
      <c r="D47" s="139">
        <f t="shared" si="2"/>
        <v>100</v>
      </c>
      <c r="F47" s="112">
        <f>0/30+25.5</f>
        <v>25.5</v>
      </c>
      <c r="G47" s="112">
        <f t="shared" si="3"/>
        <v>86.440677966101703</v>
      </c>
      <c r="I47" s="112">
        <v>0</v>
      </c>
      <c r="J47" s="112">
        <f t="shared" si="0"/>
        <v>0</v>
      </c>
      <c r="L47" s="112">
        <v>4</v>
      </c>
      <c r="M47" s="112">
        <f t="shared" si="1"/>
        <v>13.559322033898304</v>
      </c>
    </row>
    <row r="48" spans="1:13">
      <c r="A48" s="111" t="s">
        <v>182</v>
      </c>
      <c r="C48" s="112">
        <f t="shared" si="2"/>
        <v>25.413333333333334</v>
      </c>
      <c r="D48" s="139">
        <f t="shared" si="2"/>
        <v>100</v>
      </c>
      <c r="F48" s="112">
        <f>16/30+21.38</f>
        <v>21.913333333333334</v>
      </c>
      <c r="G48" s="112">
        <f t="shared" si="3"/>
        <v>86.227701993704102</v>
      </c>
      <c r="I48" s="112">
        <v>0.5</v>
      </c>
      <c r="J48" s="112">
        <f t="shared" si="0"/>
        <v>1.9674711437565582</v>
      </c>
      <c r="L48" s="112">
        <v>3</v>
      </c>
      <c r="M48" s="112">
        <f t="shared" si="1"/>
        <v>11.804826862539349</v>
      </c>
    </row>
    <row r="49" spans="1:13">
      <c r="C49" s="112" t="str">
        <f t="shared" si="2"/>
        <v/>
      </c>
      <c r="D49" s="139" t="str">
        <f t="shared" si="2"/>
        <v/>
      </c>
      <c r="G49" s="112" t="str">
        <f t="shared" si="3"/>
        <v/>
      </c>
      <c r="J49" s="112" t="str">
        <f t="shared" si="0"/>
        <v/>
      </c>
      <c r="L49" s="112" t="s">
        <v>154</v>
      </c>
      <c r="M49" s="112" t="str">
        <f t="shared" si="1"/>
        <v/>
      </c>
    </row>
    <row r="50" spans="1:13">
      <c r="A50" s="111" t="s">
        <v>183</v>
      </c>
      <c r="C50" s="112">
        <f t="shared" si="2"/>
        <v>295.89333333333332</v>
      </c>
      <c r="D50" s="139">
        <f t="shared" si="2"/>
        <v>100</v>
      </c>
      <c r="F50" s="112">
        <f>SUM(F51:F58)</f>
        <v>238.39333333333332</v>
      </c>
      <c r="G50" s="112">
        <f t="shared" si="3"/>
        <v>80.567321557317953</v>
      </c>
      <c r="I50" s="112">
        <f>SUM(I51:I58)</f>
        <v>19.5</v>
      </c>
      <c r="J50" s="112">
        <f t="shared" si="0"/>
        <v>6.5902126892573909</v>
      </c>
      <c r="L50" s="112">
        <f>SUM(L51:L58)</f>
        <v>38</v>
      </c>
      <c r="M50" s="112">
        <f t="shared" si="1"/>
        <v>12.842465753424658</v>
      </c>
    </row>
    <row r="51" spans="1:13">
      <c r="A51" s="111" t="s">
        <v>184</v>
      </c>
      <c r="C51" s="112">
        <f t="shared" si="2"/>
        <v>32.75</v>
      </c>
      <c r="D51" s="139">
        <f t="shared" si="2"/>
        <v>100</v>
      </c>
      <c r="F51" s="112">
        <f>0/30+26.75</f>
        <v>26.75</v>
      </c>
      <c r="G51" s="112">
        <f t="shared" si="3"/>
        <v>81.679389312977108</v>
      </c>
      <c r="I51" s="112">
        <v>1</v>
      </c>
      <c r="J51" s="112">
        <f t="shared" si="0"/>
        <v>3.0534351145038165</v>
      </c>
      <c r="L51" s="112">
        <v>5</v>
      </c>
      <c r="M51" s="112">
        <f t="shared" si="1"/>
        <v>15.267175572519085</v>
      </c>
    </row>
    <row r="52" spans="1:13">
      <c r="A52" s="111" t="s">
        <v>185</v>
      </c>
      <c r="C52" s="112">
        <f t="shared" si="2"/>
        <v>50.658333333333331</v>
      </c>
      <c r="D52" s="139">
        <f t="shared" si="2"/>
        <v>100.00000000000001</v>
      </c>
      <c r="F52" s="112">
        <f>(8)/2/30+57/30+34.625</f>
        <v>36.658333333333331</v>
      </c>
      <c r="G52" s="112">
        <f t="shared" si="3"/>
        <v>72.363875637440373</v>
      </c>
      <c r="I52" s="112">
        <v>10</v>
      </c>
      <c r="J52" s="112">
        <f t="shared" si="0"/>
        <v>19.740088830399738</v>
      </c>
      <c r="L52" s="112">
        <v>4</v>
      </c>
      <c r="M52" s="112">
        <f t="shared" si="1"/>
        <v>7.8960355321598952</v>
      </c>
    </row>
    <row r="53" spans="1:13">
      <c r="A53" s="111" t="s">
        <v>186</v>
      </c>
      <c r="C53" s="112">
        <f t="shared" si="2"/>
        <v>32.875</v>
      </c>
      <c r="D53" s="139">
        <f t="shared" si="2"/>
        <v>100</v>
      </c>
      <c r="F53" s="112">
        <v>26.375</v>
      </c>
      <c r="G53" s="112">
        <f t="shared" si="3"/>
        <v>80.228136882129277</v>
      </c>
      <c r="I53" s="112">
        <v>0.5</v>
      </c>
      <c r="J53" s="112">
        <f t="shared" si="0"/>
        <v>1.520912547528517</v>
      </c>
      <c r="L53" s="112">
        <v>6</v>
      </c>
      <c r="M53" s="112">
        <f t="shared" si="1"/>
        <v>18.250950570342205</v>
      </c>
    </row>
    <row r="54" spans="1:13">
      <c r="A54" s="111" t="s">
        <v>187</v>
      </c>
      <c r="C54" s="112">
        <f t="shared" si="2"/>
        <v>35.333333333333329</v>
      </c>
      <c r="D54" s="139">
        <f t="shared" si="2"/>
        <v>100.00000000000001</v>
      </c>
      <c r="F54" s="112">
        <f>14/30+11/30+30.5</f>
        <v>31.333333333333332</v>
      </c>
      <c r="G54" s="112">
        <f t="shared" si="3"/>
        <v>88.679245283018886</v>
      </c>
      <c r="I54" s="112">
        <v>0</v>
      </c>
      <c r="J54" s="112">
        <f t="shared" si="0"/>
        <v>0</v>
      </c>
      <c r="L54" s="112">
        <v>4</v>
      </c>
      <c r="M54" s="112">
        <f t="shared" si="1"/>
        <v>11.320754716981133</v>
      </c>
    </row>
    <row r="55" spans="1:13">
      <c r="A55" s="111" t="s">
        <v>188</v>
      </c>
      <c r="C55" s="112">
        <f t="shared" si="2"/>
        <v>36.183333333333337</v>
      </c>
      <c r="D55" s="139">
        <f t="shared" si="2"/>
        <v>100</v>
      </c>
      <c r="F55" s="112">
        <f>17.5/30+3/30+29.5</f>
        <v>30.183333333333334</v>
      </c>
      <c r="G55" s="112">
        <f t="shared" si="3"/>
        <v>83.41777982496545</v>
      </c>
      <c r="I55" s="112">
        <v>0</v>
      </c>
      <c r="J55" s="112">
        <f t="shared" si="0"/>
        <v>0</v>
      </c>
      <c r="L55" s="112">
        <v>6</v>
      </c>
      <c r="M55" s="112">
        <f t="shared" si="1"/>
        <v>16.582220175034546</v>
      </c>
    </row>
    <row r="56" spans="1:13">
      <c r="A56" s="111" t="s">
        <v>189</v>
      </c>
      <c r="C56" s="112">
        <f t="shared" si="2"/>
        <v>56.46</v>
      </c>
      <c r="D56" s="139">
        <f t="shared" si="2"/>
        <v>100</v>
      </c>
      <c r="F56" s="112">
        <v>47.96</v>
      </c>
      <c r="G56" s="112">
        <f t="shared" si="3"/>
        <v>84.945093871767625</v>
      </c>
      <c r="I56" s="112">
        <v>3.5</v>
      </c>
      <c r="J56" s="112">
        <f t="shared" si="0"/>
        <v>6.1990789939780377</v>
      </c>
      <c r="L56" s="112">
        <v>5</v>
      </c>
      <c r="M56" s="112">
        <f t="shared" si="1"/>
        <v>8.8558271342543389</v>
      </c>
    </row>
    <row r="57" spans="1:13">
      <c r="A57" s="111" t="s">
        <v>190</v>
      </c>
      <c r="C57" s="112">
        <f t="shared" si="2"/>
        <v>26.25</v>
      </c>
      <c r="D57" s="139">
        <f t="shared" si="2"/>
        <v>100</v>
      </c>
      <c r="F57" s="112">
        <f>0/30+18.75</f>
        <v>18.75</v>
      </c>
      <c r="G57" s="112">
        <f t="shared" si="3"/>
        <v>71.428571428571431</v>
      </c>
      <c r="I57" s="112">
        <v>3.5</v>
      </c>
      <c r="J57" s="112">
        <f t="shared" si="0"/>
        <v>13.333333333333334</v>
      </c>
      <c r="L57" s="112">
        <v>4</v>
      </c>
      <c r="M57" s="112">
        <f t="shared" si="1"/>
        <v>15.238095238095239</v>
      </c>
    </row>
    <row r="58" spans="1:13">
      <c r="A58" s="111" t="s">
        <v>191</v>
      </c>
      <c r="C58" s="112">
        <f t="shared" si="2"/>
        <v>25.383333333333333</v>
      </c>
      <c r="D58" s="139">
        <f t="shared" si="2"/>
        <v>99.999999999999986</v>
      </c>
      <c r="F58" s="112">
        <f>4/30+20.25</f>
        <v>20.383333333333333</v>
      </c>
      <c r="G58" s="112">
        <f t="shared" si="3"/>
        <v>80.302035456336171</v>
      </c>
      <c r="I58" s="112">
        <v>1</v>
      </c>
      <c r="J58" s="112">
        <f t="shared" si="0"/>
        <v>3.9395929087327639</v>
      </c>
      <c r="L58" s="112">
        <v>4</v>
      </c>
      <c r="M58" s="112">
        <f t="shared" si="1"/>
        <v>15.758371634931056</v>
      </c>
    </row>
    <row r="60" spans="1:13">
      <c r="A60" s="111" t="s">
        <v>192</v>
      </c>
      <c r="C60" s="112">
        <f t="shared" si="2"/>
        <v>101.333</v>
      </c>
      <c r="D60" s="139">
        <f t="shared" si="2"/>
        <v>100</v>
      </c>
      <c r="F60" s="112">
        <f>48/30+162/30+56.083</f>
        <v>63.082999999999998</v>
      </c>
      <c r="G60" s="112">
        <f t="shared" si="3"/>
        <v>62.253165306464822</v>
      </c>
      <c r="I60" s="112">
        <v>2.5</v>
      </c>
      <c r="J60" s="112">
        <f t="shared" si="0"/>
        <v>2.4671133786624297</v>
      </c>
      <c r="L60" s="112">
        <v>35.75</v>
      </c>
      <c r="M60" s="112">
        <f t="shared" si="1"/>
        <v>35.279721314872745</v>
      </c>
    </row>
    <row r="61" spans="1:13">
      <c r="C61" s="112" t="str">
        <f t="shared" si="2"/>
        <v/>
      </c>
      <c r="D61" s="139" t="str">
        <f t="shared" si="2"/>
        <v/>
      </c>
      <c r="G61" s="112" t="str">
        <f t="shared" si="3"/>
        <v/>
      </c>
      <c r="J61" s="112" t="str">
        <f t="shared" si="0"/>
        <v/>
      </c>
      <c r="L61" s="112" t="s">
        <v>154</v>
      </c>
      <c r="M61" s="112" t="str">
        <f t="shared" si="1"/>
        <v/>
      </c>
    </row>
    <row r="62" spans="1:13">
      <c r="A62" s="111" t="s">
        <v>193</v>
      </c>
      <c r="C62" s="112">
        <f t="shared" si="2"/>
        <v>183.70833333333334</v>
      </c>
      <c r="D62" s="139">
        <f t="shared" si="2"/>
        <v>100</v>
      </c>
      <c r="F62" s="112">
        <f>SUM(F63:F67)</f>
        <v>151.70833333333334</v>
      </c>
      <c r="G62" s="112">
        <f t="shared" si="3"/>
        <v>82.581084146064867</v>
      </c>
      <c r="I62" s="112">
        <f>SUM(I63:I67)</f>
        <v>1.5</v>
      </c>
      <c r="J62" s="112">
        <f t="shared" si="0"/>
        <v>0.81651168065320934</v>
      </c>
      <c r="L62" s="112">
        <f>SUM(L63:L67)</f>
        <v>30.5</v>
      </c>
      <c r="M62" s="112">
        <f t="shared" si="1"/>
        <v>16.602404173281922</v>
      </c>
    </row>
    <row r="63" spans="1:13">
      <c r="A63" s="111" t="s">
        <v>194</v>
      </c>
      <c r="C63" s="112">
        <f t="shared" si="2"/>
        <v>18.899999999999999</v>
      </c>
      <c r="D63" s="139">
        <f t="shared" si="2"/>
        <v>100.00000000000001</v>
      </c>
      <c r="F63" s="112">
        <f>(17+37)/30/2+15</f>
        <v>15.9</v>
      </c>
      <c r="G63" s="112">
        <f t="shared" si="3"/>
        <v>84.126984126984141</v>
      </c>
      <c r="I63" s="112">
        <v>0</v>
      </c>
      <c r="J63" s="112">
        <f t="shared" si="0"/>
        <v>0</v>
      </c>
      <c r="L63" s="112">
        <v>3</v>
      </c>
      <c r="M63" s="112">
        <f t="shared" si="1"/>
        <v>15.873015873015875</v>
      </c>
    </row>
    <row r="64" spans="1:13">
      <c r="A64" s="111" t="s">
        <v>195</v>
      </c>
      <c r="C64" s="112">
        <f t="shared" si="2"/>
        <v>61.241666666666667</v>
      </c>
      <c r="D64" s="139">
        <f t="shared" si="2"/>
        <v>100</v>
      </c>
      <c r="F64" s="112">
        <f>64.5/30+14/30+49.625</f>
        <v>52.241666666666667</v>
      </c>
      <c r="G64" s="112">
        <f t="shared" si="3"/>
        <v>85.304123009933321</v>
      </c>
      <c r="I64" s="112">
        <v>0</v>
      </c>
      <c r="J64" s="112">
        <f t="shared" si="0"/>
        <v>0</v>
      </c>
      <c r="L64" s="112">
        <v>9</v>
      </c>
      <c r="M64" s="112">
        <f t="shared" si="1"/>
        <v>14.695876990066676</v>
      </c>
    </row>
    <row r="65" spans="1:13">
      <c r="A65" s="111" t="s">
        <v>196</v>
      </c>
      <c r="C65" s="112">
        <f t="shared" si="2"/>
        <v>37.75</v>
      </c>
      <c r="D65" s="139">
        <f t="shared" si="2"/>
        <v>99.999999999999986</v>
      </c>
      <c r="F65" s="112">
        <f>(39+47)/2/30+17/30+30.75</f>
        <v>32.75</v>
      </c>
      <c r="G65" s="112">
        <f t="shared" si="3"/>
        <v>86.754966887417211</v>
      </c>
      <c r="I65" s="112">
        <v>1</v>
      </c>
      <c r="J65" s="112">
        <f t="shared" si="0"/>
        <v>2.6490066225165565</v>
      </c>
      <c r="L65" s="112">
        <v>4</v>
      </c>
      <c r="M65" s="112">
        <f t="shared" si="1"/>
        <v>10.596026490066226</v>
      </c>
    </row>
    <row r="66" spans="1:13">
      <c r="A66" s="111" t="s">
        <v>197</v>
      </c>
      <c r="C66" s="112">
        <f t="shared" si="2"/>
        <v>24.25</v>
      </c>
      <c r="D66" s="139">
        <f t="shared" si="2"/>
        <v>100</v>
      </c>
      <c r="F66" s="112">
        <f>(35+40)/2/30+18.5</f>
        <v>19.75</v>
      </c>
      <c r="G66" s="112">
        <f t="shared" si="3"/>
        <v>81.44329896907216</v>
      </c>
      <c r="I66" s="112">
        <v>0</v>
      </c>
      <c r="J66" s="112">
        <f t="shared" si="0"/>
        <v>0</v>
      </c>
      <c r="L66" s="112">
        <v>4.5</v>
      </c>
      <c r="M66" s="112">
        <f t="shared" si="1"/>
        <v>18.556701030927837</v>
      </c>
    </row>
    <row r="67" spans="1:13">
      <c r="A67" s="111" t="s">
        <v>198</v>
      </c>
      <c r="C67" s="112">
        <f t="shared" si="2"/>
        <v>41.566666666666663</v>
      </c>
      <c r="D67" s="139">
        <f t="shared" si="2"/>
        <v>100.00000000000001</v>
      </c>
      <c r="F67" s="112">
        <f>1.5/30+8/30+30.75</f>
        <v>31.066666666666666</v>
      </c>
      <c r="G67" s="112">
        <f t="shared" si="3"/>
        <v>74.739374498797119</v>
      </c>
      <c r="I67" s="112">
        <v>0.5</v>
      </c>
      <c r="J67" s="112">
        <f t="shared" si="0"/>
        <v>1.2028869286287092</v>
      </c>
      <c r="L67" s="112">
        <v>10</v>
      </c>
      <c r="M67" s="112">
        <f t="shared" si="1"/>
        <v>24.057738572574181</v>
      </c>
    </row>
    <row r="68" spans="1:13">
      <c r="C68" s="112" t="str">
        <f t="shared" si="2"/>
        <v/>
      </c>
      <c r="D68" s="139" t="str">
        <f t="shared" si="2"/>
        <v/>
      </c>
      <c r="G68" s="112" t="str">
        <f t="shared" si="3"/>
        <v/>
      </c>
      <c r="J68" s="112" t="str">
        <f t="shared" si="0"/>
        <v/>
      </c>
      <c r="L68" s="112" t="s">
        <v>154</v>
      </c>
      <c r="M68" s="112" t="str">
        <f t="shared" si="1"/>
        <v/>
      </c>
    </row>
    <row r="69" spans="1:13">
      <c r="A69" s="111" t="s">
        <v>199</v>
      </c>
      <c r="C69" s="112">
        <f t="shared" si="2"/>
        <v>659.00766666666664</v>
      </c>
      <c r="D69" s="139">
        <f t="shared" si="2"/>
        <v>100</v>
      </c>
      <c r="F69" s="112">
        <f>F71+F74+F81+F83</f>
        <v>427.63266666666669</v>
      </c>
      <c r="G69" s="112">
        <f t="shared" si="3"/>
        <v>64.890393283234445</v>
      </c>
      <c r="I69" s="112">
        <f>I71+I74+I81+I83</f>
        <v>96.125</v>
      </c>
      <c r="J69" s="112">
        <f t="shared" si="0"/>
        <v>14.586324994701631</v>
      </c>
      <c r="L69" s="112">
        <f>L71+L74+L81+L83</f>
        <v>135.25</v>
      </c>
      <c r="M69" s="112">
        <f t="shared" si="1"/>
        <v>20.523281722063931</v>
      </c>
    </row>
    <row r="70" spans="1:13">
      <c r="C70" s="112" t="str">
        <f t="shared" si="2"/>
        <v/>
      </c>
      <c r="D70" s="139" t="str">
        <f t="shared" si="2"/>
        <v/>
      </c>
      <c r="G70" s="112" t="str">
        <f t="shared" si="3"/>
        <v/>
      </c>
      <c r="J70" s="112" t="str">
        <f t="shared" si="0"/>
        <v/>
      </c>
      <c r="L70" s="112" t="s">
        <v>154</v>
      </c>
      <c r="M70" s="112" t="str">
        <f t="shared" si="1"/>
        <v/>
      </c>
    </row>
    <row r="71" spans="1:13">
      <c r="A71" s="111" t="s">
        <v>200</v>
      </c>
      <c r="C71" s="112">
        <f t="shared" si="2"/>
        <v>69.040666666666667</v>
      </c>
      <c r="D71" s="139">
        <f t="shared" si="2"/>
        <v>99.999999999999986</v>
      </c>
      <c r="F71" s="112">
        <f>SUM(F72:F72)</f>
        <v>42.540666666666667</v>
      </c>
      <c r="G71" s="112">
        <f t="shared" si="3"/>
        <v>61.616824866503791</v>
      </c>
      <c r="I71" s="112">
        <f>SUM(I72:I72)</f>
        <v>10</v>
      </c>
      <c r="J71" s="112">
        <f t="shared" si="0"/>
        <v>14.484217031508001</v>
      </c>
      <c r="L71" s="112">
        <f>SUM(L72:L72)</f>
        <v>16.5</v>
      </c>
      <c r="M71" s="112">
        <f t="shared" si="1"/>
        <v>23.8989581019882</v>
      </c>
    </row>
    <row r="72" spans="1:13" hidden="1">
      <c r="A72" s="111" t="s">
        <v>201</v>
      </c>
      <c r="C72" s="112">
        <f t="shared" si="2"/>
        <v>69.040666666666667</v>
      </c>
      <c r="D72" s="139">
        <f t="shared" si="2"/>
        <v>99.999999999999986</v>
      </c>
      <c r="F72" s="112">
        <f>5.5/30+4/30+42.224</f>
        <v>42.540666666666667</v>
      </c>
      <c r="G72" s="112">
        <f t="shared" si="3"/>
        <v>61.616824866503791</v>
      </c>
      <c r="I72" s="112">
        <v>10</v>
      </c>
      <c r="J72" s="112">
        <f t="shared" si="0"/>
        <v>14.484217031508001</v>
      </c>
      <c r="L72" s="112">
        <v>16.5</v>
      </c>
      <c r="M72" s="112">
        <f t="shared" si="1"/>
        <v>23.8989581019882</v>
      </c>
    </row>
    <row r="73" spans="1:13">
      <c r="C73" s="112" t="str">
        <f t="shared" si="2"/>
        <v/>
      </c>
      <c r="D73" s="139" t="str">
        <f t="shared" si="2"/>
        <v/>
      </c>
      <c r="G73" s="112" t="str">
        <f t="shared" si="3"/>
        <v/>
      </c>
      <c r="J73" s="112" t="str">
        <f t="shared" si="0"/>
        <v/>
      </c>
      <c r="L73" s="112" t="s">
        <v>154</v>
      </c>
      <c r="M73" s="112" t="str">
        <f t="shared" si="1"/>
        <v/>
      </c>
    </row>
    <row r="74" spans="1:13">
      <c r="A74" s="111" t="s">
        <v>202</v>
      </c>
      <c r="C74" s="112">
        <f t="shared" si="2"/>
        <v>350.17500000000001</v>
      </c>
      <c r="D74" s="139">
        <f t="shared" si="2"/>
        <v>100</v>
      </c>
      <c r="F74" s="112">
        <f>SUM(F75:F79)</f>
        <v>262.42500000000001</v>
      </c>
      <c r="G74" s="112">
        <f t="shared" si="3"/>
        <v>74.94110087813236</v>
      </c>
      <c r="I74" s="112">
        <f>SUM(I75:I79)</f>
        <v>21.25</v>
      </c>
      <c r="J74" s="112">
        <f t="shared" si="0"/>
        <v>6.0683943742414499</v>
      </c>
      <c r="L74" s="112">
        <f>SUM(L75:L79)</f>
        <v>66.5</v>
      </c>
      <c r="M74" s="112">
        <f t="shared" si="1"/>
        <v>18.990504747626186</v>
      </c>
    </row>
    <row r="75" spans="1:13">
      <c r="A75" s="111" t="s">
        <v>203</v>
      </c>
      <c r="C75" s="112">
        <f t="shared" si="2"/>
        <v>182.8</v>
      </c>
      <c r="D75" s="139">
        <f t="shared" si="2"/>
        <v>100</v>
      </c>
      <c r="F75" s="112">
        <v>130.55000000000001</v>
      </c>
      <c r="G75" s="112">
        <f t="shared" si="3"/>
        <v>71.416849015317283</v>
      </c>
      <c r="I75" s="112">
        <v>18.25</v>
      </c>
      <c r="J75" s="112">
        <f t="shared" si="0"/>
        <v>9.9835886214442002</v>
      </c>
      <c r="L75" s="112">
        <v>34</v>
      </c>
      <c r="M75" s="112">
        <f t="shared" si="1"/>
        <v>18.599562363238512</v>
      </c>
    </row>
    <row r="76" spans="1:13">
      <c r="A76" s="111" t="s">
        <v>204</v>
      </c>
      <c r="C76" s="112">
        <f t="shared" ref="C76:D143" si="4">IF($A76&lt;&gt;0,F76+I76+L76,"")</f>
        <v>63.75</v>
      </c>
      <c r="D76" s="139">
        <f t="shared" si="4"/>
        <v>100.00000000000001</v>
      </c>
      <c r="F76" s="112">
        <v>49.25</v>
      </c>
      <c r="G76" s="112">
        <f t="shared" si="3"/>
        <v>77.254901960784323</v>
      </c>
      <c r="I76" s="112">
        <v>0</v>
      </c>
      <c r="J76" s="112">
        <f t="shared" ref="J76:J143" si="5">IF($A76&lt;&gt;0,I76/$C76*100,"")</f>
        <v>0</v>
      </c>
      <c r="L76" s="112">
        <v>14.5</v>
      </c>
      <c r="M76" s="112">
        <f t="shared" ref="M76:M143" si="6">IF($A76&lt;&gt;0,L76/$C76*100,"")</f>
        <v>22.745098039215687</v>
      </c>
    </row>
    <row r="77" spans="1:13">
      <c r="A77" s="111" t="s">
        <v>205</v>
      </c>
      <c r="C77" s="112">
        <f t="shared" si="4"/>
        <v>19.625</v>
      </c>
      <c r="D77" s="139">
        <f t="shared" si="4"/>
        <v>100</v>
      </c>
      <c r="F77" s="112">
        <v>15.625</v>
      </c>
      <c r="G77" s="112">
        <f t="shared" ref="G77:G144" si="7">IF($A77&lt;&gt;0,F77/$C77*100,"")</f>
        <v>79.617834394904463</v>
      </c>
      <c r="I77" s="112">
        <v>0</v>
      </c>
      <c r="J77" s="112">
        <f t="shared" si="5"/>
        <v>0</v>
      </c>
      <c r="L77" s="112">
        <v>4</v>
      </c>
      <c r="M77" s="112">
        <f t="shared" si="6"/>
        <v>20.382165605095544</v>
      </c>
    </row>
    <row r="78" spans="1:13">
      <c r="A78" s="111" t="s">
        <v>206</v>
      </c>
      <c r="C78" s="112">
        <f t="shared" si="4"/>
        <v>35.5</v>
      </c>
      <c r="D78" s="139">
        <f t="shared" si="4"/>
        <v>100</v>
      </c>
      <c r="F78" s="25">
        <v>28.5</v>
      </c>
      <c r="G78" s="112">
        <f t="shared" si="7"/>
        <v>80.281690140845072</v>
      </c>
      <c r="I78" s="112">
        <v>1</v>
      </c>
      <c r="J78" s="112">
        <f t="shared" si="5"/>
        <v>2.8169014084507045</v>
      </c>
      <c r="L78" s="112">
        <v>6</v>
      </c>
      <c r="M78" s="112">
        <f t="shared" si="6"/>
        <v>16.901408450704224</v>
      </c>
    </row>
    <row r="79" spans="1:13">
      <c r="A79" s="111" t="s">
        <v>207</v>
      </c>
      <c r="C79" s="112">
        <f t="shared" si="4"/>
        <v>48.5</v>
      </c>
      <c r="D79" s="139">
        <f t="shared" si="4"/>
        <v>100</v>
      </c>
      <c r="F79" s="112">
        <v>38.5</v>
      </c>
      <c r="G79" s="112">
        <f t="shared" si="7"/>
        <v>79.381443298969074</v>
      </c>
      <c r="I79" s="112">
        <v>2</v>
      </c>
      <c r="J79" s="112">
        <f t="shared" si="5"/>
        <v>4.1237113402061851</v>
      </c>
      <c r="L79" s="112">
        <v>8</v>
      </c>
      <c r="M79" s="112">
        <f t="shared" si="6"/>
        <v>16.494845360824741</v>
      </c>
    </row>
    <row r="80" spans="1:13">
      <c r="C80" s="112" t="str">
        <f t="shared" si="4"/>
        <v/>
      </c>
      <c r="D80" s="139" t="str">
        <f t="shared" si="4"/>
        <v/>
      </c>
      <c r="G80" s="112" t="str">
        <f t="shared" si="7"/>
        <v/>
      </c>
      <c r="J80" s="112" t="str">
        <f t="shared" si="5"/>
        <v/>
      </c>
      <c r="L80" s="112" t="s">
        <v>154</v>
      </c>
      <c r="M80" s="112" t="str">
        <f t="shared" si="6"/>
        <v/>
      </c>
    </row>
    <row r="81" spans="1:13">
      <c r="A81" s="111" t="s">
        <v>208</v>
      </c>
      <c r="C81" s="112">
        <f t="shared" si="4"/>
        <v>94.74199999999999</v>
      </c>
      <c r="D81" s="139">
        <f t="shared" si="4"/>
        <v>100.00000000000001</v>
      </c>
      <c r="F81" s="112">
        <v>45.741999999999997</v>
      </c>
      <c r="G81" s="112">
        <f t="shared" si="7"/>
        <v>48.280593612125564</v>
      </c>
      <c r="I81" s="112">
        <v>27</v>
      </c>
      <c r="J81" s="112">
        <f t="shared" si="5"/>
        <v>28.498448417808365</v>
      </c>
      <c r="L81" s="112">
        <v>22</v>
      </c>
      <c r="M81" s="112">
        <f t="shared" si="6"/>
        <v>23.220957970066078</v>
      </c>
    </row>
    <row r="82" spans="1:13">
      <c r="C82" s="112" t="str">
        <f t="shared" si="4"/>
        <v/>
      </c>
      <c r="D82" s="139" t="str">
        <f t="shared" si="4"/>
        <v/>
      </c>
      <c r="G82" s="112" t="str">
        <f t="shared" si="7"/>
        <v/>
      </c>
      <c r="J82" s="112" t="str">
        <f t="shared" si="5"/>
        <v/>
      </c>
      <c r="L82" s="112" t="s">
        <v>154</v>
      </c>
      <c r="M82" s="112" t="str">
        <f t="shared" si="6"/>
        <v/>
      </c>
    </row>
    <row r="83" spans="1:13">
      <c r="A83" s="111" t="s">
        <v>209</v>
      </c>
      <c r="C83" s="112">
        <f t="shared" si="4"/>
        <v>145.05000000000001</v>
      </c>
      <c r="D83" s="139">
        <f t="shared" si="4"/>
        <v>99.999999999999986</v>
      </c>
      <c r="F83" s="112">
        <f>18.5/30+88/30+73.375</f>
        <v>76.924999999999997</v>
      </c>
      <c r="G83" s="112">
        <f t="shared" si="7"/>
        <v>53.033436745949672</v>
      </c>
      <c r="I83" s="112">
        <v>37.875</v>
      </c>
      <c r="J83" s="112">
        <f t="shared" si="5"/>
        <v>26.111685625646324</v>
      </c>
      <c r="L83" s="112">
        <v>30.25</v>
      </c>
      <c r="M83" s="112">
        <f t="shared" si="6"/>
        <v>20.854877628403997</v>
      </c>
    </row>
    <row r="84" spans="1:13">
      <c r="C84" s="112" t="str">
        <f t="shared" si="4"/>
        <v/>
      </c>
      <c r="D84" s="139" t="str">
        <f t="shared" si="4"/>
        <v/>
      </c>
      <c r="G84" s="112" t="str">
        <f t="shared" si="7"/>
        <v/>
      </c>
      <c r="J84" s="112" t="str">
        <f t="shared" si="5"/>
        <v/>
      </c>
      <c r="L84" s="112" t="s">
        <v>154</v>
      </c>
      <c r="M84" s="112" t="str">
        <f t="shared" si="6"/>
        <v/>
      </c>
    </row>
    <row r="85" spans="1:13">
      <c r="A85" s="111" t="s">
        <v>210</v>
      </c>
      <c r="C85" s="112">
        <f t="shared" si="4"/>
        <v>116.50033333333334</v>
      </c>
      <c r="D85" s="139">
        <f t="shared" si="4"/>
        <v>100</v>
      </c>
      <c r="F85" s="112">
        <f>F86</f>
        <v>88.500333333333344</v>
      </c>
      <c r="G85" s="112">
        <f t="shared" si="7"/>
        <v>75.965734003622316</v>
      </c>
      <c r="I85" s="112">
        <f>I86</f>
        <v>14</v>
      </c>
      <c r="J85" s="112">
        <f t="shared" si="5"/>
        <v>12.017132998188846</v>
      </c>
      <c r="L85" s="112">
        <f>L86</f>
        <v>14</v>
      </c>
      <c r="M85" s="112">
        <f t="shared" si="6"/>
        <v>12.017132998188846</v>
      </c>
    </row>
    <row r="86" spans="1:13" ht="15" customHeight="1">
      <c r="A86" s="111" t="s">
        <v>211</v>
      </c>
      <c r="C86" s="112">
        <f t="shared" si="4"/>
        <v>116.50033333333334</v>
      </c>
      <c r="D86" s="139">
        <f t="shared" si="4"/>
        <v>100</v>
      </c>
      <c r="F86" s="112">
        <f>SUM(F87:F90)</f>
        <v>88.500333333333344</v>
      </c>
      <c r="G86" s="112">
        <f t="shared" si="7"/>
        <v>75.965734003622316</v>
      </c>
      <c r="I86" s="112">
        <f>SUM(I87:I90)</f>
        <v>14</v>
      </c>
      <c r="J86" s="112">
        <f t="shared" si="5"/>
        <v>12.017132998188846</v>
      </c>
      <c r="L86" s="112">
        <f>SUM(L87:L90)</f>
        <v>14</v>
      </c>
      <c r="M86" s="112">
        <f t="shared" si="6"/>
        <v>12.017132998188846</v>
      </c>
    </row>
    <row r="87" spans="1:13">
      <c r="A87" s="111" t="s">
        <v>212</v>
      </c>
      <c r="C87" s="112">
        <f t="shared" si="4"/>
        <v>22.8</v>
      </c>
      <c r="D87" s="139">
        <f t="shared" si="4"/>
        <v>100.00000000000001</v>
      </c>
      <c r="F87" s="112">
        <f>3/30+6/30+19.5</f>
        <v>19.8</v>
      </c>
      <c r="G87" s="112">
        <f t="shared" si="7"/>
        <v>86.842105263157904</v>
      </c>
      <c r="I87" s="112">
        <v>0</v>
      </c>
      <c r="J87" s="112">
        <f t="shared" si="5"/>
        <v>0</v>
      </c>
      <c r="L87" s="112">
        <v>3</v>
      </c>
      <c r="M87" s="112">
        <f t="shared" si="6"/>
        <v>13.157894736842104</v>
      </c>
    </row>
    <row r="88" spans="1:13">
      <c r="A88" s="111" t="s">
        <v>213</v>
      </c>
      <c r="C88" s="112">
        <f t="shared" si="4"/>
        <v>44.017000000000003</v>
      </c>
      <c r="D88" s="139">
        <f t="shared" si="4"/>
        <v>100</v>
      </c>
      <c r="F88" s="112">
        <v>35.017000000000003</v>
      </c>
      <c r="G88" s="112">
        <f t="shared" si="7"/>
        <v>79.553354385805491</v>
      </c>
      <c r="I88" s="112">
        <v>6</v>
      </c>
      <c r="J88" s="112">
        <f t="shared" si="5"/>
        <v>13.631097076129675</v>
      </c>
      <c r="L88" s="112">
        <v>3</v>
      </c>
      <c r="M88" s="112">
        <f t="shared" si="6"/>
        <v>6.8155485380648377</v>
      </c>
    </row>
    <row r="89" spans="1:13">
      <c r="A89" s="111" t="s">
        <v>214</v>
      </c>
      <c r="C89" s="112">
        <f t="shared" si="4"/>
        <v>25.433333333333334</v>
      </c>
      <c r="D89" s="139">
        <f t="shared" si="4"/>
        <v>100</v>
      </c>
      <c r="F89" s="112">
        <f>9/30+4/30+18</f>
        <v>18.433333333333334</v>
      </c>
      <c r="G89" s="112">
        <f t="shared" si="7"/>
        <v>72.477064220183479</v>
      </c>
      <c r="I89" s="112">
        <v>4</v>
      </c>
      <c r="J89" s="112">
        <f t="shared" si="5"/>
        <v>15.727391874180865</v>
      </c>
      <c r="L89" s="112">
        <v>3</v>
      </c>
      <c r="M89" s="112">
        <f t="shared" si="6"/>
        <v>11.795543905635649</v>
      </c>
    </row>
    <row r="90" spans="1:13">
      <c r="A90" s="111" t="s">
        <v>215</v>
      </c>
      <c r="C90" s="112">
        <f t="shared" si="4"/>
        <v>24.25</v>
      </c>
      <c r="D90" s="139">
        <f t="shared" si="4"/>
        <v>99.999999999999986</v>
      </c>
      <c r="F90" s="112">
        <v>15.25</v>
      </c>
      <c r="G90" s="112">
        <f t="shared" si="7"/>
        <v>62.886597938144327</v>
      </c>
      <c r="I90" s="112">
        <v>4</v>
      </c>
      <c r="J90" s="112">
        <f t="shared" si="5"/>
        <v>16.494845360824741</v>
      </c>
      <c r="L90" s="112">
        <v>5</v>
      </c>
      <c r="M90" s="112">
        <f t="shared" si="6"/>
        <v>20.618556701030926</v>
      </c>
    </row>
    <row r="91" spans="1:13">
      <c r="C91" s="112" t="str">
        <f t="shared" si="4"/>
        <v/>
      </c>
      <c r="D91" s="139" t="str">
        <f t="shared" si="4"/>
        <v/>
      </c>
      <c r="L91" s="112" t="s">
        <v>154</v>
      </c>
      <c r="M91" s="112" t="str">
        <f t="shared" si="6"/>
        <v/>
      </c>
    </row>
    <row r="92" spans="1:13">
      <c r="A92" s="111" t="s">
        <v>216</v>
      </c>
      <c r="C92" s="112">
        <f t="shared" si="4"/>
        <v>325.50666666666666</v>
      </c>
      <c r="D92" s="139">
        <f t="shared" si="4"/>
        <v>100.00000000000001</v>
      </c>
      <c r="F92" s="112">
        <f>SUM(F93)</f>
        <v>241.75666666666669</v>
      </c>
      <c r="G92" s="112">
        <f t="shared" si="7"/>
        <v>74.270880268709305</v>
      </c>
      <c r="I92" s="112">
        <f>SUM(I93)</f>
        <v>18.5</v>
      </c>
      <c r="J92" s="112">
        <f t="shared" si="5"/>
        <v>5.6834473436283952</v>
      </c>
      <c r="L92" s="112">
        <f>SUM(L93)</f>
        <v>65.25</v>
      </c>
      <c r="M92" s="112">
        <f t="shared" si="6"/>
        <v>20.045672387662311</v>
      </c>
    </row>
    <row r="93" spans="1:13">
      <c r="A93" s="111" t="s">
        <v>217</v>
      </c>
      <c r="C93" s="112">
        <f t="shared" si="4"/>
        <v>325.50666666666666</v>
      </c>
      <c r="D93" s="139">
        <f t="shared" si="4"/>
        <v>100.00000000000001</v>
      </c>
      <c r="F93" s="112">
        <f>SUM(F94:F102)</f>
        <v>241.75666666666669</v>
      </c>
      <c r="G93" s="112">
        <f t="shared" si="7"/>
        <v>74.270880268709305</v>
      </c>
      <c r="I93" s="112">
        <f>SUM(I94:I102)</f>
        <v>18.5</v>
      </c>
      <c r="J93" s="112">
        <f t="shared" si="5"/>
        <v>5.6834473436283952</v>
      </c>
      <c r="L93" s="112">
        <f>SUM(L94:L102)</f>
        <v>65.25</v>
      </c>
      <c r="M93" s="112">
        <f t="shared" si="6"/>
        <v>20.045672387662311</v>
      </c>
    </row>
    <row r="94" spans="1:13">
      <c r="A94" s="111" t="s">
        <v>218</v>
      </c>
      <c r="C94" s="112">
        <f t="shared" si="4"/>
        <v>51.59</v>
      </c>
      <c r="D94" s="139">
        <f t="shared" si="4"/>
        <v>100</v>
      </c>
      <c r="F94" s="112">
        <v>37.090000000000003</v>
      </c>
      <c r="G94" s="112">
        <f t="shared" si="7"/>
        <v>71.893777863927127</v>
      </c>
      <c r="I94" s="112">
        <v>5.5</v>
      </c>
      <c r="J94" s="112">
        <f t="shared" si="5"/>
        <v>10.660980810234541</v>
      </c>
      <c r="L94" s="112">
        <v>9</v>
      </c>
      <c r="M94" s="112">
        <f t="shared" si="6"/>
        <v>17.445241325838339</v>
      </c>
    </row>
    <row r="95" spans="1:13">
      <c r="A95" s="111" t="s">
        <v>219</v>
      </c>
      <c r="C95" s="112">
        <f t="shared" si="4"/>
        <v>25.25</v>
      </c>
      <c r="D95" s="139">
        <f t="shared" si="4"/>
        <v>99.999999999999986</v>
      </c>
      <c r="F95" s="112">
        <v>18.75</v>
      </c>
      <c r="G95" s="112">
        <f t="shared" si="7"/>
        <v>74.257425742574256</v>
      </c>
      <c r="I95" s="112">
        <v>2</v>
      </c>
      <c r="J95" s="112">
        <f t="shared" si="5"/>
        <v>7.9207920792079207</v>
      </c>
      <c r="L95" s="112">
        <v>4.5</v>
      </c>
      <c r="M95" s="112">
        <f t="shared" si="6"/>
        <v>17.82178217821782</v>
      </c>
    </row>
    <row r="96" spans="1:13">
      <c r="A96" s="111" t="s">
        <v>220</v>
      </c>
      <c r="C96" s="112">
        <f t="shared" si="4"/>
        <v>50.266666666666666</v>
      </c>
      <c r="D96" s="139">
        <f t="shared" si="4"/>
        <v>100</v>
      </c>
      <c r="F96" s="112">
        <f>8/30+32.5</f>
        <v>32.766666666666666</v>
      </c>
      <c r="G96" s="112">
        <f t="shared" si="7"/>
        <v>65.185676392572944</v>
      </c>
      <c r="I96" s="112">
        <v>6</v>
      </c>
      <c r="J96" s="112">
        <f t="shared" si="5"/>
        <v>11.936339522546421</v>
      </c>
      <c r="L96" s="112">
        <v>11.5</v>
      </c>
      <c r="M96" s="112">
        <f t="shared" si="6"/>
        <v>22.877984084880637</v>
      </c>
    </row>
    <row r="97" spans="1:13">
      <c r="A97" s="111" t="s">
        <v>221</v>
      </c>
      <c r="C97" s="112">
        <f t="shared" si="4"/>
        <v>28.25</v>
      </c>
      <c r="D97" s="139">
        <f t="shared" si="4"/>
        <v>100</v>
      </c>
      <c r="F97" s="112">
        <v>22.25</v>
      </c>
      <c r="G97" s="112">
        <f t="shared" si="7"/>
        <v>78.761061946902657</v>
      </c>
      <c r="I97" s="112">
        <v>2</v>
      </c>
      <c r="J97" s="112">
        <f t="shared" si="5"/>
        <v>7.0796460176991154</v>
      </c>
      <c r="L97" s="112">
        <v>4</v>
      </c>
      <c r="M97" s="112">
        <f t="shared" si="6"/>
        <v>14.159292035398231</v>
      </c>
    </row>
    <row r="98" spans="1:13">
      <c r="A98" s="111" t="s">
        <v>222</v>
      </c>
      <c r="C98" s="112">
        <f t="shared" si="4"/>
        <v>34</v>
      </c>
      <c r="D98" s="139">
        <f t="shared" si="4"/>
        <v>100</v>
      </c>
      <c r="F98" s="112">
        <v>27.5</v>
      </c>
      <c r="G98" s="112">
        <f t="shared" si="7"/>
        <v>80.882352941176478</v>
      </c>
      <c r="I98" s="112">
        <v>0</v>
      </c>
      <c r="J98" s="112">
        <f t="shared" si="5"/>
        <v>0</v>
      </c>
      <c r="L98" s="112">
        <v>6.5</v>
      </c>
      <c r="M98" s="112">
        <f t="shared" si="6"/>
        <v>19.117647058823529</v>
      </c>
    </row>
    <row r="99" spans="1:13">
      <c r="A99" s="111" t="s">
        <v>223</v>
      </c>
      <c r="C99" s="112">
        <f t="shared" si="4"/>
        <v>53.05</v>
      </c>
      <c r="D99" s="139">
        <f t="shared" si="4"/>
        <v>100</v>
      </c>
      <c r="F99" s="112">
        <f>24/30+38.5</f>
        <v>39.299999999999997</v>
      </c>
      <c r="G99" s="112">
        <f t="shared" si="7"/>
        <v>74.081055607917051</v>
      </c>
      <c r="I99" s="112">
        <v>0</v>
      </c>
      <c r="J99" s="112">
        <f t="shared" si="5"/>
        <v>0</v>
      </c>
      <c r="L99" s="112">
        <v>13.75</v>
      </c>
      <c r="M99" s="112">
        <f t="shared" si="6"/>
        <v>25.918944392082942</v>
      </c>
    </row>
    <row r="100" spans="1:13">
      <c r="A100" s="111" t="s">
        <v>224</v>
      </c>
      <c r="C100" s="112">
        <f t="shared" si="4"/>
        <v>15.5</v>
      </c>
      <c r="D100" s="139">
        <f t="shared" si="4"/>
        <v>100</v>
      </c>
      <c r="F100" s="112">
        <v>11.5</v>
      </c>
      <c r="G100" s="112">
        <f t="shared" si="7"/>
        <v>74.193548387096769</v>
      </c>
      <c r="I100" s="112">
        <v>0</v>
      </c>
      <c r="J100" s="112">
        <f t="shared" si="5"/>
        <v>0</v>
      </c>
      <c r="L100" s="112">
        <v>4</v>
      </c>
      <c r="M100" s="112">
        <f t="shared" si="6"/>
        <v>25.806451612903224</v>
      </c>
    </row>
    <row r="101" spans="1:13">
      <c r="A101" s="111" t="s">
        <v>225</v>
      </c>
      <c r="C101" s="112">
        <f>IF($A101&lt;&gt;0,F101+I101+L101,"")</f>
        <v>47.5</v>
      </c>
      <c r="D101" s="139">
        <f>IF($A101&lt;&gt;0,G101+J101+M101,"")</f>
        <v>100</v>
      </c>
      <c r="F101" s="112">
        <v>35.5</v>
      </c>
      <c r="G101" s="112">
        <f>IF($A101&lt;&gt;0,F101/$C101*100,"")</f>
        <v>74.73684210526315</v>
      </c>
      <c r="I101" s="112">
        <v>2</v>
      </c>
      <c r="J101" s="112">
        <f>IF($A101&lt;&gt;0,I101/$C101*100,"")</f>
        <v>4.2105263157894735</v>
      </c>
      <c r="L101" s="112">
        <v>10</v>
      </c>
      <c r="M101" s="112">
        <f>IF($A101&lt;&gt;0,L101/$C101*100,"")</f>
        <v>21.052631578947366</v>
      </c>
    </row>
    <row r="102" spans="1:13">
      <c r="A102" s="111" t="s">
        <v>226</v>
      </c>
      <c r="C102" s="112">
        <f t="shared" si="4"/>
        <v>20.100000000000001</v>
      </c>
      <c r="D102" s="139">
        <f t="shared" si="4"/>
        <v>100</v>
      </c>
      <c r="F102" s="112">
        <f>65/30+43/30+13.5</f>
        <v>17.100000000000001</v>
      </c>
      <c r="G102" s="112">
        <f t="shared" si="7"/>
        <v>85.074626865671647</v>
      </c>
      <c r="I102" s="112">
        <v>1</v>
      </c>
      <c r="J102" s="112">
        <f t="shared" si="5"/>
        <v>4.9751243781094523</v>
      </c>
      <c r="L102" s="112">
        <v>2</v>
      </c>
      <c r="M102" s="112">
        <f t="shared" si="6"/>
        <v>9.9502487562189046</v>
      </c>
    </row>
    <row r="103" spans="1:13">
      <c r="C103" s="112" t="str">
        <f t="shared" si="4"/>
        <v/>
      </c>
      <c r="D103" s="139" t="str">
        <f t="shared" si="4"/>
        <v/>
      </c>
      <c r="L103" s="112" t="s">
        <v>154</v>
      </c>
      <c r="M103" s="112" t="str">
        <f t="shared" si="6"/>
        <v/>
      </c>
    </row>
    <row r="104" spans="1:13">
      <c r="A104" s="111" t="s">
        <v>227</v>
      </c>
      <c r="C104" s="112">
        <f t="shared" si="4"/>
        <v>129.58333333333331</v>
      </c>
      <c r="D104" s="139">
        <f t="shared" si="4"/>
        <v>100.00000000000001</v>
      </c>
      <c r="F104" s="112">
        <f>115/30+110.25</f>
        <v>114.08333333333333</v>
      </c>
      <c r="G104" s="112">
        <f t="shared" si="7"/>
        <v>88.03858520900323</v>
      </c>
      <c r="I104" s="112">
        <v>0</v>
      </c>
      <c r="J104" s="112">
        <f t="shared" si="5"/>
        <v>0</v>
      </c>
      <c r="L104" s="112">
        <v>15.5</v>
      </c>
      <c r="M104" s="112">
        <f t="shared" si="6"/>
        <v>11.961414790996788</v>
      </c>
    </row>
    <row r="105" spans="1:13" ht="12" customHeight="1">
      <c r="C105" s="112" t="str">
        <f t="shared" si="4"/>
        <v/>
      </c>
      <c r="D105" s="139" t="str">
        <f t="shared" si="4"/>
        <v/>
      </c>
      <c r="G105" s="112" t="str">
        <f t="shared" si="7"/>
        <v/>
      </c>
      <c r="J105" s="112" t="str">
        <f t="shared" si="5"/>
        <v/>
      </c>
      <c r="L105" s="112" t="s">
        <v>154</v>
      </c>
      <c r="M105" s="112" t="str">
        <f t="shared" si="6"/>
        <v/>
      </c>
    </row>
    <row r="106" spans="1:13">
      <c r="A106" s="17" t="s">
        <v>84</v>
      </c>
      <c r="C106" s="112">
        <f t="shared" si="4"/>
        <v>1018.072</v>
      </c>
      <c r="D106" s="139">
        <f t="shared" si="4"/>
        <v>100</v>
      </c>
      <c r="F106" s="112">
        <f>F108+F125+F175</f>
        <v>339.81700000000001</v>
      </c>
      <c r="G106" s="112">
        <f t="shared" si="7"/>
        <v>33.378484036492509</v>
      </c>
      <c r="I106" s="112">
        <f>I108+I125+I175</f>
        <v>334.255</v>
      </c>
      <c r="J106" s="112">
        <f t="shared" si="5"/>
        <v>32.832157254103834</v>
      </c>
      <c r="L106" s="112">
        <f>L108+L125+L175</f>
        <v>344</v>
      </c>
      <c r="M106" s="112">
        <f t="shared" si="6"/>
        <v>33.789358709403658</v>
      </c>
    </row>
    <row r="107" spans="1:13" ht="7" customHeight="1">
      <c r="C107" s="112" t="str">
        <f t="shared" si="4"/>
        <v/>
      </c>
      <c r="D107" s="139" t="str">
        <f t="shared" si="4"/>
        <v/>
      </c>
      <c r="G107" s="112" t="str">
        <f t="shared" si="7"/>
        <v/>
      </c>
      <c r="J107" s="112" t="str">
        <f t="shared" si="5"/>
        <v/>
      </c>
      <c r="L107" s="112" t="s">
        <v>154</v>
      </c>
      <c r="M107" s="112" t="str">
        <f t="shared" si="6"/>
        <v/>
      </c>
    </row>
    <row r="108" spans="1:13">
      <c r="A108" s="111" t="s">
        <v>228</v>
      </c>
      <c r="C108" s="112">
        <f t="shared" si="4"/>
        <v>450.02499999999998</v>
      </c>
      <c r="D108" s="139">
        <f t="shared" si="4"/>
        <v>100</v>
      </c>
      <c r="F108" s="112">
        <f>SUM(F110:F123)</f>
        <v>88.4</v>
      </c>
      <c r="G108" s="112">
        <f t="shared" si="7"/>
        <v>19.643353147047389</v>
      </c>
      <c r="I108" s="112">
        <f>SUM(I110:I123)</f>
        <v>205.625</v>
      </c>
      <c r="J108" s="112">
        <f t="shared" si="5"/>
        <v>45.691906005221931</v>
      </c>
      <c r="L108" s="112">
        <f>SUM(L110:L123)</f>
        <v>156</v>
      </c>
      <c r="M108" s="112">
        <f t="shared" si="6"/>
        <v>34.664740847730684</v>
      </c>
    </row>
    <row r="109" spans="1:13">
      <c r="C109" s="112" t="str">
        <f t="shared" si="4"/>
        <v/>
      </c>
      <c r="D109" s="139" t="str">
        <f t="shared" si="4"/>
        <v/>
      </c>
      <c r="G109" s="112" t="str">
        <f t="shared" si="7"/>
        <v/>
      </c>
      <c r="J109" s="112" t="str">
        <f t="shared" si="5"/>
        <v/>
      </c>
      <c r="L109" s="112" t="s">
        <v>154</v>
      </c>
      <c r="M109" s="112" t="str">
        <f t="shared" si="6"/>
        <v/>
      </c>
    </row>
    <row r="110" spans="1:13">
      <c r="A110" s="111" t="s">
        <v>229</v>
      </c>
      <c r="C110" s="112">
        <f t="shared" si="4"/>
        <v>63.625</v>
      </c>
      <c r="D110" s="139">
        <f t="shared" si="4"/>
        <v>100</v>
      </c>
      <c r="F110" s="112">
        <v>53.875</v>
      </c>
      <c r="G110" s="112">
        <f t="shared" si="7"/>
        <v>84.675834970530445</v>
      </c>
      <c r="I110" s="112">
        <v>7</v>
      </c>
      <c r="J110" s="112">
        <f t="shared" si="5"/>
        <v>11.00196463654224</v>
      </c>
      <c r="L110" s="112">
        <v>2.75</v>
      </c>
      <c r="M110" s="112">
        <f t="shared" si="6"/>
        <v>4.3222003929273081</v>
      </c>
    </row>
    <row r="111" spans="1:13">
      <c r="A111" s="111" t="s">
        <v>230</v>
      </c>
      <c r="C111" s="112">
        <f t="shared" si="4"/>
        <v>63.5</v>
      </c>
      <c r="D111" s="139">
        <f t="shared" si="4"/>
        <v>100</v>
      </c>
      <c r="F111" s="112">
        <v>1</v>
      </c>
      <c r="G111" s="112">
        <f t="shared" si="7"/>
        <v>1.5748031496062991</v>
      </c>
      <c r="I111" s="112">
        <v>3</v>
      </c>
      <c r="J111" s="112">
        <f t="shared" si="5"/>
        <v>4.7244094488188972</v>
      </c>
      <c r="L111" s="112">
        <v>59.5</v>
      </c>
      <c r="M111" s="112">
        <f t="shared" si="6"/>
        <v>93.7007874015748</v>
      </c>
    </row>
    <row r="112" spans="1:13">
      <c r="A112" s="111" t="s">
        <v>231</v>
      </c>
      <c r="C112" s="112">
        <f t="shared" si="4"/>
        <v>166.625</v>
      </c>
      <c r="D112" s="139">
        <f t="shared" si="4"/>
        <v>100</v>
      </c>
      <c r="F112" s="112">
        <v>0</v>
      </c>
      <c r="G112" s="112">
        <f t="shared" si="7"/>
        <v>0</v>
      </c>
      <c r="I112" s="112">
        <v>131.625</v>
      </c>
      <c r="J112" s="112">
        <f t="shared" si="5"/>
        <v>78.994748687171793</v>
      </c>
      <c r="L112" s="112">
        <v>35</v>
      </c>
      <c r="M112" s="112">
        <f t="shared" si="6"/>
        <v>21.005251312828207</v>
      </c>
    </row>
    <row r="113" spans="1:13">
      <c r="A113" s="26" t="s">
        <v>232</v>
      </c>
      <c r="C113" s="112">
        <f t="shared" si="4"/>
        <v>23.25</v>
      </c>
      <c r="D113" s="139">
        <f t="shared" si="4"/>
        <v>100</v>
      </c>
      <c r="F113" s="112">
        <v>4.25</v>
      </c>
      <c r="G113" s="112">
        <f t="shared" si="7"/>
        <v>18.27956989247312</v>
      </c>
      <c r="I113" s="112">
        <v>9</v>
      </c>
      <c r="J113" s="112">
        <f t="shared" si="5"/>
        <v>38.70967741935484</v>
      </c>
      <c r="L113" s="112">
        <v>10</v>
      </c>
      <c r="M113" s="112">
        <f t="shared" si="6"/>
        <v>43.01075268817204</v>
      </c>
    </row>
    <row r="114" spans="1:13">
      <c r="A114" s="26" t="s">
        <v>233</v>
      </c>
      <c r="C114" s="112">
        <f t="shared" si="4"/>
        <v>76.525000000000006</v>
      </c>
      <c r="D114" s="139">
        <f t="shared" si="4"/>
        <v>99.999999999999986</v>
      </c>
      <c r="F114" s="112">
        <v>18.274999999999999</v>
      </c>
      <c r="G114" s="112">
        <f t="shared" si="7"/>
        <v>23.881084612871607</v>
      </c>
      <c r="I114" s="112">
        <v>32.25</v>
      </c>
      <c r="J114" s="112">
        <f t="shared" si="5"/>
        <v>42.143090493302836</v>
      </c>
      <c r="L114" s="112">
        <v>26</v>
      </c>
      <c r="M114" s="112">
        <f t="shared" si="6"/>
        <v>33.975824893825546</v>
      </c>
    </row>
    <row r="115" spans="1:13">
      <c r="A115" s="26" t="s">
        <v>234</v>
      </c>
      <c r="C115" s="112">
        <f t="shared" si="4"/>
        <v>24.5</v>
      </c>
      <c r="D115" s="139">
        <f t="shared" si="4"/>
        <v>100</v>
      </c>
      <c r="F115" s="112">
        <v>4</v>
      </c>
      <c r="G115" s="112">
        <f t="shared" si="7"/>
        <v>16.326530612244898</v>
      </c>
      <c r="I115" s="112">
        <v>13</v>
      </c>
      <c r="J115" s="112">
        <f t="shared" si="5"/>
        <v>53.061224489795919</v>
      </c>
      <c r="L115" s="112">
        <v>7.5</v>
      </c>
      <c r="M115" s="112">
        <f t="shared" si="6"/>
        <v>30.612244897959183</v>
      </c>
    </row>
    <row r="116" spans="1:13">
      <c r="A116" s="26" t="s">
        <v>235</v>
      </c>
      <c r="C116" s="112">
        <f t="shared" si="4"/>
        <v>11</v>
      </c>
      <c r="D116" s="139">
        <f t="shared" si="4"/>
        <v>99.999999999999986</v>
      </c>
      <c r="F116" s="112">
        <v>2</v>
      </c>
      <c r="G116" s="112">
        <f>IF($A116&lt;&gt;0,F116/$C116*100,"")</f>
        <v>18.181818181818183</v>
      </c>
      <c r="I116" s="112">
        <v>6</v>
      </c>
      <c r="J116" s="112">
        <f>IF($A116&lt;&gt;0,I116/$C116*100,"")</f>
        <v>54.54545454545454</v>
      </c>
      <c r="L116" s="112">
        <v>3</v>
      </c>
      <c r="M116" s="112">
        <f t="shared" si="6"/>
        <v>27.27272727272727</v>
      </c>
    </row>
    <row r="117" spans="1:13">
      <c r="A117" s="26" t="s">
        <v>236</v>
      </c>
      <c r="C117" s="112">
        <f t="shared" si="4"/>
        <v>1</v>
      </c>
      <c r="D117" s="139">
        <f t="shared" si="4"/>
        <v>100</v>
      </c>
      <c r="F117" s="112">
        <v>0</v>
      </c>
      <c r="G117" s="112">
        <f>IF($A117&lt;&gt;0,F117/$C117*100,"")</f>
        <v>0</v>
      </c>
      <c r="I117" s="112">
        <v>0</v>
      </c>
      <c r="J117" s="112">
        <f>IF($A117&lt;&gt;0,I117/$C117*100,"")</f>
        <v>0</v>
      </c>
      <c r="L117" s="112">
        <v>1</v>
      </c>
      <c r="M117" s="112">
        <f t="shared" si="6"/>
        <v>100</v>
      </c>
    </row>
    <row r="118" spans="1:13">
      <c r="A118" s="26" t="s">
        <v>237</v>
      </c>
      <c r="C118" s="112">
        <f t="shared" si="4"/>
        <v>5.5</v>
      </c>
      <c r="D118" s="139">
        <f t="shared" si="4"/>
        <v>100</v>
      </c>
      <c r="F118" s="112">
        <v>1.5</v>
      </c>
      <c r="G118" s="112">
        <f>IF($A118&lt;&gt;0,F118/$C118*100,"")</f>
        <v>27.27272727272727</v>
      </c>
      <c r="I118" s="112">
        <v>2</v>
      </c>
      <c r="J118" s="112">
        <f>IF($A118&lt;&gt;0,I118/$C118*100,"")</f>
        <v>36.363636363636367</v>
      </c>
      <c r="L118" s="112">
        <v>2</v>
      </c>
      <c r="M118" s="112">
        <f t="shared" si="6"/>
        <v>36.363636363636367</v>
      </c>
    </row>
    <row r="119" spans="1:13">
      <c r="A119" s="26" t="s">
        <v>238</v>
      </c>
      <c r="C119" s="112">
        <f t="shared" si="4"/>
        <v>2</v>
      </c>
      <c r="D119" s="139">
        <f t="shared" si="4"/>
        <v>100</v>
      </c>
      <c r="F119" s="112">
        <v>1</v>
      </c>
      <c r="G119" s="112">
        <f t="shared" si="7"/>
        <v>50</v>
      </c>
      <c r="I119" s="112">
        <v>0</v>
      </c>
      <c r="J119" s="112">
        <f t="shared" si="5"/>
        <v>0</v>
      </c>
      <c r="L119" s="112">
        <v>1</v>
      </c>
      <c r="M119" s="112">
        <f t="shared" si="6"/>
        <v>50</v>
      </c>
    </row>
    <row r="120" spans="1:13">
      <c r="A120" s="26" t="s">
        <v>239</v>
      </c>
      <c r="C120" s="112">
        <f t="shared" si="4"/>
        <v>1.5</v>
      </c>
      <c r="D120" s="139">
        <f t="shared" si="4"/>
        <v>99.999999999999986</v>
      </c>
      <c r="F120" s="112">
        <v>0.5</v>
      </c>
      <c r="G120" s="112">
        <f t="shared" si="7"/>
        <v>33.333333333333329</v>
      </c>
      <c r="I120" s="112">
        <v>0</v>
      </c>
      <c r="J120" s="112">
        <f t="shared" si="5"/>
        <v>0</v>
      </c>
      <c r="L120" s="112">
        <v>1</v>
      </c>
      <c r="M120" s="112">
        <f t="shared" si="6"/>
        <v>66.666666666666657</v>
      </c>
    </row>
    <row r="121" spans="1:13">
      <c r="A121" s="26" t="s">
        <v>240</v>
      </c>
      <c r="C121" s="112">
        <f t="shared" si="4"/>
        <v>6</v>
      </c>
      <c r="D121" s="139">
        <f t="shared" si="4"/>
        <v>99.999999999999986</v>
      </c>
      <c r="F121" s="112">
        <v>0.5</v>
      </c>
      <c r="G121" s="112">
        <f t="shared" si="7"/>
        <v>8.3333333333333321</v>
      </c>
      <c r="I121" s="112">
        <v>0</v>
      </c>
      <c r="J121" s="112">
        <f t="shared" si="5"/>
        <v>0</v>
      </c>
      <c r="L121" s="112">
        <v>5.5</v>
      </c>
      <c r="M121" s="112">
        <f t="shared" si="6"/>
        <v>91.666666666666657</v>
      </c>
    </row>
    <row r="122" spans="1:13">
      <c r="A122" s="26" t="s">
        <v>241</v>
      </c>
      <c r="C122" s="112">
        <f>IF($A122&lt;&gt;0,F122+I122+L122,"")</f>
        <v>3</v>
      </c>
      <c r="D122" s="139">
        <f>IF($A122&lt;&gt;0,G122+J122+M122,"")</f>
        <v>100</v>
      </c>
      <c r="F122" s="112">
        <v>0.5</v>
      </c>
      <c r="G122" s="112">
        <f>IF($A122&lt;&gt;0,F122/$C122*100,"")</f>
        <v>16.666666666666664</v>
      </c>
      <c r="I122" s="112">
        <v>1.75</v>
      </c>
      <c r="J122" s="112">
        <f>IF($A122&lt;&gt;0,I122/$C122*100,"")</f>
        <v>58.333333333333336</v>
      </c>
      <c r="L122" s="112">
        <v>0.75</v>
      </c>
      <c r="M122" s="112">
        <f t="shared" si="6"/>
        <v>25</v>
      </c>
    </row>
    <row r="123" spans="1:13">
      <c r="A123" s="26" t="s">
        <v>242</v>
      </c>
      <c r="C123" s="112">
        <f>IF($A123&lt;&gt;0,F123+I123+L123,"")</f>
        <v>2</v>
      </c>
      <c r="D123" s="139">
        <f>IF($A123&lt;&gt;0,G123+J123+M123,"")</f>
        <v>100</v>
      </c>
      <c r="F123" s="112">
        <v>1</v>
      </c>
      <c r="G123" s="112">
        <f t="shared" si="7"/>
        <v>50</v>
      </c>
      <c r="I123" s="112">
        <v>0</v>
      </c>
      <c r="J123" s="112">
        <f t="shared" si="5"/>
        <v>0</v>
      </c>
      <c r="L123" s="112">
        <v>1</v>
      </c>
      <c r="M123" s="112">
        <f t="shared" si="6"/>
        <v>50</v>
      </c>
    </row>
    <row r="124" spans="1:13">
      <c r="A124" s="26"/>
      <c r="C124" s="112" t="str">
        <f t="shared" si="4"/>
        <v/>
      </c>
      <c r="D124" s="139" t="str">
        <f t="shared" si="4"/>
        <v/>
      </c>
      <c r="G124" s="112" t="str">
        <f t="shared" si="7"/>
        <v/>
      </c>
      <c r="J124" s="112" t="str">
        <f t="shared" si="5"/>
        <v/>
      </c>
      <c r="L124" s="112" t="s">
        <v>154</v>
      </c>
      <c r="M124" s="112" t="str">
        <f t="shared" si="6"/>
        <v/>
      </c>
    </row>
    <row r="125" spans="1:13">
      <c r="A125" s="111" t="s">
        <v>243</v>
      </c>
      <c r="C125" s="112">
        <f t="shared" si="4"/>
        <v>468.67200000000003</v>
      </c>
      <c r="D125" s="139">
        <f t="shared" si="4"/>
        <v>100</v>
      </c>
      <c r="F125" s="112">
        <f>SUM(F127:F173)</f>
        <v>188.542</v>
      </c>
      <c r="G125" s="112">
        <f t="shared" si="7"/>
        <v>40.228987436842822</v>
      </c>
      <c r="I125" s="112">
        <f>SUM(I127:I173)</f>
        <v>128.13</v>
      </c>
      <c r="J125" s="112">
        <f t="shared" si="5"/>
        <v>27.338949201147067</v>
      </c>
      <c r="L125" s="112">
        <f>SUM(L127:L173)</f>
        <v>152</v>
      </c>
      <c r="M125" s="112">
        <f t="shared" si="6"/>
        <v>32.432063362010105</v>
      </c>
    </row>
    <row r="126" spans="1:13">
      <c r="A126" s="26"/>
      <c r="D126" s="139" t="str">
        <f t="shared" si="4"/>
        <v/>
      </c>
      <c r="G126" s="112" t="str">
        <f t="shared" si="7"/>
        <v/>
      </c>
      <c r="J126" s="112" t="str">
        <f t="shared" si="5"/>
        <v/>
      </c>
      <c r="L126" s="112" t="s">
        <v>154</v>
      </c>
      <c r="M126" s="112" t="str">
        <f t="shared" si="6"/>
        <v/>
      </c>
    </row>
    <row r="127" spans="1:13">
      <c r="A127" s="26" t="s">
        <v>244</v>
      </c>
      <c r="C127" s="112">
        <f t="shared" si="4"/>
        <v>24</v>
      </c>
      <c r="D127" s="139">
        <f t="shared" si="4"/>
        <v>100</v>
      </c>
      <c r="F127" s="112">
        <v>12</v>
      </c>
      <c r="G127" s="112">
        <f t="shared" si="7"/>
        <v>50</v>
      </c>
      <c r="I127" s="112">
        <v>6.5</v>
      </c>
      <c r="J127" s="112">
        <f t="shared" si="5"/>
        <v>27.083333333333332</v>
      </c>
      <c r="L127" s="112">
        <v>5.5</v>
      </c>
      <c r="M127" s="112">
        <f t="shared" si="6"/>
        <v>22.916666666666664</v>
      </c>
    </row>
    <row r="128" spans="1:13">
      <c r="A128" s="26" t="s">
        <v>245</v>
      </c>
      <c r="C128" s="112">
        <f t="shared" si="4"/>
        <v>9.25</v>
      </c>
      <c r="D128" s="139">
        <f t="shared" si="4"/>
        <v>100</v>
      </c>
      <c r="F128" s="112">
        <v>3.25</v>
      </c>
      <c r="G128" s="112">
        <f t="shared" si="7"/>
        <v>35.135135135135137</v>
      </c>
      <c r="I128" s="112">
        <v>2</v>
      </c>
      <c r="J128" s="112">
        <f t="shared" si="5"/>
        <v>21.621621621621621</v>
      </c>
      <c r="L128" s="112">
        <v>4</v>
      </c>
      <c r="M128" s="112">
        <f t="shared" si="6"/>
        <v>43.243243243243242</v>
      </c>
    </row>
    <row r="129" spans="1:13">
      <c r="A129" s="26" t="s">
        <v>246</v>
      </c>
      <c r="C129" s="112">
        <f t="shared" si="4"/>
        <v>6</v>
      </c>
      <c r="D129" s="139">
        <f t="shared" si="4"/>
        <v>100</v>
      </c>
      <c r="F129" s="112">
        <v>2</v>
      </c>
      <c r="G129" s="112">
        <f t="shared" si="7"/>
        <v>33.333333333333329</v>
      </c>
      <c r="I129" s="112">
        <v>1</v>
      </c>
      <c r="J129" s="112">
        <f t="shared" si="5"/>
        <v>16.666666666666664</v>
      </c>
      <c r="L129" s="112">
        <v>3</v>
      </c>
      <c r="M129" s="112">
        <f t="shared" si="6"/>
        <v>50</v>
      </c>
    </row>
    <row r="130" spans="1:13">
      <c r="A130" s="26" t="s">
        <v>247</v>
      </c>
      <c r="C130" s="112">
        <f t="shared" si="4"/>
        <v>6.5</v>
      </c>
      <c r="D130" s="139">
        <f t="shared" si="4"/>
        <v>100</v>
      </c>
      <c r="F130" s="112">
        <v>1.5</v>
      </c>
      <c r="G130" s="112">
        <f t="shared" si="7"/>
        <v>23.076923076923077</v>
      </c>
      <c r="I130" s="112">
        <v>4</v>
      </c>
      <c r="J130" s="112">
        <f t="shared" si="5"/>
        <v>61.53846153846154</v>
      </c>
      <c r="L130" s="112">
        <v>1</v>
      </c>
      <c r="M130" s="112">
        <f t="shared" si="6"/>
        <v>15.384615384615385</v>
      </c>
    </row>
    <row r="131" spans="1:13">
      <c r="A131" s="26" t="s">
        <v>248</v>
      </c>
      <c r="C131" s="112">
        <f t="shared" si="4"/>
        <v>7.5</v>
      </c>
      <c r="D131" s="139">
        <f t="shared" si="4"/>
        <v>100</v>
      </c>
      <c r="F131" s="112">
        <v>2.5</v>
      </c>
      <c r="G131" s="112">
        <f t="shared" si="7"/>
        <v>33.333333333333329</v>
      </c>
      <c r="I131" s="112">
        <v>3</v>
      </c>
      <c r="J131" s="112">
        <f t="shared" si="5"/>
        <v>40</v>
      </c>
      <c r="L131" s="112">
        <v>2</v>
      </c>
      <c r="M131" s="112">
        <f t="shared" si="6"/>
        <v>26.666666666666668</v>
      </c>
    </row>
    <row r="132" spans="1:13">
      <c r="A132" s="26" t="s">
        <v>249</v>
      </c>
      <c r="C132" s="112">
        <f t="shared" si="4"/>
        <v>7</v>
      </c>
      <c r="D132" s="139">
        <f t="shared" si="4"/>
        <v>99.999999999999986</v>
      </c>
      <c r="F132" s="112">
        <v>1</v>
      </c>
      <c r="G132" s="112">
        <f t="shared" si="7"/>
        <v>14.285714285714285</v>
      </c>
      <c r="I132" s="112">
        <v>4</v>
      </c>
      <c r="J132" s="112">
        <f t="shared" si="5"/>
        <v>57.142857142857139</v>
      </c>
      <c r="L132" s="112">
        <v>2</v>
      </c>
      <c r="M132" s="112">
        <f t="shared" si="6"/>
        <v>28.571428571428569</v>
      </c>
    </row>
    <row r="133" spans="1:13">
      <c r="A133" s="26" t="s">
        <v>250</v>
      </c>
      <c r="C133" s="112">
        <f t="shared" si="4"/>
        <v>4</v>
      </c>
      <c r="D133" s="139">
        <f t="shared" si="4"/>
        <v>100</v>
      </c>
      <c r="F133" s="112">
        <v>1</v>
      </c>
      <c r="G133" s="112">
        <f t="shared" si="7"/>
        <v>25</v>
      </c>
      <c r="I133" s="112">
        <v>0</v>
      </c>
      <c r="J133" s="112">
        <f t="shared" si="5"/>
        <v>0</v>
      </c>
      <c r="L133" s="112">
        <v>3</v>
      </c>
      <c r="M133" s="112">
        <f t="shared" si="6"/>
        <v>75</v>
      </c>
    </row>
    <row r="134" spans="1:13">
      <c r="A134" s="26" t="s">
        <v>251</v>
      </c>
      <c r="C134" s="112">
        <f t="shared" si="4"/>
        <v>9.5</v>
      </c>
      <c r="D134" s="139">
        <f t="shared" si="4"/>
        <v>100</v>
      </c>
      <c r="F134" s="112">
        <v>4.5</v>
      </c>
      <c r="G134" s="112">
        <f t="shared" si="7"/>
        <v>47.368421052631575</v>
      </c>
      <c r="I134" s="112">
        <v>2</v>
      </c>
      <c r="J134" s="112">
        <f t="shared" si="5"/>
        <v>21.052631578947366</v>
      </c>
      <c r="L134" s="112">
        <v>3</v>
      </c>
      <c r="M134" s="112">
        <f t="shared" si="6"/>
        <v>31.578947368421051</v>
      </c>
    </row>
    <row r="135" spans="1:13">
      <c r="A135" s="26" t="s">
        <v>252</v>
      </c>
      <c r="C135" s="112">
        <f t="shared" si="4"/>
        <v>20.5</v>
      </c>
      <c r="D135" s="139">
        <f t="shared" si="4"/>
        <v>100</v>
      </c>
      <c r="F135" s="112">
        <v>8</v>
      </c>
      <c r="G135" s="112">
        <f t="shared" si="7"/>
        <v>39.024390243902438</v>
      </c>
      <c r="I135" s="112">
        <v>7.5</v>
      </c>
      <c r="J135" s="112">
        <f t="shared" si="5"/>
        <v>36.585365853658537</v>
      </c>
      <c r="L135" s="112">
        <v>5</v>
      </c>
      <c r="M135" s="112">
        <f t="shared" si="6"/>
        <v>24.390243902439025</v>
      </c>
    </row>
    <row r="136" spans="1:13">
      <c r="A136" s="26" t="s">
        <v>253</v>
      </c>
      <c r="C136" s="112">
        <f t="shared" si="4"/>
        <v>24.75</v>
      </c>
      <c r="D136" s="139">
        <f t="shared" si="4"/>
        <v>99.999999999999986</v>
      </c>
      <c r="F136" s="112">
        <v>10.25</v>
      </c>
      <c r="G136" s="112">
        <f t="shared" si="7"/>
        <v>41.414141414141412</v>
      </c>
      <c r="I136" s="112">
        <v>6</v>
      </c>
      <c r="J136" s="112">
        <f t="shared" si="5"/>
        <v>24.242424242424242</v>
      </c>
      <c r="L136" s="112">
        <v>8.5</v>
      </c>
      <c r="M136" s="112">
        <f t="shared" si="6"/>
        <v>34.343434343434339</v>
      </c>
    </row>
    <row r="137" spans="1:13">
      <c r="A137" s="26" t="s">
        <v>254</v>
      </c>
      <c r="C137" s="112">
        <f t="shared" si="4"/>
        <v>23.5</v>
      </c>
      <c r="D137" s="139">
        <f t="shared" si="4"/>
        <v>100</v>
      </c>
      <c r="F137" s="112">
        <v>10</v>
      </c>
      <c r="G137" s="112">
        <f t="shared" si="7"/>
        <v>42.553191489361701</v>
      </c>
      <c r="I137" s="112">
        <v>8</v>
      </c>
      <c r="J137" s="112">
        <f t="shared" si="5"/>
        <v>34.042553191489361</v>
      </c>
      <c r="L137" s="112">
        <v>5.5</v>
      </c>
      <c r="M137" s="112">
        <f t="shared" si="6"/>
        <v>23.404255319148938</v>
      </c>
    </row>
    <row r="138" spans="1:13">
      <c r="A138" s="26" t="s">
        <v>255</v>
      </c>
      <c r="C138" s="112">
        <f t="shared" si="4"/>
        <v>36</v>
      </c>
      <c r="D138" s="139">
        <f t="shared" si="4"/>
        <v>100</v>
      </c>
      <c r="F138" s="112">
        <v>15</v>
      </c>
      <c r="G138" s="112">
        <f t="shared" si="7"/>
        <v>41.666666666666671</v>
      </c>
      <c r="I138" s="112">
        <v>12.5</v>
      </c>
      <c r="J138" s="112">
        <f t="shared" si="5"/>
        <v>34.722222222222221</v>
      </c>
      <c r="L138" s="112">
        <v>8.5</v>
      </c>
      <c r="M138" s="112">
        <f t="shared" si="6"/>
        <v>23.611111111111111</v>
      </c>
    </row>
    <row r="139" spans="1:13">
      <c r="A139" s="26" t="s">
        <v>256</v>
      </c>
      <c r="C139" s="112">
        <f t="shared" si="4"/>
        <v>19.75</v>
      </c>
      <c r="D139" s="139">
        <f t="shared" si="4"/>
        <v>100</v>
      </c>
      <c r="F139" s="112">
        <v>5.75</v>
      </c>
      <c r="G139" s="112">
        <f t="shared" si="7"/>
        <v>29.11392405063291</v>
      </c>
      <c r="I139" s="112">
        <v>9</v>
      </c>
      <c r="J139" s="112">
        <f t="shared" si="5"/>
        <v>45.569620253164558</v>
      </c>
      <c r="L139" s="112">
        <v>5</v>
      </c>
      <c r="M139" s="112">
        <f t="shared" si="6"/>
        <v>25.316455696202532</v>
      </c>
    </row>
    <row r="140" spans="1:13">
      <c r="A140" s="26" t="s">
        <v>257</v>
      </c>
      <c r="C140" s="112">
        <f t="shared" si="4"/>
        <v>33.042000000000002</v>
      </c>
      <c r="D140" s="139">
        <f t="shared" si="4"/>
        <v>99.999999999999986</v>
      </c>
      <c r="F140" s="112">
        <v>17.542000000000002</v>
      </c>
      <c r="G140" s="112">
        <f t="shared" si="7"/>
        <v>53.0900066581926</v>
      </c>
      <c r="I140" s="112">
        <v>4</v>
      </c>
      <c r="J140" s="112">
        <f t="shared" si="5"/>
        <v>12.10580473336965</v>
      </c>
      <c r="L140" s="112">
        <v>11.5</v>
      </c>
      <c r="M140" s="112">
        <f t="shared" si="6"/>
        <v>34.804188608437741</v>
      </c>
    </row>
    <row r="141" spans="1:13">
      <c r="A141" s="26" t="s">
        <v>258</v>
      </c>
      <c r="C141" s="112">
        <f t="shared" si="4"/>
        <v>20.25</v>
      </c>
      <c r="D141" s="139">
        <f t="shared" si="4"/>
        <v>100</v>
      </c>
      <c r="F141" s="112">
        <v>8.25</v>
      </c>
      <c r="G141" s="112">
        <f t="shared" si="7"/>
        <v>40.74074074074074</v>
      </c>
      <c r="I141" s="112">
        <v>6.75</v>
      </c>
      <c r="J141" s="112">
        <f t="shared" si="5"/>
        <v>33.333333333333329</v>
      </c>
      <c r="L141" s="112">
        <v>5.25</v>
      </c>
      <c r="M141" s="112">
        <f t="shared" si="6"/>
        <v>25.925925925925924</v>
      </c>
    </row>
    <row r="142" spans="1:13">
      <c r="A142" s="26" t="s">
        <v>259</v>
      </c>
      <c r="C142" s="112">
        <f t="shared" si="4"/>
        <v>22.88</v>
      </c>
      <c r="D142" s="139">
        <f t="shared" si="4"/>
        <v>100</v>
      </c>
      <c r="F142" s="112">
        <v>12.25</v>
      </c>
      <c r="G142" s="112">
        <f t="shared" si="7"/>
        <v>53.540209790209794</v>
      </c>
      <c r="I142" s="112">
        <v>4.13</v>
      </c>
      <c r="J142" s="112">
        <f t="shared" si="5"/>
        <v>18.050699300699304</v>
      </c>
      <c r="L142" s="112">
        <v>6.5</v>
      </c>
      <c r="M142" s="112">
        <f t="shared" si="6"/>
        <v>28.40909090909091</v>
      </c>
    </row>
    <row r="143" spans="1:13">
      <c r="A143" s="26" t="s">
        <v>260</v>
      </c>
      <c r="C143" s="112">
        <f t="shared" si="4"/>
        <v>39.25</v>
      </c>
      <c r="D143" s="139">
        <f t="shared" si="4"/>
        <v>100.00000000000001</v>
      </c>
      <c r="F143" s="112">
        <v>12</v>
      </c>
      <c r="G143" s="112">
        <f t="shared" si="7"/>
        <v>30.573248407643312</v>
      </c>
      <c r="I143" s="112">
        <v>18.75</v>
      </c>
      <c r="J143" s="112">
        <f t="shared" si="5"/>
        <v>47.770700636942678</v>
      </c>
      <c r="L143" s="112">
        <v>8.5</v>
      </c>
      <c r="M143" s="112">
        <f t="shared" si="6"/>
        <v>21.656050955414013</v>
      </c>
    </row>
    <row r="144" spans="1:13">
      <c r="A144" s="26" t="s">
        <v>261</v>
      </c>
      <c r="C144" s="112">
        <f t="shared" ref="C144:D212" si="8">IF($A144&lt;&gt;0,F144+I144+L144,"")</f>
        <v>29.625</v>
      </c>
      <c r="D144" s="139">
        <f t="shared" si="8"/>
        <v>100</v>
      </c>
      <c r="F144" s="112">
        <v>14.625</v>
      </c>
      <c r="G144" s="112">
        <f t="shared" si="7"/>
        <v>49.367088607594937</v>
      </c>
      <c r="I144" s="112">
        <v>8</v>
      </c>
      <c r="J144" s="112">
        <f t="shared" ref="J144:J213" si="9">IF($A144&lt;&gt;0,I144/$C144*100,"")</f>
        <v>27.004219409282697</v>
      </c>
      <c r="L144" s="112">
        <v>7</v>
      </c>
      <c r="M144" s="112">
        <f t="shared" ref="M144:M212" si="10">IF($A144&lt;&gt;0,L144/$C144*100,"")</f>
        <v>23.628691983122362</v>
      </c>
    </row>
    <row r="145" spans="1:13">
      <c r="A145" s="26" t="s">
        <v>262</v>
      </c>
      <c r="C145" s="112">
        <f t="shared" si="8"/>
        <v>23.5</v>
      </c>
      <c r="D145" s="139">
        <f t="shared" si="8"/>
        <v>100</v>
      </c>
      <c r="F145" s="112">
        <v>8.75</v>
      </c>
      <c r="G145" s="112">
        <f t="shared" ref="G145:G214" si="11">IF($A145&lt;&gt;0,F145/$C145*100,"")</f>
        <v>37.234042553191486</v>
      </c>
      <c r="I145" s="112">
        <v>8.75</v>
      </c>
      <c r="J145" s="112">
        <f t="shared" si="9"/>
        <v>37.234042553191486</v>
      </c>
      <c r="L145" s="112">
        <v>6</v>
      </c>
      <c r="M145" s="112">
        <f t="shared" si="10"/>
        <v>25.531914893617021</v>
      </c>
    </row>
    <row r="146" spans="1:13">
      <c r="A146" s="26" t="s">
        <v>263</v>
      </c>
      <c r="C146" s="112">
        <f t="shared" si="8"/>
        <v>2.5</v>
      </c>
      <c r="D146" s="139">
        <f t="shared" si="8"/>
        <v>100</v>
      </c>
      <c r="F146" s="112">
        <v>1.5</v>
      </c>
      <c r="G146" s="112">
        <f t="shared" si="11"/>
        <v>60</v>
      </c>
      <c r="I146" s="112">
        <v>1</v>
      </c>
      <c r="J146" s="112">
        <f t="shared" si="9"/>
        <v>40</v>
      </c>
      <c r="L146" s="112">
        <v>0</v>
      </c>
      <c r="M146" s="112">
        <f t="shared" si="10"/>
        <v>0</v>
      </c>
    </row>
    <row r="147" spans="1:13">
      <c r="A147" s="26" t="s">
        <v>264</v>
      </c>
      <c r="C147" s="112">
        <f t="shared" si="8"/>
        <v>4</v>
      </c>
      <c r="D147" s="139">
        <f t="shared" si="8"/>
        <v>100</v>
      </c>
      <c r="F147" s="112">
        <v>1</v>
      </c>
      <c r="G147" s="112">
        <f t="shared" si="11"/>
        <v>25</v>
      </c>
      <c r="I147" s="112">
        <v>1</v>
      </c>
      <c r="J147" s="112">
        <f t="shared" si="9"/>
        <v>25</v>
      </c>
      <c r="L147" s="112">
        <v>2</v>
      </c>
      <c r="M147" s="112">
        <f t="shared" si="10"/>
        <v>50</v>
      </c>
    </row>
    <row r="148" spans="1:13">
      <c r="A148" s="26" t="s">
        <v>265</v>
      </c>
      <c r="C148" s="112">
        <f t="shared" si="8"/>
        <v>1.5</v>
      </c>
      <c r="D148" s="139">
        <f t="shared" si="8"/>
        <v>99.999999999999986</v>
      </c>
      <c r="F148" s="112">
        <v>0.5</v>
      </c>
      <c r="G148" s="112">
        <f t="shared" si="11"/>
        <v>33.333333333333329</v>
      </c>
      <c r="I148" s="112">
        <v>0</v>
      </c>
      <c r="J148" s="112">
        <f t="shared" si="9"/>
        <v>0</v>
      </c>
      <c r="L148" s="112">
        <v>1</v>
      </c>
      <c r="M148" s="112">
        <f t="shared" si="10"/>
        <v>66.666666666666657</v>
      </c>
    </row>
    <row r="149" spans="1:13">
      <c r="A149" s="26" t="s">
        <v>266</v>
      </c>
      <c r="C149" s="112">
        <f t="shared" si="8"/>
        <v>2.5</v>
      </c>
      <c r="D149" s="139">
        <f t="shared" si="8"/>
        <v>100</v>
      </c>
      <c r="F149" s="112">
        <v>1.5</v>
      </c>
      <c r="G149" s="112">
        <f t="shared" si="11"/>
        <v>60</v>
      </c>
      <c r="I149" s="112">
        <v>0</v>
      </c>
      <c r="J149" s="112">
        <f t="shared" si="9"/>
        <v>0</v>
      </c>
      <c r="L149" s="112">
        <v>1</v>
      </c>
      <c r="M149" s="112">
        <f t="shared" si="10"/>
        <v>40</v>
      </c>
    </row>
    <row r="150" spans="1:13">
      <c r="A150" s="26" t="s">
        <v>267</v>
      </c>
      <c r="C150" s="112">
        <f t="shared" si="8"/>
        <v>1.5</v>
      </c>
      <c r="D150" s="139">
        <f t="shared" si="8"/>
        <v>99.999999999999986</v>
      </c>
      <c r="F150" s="112">
        <v>0.5</v>
      </c>
      <c r="G150" s="112">
        <f t="shared" si="11"/>
        <v>33.333333333333329</v>
      </c>
      <c r="I150" s="112">
        <v>0</v>
      </c>
      <c r="J150" s="112">
        <f t="shared" si="9"/>
        <v>0</v>
      </c>
      <c r="L150" s="112">
        <v>1</v>
      </c>
      <c r="M150" s="112">
        <f t="shared" si="10"/>
        <v>66.666666666666657</v>
      </c>
    </row>
    <row r="151" spans="1:13">
      <c r="A151" s="26" t="s">
        <v>268</v>
      </c>
      <c r="C151" s="112">
        <f t="shared" si="8"/>
        <v>1.5</v>
      </c>
      <c r="D151" s="139">
        <f t="shared" si="8"/>
        <v>99.999999999999986</v>
      </c>
      <c r="F151" s="112">
        <v>0.5</v>
      </c>
      <c r="G151" s="112">
        <f t="shared" si="11"/>
        <v>33.333333333333329</v>
      </c>
      <c r="I151" s="112">
        <v>0</v>
      </c>
      <c r="J151" s="112">
        <f t="shared" si="9"/>
        <v>0</v>
      </c>
      <c r="L151" s="112">
        <v>1</v>
      </c>
      <c r="M151" s="112">
        <f t="shared" si="10"/>
        <v>66.666666666666657</v>
      </c>
    </row>
    <row r="152" spans="1:13">
      <c r="A152" s="26" t="s">
        <v>269</v>
      </c>
      <c r="C152" s="112">
        <f t="shared" si="8"/>
        <v>5.75</v>
      </c>
      <c r="D152" s="139">
        <f t="shared" si="8"/>
        <v>100</v>
      </c>
      <c r="F152" s="112">
        <v>1.5</v>
      </c>
      <c r="G152" s="112">
        <f t="shared" si="11"/>
        <v>26.086956521739129</v>
      </c>
      <c r="I152" s="112">
        <v>1.75</v>
      </c>
      <c r="J152" s="112">
        <f t="shared" si="9"/>
        <v>30.434782608695656</v>
      </c>
      <c r="L152" s="112">
        <v>2.5</v>
      </c>
      <c r="M152" s="112">
        <f t="shared" si="10"/>
        <v>43.478260869565219</v>
      </c>
    </row>
    <row r="153" spans="1:13">
      <c r="A153" s="26" t="s">
        <v>270</v>
      </c>
      <c r="C153" s="112">
        <f t="shared" si="8"/>
        <v>4.375</v>
      </c>
      <c r="D153" s="139">
        <f t="shared" si="8"/>
        <v>100</v>
      </c>
      <c r="F153" s="112">
        <v>1.375</v>
      </c>
      <c r="G153" s="112">
        <f t="shared" si="11"/>
        <v>31.428571428571427</v>
      </c>
      <c r="I153" s="112">
        <v>0</v>
      </c>
      <c r="J153" s="112">
        <f t="shared" si="9"/>
        <v>0</v>
      </c>
      <c r="L153" s="112">
        <v>3</v>
      </c>
      <c r="M153" s="112">
        <f t="shared" si="10"/>
        <v>68.571428571428569</v>
      </c>
    </row>
    <row r="154" spans="1:13">
      <c r="A154" s="26" t="s">
        <v>271</v>
      </c>
      <c r="C154" s="112">
        <f t="shared" si="8"/>
        <v>8</v>
      </c>
      <c r="D154" s="139">
        <f t="shared" si="8"/>
        <v>100</v>
      </c>
      <c r="F154" s="112">
        <v>3.5</v>
      </c>
      <c r="G154" s="112">
        <f t="shared" si="11"/>
        <v>43.75</v>
      </c>
      <c r="I154" s="112">
        <v>1</v>
      </c>
      <c r="J154" s="112">
        <f t="shared" si="9"/>
        <v>12.5</v>
      </c>
      <c r="L154" s="112">
        <v>3.5</v>
      </c>
      <c r="M154" s="112">
        <f t="shared" si="10"/>
        <v>43.75</v>
      </c>
    </row>
    <row r="155" spans="1:13">
      <c r="A155" s="26" t="s">
        <v>272</v>
      </c>
      <c r="C155" s="112">
        <f t="shared" si="8"/>
        <v>1</v>
      </c>
      <c r="D155" s="139">
        <f t="shared" si="8"/>
        <v>100</v>
      </c>
      <c r="F155" s="112">
        <v>1</v>
      </c>
      <c r="G155" s="112">
        <f t="shared" si="11"/>
        <v>100</v>
      </c>
      <c r="I155" s="112">
        <v>0</v>
      </c>
      <c r="J155" s="112">
        <f t="shared" si="9"/>
        <v>0</v>
      </c>
      <c r="L155" s="112">
        <v>0</v>
      </c>
      <c r="M155" s="112">
        <f t="shared" si="10"/>
        <v>0</v>
      </c>
    </row>
    <row r="156" spans="1:13">
      <c r="A156" s="26" t="s">
        <v>273</v>
      </c>
      <c r="C156" s="112">
        <f t="shared" si="8"/>
        <v>2.5</v>
      </c>
      <c r="D156" s="139">
        <f t="shared" si="8"/>
        <v>100</v>
      </c>
      <c r="F156" s="112">
        <v>0.5</v>
      </c>
      <c r="G156" s="112">
        <f t="shared" si="11"/>
        <v>20</v>
      </c>
      <c r="I156" s="112">
        <v>0</v>
      </c>
      <c r="J156" s="112">
        <f t="shared" si="9"/>
        <v>0</v>
      </c>
      <c r="L156" s="112">
        <v>2</v>
      </c>
      <c r="M156" s="112">
        <f t="shared" si="10"/>
        <v>80</v>
      </c>
    </row>
    <row r="157" spans="1:13">
      <c r="A157" s="26" t="s">
        <v>274</v>
      </c>
      <c r="C157" s="112">
        <f t="shared" si="8"/>
        <v>3.5</v>
      </c>
      <c r="D157" s="139">
        <f t="shared" si="8"/>
        <v>100</v>
      </c>
      <c r="F157" s="112">
        <v>1</v>
      </c>
      <c r="G157" s="112">
        <f t="shared" si="11"/>
        <v>28.571428571428569</v>
      </c>
      <c r="I157" s="112">
        <v>0.5</v>
      </c>
      <c r="J157" s="112">
        <f t="shared" si="9"/>
        <v>14.285714285714285</v>
      </c>
      <c r="L157" s="112">
        <v>2</v>
      </c>
      <c r="M157" s="112">
        <f t="shared" si="10"/>
        <v>57.142857142857139</v>
      </c>
    </row>
    <row r="158" spans="1:13">
      <c r="A158" s="26" t="s">
        <v>275</v>
      </c>
      <c r="C158" s="112">
        <f t="shared" si="8"/>
        <v>3.5</v>
      </c>
      <c r="D158" s="139">
        <f t="shared" si="8"/>
        <v>100</v>
      </c>
      <c r="F158" s="112">
        <v>1</v>
      </c>
      <c r="G158" s="112">
        <f t="shared" si="11"/>
        <v>28.571428571428569</v>
      </c>
      <c r="I158" s="112">
        <v>0</v>
      </c>
      <c r="J158" s="112">
        <f t="shared" si="9"/>
        <v>0</v>
      </c>
      <c r="L158" s="112">
        <v>2.5</v>
      </c>
      <c r="M158" s="112">
        <f t="shared" si="10"/>
        <v>71.428571428571431</v>
      </c>
    </row>
    <row r="159" spans="1:13">
      <c r="A159" s="26" t="s">
        <v>276</v>
      </c>
      <c r="C159" s="112">
        <f t="shared" si="8"/>
        <v>2.5</v>
      </c>
      <c r="D159" s="139">
        <f t="shared" si="8"/>
        <v>100</v>
      </c>
      <c r="F159" s="112">
        <v>1.5</v>
      </c>
      <c r="G159" s="112">
        <f t="shared" si="11"/>
        <v>60</v>
      </c>
      <c r="I159" s="112">
        <v>0</v>
      </c>
      <c r="J159" s="112">
        <f t="shared" si="9"/>
        <v>0</v>
      </c>
      <c r="L159" s="112">
        <v>1</v>
      </c>
      <c r="M159" s="112">
        <f t="shared" si="10"/>
        <v>40</v>
      </c>
    </row>
    <row r="160" spans="1:13">
      <c r="A160" s="26" t="s">
        <v>277</v>
      </c>
      <c r="C160" s="112">
        <f t="shared" si="8"/>
        <v>12</v>
      </c>
      <c r="D160" s="139">
        <f t="shared" si="8"/>
        <v>100</v>
      </c>
      <c r="F160" s="112">
        <v>6</v>
      </c>
      <c r="G160" s="112">
        <f t="shared" si="11"/>
        <v>50</v>
      </c>
      <c r="I160" s="112">
        <v>3</v>
      </c>
      <c r="J160" s="112">
        <f t="shared" si="9"/>
        <v>25</v>
      </c>
      <c r="L160" s="112">
        <v>3</v>
      </c>
      <c r="M160" s="112">
        <f t="shared" si="10"/>
        <v>25</v>
      </c>
    </row>
    <row r="161" spans="1:13">
      <c r="A161" s="26" t="s">
        <v>24</v>
      </c>
      <c r="C161" s="112">
        <f t="shared" si="8"/>
        <v>2.5</v>
      </c>
      <c r="D161" s="139">
        <f t="shared" si="8"/>
        <v>100</v>
      </c>
      <c r="F161" s="112">
        <v>0.5</v>
      </c>
      <c r="G161" s="112">
        <f t="shared" si="11"/>
        <v>20</v>
      </c>
      <c r="I161" s="112">
        <v>0</v>
      </c>
      <c r="J161" s="112">
        <f t="shared" si="9"/>
        <v>0</v>
      </c>
      <c r="L161" s="112">
        <v>2</v>
      </c>
      <c r="M161" s="112">
        <f t="shared" si="10"/>
        <v>80</v>
      </c>
    </row>
    <row r="162" spans="1:13">
      <c r="A162" s="26" t="s">
        <v>278</v>
      </c>
      <c r="C162" s="112">
        <f t="shared" si="8"/>
        <v>3.5</v>
      </c>
      <c r="D162" s="139">
        <f t="shared" si="8"/>
        <v>100</v>
      </c>
      <c r="F162" s="112">
        <v>0.5</v>
      </c>
      <c r="G162" s="112">
        <f t="shared" si="11"/>
        <v>14.285714285714285</v>
      </c>
      <c r="I162" s="112">
        <v>0</v>
      </c>
      <c r="J162" s="112">
        <f t="shared" si="9"/>
        <v>0</v>
      </c>
      <c r="L162" s="112">
        <v>3</v>
      </c>
      <c r="M162" s="112">
        <f t="shared" si="10"/>
        <v>85.714285714285708</v>
      </c>
    </row>
    <row r="163" spans="1:13">
      <c r="A163" s="26" t="s">
        <v>279</v>
      </c>
      <c r="C163" s="112">
        <f t="shared" si="8"/>
        <v>3.5</v>
      </c>
      <c r="D163" s="139">
        <f t="shared" si="8"/>
        <v>99.999999999999986</v>
      </c>
      <c r="F163" s="112">
        <v>0.5</v>
      </c>
      <c r="G163" s="112">
        <f t="shared" si="11"/>
        <v>14.285714285714285</v>
      </c>
      <c r="I163" s="112">
        <v>2</v>
      </c>
      <c r="J163" s="112">
        <f t="shared" si="9"/>
        <v>57.142857142857139</v>
      </c>
      <c r="L163" s="112">
        <v>1</v>
      </c>
      <c r="M163" s="112">
        <f t="shared" si="10"/>
        <v>28.571428571428569</v>
      </c>
    </row>
    <row r="164" spans="1:13">
      <c r="A164" s="26" t="s">
        <v>280</v>
      </c>
      <c r="C164" s="112">
        <f t="shared" si="8"/>
        <v>8.5</v>
      </c>
      <c r="D164" s="139">
        <f t="shared" si="8"/>
        <v>100</v>
      </c>
      <c r="F164" s="112">
        <v>2.5</v>
      </c>
      <c r="G164" s="112">
        <f t="shared" si="11"/>
        <v>29.411764705882355</v>
      </c>
      <c r="I164" s="112">
        <v>0</v>
      </c>
      <c r="J164" s="112">
        <f t="shared" si="9"/>
        <v>0</v>
      </c>
      <c r="L164" s="112">
        <v>6</v>
      </c>
      <c r="M164" s="112">
        <f t="shared" si="10"/>
        <v>70.588235294117652</v>
      </c>
    </row>
    <row r="165" spans="1:13">
      <c r="A165" s="26" t="s">
        <v>281</v>
      </c>
      <c r="C165" s="112">
        <f>IF($A165&lt;&gt;0,F165+I165+L165,"")</f>
        <v>3</v>
      </c>
      <c r="D165" s="139">
        <f>IF($A165&lt;&gt;0,G165+J165+M165,"")</f>
        <v>100</v>
      </c>
      <c r="F165" s="112">
        <v>0.5</v>
      </c>
      <c r="G165" s="112">
        <f>IF($A165&lt;&gt;0,F165/$C165*100,"")</f>
        <v>16.666666666666664</v>
      </c>
      <c r="I165" s="112">
        <v>0</v>
      </c>
      <c r="J165" s="112">
        <f>IF($A165&lt;&gt;0,I165/$C165*100,"")</f>
        <v>0</v>
      </c>
      <c r="L165" s="112">
        <v>2.5</v>
      </c>
      <c r="M165" s="112">
        <f t="shared" si="10"/>
        <v>83.333333333333343</v>
      </c>
    </row>
    <row r="166" spans="1:13">
      <c r="A166" s="26" t="s">
        <v>282</v>
      </c>
      <c r="C166" s="112">
        <f t="shared" si="8"/>
        <v>4.25</v>
      </c>
      <c r="D166" s="139">
        <f t="shared" si="8"/>
        <v>100</v>
      </c>
      <c r="F166" s="112">
        <v>0.75</v>
      </c>
      <c r="G166" s="112">
        <f t="shared" si="11"/>
        <v>17.647058823529413</v>
      </c>
      <c r="I166" s="112">
        <v>0.5</v>
      </c>
      <c r="J166" s="112">
        <f t="shared" si="9"/>
        <v>11.76470588235294</v>
      </c>
      <c r="L166" s="112">
        <v>3</v>
      </c>
      <c r="M166" s="112">
        <f t="shared" si="10"/>
        <v>70.588235294117652</v>
      </c>
    </row>
    <row r="167" spans="1:13">
      <c r="A167" s="26" t="s">
        <v>283</v>
      </c>
      <c r="C167" s="112">
        <f t="shared" si="8"/>
        <v>6.5</v>
      </c>
      <c r="D167" s="139">
        <f t="shared" si="8"/>
        <v>100</v>
      </c>
      <c r="F167" s="112">
        <v>3.5</v>
      </c>
      <c r="G167" s="112">
        <f t="shared" si="11"/>
        <v>53.846153846153847</v>
      </c>
      <c r="I167" s="112">
        <v>0</v>
      </c>
      <c r="J167" s="112">
        <f t="shared" si="9"/>
        <v>0</v>
      </c>
      <c r="L167" s="112">
        <v>3</v>
      </c>
      <c r="M167" s="112">
        <f t="shared" si="10"/>
        <v>46.153846153846153</v>
      </c>
    </row>
    <row r="168" spans="1:13">
      <c r="A168" s="26" t="s">
        <v>284</v>
      </c>
      <c r="C168" s="112">
        <f t="shared" si="8"/>
        <v>3.5</v>
      </c>
      <c r="D168" s="139">
        <f t="shared" si="8"/>
        <v>100</v>
      </c>
      <c r="F168" s="112">
        <v>1.5</v>
      </c>
      <c r="G168" s="112">
        <f t="shared" si="11"/>
        <v>42.857142857142854</v>
      </c>
      <c r="I168" s="112">
        <v>0</v>
      </c>
      <c r="J168" s="112">
        <f t="shared" si="9"/>
        <v>0</v>
      </c>
      <c r="L168" s="112">
        <v>2</v>
      </c>
      <c r="M168" s="112">
        <f t="shared" si="10"/>
        <v>57.142857142857139</v>
      </c>
    </row>
    <row r="169" spans="1:13">
      <c r="A169" s="26" t="s">
        <v>285</v>
      </c>
      <c r="C169" s="112">
        <f t="shared" si="8"/>
        <v>0.5</v>
      </c>
      <c r="D169" s="139">
        <f t="shared" si="8"/>
        <v>100</v>
      </c>
      <c r="F169" s="112">
        <v>0.5</v>
      </c>
      <c r="G169" s="112">
        <f t="shared" si="11"/>
        <v>100</v>
      </c>
      <c r="I169" s="112">
        <v>0</v>
      </c>
      <c r="J169" s="112">
        <f t="shared" si="9"/>
        <v>0</v>
      </c>
      <c r="L169" s="112">
        <v>0</v>
      </c>
      <c r="M169" s="112">
        <f t="shared" si="10"/>
        <v>0</v>
      </c>
    </row>
    <row r="170" spans="1:13">
      <c r="A170" s="26" t="s">
        <v>286</v>
      </c>
      <c r="C170" s="112">
        <f t="shared" si="8"/>
        <v>5.5</v>
      </c>
      <c r="D170" s="139">
        <f t="shared" si="8"/>
        <v>99.999999999999986</v>
      </c>
      <c r="F170" s="112">
        <v>2.5</v>
      </c>
      <c r="G170" s="112">
        <f t="shared" si="11"/>
        <v>45.454545454545453</v>
      </c>
      <c r="I170" s="112">
        <v>1.5</v>
      </c>
      <c r="J170" s="112">
        <f t="shared" si="9"/>
        <v>27.27272727272727</v>
      </c>
      <c r="L170" s="112">
        <v>1.5</v>
      </c>
      <c r="M170" s="112">
        <f t="shared" si="10"/>
        <v>27.27272727272727</v>
      </c>
    </row>
    <row r="171" spans="1:13">
      <c r="A171" s="26" t="s">
        <v>287</v>
      </c>
      <c r="C171" s="112">
        <f>IF($A171&lt;&gt;0,F171+I171+L171,"")</f>
        <v>2</v>
      </c>
      <c r="D171" s="139">
        <f>IF($A171&lt;&gt;0,G171+J171+M171,"")</f>
        <v>100</v>
      </c>
      <c r="F171" s="112">
        <v>1.25</v>
      </c>
      <c r="G171" s="112">
        <f t="shared" si="11"/>
        <v>62.5</v>
      </c>
      <c r="I171" s="112">
        <v>0</v>
      </c>
      <c r="J171" s="112">
        <f t="shared" si="9"/>
        <v>0</v>
      </c>
      <c r="L171" s="112">
        <v>0.75</v>
      </c>
      <c r="M171" s="112">
        <f t="shared" si="10"/>
        <v>37.5</v>
      </c>
    </row>
    <row r="172" spans="1:13">
      <c r="A172" s="26" t="s">
        <v>288</v>
      </c>
      <c r="C172" s="112">
        <f t="shared" si="8"/>
        <v>1.5</v>
      </c>
      <c r="D172" s="139">
        <f t="shared" si="8"/>
        <v>99.999999999999986</v>
      </c>
      <c r="F172" s="112">
        <v>0.5</v>
      </c>
      <c r="G172" s="112">
        <f t="shared" si="11"/>
        <v>33.333333333333329</v>
      </c>
      <c r="I172" s="112">
        <v>0</v>
      </c>
      <c r="J172" s="112">
        <f t="shared" si="9"/>
        <v>0</v>
      </c>
      <c r="L172" s="112">
        <v>1</v>
      </c>
      <c r="M172" s="112">
        <f t="shared" si="10"/>
        <v>66.666666666666657</v>
      </c>
    </row>
    <row r="173" spans="1:13">
      <c r="A173" s="26" t="s">
        <v>289</v>
      </c>
      <c r="C173" s="112">
        <f t="shared" si="8"/>
        <v>0.5</v>
      </c>
      <c r="D173" s="139">
        <f t="shared" si="8"/>
        <v>100</v>
      </c>
      <c r="F173" s="112">
        <v>0.5</v>
      </c>
      <c r="G173" s="112">
        <f t="shared" si="11"/>
        <v>100</v>
      </c>
      <c r="I173" s="112">
        <v>0</v>
      </c>
      <c r="J173" s="112">
        <f t="shared" si="9"/>
        <v>0</v>
      </c>
      <c r="L173" s="112">
        <v>0</v>
      </c>
      <c r="M173" s="112">
        <f t="shared" si="10"/>
        <v>0</v>
      </c>
    </row>
    <row r="174" spans="1:13" ht="6.75" customHeight="1">
      <c r="A174" s="26"/>
      <c r="C174" s="112" t="str">
        <f t="shared" si="8"/>
        <v/>
      </c>
      <c r="D174" s="139" t="str">
        <f t="shared" si="8"/>
        <v/>
      </c>
      <c r="G174" s="112" t="str">
        <f t="shared" si="11"/>
        <v/>
      </c>
      <c r="J174" s="112" t="str">
        <f t="shared" si="9"/>
        <v/>
      </c>
      <c r="L174" s="112" t="s">
        <v>154</v>
      </c>
      <c r="M174" s="112" t="str">
        <f t="shared" si="10"/>
        <v/>
      </c>
    </row>
    <row r="175" spans="1:13">
      <c r="A175" s="111" t="s">
        <v>290</v>
      </c>
      <c r="C175" s="112">
        <f t="shared" si="8"/>
        <v>99.375</v>
      </c>
      <c r="D175" s="139">
        <f t="shared" si="8"/>
        <v>100</v>
      </c>
      <c r="F175" s="112">
        <v>62.875</v>
      </c>
      <c r="G175" s="112">
        <f t="shared" si="11"/>
        <v>63.270440251572325</v>
      </c>
      <c r="I175" s="112">
        <v>0.5</v>
      </c>
      <c r="J175" s="112">
        <f t="shared" si="9"/>
        <v>0.50314465408805031</v>
      </c>
      <c r="L175" s="112">
        <v>36</v>
      </c>
      <c r="M175" s="112">
        <f t="shared" si="10"/>
        <v>36.226415094339622</v>
      </c>
    </row>
    <row r="176" spans="1:13" ht="7" customHeight="1">
      <c r="C176" s="112" t="str">
        <f t="shared" si="8"/>
        <v/>
      </c>
      <c r="D176" s="139" t="str">
        <f t="shared" si="8"/>
        <v/>
      </c>
      <c r="G176" s="112" t="str">
        <f t="shared" si="11"/>
        <v/>
      </c>
      <c r="J176" s="112" t="str">
        <f t="shared" si="9"/>
        <v/>
      </c>
      <c r="L176" s="112" t="s">
        <v>154</v>
      </c>
      <c r="M176" s="112" t="str">
        <f t="shared" si="10"/>
        <v/>
      </c>
    </row>
    <row r="177" spans="1:13">
      <c r="A177" s="17" t="s">
        <v>20</v>
      </c>
      <c r="B177" s="111"/>
      <c r="C177" s="112">
        <f t="shared" si="8"/>
        <v>174.625</v>
      </c>
      <c r="D177" s="139">
        <f t="shared" si="8"/>
        <v>100</v>
      </c>
      <c r="F177" s="112">
        <f>F179+F186</f>
        <v>37.25</v>
      </c>
      <c r="G177" s="112">
        <f t="shared" si="11"/>
        <v>21.33142448103078</v>
      </c>
      <c r="I177" s="112">
        <f>I179+I186</f>
        <v>93.375</v>
      </c>
      <c r="J177" s="112">
        <f t="shared" si="9"/>
        <v>53.471725125268435</v>
      </c>
      <c r="L177" s="112">
        <f>L179+L186</f>
        <v>44</v>
      </c>
      <c r="M177" s="112">
        <f t="shared" si="10"/>
        <v>25.196850393700785</v>
      </c>
    </row>
    <row r="178" spans="1:13" ht="7" customHeight="1">
      <c r="C178" s="112" t="str">
        <f t="shared" si="8"/>
        <v/>
      </c>
      <c r="D178" s="139" t="str">
        <f t="shared" si="8"/>
        <v/>
      </c>
      <c r="G178" s="112" t="str">
        <f t="shared" si="11"/>
        <v/>
      </c>
      <c r="J178" s="112" t="str">
        <f t="shared" si="9"/>
        <v/>
      </c>
      <c r="L178" s="112" t="s">
        <v>154</v>
      </c>
      <c r="M178" s="112" t="str">
        <f t="shared" si="10"/>
        <v/>
      </c>
    </row>
    <row r="179" spans="1:13">
      <c r="A179" s="111" t="s">
        <v>291</v>
      </c>
      <c r="C179" s="112">
        <f t="shared" si="8"/>
        <v>118.75</v>
      </c>
      <c r="D179" s="139">
        <f t="shared" si="8"/>
        <v>100</v>
      </c>
      <c r="F179" s="112">
        <f>SUM(F181:F184)</f>
        <v>0</v>
      </c>
      <c r="G179" s="112">
        <f t="shared" si="11"/>
        <v>0</v>
      </c>
      <c r="I179" s="112">
        <f>SUM(I181:I184)</f>
        <v>86.5</v>
      </c>
      <c r="J179" s="112">
        <f t="shared" si="9"/>
        <v>72.84210526315789</v>
      </c>
      <c r="L179" s="112">
        <f>SUM(L181:L184)</f>
        <v>32.25</v>
      </c>
      <c r="M179" s="112">
        <f t="shared" si="10"/>
        <v>27.157894736842103</v>
      </c>
    </row>
    <row r="180" spans="1:13">
      <c r="C180" s="112" t="str">
        <f t="shared" si="8"/>
        <v/>
      </c>
      <c r="D180" s="139" t="str">
        <f t="shared" si="8"/>
        <v/>
      </c>
      <c r="G180" s="112" t="str">
        <f t="shared" si="11"/>
        <v/>
      </c>
      <c r="J180" s="112" t="str">
        <f t="shared" si="9"/>
        <v/>
      </c>
      <c r="L180" s="112" t="s">
        <v>154</v>
      </c>
      <c r="M180" s="112" t="str">
        <f t="shared" si="10"/>
        <v/>
      </c>
    </row>
    <row r="181" spans="1:13">
      <c r="A181" s="26" t="s">
        <v>292</v>
      </c>
      <c r="C181" s="112">
        <f t="shared" si="8"/>
        <v>20.5</v>
      </c>
      <c r="D181" s="139">
        <f t="shared" si="8"/>
        <v>100</v>
      </c>
      <c r="F181" s="25">
        <v>0</v>
      </c>
      <c r="G181" s="112">
        <f t="shared" si="11"/>
        <v>0</v>
      </c>
      <c r="H181" s="25"/>
      <c r="I181" s="25">
        <v>11</v>
      </c>
      <c r="J181" s="112">
        <f t="shared" si="9"/>
        <v>53.658536585365859</v>
      </c>
      <c r="K181" s="25"/>
      <c r="L181" s="112">
        <v>9.5</v>
      </c>
      <c r="M181" s="112">
        <f t="shared" si="10"/>
        <v>46.341463414634148</v>
      </c>
    </row>
    <row r="182" spans="1:13">
      <c r="A182" s="26" t="s">
        <v>293</v>
      </c>
      <c r="C182" s="112">
        <f t="shared" si="8"/>
        <v>30</v>
      </c>
      <c r="D182" s="139">
        <f t="shared" si="8"/>
        <v>100.00000000000001</v>
      </c>
      <c r="F182" s="25">
        <v>0</v>
      </c>
      <c r="G182" s="112">
        <f t="shared" si="11"/>
        <v>0</v>
      </c>
      <c r="H182" s="25"/>
      <c r="I182" s="25">
        <v>21.25</v>
      </c>
      <c r="J182" s="112">
        <f t="shared" si="9"/>
        <v>70.833333333333343</v>
      </c>
      <c r="K182" s="25"/>
      <c r="L182" s="112">
        <v>8.75</v>
      </c>
      <c r="M182" s="112">
        <f t="shared" si="10"/>
        <v>29.166666666666668</v>
      </c>
    </row>
    <row r="183" spans="1:13">
      <c r="A183" s="26" t="s">
        <v>294</v>
      </c>
      <c r="C183" s="112">
        <f t="shared" si="8"/>
        <v>39</v>
      </c>
      <c r="D183" s="139">
        <f t="shared" si="8"/>
        <v>100</v>
      </c>
      <c r="F183" s="25">
        <v>0</v>
      </c>
      <c r="G183" s="112">
        <f t="shared" si="11"/>
        <v>0</v>
      </c>
      <c r="H183" s="25"/>
      <c r="I183" s="25">
        <v>36</v>
      </c>
      <c r="J183" s="112">
        <f t="shared" si="9"/>
        <v>92.307692307692307</v>
      </c>
      <c r="K183" s="25"/>
      <c r="L183" s="112">
        <v>3</v>
      </c>
      <c r="M183" s="112">
        <f t="shared" si="10"/>
        <v>7.6923076923076925</v>
      </c>
    </row>
    <row r="184" spans="1:13">
      <c r="A184" s="26" t="s">
        <v>295</v>
      </c>
      <c r="C184" s="112">
        <f t="shared" si="8"/>
        <v>29.25</v>
      </c>
      <c r="D184" s="139">
        <f t="shared" si="8"/>
        <v>100</v>
      </c>
      <c r="F184" s="25">
        <v>0</v>
      </c>
      <c r="G184" s="112">
        <f t="shared" si="11"/>
        <v>0</v>
      </c>
      <c r="H184" s="25"/>
      <c r="I184" s="25">
        <v>18.25</v>
      </c>
      <c r="J184" s="112">
        <f t="shared" si="9"/>
        <v>62.393162393162392</v>
      </c>
      <c r="K184" s="25"/>
      <c r="L184" s="112">
        <v>11</v>
      </c>
      <c r="M184" s="112">
        <f t="shared" si="10"/>
        <v>37.606837606837608</v>
      </c>
    </row>
    <row r="185" spans="1:13">
      <c r="A185" s="26"/>
      <c r="C185" s="112" t="str">
        <f t="shared" si="8"/>
        <v/>
      </c>
      <c r="D185" s="139" t="str">
        <f t="shared" si="8"/>
        <v/>
      </c>
      <c r="G185" s="112" t="str">
        <f t="shared" si="11"/>
        <v/>
      </c>
      <c r="J185" s="112" t="str">
        <f t="shared" si="9"/>
        <v/>
      </c>
      <c r="L185" s="112" t="s">
        <v>154</v>
      </c>
      <c r="M185" s="112" t="str">
        <f t="shared" si="10"/>
        <v/>
      </c>
    </row>
    <row r="186" spans="1:13">
      <c r="A186" s="14" t="s">
        <v>296</v>
      </c>
      <c r="C186" s="112">
        <f t="shared" si="8"/>
        <v>55.875</v>
      </c>
      <c r="D186" s="139">
        <f t="shared" si="8"/>
        <v>99.999999999999986</v>
      </c>
      <c r="F186" s="112">
        <f>SUM(F188:F193)</f>
        <v>37.25</v>
      </c>
      <c r="G186" s="112">
        <f t="shared" si="11"/>
        <v>66.666666666666657</v>
      </c>
      <c r="I186" s="112">
        <f>SUM(I188:I193)</f>
        <v>6.875</v>
      </c>
      <c r="J186" s="112">
        <f t="shared" si="9"/>
        <v>12.304250559284116</v>
      </c>
      <c r="L186" s="112">
        <f>SUM(L188:L193)</f>
        <v>11.75</v>
      </c>
      <c r="M186" s="112">
        <f t="shared" si="10"/>
        <v>21.029082774049218</v>
      </c>
    </row>
    <row r="187" spans="1:13">
      <c r="A187" s="14"/>
      <c r="C187" s="112" t="str">
        <f t="shared" si="8"/>
        <v/>
      </c>
      <c r="D187" s="139" t="str">
        <f t="shared" si="8"/>
        <v/>
      </c>
      <c r="G187" s="112" t="str">
        <f t="shared" si="11"/>
        <v/>
      </c>
      <c r="J187" s="112" t="str">
        <f t="shared" si="9"/>
        <v/>
      </c>
      <c r="L187" s="112" t="s">
        <v>154</v>
      </c>
      <c r="M187" s="112" t="str">
        <f t="shared" si="10"/>
        <v/>
      </c>
    </row>
    <row r="188" spans="1:13" hidden="1">
      <c r="A188" s="26" t="s">
        <v>297</v>
      </c>
      <c r="C188" s="112">
        <f t="shared" si="8"/>
        <v>0</v>
      </c>
      <c r="D188" s="139" t="e">
        <f t="shared" si="8"/>
        <v>#DIV/0!</v>
      </c>
      <c r="F188" s="25">
        <v>0</v>
      </c>
      <c r="G188" s="112" t="e">
        <f t="shared" si="11"/>
        <v>#DIV/0!</v>
      </c>
      <c r="H188" s="25"/>
      <c r="I188" s="25">
        <v>0</v>
      </c>
      <c r="J188" s="112" t="e">
        <f t="shared" si="9"/>
        <v>#DIV/0!</v>
      </c>
      <c r="K188" s="25"/>
      <c r="L188" s="112">
        <v>0</v>
      </c>
      <c r="M188" s="112" t="e">
        <f t="shared" si="10"/>
        <v>#DIV/0!</v>
      </c>
    </row>
    <row r="189" spans="1:13">
      <c r="A189" s="14" t="s">
        <v>298</v>
      </c>
      <c r="C189" s="112">
        <f t="shared" si="8"/>
        <v>1.25</v>
      </c>
      <c r="D189" s="139">
        <f t="shared" si="8"/>
        <v>100</v>
      </c>
      <c r="F189" s="25">
        <v>0</v>
      </c>
      <c r="G189" s="112">
        <f t="shared" si="11"/>
        <v>0</v>
      </c>
      <c r="H189" s="25"/>
      <c r="I189" s="25">
        <v>1</v>
      </c>
      <c r="J189" s="112">
        <f t="shared" si="9"/>
        <v>80</v>
      </c>
      <c r="K189" s="25"/>
      <c r="L189" s="112">
        <v>0.25</v>
      </c>
      <c r="M189" s="112">
        <f t="shared" si="10"/>
        <v>20</v>
      </c>
    </row>
    <row r="190" spans="1:13" hidden="1">
      <c r="A190" s="26" t="s">
        <v>299</v>
      </c>
      <c r="C190" s="112">
        <f t="shared" si="8"/>
        <v>0</v>
      </c>
      <c r="D190" s="139" t="e">
        <f t="shared" si="8"/>
        <v>#DIV/0!</v>
      </c>
      <c r="F190" s="25">
        <v>0</v>
      </c>
      <c r="G190" s="112" t="e">
        <f t="shared" si="11"/>
        <v>#DIV/0!</v>
      </c>
      <c r="H190" s="25"/>
      <c r="I190" s="25">
        <v>0</v>
      </c>
      <c r="J190" s="112" t="e">
        <f t="shared" si="9"/>
        <v>#DIV/0!</v>
      </c>
      <c r="K190" s="25"/>
      <c r="L190" s="112">
        <v>0</v>
      </c>
      <c r="M190" s="112" t="e">
        <f t="shared" si="10"/>
        <v>#DIV/0!</v>
      </c>
    </row>
    <row r="191" spans="1:13">
      <c r="A191" s="14" t="s">
        <v>300</v>
      </c>
      <c r="C191" s="112">
        <f t="shared" si="8"/>
        <v>39.5</v>
      </c>
      <c r="D191" s="139">
        <f t="shared" si="8"/>
        <v>100</v>
      </c>
      <c r="F191" s="25">
        <v>36.25</v>
      </c>
      <c r="G191" s="112">
        <f t="shared" si="11"/>
        <v>91.77215189873418</v>
      </c>
      <c r="H191" s="25"/>
      <c r="I191" s="25">
        <v>2.25</v>
      </c>
      <c r="J191" s="112">
        <f t="shared" si="9"/>
        <v>5.6962025316455698</v>
      </c>
      <c r="K191" s="25"/>
      <c r="L191" s="112">
        <v>1</v>
      </c>
      <c r="M191" s="112">
        <f t="shared" si="10"/>
        <v>2.5316455696202533</v>
      </c>
    </row>
    <row r="192" spans="1:13" hidden="1">
      <c r="A192" s="14" t="s">
        <v>301</v>
      </c>
      <c r="C192" s="112">
        <f t="shared" si="8"/>
        <v>0</v>
      </c>
      <c r="D192" s="139" t="e">
        <f t="shared" si="8"/>
        <v>#DIV/0!</v>
      </c>
      <c r="F192" s="25">
        <v>0</v>
      </c>
      <c r="G192" s="112" t="e">
        <f t="shared" si="11"/>
        <v>#DIV/0!</v>
      </c>
      <c r="H192" s="25"/>
      <c r="I192" s="25">
        <v>0</v>
      </c>
      <c r="J192" s="112" t="e">
        <f t="shared" si="9"/>
        <v>#DIV/0!</v>
      </c>
      <c r="K192" s="25"/>
      <c r="L192" s="112">
        <v>0</v>
      </c>
      <c r="M192" s="112" t="e">
        <f t="shared" si="10"/>
        <v>#DIV/0!</v>
      </c>
    </row>
    <row r="193" spans="1:13">
      <c r="A193" s="14" t="s">
        <v>302</v>
      </c>
      <c r="C193" s="112">
        <f t="shared" si="8"/>
        <v>15.125</v>
      </c>
      <c r="D193" s="139">
        <f t="shared" si="8"/>
        <v>100</v>
      </c>
      <c r="F193" s="25">
        <v>1</v>
      </c>
      <c r="G193" s="112">
        <f t="shared" si="11"/>
        <v>6.6115702479338845</v>
      </c>
      <c r="H193" s="25"/>
      <c r="I193" s="25">
        <v>3.625</v>
      </c>
      <c r="J193" s="112">
        <f t="shared" si="9"/>
        <v>23.966942148760332</v>
      </c>
      <c r="K193" s="25"/>
      <c r="L193" s="112">
        <v>10.5</v>
      </c>
      <c r="M193" s="112">
        <f t="shared" si="10"/>
        <v>69.421487603305792</v>
      </c>
    </row>
    <row r="194" spans="1:13" ht="7" customHeight="1">
      <c r="A194" s="14"/>
      <c r="C194" s="112" t="str">
        <f t="shared" si="8"/>
        <v/>
      </c>
      <c r="D194" s="139" t="str">
        <f t="shared" si="8"/>
        <v/>
      </c>
      <c r="G194" s="112" t="str">
        <f t="shared" si="11"/>
        <v/>
      </c>
      <c r="J194" s="112" t="str">
        <f t="shared" si="9"/>
        <v/>
      </c>
      <c r="L194" s="112" t="s">
        <v>154</v>
      </c>
      <c r="M194" s="112" t="str">
        <f t="shared" si="10"/>
        <v/>
      </c>
    </row>
    <row r="195" spans="1:13">
      <c r="A195" s="17" t="s">
        <v>122</v>
      </c>
      <c r="C195" s="112">
        <f t="shared" si="8"/>
        <v>208.5</v>
      </c>
      <c r="D195" s="139">
        <f t="shared" si="8"/>
        <v>100</v>
      </c>
      <c r="F195" s="112">
        <f>SUM(F196:F201)</f>
        <v>0</v>
      </c>
      <c r="G195" s="112">
        <f t="shared" si="11"/>
        <v>0</v>
      </c>
      <c r="I195" s="112">
        <f>SUM(I196:I201)</f>
        <v>38.5</v>
      </c>
      <c r="J195" s="112">
        <f t="shared" si="9"/>
        <v>18.465227817745802</v>
      </c>
      <c r="L195" s="112">
        <f>SUM(L196:L201)</f>
        <v>170</v>
      </c>
      <c r="M195" s="112">
        <f t="shared" si="10"/>
        <v>81.534772182254201</v>
      </c>
    </row>
    <row r="196" spans="1:13" ht="7" customHeight="1">
      <c r="C196" s="112" t="str">
        <f t="shared" si="8"/>
        <v/>
      </c>
      <c r="D196" s="139" t="str">
        <f t="shared" si="8"/>
        <v/>
      </c>
      <c r="G196" s="112" t="str">
        <f t="shared" si="11"/>
        <v/>
      </c>
      <c r="J196" s="112" t="str">
        <f t="shared" si="9"/>
        <v/>
      </c>
      <c r="L196" s="112" t="s">
        <v>154</v>
      </c>
      <c r="M196" s="112" t="str">
        <f t="shared" si="10"/>
        <v/>
      </c>
    </row>
    <row r="197" spans="1:13">
      <c r="A197" s="111" t="s">
        <v>303</v>
      </c>
      <c r="C197" s="112">
        <f t="shared" si="8"/>
        <v>6.5</v>
      </c>
      <c r="D197" s="139">
        <f t="shared" si="8"/>
        <v>100</v>
      </c>
      <c r="F197" s="112">
        <v>0</v>
      </c>
      <c r="G197" s="112">
        <f t="shared" si="11"/>
        <v>0</v>
      </c>
      <c r="I197" s="112">
        <v>1</v>
      </c>
      <c r="J197" s="112">
        <f t="shared" si="9"/>
        <v>15.384615384615385</v>
      </c>
      <c r="L197" s="112">
        <v>5.5</v>
      </c>
      <c r="M197" s="112">
        <f t="shared" si="10"/>
        <v>84.615384615384613</v>
      </c>
    </row>
    <row r="198" spans="1:13">
      <c r="A198" s="111" t="s">
        <v>304</v>
      </c>
      <c r="C198" s="112">
        <f t="shared" si="8"/>
        <v>47</v>
      </c>
      <c r="D198" s="139">
        <f t="shared" si="8"/>
        <v>100</v>
      </c>
      <c r="F198" s="112">
        <v>0</v>
      </c>
      <c r="G198" s="112">
        <f t="shared" si="11"/>
        <v>0</v>
      </c>
      <c r="I198" s="112">
        <v>0</v>
      </c>
      <c r="J198" s="112">
        <f t="shared" si="9"/>
        <v>0</v>
      </c>
      <c r="L198" s="112">
        <v>47</v>
      </c>
      <c r="M198" s="112">
        <f t="shared" si="10"/>
        <v>100</v>
      </c>
    </row>
    <row r="199" spans="1:13">
      <c r="A199" s="111" t="s">
        <v>305</v>
      </c>
      <c r="C199" s="112">
        <f t="shared" si="8"/>
        <v>41.75</v>
      </c>
      <c r="D199" s="139">
        <f t="shared" si="8"/>
        <v>100</v>
      </c>
      <c r="F199" s="112">
        <v>0</v>
      </c>
      <c r="G199" s="112">
        <f t="shared" si="11"/>
        <v>0</v>
      </c>
      <c r="I199" s="112">
        <v>3.5</v>
      </c>
      <c r="J199" s="112">
        <f t="shared" si="9"/>
        <v>8.3832335329341312</v>
      </c>
      <c r="L199" s="112">
        <v>38.25</v>
      </c>
      <c r="M199" s="112">
        <f t="shared" si="10"/>
        <v>91.616766467065872</v>
      </c>
    </row>
    <row r="200" spans="1:13">
      <c r="A200" s="111" t="s">
        <v>306</v>
      </c>
      <c r="C200" s="112">
        <f t="shared" si="8"/>
        <v>40</v>
      </c>
      <c r="D200" s="139">
        <f t="shared" si="8"/>
        <v>100</v>
      </c>
      <c r="F200" s="112">
        <v>0</v>
      </c>
      <c r="G200" s="112">
        <f t="shared" si="11"/>
        <v>0</v>
      </c>
      <c r="I200" s="112">
        <v>30.5</v>
      </c>
      <c r="J200" s="112">
        <f t="shared" si="9"/>
        <v>76.25</v>
      </c>
      <c r="L200" s="112">
        <v>9.5</v>
      </c>
      <c r="M200" s="112">
        <f t="shared" si="10"/>
        <v>23.75</v>
      </c>
    </row>
    <row r="201" spans="1:13">
      <c r="A201" s="111" t="s">
        <v>307</v>
      </c>
      <c r="C201" s="112">
        <f t="shared" si="8"/>
        <v>73.25</v>
      </c>
      <c r="D201" s="139">
        <f t="shared" si="8"/>
        <v>100</v>
      </c>
      <c r="F201" s="112">
        <v>0</v>
      </c>
      <c r="G201" s="112">
        <f t="shared" si="11"/>
        <v>0</v>
      </c>
      <c r="I201" s="112">
        <v>3.5</v>
      </c>
      <c r="J201" s="112">
        <f t="shared" si="9"/>
        <v>4.7781569965870307</v>
      </c>
      <c r="L201" s="112">
        <v>69.75</v>
      </c>
      <c r="M201" s="112">
        <f t="shared" si="10"/>
        <v>95.221843003412971</v>
      </c>
    </row>
    <row r="202" spans="1:13" ht="7" customHeight="1">
      <c r="C202" s="112" t="str">
        <f t="shared" si="8"/>
        <v/>
      </c>
      <c r="D202" s="139" t="str">
        <f t="shared" si="8"/>
        <v/>
      </c>
      <c r="L202" s="112" t="s">
        <v>154</v>
      </c>
      <c r="M202" s="112" t="str">
        <f t="shared" si="10"/>
        <v/>
      </c>
    </row>
    <row r="203" spans="1:13">
      <c r="A203" s="17" t="s">
        <v>22</v>
      </c>
      <c r="C203" s="112">
        <f t="shared" si="8"/>
        <v>670.75</v>
      </c>
      <c r="D203" s="139">
        <f t="shared" si="8"/>
        <v>100</v>
      </c>
      <c r="F203" s="112">
        <f>SUM(F205+F210)</f>
        <v>0</v>
      </c>
      <c r="G203" s="112">
        <f t="shared" si="11"/>
        <v>0</v>
      </c>
      <c r="I203" s="112">
        <f>SUM(I205+I210)</f>
        <v>0</v>
      </c>
      <c r="J203" s="112">
        <f t="shared" si="9"/>
        <v>0</v>
      </c>
      <c r="L203" s="112">
        <f>SUM(L205+L210)</f>
        <v>670.75</v>
      </c>
      <c r="M203" s="112">
        <f t="shared" si="10"/>
        <v>100</v>
      </c>
    </row>
    <row r="204" spans="1:13" ht="7" customHeight="1">
      <c r="C204" s="112" t="str">
        <f t="shared" si="8"/>
        <v/>
      </c>
      <c r="D204" s="139" t="str">
        <f t="shared" si="8"/>
        <v/>
      </c>
      <c r="G204" s="112" t="str">
        <f t="shared" si="11"/>
        <v/>
      </c>
      <c r="J204" s="112" t="str">
        <f t="shared" si="9"/>
        <v/>
      </c>
      <c r="L204" s="112" t="s">
        <v>154</v>
      </c>
      <c r="M204" s="112" t="str">
        <f t="shared" si="10"/>
        <v/>
      </c>
    </row>
    <row r="205" spans="1:13">
      <c r="A205" s="111" t="s">
        <v>308</v>
      </c>
      <c r="C205" s="112">
        <f t="shared" si="8"/>
        <v>164.25</v>
      </c>
      <c r="D205" s="139">
        <f t="shared" si="8"/>
        <v>100</v>
      </c>
      <c r="F205" s="112">
        <f>SUM(F207:F208)</f>
        <v>0</v>
      </c>
      <c r="G205" s="112">
        <f t="shared" si="11"/>
        <v>0</v>
      </c>
      <c r="I205" s="112">
        <f>SUM(I207:I208)</f>
        <v>0</v>
      </c>
      <c r="J205" s="112">
        <f t="shared" si="9"/>
        <v>0</v>
      </c>
      <c r="L205" s="112">
        <f>SUM(L207:L208)</f>
        <v>164.25</v>
      </c>
      <c r="M205" s="112">
        <f t="shared" si="10"/>
        <v>100</v>
      </c>
    </row>
    <row r="206" spans="1:13">
      <c r="C206" s="112" t="str">
        <f t="shared" si="8"/>
        <v/>
      </c>
      <c r="D206" s="139" t="str">
        <f t="shared" si="8"/>
        <v/>
      </c>
      <c r="G206" s="112" t="str">
        <f t="shared" si="11"/>
        <v/>
      </c>
      <c r="J206" s="112" t="str">
        <f t="shared" si="9"/>
        <v/>
      </c>
      <c r="L206" s="112" t="s">
        <v>154</v>
      </c>
      <c r="M206" s="112" t="str">
        <f t="shared" si="10"/>
        <v/>
      </c>
    </row>
    <row r="207" spans="1:13">
      <c r="A207" s="111" t="s">
        <v>309</v>
      </c>
      <c r="C207" s="112">
        <f t="shared" si="8"/>
        <v>86</v>
      </c>
      <c r="D207" s="139">
        <f t="shared" si="8"/>
        <v>100</v>
      </c>
      <c r="F207" s="112">
        <v>0</v>
      </c>
      <c r="G207" s="112">
        <f t="shared" si="11"/>
        <v>0</v>
      </c>
      <c r="I207" s="112">
        <v>0</v>
      </c>
      <c r="J207" s="112">
        <f t="shared" si="9"/>
        <v>0</v>
      </c>
      <c r="L207" s="112">
        <v>86</v>
      </c>
      <c r="M207" s="112">
        <f t="shared" si="10"/>
        <v>100</v>
      </c>
    </row>
    <row r="208" spans="1:13">
      <c r="A208" s="111" t="s">
        <v>310</v>
      </c>
      <c r="C208" s="112">
        <f t="shared" si="8"/>
        <v>78.25</v>
      </c>
      <c r="D208" s="139">
        <f t="shared" si="8"/>
        <v>100</v>
      </c>
      <c r="F208" s="112">
        <v>0</v>
      </c>
      <c r="G208" s="112">
        <f t="shared" si="11"/>
        <v>0</v>
      </c>
      <c r="I208" s="112">
        <v>0</v>
      </c>
      <c r="J208" s="112">
        <f t="shared" si="9"/>
        <v>0</v>
      </c>
      <c r="L208" s="112">
        <v>78.25</v>
      </c>
      <c r="M208" s="112">
        <f t="shared" si="10"/>
        <v>100</v>
      </c>
    </row>
    <row r="209" spans="1:13">
      <c r="C209" s="112" t="str">
        <f t="shared" si="8"/>
        <v/>
      </c>
      <c r="D209" s="139" t="str">
        <f t="shared" si="8"/>
        <v/>
      </c>
      <c r="G209" s="112" t="str">
        <f t="shared" si="11"/>
        <v/>
      </c>
      <c r="J209" s="112" t="str">
        <f t="shared" si="9"/>
        <v/>
      </c>
      <c r="L209" s="112" t="s">
        <v>154</v>
      </c>
      <c r="M209" s="112" t="str">
        <f t="shared" si="10"/>
        <v/>
      </c>
    </row>
    <row r="210" spans="1:13">
      <c r="A210" s="111" t="s">
        <v>311</v>
      </c>
      <c r="C210" s="112">
        <f t="shared" si="8"/>
        <v>506.5</v>
      </c>
      <c r="D210" s="139">
        <f t="shared" si="8"/>
        <v>100</v>
      </c>
      <c r="F210" s="112">
        <f>SUM(F212:F220)</f>
        <v>0</v>
      </c>
      <c r="G210" s="112">
        <f t="shared" si="11"/>
        <v>0</v>
      </c>
      <c r="I210" s="112">
        <f>SUM(I212:I220)</f>
        <v>0</v>
      </c>
      <c r="J210" s="112">
        <f t="shared" si="9"/>
        <v>0</v>
      </c>
      <c r="L210" s="112">
        <f>SUM(L212:L220)</f>
        <v>506.5</v>
      </c>
      <c r="M210" s="112">
        <f t="shared" si="10"/>
        <v>100</v>
      </c>
    </row>
    <row r="211" spans="1:13">
      <c r="C211" s="112" t="str">
        <f t="shared" si="8"/>
        <v/>
      </c>
      <c r="D211" s="139" t="str">
        <f t="shared" si="8"/>
        <v/>
      </c>
      <c r="G211" s="112" t="str">
        <f t="shared" si="11"/>
        <v/>
      </c>
      <c r="J211" s="112" t="str">
        <f t="shared" si="9"/>
        <v/>
      </c>
      <c r="L211" s="112" t="s">
        <v>154</v>
      </c>
      <c r="M211" s="112" t="str">
        <f t="shared" si="10"/>
        <v/>
      </c>
    </row>
    <row r="212" spans="1:13">
      <c r="A212" s="111" t="s">
        <v>312</v>
      </c>
      <c r="C212" s="112">
        <f t="shared" si="8"/>
        <v>69.5</v>
      </c>
      <c r="D212" s="139">
        <f t="shared" si="8"/>
        <v>100</v>
      </c>
      <c r="F212" s="112">
        <v>0</v>
      </c>
      <c r="G212" s="112">
        <f t="shared" si="11"/>
        <v>0</v>
      </c>
      <c r="I212" s="112">
        <v>0</v>
      </c>
      <c r="J212" s="112">
        <f t="shared" si="9"/>
        <v>0</v>
      </c>
      <c r="L212" s="112">
        <v>69.5</v>
      </c>
      <c r="M212" s="112">
        <f t="shared" si="10"/>
        <v>100</v>
      </c>
    </row>
    <row r="213" spans="1:13">
      <c r="A213" s="111" t="s">
        <v>313</v>
      </c>
      <c r="C213" s="112">
        <f t="shared" ref="C213:D278" si="12">IF($A213&lt;&gt;0,F213+I213+L213,"")</f>
        <v>25</v>
      </c>
      <c r="D213" s="139">
        <f t="shared" si="12"/>
        <v>100</v>
      </c>
      <c r="F213" s="112">
        <v>0</v>
      </c>
      <c r="G213" s="112">
        <f t="shared" si="11"/>
        <v>0</v>
      </c>
      <c r="I213" s="112">
        <v>0</v>
      </c>
      <c r="J213" s="112">
        <f t="shared" si="9"/>
        <v>0</v>
      </c>
      <c r="L213" s="112">
        <v>25</v>
      </c>
      <c r="M213" s="112">
        <f t="shared" ref="M213:M278" si="13">IF($A213&lt;&gt;0,L213/$C213*100,"")</f>
        <v>100</v>
      </c>
    </row>
    <row r="214" spans="1:13">
      <c r="A214" s="111" t="s">
        <v>314</v>
      </c>
      <c r="C214" s="112">
        <f t="shared" si="12"/>
        <v>188</v>
      </c>
      <c r="D214" s="139">
        <f t="shared" si="12"/>
        <v>100</v>
      </c>
      <c r="F214" s="112">
        <v>0</v>
      </c>
      <c r="G214" s="112">
        <f t="shared" si="11"/>
        <v>0</v>
      </c>
      <c r="I214" s="112">
        <v>0</v>
      </c>
      <c r="J214" s="112">
        <f t="shared" ref="J214:J279" si="14">IF($A214&lt;&gt;0,I214/$C214*100,"")</f>
        <v>0</v>
      </c>
      <c r="L214" s="112">
        <v>188</v>
      </c>
      <c r="M214" s="112">
        <f t="shared" si="13"/>
        <v>100</v>
      </c>
    </row>
    <row r="215" spans="1:13">
      <c r="A215" s="111" t="s">
        <v>315</v>
      </c>
      <c r="C215" s="112">
        <f t="shared" si="12"/>
        <v>12</v>
      </c>
      <c r="D215" s="139">
        <f t="shared" si="12"/>
        <v>100</v>
      </c>
      <c r="F215" s="112">
        <v>0</v>
      </c>
      <c r="G215" s="112">
        <f t="shared" ref="G215:G280" si="15">IF($A215&lt;&gt;0,F215/$C215*100,"")</f>
        <v>0</v>
      </c>
      <c r="I215" s="112">
        <v>0</v>
      </c>
      <c r="J215" s="112">
        <f t="shared" si="14"/>
        <v>0</v>
      </c>
      <c r="L215" s="112">
        <v>12</v>
      </c>
      <c r="M215" s="112">
        <f t="shared" si="13"/>
        <v>100</v>
      </c>
    </row>
    <row r="216" spans="1:13">
      <c r="A216" s="111" t="s">
        <v>316</v>
      </c>
      <c r="C216" s="112">
        <f t="shared" si="12"/>
        <v>42</v>
      </c>
      <c r="D216" s="139">
        <f t="shared" si="12"/>
        <v>100</v>
      </c>
      <c r="F216" s="112">
        <v>0</v>
      </c>
      <c r="G216" s="112">
        <f t="shared" si="15"/>
        <v>0</v>
      </c>
      <c r="I216" s="112">
        <v>0</v>
      </c>
      <c r="J216" s="112">
        <f t="shared" si="14"/>
        <v>0</v>
      </c>
      <c r="L216" s="112">
        <v>42</v>
      </c>
      <c r="M216" s="112">
        <f t="shared" si="13"/>
        <v>100</v>
      </c>
    </row>
    <row r="217" spans="1:13">
      <c r="A217" s="111" t="s">
        <v>317</v>
      </c>
      <c r="C217" s="112">
        <f t="shared" si="12"/>
        <v>151</v>
      </c>
      <c r="D217" s="139">
        <f t="shared" si="12"/>
        <v>100</v>
      </c>
      <c r="F217" s="112">
        <v>0</v>
      </c>
      <c r="G217" s="112">
        <f t="shared" si="15"/>
        <v>0</v>
      </c>
      <c r="I217" s="112">
        <v>0</v>
      </c>
      <c r="J217" s="112">
        <f t="shared" si="14"/>
        <v>0</v>
      </c>
      <c r="L217" s="112">
        <v>151</v>
      </c>
      <c r="M217" s="112">
        <f t="shared" si="13"/>
        <v>100</v>
      </c>
    </row>
    <row r="218" spans="1:13">
      <c r="A218" s="14" t="s">
        <v>318</v>
      </c>
      <c r="C218" s="112">
        <f>IF($A218&lt;&gt;0,F218+I218+L218,"")</f>
        <v>1</v>
      </c>
      <c r="D218" s="139">
        <f>IF($A218&lt;&gt;0,G218+J218+M218,"")</f>
        <v>100</v>
      </c>
      <c r="F218" s="112">
        <v>0</v>
      </c>
      <c r="G218" s="112">
        <f>IF($A218&lt;&gt;0,F218/$C218*100,"")</f>
        <v>0</v>
      </c>
      <c r="I218" s="112">
        <v>0</v>
      </c>
      <c r="J218" s="112">
        <f>IF($A218&lt;&gt;0,I218/$C218*100,"")</f>
        <v>0</v>
      </c>
      <c r="L218" s="112">
        <v>1</v>
      </c>
      <c r="M218" s="112">
        <f>IF($A218&lt;&gt;0,L218/$C218*100,"")</f>
        <v>100</v>
      </c>
    </row>
    <row r="219" spans="1:13">
      <c r="A219" s="111" t="s">
        <v>319</v>
      </c>
      <c r="C219" s="112">
        <f t="shared" si="12"/>
        <v>17</v>
      </c>
      <c r="D219" s="139">
        <f t="shared" si="12"/>
        <v>100</v>
      </c>
      <c r="F219" s="112">
        <v>0</v>
      </c>
      <c r="G219" s="112">
        <f t="shared" si="15"/>
        <v>0</v>
      </c>
      <c r="I219" s="112">
        <v>0</v>
      </c>
      <c r="J219" s="112">
        <f t="shared" si="14"/>
        <v>0</v>
      </c>
      <c r="L219" s="112">
        <v>17</v>
      </c>
      <c r="M219" s="112">
        <f t="shared" si="13"/>
        <v>100</v>
      </c>
    </row>
    <row r="220" spans="1:13">
      <c r="A220" s="111" t="s">
        <v>320</v>
      </c>
      <c r="C220" s="112">
        <f t="shared" si="12"/>
        <v>1</v>
      </c>
      <c r="D220" s="139">
        <f t="shared" si="12"/>
        <v>100</v>
      </c>
      <c r="F220" s="112">
        <v>0</v>
      </c>
      <c r="G220" s="112">
        <f t="shared" si="15"/>
        <v>0</v>
      </c>
      <c r="I220" s="112">
        <v>0</v>
      </c>
      <c r="J220" s="112">
        <f t="shared" si="14"/>
        <v>0</v>
      </c>
      <c r="L220" s="112">
        <v>1</v>
      </c>
      <c r="M220" s="112">
        <f t="shared" si="13"/>
        <v>100</v>
      </c>
    </row>
    <row r="221" spans="1:13" ht="7" customHeight="1">
      <c r="C221" s="112" t="str">
        <f t="shared" si="12"/>
        <v/>
      </c>
      <c r="D221" s="139" t="str">
        <f t="shared" si="12"/>
        <v/>
      </c>
      <c r="G221" s="112" t="str">
        <f t="shared" si="15"/>
        <v/>
      </c>
      <c r="J221" s="112" t="str">
        <f t="shared" si="14"/>
        <v/>
      </c>
      <c r="L221" s="112" t="s">
        <v>154</v>
      </c>
      <c r="M221" s="112" t="str">
        <f t="shared" si="13"/>
        <v/>
      </c>
    </row>
    <row r="222" spans="1:13">
      <c r="A222" s="17" t="s">
        <v>82</v>
      </c>
      <c r="C222" s="112">
        <f t="shared" si="12"/>
        <v>726.5</v>
      </c>
      <c r="D222" s="139">
        <f t="shared" si="12"/>
        <v>100</v>
      </c>
      <c r="F222" s="112">
        <f>SUM(F228+F236+F248+F224+F226)</f>
        <v>69.75</v>
      </c>
      <c r="G222" s="112">
        <f t="shared" si="15"/>
        <v>9.6008258774948381</v>
      </c>
      <c r="I222" s="112">
        <f>SUM(I228+I236+I248+I224+I226)</f>
        <v>40.25</v>
      </c>
      <c r="J222" s="112">
        <f t="shared" si="14"/>
        <v>5.5402615278733656</v>
      </c>
      <c r="L222" s="112">
        <f>SUM(L228+L236+L248+L224+L226)</f>
        <v>616.5</v>
      </c>
      <c r="M222" s="112">
        <f t="shared" si="13"/>
        <v>84.858912594631803</v>
      </c>
    </row>
    <row r="223" spans="1:13" ht="7" customHeight="1">
      <c r="C223" s="112" t="str">
        <f t="shared" si="12"/>
        <v/>
      </c>
      <c r="D223" s="139" t="str">
        <f t="shared" si="12"/>
        <v/>
      </c>
      <c r="G223" s="112" t="str">
        <f t="shared" si="15"/>
        <v/>
      </c>
      <c r="J223" s="112" t="str">
        <f t="shared" si="14"/>
        <v/>
      </c>
      <c r="L223" s="112" t="s">
        <v>154</v>
      </c>
      <c r="M223" s="112" t="str">
        <f t="shared" si="13"/>
        <v/>
      </c>
    </row>
    <row r="224" spans="1:13">
      <c r="A224" s="111" t="s">
        <v>321</v>
      </c>
      <c r="C224" s="112">
        <f t="shared" si="12"/>
        <v>56.25</v>
      </c>
      <c r="D224" s="139">
        <f t="shared" si="12"/>
        <v>100</v>
      </c>
      <c r="F224" s="112">
        <v>8.5</v>
      </c>
      <c r="G224" s="112">
        <f t="shared" si="15"/>
        <v>15.111111111111111</v>
      </c>
      <c r="I224" s="112">
        <v>0</v>
      </c>
      <c r="J224" s="112">
        <f t="shared" si="14"/>
        <v>0</v>
      </c>
      <c r="L224" s="112">
        <v>47.75</v>
      </c>
      <c r="M224" s="112">
        <f t="shared" si="13"/>
        <v>84.888888888888886</v>
      </c>
    </row>
    <row r="225" spans="1:13">
      <c r="C225" s="112" t="str">
        <f t="shared" si="12"/>
        <v/>
      </c>
      <c r="D225" s="139" t="str">
        <f t="shared" si="12"/>
        <v/>
      </c>
      <c r="G225" s="112" t="str">
        <f t="shared" si="15"/>
        <v/>
      </c>
      <c r="J225" s="112" t="str">
        <f t="shared" si="14"/>
        <v/>
      </c>
      <c r="L225" s="112" t="s">
        <v>154</v>
      </c>
      <c r="M225" s="112" t="str">
        <f t="shared" si="13"/>
        <v/>
      </c>
    </row>
    <row r="226" spans="1:13">
      <c r="A226" s="111" t="s">
        <v>322</v>
      </c>
      <c r="C226" s="112">
        <f t="shared" si="12"/>
        <v>28</v>
      </c>
      <c r="D226" s="139">
        <f t="shared" si="12"/>
        <v>100</v>
      </c>
      <c r="F226" s="112">
        <v>1</v>
      </c>
      <c r="G226" s="112">
        <f t="shared" si="15"/>
        <v>3.5714285714285712</v>
      </c>
      <c r="I226" s="112">
        <v>0</v>
      </c>
      <c r="J226" s="112">
        <f t="shared" si="14"/>
        <v>0</v>
      </c>
      <c r="L226" s="112">
        <v>27</v>
      </c>
      <c r="M226" s="112">
        <f t="shared" si="13"/>
        <v>96.428571428571431</v>
      </c>
    </row>
    <row r="227" spans="1:13">
      <c r="C227" s="112" t="str">
        <f t="shared" si="12"/>
        <v/>
      </c>
      <c r="D227" s="139" t="str">
        <f t="shared" si="12"/>
        <v/>
      </c>
      <c r="G227" s="112" t="str">
        <f t="shared" si="15"/>
        <v/>
      </c>
      <c r="J227" s="112" t="str">
        <f t="shared" si="14"/>
        <v/>
      </c>
      <c r="L227" s="112" t="s">
        <v>154</v>
      </c>
      <c r="M227" s="112" t="str">
        <f t="shared" si="13"/>
        <v/>
      </c>
    </row>
    <row r="228" spans="1:13">
      <c r="A228" s="111" t="s">
        <v>323</v>
      </c>
      <c r="C228" s="112">
        <f t="shared" si="12"/>
        <v>191.625</v>
      </c>
      <c r="D228" s="139">
        <f t="shared" si="12"/>
        <v>100</v>
      </c>
      <c r="F228" s="112">
        <f>SUM(F230:F234)</f>
        <v>21</v>
      </c>
      <c r="G228" s="112">
        <f t="shared" si="15"/>
        <v>10.95890410958904</v>
      </c>
      <c r="I228" s="112">
        <f>SUM(I230:I234)</f>
        <v>36.75</v>
      </c>
      <c r="J228" s="112">
        <f t="shared" si="14"/>
        <v>19.17808219178082</v>
      </c>
      <c r="L228" s="112">
        <f>SUM(L230:L234)</f>
        <v>133.875</v>
      </c>
      <c r="M228" s="112">
        <f t="shared" si="13"/>
        <v>69.863013698630141</v>
      </c>
    </row>
    <row r="229" spans="1:13">
      <c r="C229" s="112" t="str">
        <f t="shared" si="12"/>
        <v/>
      </c>
      <c r="D229" s="139" t="str">
        <f t="shared" si="12"/>
        <v/>
      </c>
      <c r="G229" s="112" t="str">
        <f t="shared" si="15"/>
        <v/>
      </c>
      <c r="J229" s="112" t="str">
        <f t="shared" si="14"/>
        <v/>
      </c>
      <c r="L229" s="112" t="s">
        <v>154</v>
      </c>
      <c r="M229" s="112" t="str">
        <f t="shared" si="13"/>
        <v/>
      </c>
    </row>
    <row r="230" spans="1:13">
      <c r="A230" s="26" t="s">
        <v>324</v>
      </c>
      <c r="C230" s="112">
        <f t="shared" si="12"/>
        <v>21</v>
      </c>
      <c r="D230" s="139">
        <f t="shared" si="12"/>
        <v>99.999999999999986</v>
      </c>
      <c r="F230" s="112">
        <v>6</v>
      </c>
      <c r="G230" s="112">
        <f t="shared" si="15"/>
        <v>28.571428571428569</v>
      </c>
      <c r="I230" s="112">
        <v>1</v>
      </c>
      <c r="J230" s="112">
        <f t="shared" si="14"/>
        <v>4.7619047619047619</v>
      </c>
      <c r="L230" s="112">
        <v>14</v>
      </c>
      <c r="M230" s="112">
        <f t="shared" si="13"/>
        <v>66.666666666666657</v>
      </c>
    </row>
    <row r="231" spans="1:13">
      <c r="A231" s="26" t="s">
        <v>325</v>
      </c>
      <c r="C231" s="112">
        <f t="shared" si="12"/>
        <v>53.5</v>
      </c>
      <c r="D231" s="139">
        <f t="shared" si="12"/>
        <v>100</v>
      </c>
      <c r="F231" s="112">
        <v>5.5</v>
      </c>
      <c r="G231" s="112">
        <f t="shared" si="15"/>
        <v>10.2803738317757</v>
      </c>
      <c r="I231" s="112">
        <v>15.5</v>
      </c>
      <c r="J231" s="112">
        <f t="shared" si="14"/>
        <v>28.971962616822427</v>
      </c>
      <c r="L231" s="112">
        <v>32.5</v>
      </c>
      <c r="M231" s="112">
        <f t="shared" si="13"/>
        <v>60.747663551401864</v>
      </c>
    </row>
    <row r="232" spans="1:13">
      <c r="A232" s="26" t="s">
        <v>326</v>
      </c>
      <c r="C232" s="112">
        <f t="shared" si="12"/>
        <v>74.5</v>
      </c>
      <c r="D232" s="139">
        <f t="shared" si="12"/>
        <v>100</v>
      </c>
      <c r="F232" s="112">
        <v>7</v>
      </c>
      <c r="G232" s="112">
        <f t="shared" si="15"/>
        <v>9.3959731543624159</v>
      </c>
      <c r="I232" s="112">
        <v>20.25</v>
      </c>
      <c r="J232" s="112">
        <f t="shared" si="14"/>
        <v>27.181208053691275</v>
      </c>
      <c r="L232" s="112">
        <v>47.25</v>
      </c>
      <c r="M232" s="112">
        <f t="shared" si="13"/>
        <v>63.422818791946312</v>
      </c>
    </row>
    <row r="233" spans="1:13">
      <c r="A233" s="26" t="s">
        <v>327</v>
      </c>
      <c r="C233" s="112">
        <f t="shared" si="12"/>
        <v>11.5</v>
      </c>
      <c r="D233" s="139">
        <f t="shared" si="12"/>
        <v>100</v>
      </c>
      <c r="F233" s="112">
        <v>1.5</v>
      </c>
      <c r="G233" s="112">
        <f t="shared" si="15"/>
        <v>13.043478260869565</v>
      </c>
      <c r="I233" s="112">
        <v>0</v>
      </c>
      <c r="J233" s="112">
        <f t="shared" si="14"/>
        <v>0</v>
      </c>
      <c r="L233" s="112">
        <v>10</v>
      </c>
      <c r="M233" s="112">
        <f t="shared" si="13"/>
        <v>86.956521739130437</v>
      </c>
    </row>
    <row r="234" spans="1:13">
      <c r="A234" s="26" t="s">
        <v>328</v>
      </c>
      <c r="C234" s="112">
        <f t="shared" si="12"/>
        <v>31.125</v>
      </c>
      <c r="D234" s="139">
        <f t="shared" si="12"/>
        <v>100</v>
      </c>
      <c r="F234" s="112">
        <v>1</v>
      </c>
      <c r="G234" s="112">
        <f t="shared" si="15"/>
        <v>3.2128514056224895</v>
      </c>
      <c r="I234" s="112">
        <v>0</v>
      </c>
      <c r="J234" s="112">
        <f t="shared" si="14"/>
        <v>0</v>
      </c>
      <c r="L234" s="112">
        <v>30.125</v>
      </c>
      <c r="M234" s="112">
        <f t="shared" si="13"/>
        <v>96.787148594377513</v>
      </c>
    </row>
    <row r="235" spans="1:13">
      <c r="A235" s="14"/>
      <c r="C235" s="112" t="str">
        <f t="shared" si="12"/>
        <v/>
      </c>
      <c r="D235" s="139" t="str">
        <f t="shared" si="12"/>
        <v/>
      </c>
      <c r="G235" s="112" t="str">
        <f t="shared" si="15"/>
        <v/>
      </c>
      <c r="J235" s="112" t="str">
        <f t="shared" si="14"/>
        <v/>
      </c>
      <c r="L235" s="112" t="s">
        <v>154</v>
      </c>
      <c r="M235" s="112" t="str">
        <f t="shared" si="13"/>
        <v/>
      </c>
    </row>
    <row r="236" spans="1:13">
      <c r="A236" s="14" t="s">
        <v>329</v>
      </c>
      <c r="C236" s="112">
        <f t="shared" si="12"/>
        <v>155.5</v>
      </c>
      <c r="D236" s="139">
        <f t="shared" si="12"/>
        <v>100</v>
      </c>
      <c r="F236" s="112">
        <f>SUM(F238:F246)</f>
        <v>10.25</v>
      </c>
      <c r="G236" s="112">
        <f t="shared" si="15"/>
        <v>6.5916398713826361</v>
      </c>
      <c r="I236" s="112">
        <f>SUM(I238:I246)</f>
        <v>2.5</v>
      </c>
      <c r="J236" s="112">
        <f t="shared" si="14"/>
        <v>1.607717041800643</v>
      </c>
      <c r="L236" s="112">
        <f>SUM(L238:L246)</f>
        <v>142.75</v>
      </c>
      <c r="M236" s="112">
        <f t="shared" si="13"/>
        <v>91.80064308681672</v>
      </c>
    </row>
    <row r="237" spans="1:13">
      <c r="A237" s="14"/>
      <c r="C237" s="112" t="str">
        <f t="shared" si="12"/>
        <v/>
      </c>
      <c r="D237" s="139" t="str">
        <f t="shared" si="12"/>
        <v/>
      </c>
      <c r="G237" s="112" t="str">
        <f t="shared" si="15"/>
        <v/>
      </c>
      <c r="J237" s="112" t="str">
        <f t="shared" si="14"/>
        <v/>
      </c>
      <c r="L237" s="112" t="s">
        <v>154</v>
      </c>
      <c r="M237" s="112" t="str">
        <f t="shared" si="13"/>
        <v/>
      </c>
    </row>
    <row r="238" spans="1:13">
      <c r="A238" s="26" t="s">
        <v>330</v>
      </c>
      <c r="C238" s="112">
        <f t="shared" si="12"/>
        <v>5</v>
      </c>
      <c r="D238" s="139">
        <f t="shared" si="12"/>
        <v>100</v>
      </c>
      <c r="F238" s="112">
        <v>1</v>
      </c>
      <c r="G238" s="112">
        <f t="shared" si="15"/>
        <v>20</v>
      </c>
      <c r="I238" s="112">
        <v>0</v>
      </c>
      <c r="J238" s="112">
        <f t="shared" si="14"/>
        <v>0</v>
      </c>
      <c r="L238" s="112">
        <v>4</v>
      </c>
      <c r="M238" s="112">
        <f t="shared" si="13"/>
        <v>80</v>
      </c>
    </row>
    <row r="239" spans="1:13">
      <c r="A239" s="26" t="s">
        <v>331</v>
      </c>
      <c r="C239" s="112">
        <f t="shared" si="12"/>
        <v>17</v>
      </c>
      <c r="D239" s="139">
        <f t="shared" si="12"/>
        <v>99.999999999999986</v>
      </c>
      <c r="F239" s="112">
        <v>1</v>
      </c>
      <c r="G239" s="112">
        <f t="shared" si="15"/>
        <v>5.8823529411764701</v>
      </c>
      <c r="I239" s="112">
        <v>0</v>
      </c>
      <c r="J239" s="112">
        <f t="shared" si="14"/>
        <v>0</v>
      </c>
      <c r="L239" s="112">
        <v>16</v>
      </c>
      <c r="M239" s="112">
        <f t="shared" si="13"/>
        <v>94.117647058823522</v>
      </c>
    </row>
    <row r="240" spans="1:13">
      <c r="A240" s="26" t="s">
        <v>332</v>
      </c>
      <c r="C240" s="112">
        <f t="shared" si="12"/>
        <v>9</v>
      </c>
      <c r="D240" s="139">
        <f t="shared" si="12"/>
        <v>100</v>
      </c>
      <c r="F240" s="112">
        <v>1</v>
      </c>
      <c r="G240" s="112">
        <f t="shared" si="15"/>
        <v>11.111111111111111</v>
      </c>
      <c r="I240" s="112">
        <v>0</v>
      </c>
      <c r="J240" s="112">
        <f t="shared" si="14"/>
        <v>0</v>
      </c>
      <c r="L240" s="112">
        <v>8</v>
      </c>
      <c r="M240" s="112">
        <f t="shared" si="13"/>
        <v>88.888888888888886</v>
      </c>
    </row>
    <row r="241" spans="1:13">
      <c r="A241" s="26" t="s">
        <v>333</v>
      </c>
      <c r="C241" s="112">
        <f t="shared" si="12"/>
        <v>19.5</v>
      </c>
      <c r="D241" s="139">
        <f t="shared" si="12"/>
        <v>99.999999999999986</v>
      </c>
      <c r="F241" s="112">
        <v>1</v>
      </c>
      <c r="G241" s="112">
        <f t="shared" si="15"/>
        <v>5.1282051282051277</v>
      </c>
      <c r="I241" s="112">
        <v>0</v>
      </c>
      <c r="J241" s="112">
        <f t="shared" si="14"/>
        <v>0</v>
      </c>
      <c r="L241" s="112">
        <v>18.5</v>
      </c>
      <c r="M241" s="112">
        <f t="shared" si="13"/>
        <v>94.871794871794862</v>
      </c>
    </row>
    <row r="242" spans="1:13">
      <c r="A242" s="26" t="s">
        <v>334</v>
      </c>
      <c r="C242" s="112">
        <f t="shared" si="12"/>
        <v>18.25</v>
      </c>
      <c r="D242" s="139">
        <f t="shared" si="12"/>
        <v>100</v>
      </c>
      <c r="F242" s="112">
        <v>2.25</v>
      </c>
      <c r="G242" s="112">
        <f t="shared" si="15"/>
        <v>12.328767123287671</v>
      </c>
      <c r="I242" s="112">
        <v>0</v>
      </c>
      <c r="J242" s="112">
        <f t="shared" si="14"/>
        <v>0</v>
      </c>
      <c r="L242" s="112">
        <v>16</v>
      </c>
      <c r="M242" s="112">
        <f t="shared" si="13"/>
        <v>87.671232876712324</v>
      </c>
    </row>
    <row r="243" spans="1:13">
      <c r="A243" s="26" t="s">
        <v>335</v>
      </c>
      <c r="C243" s="112">
        <f t="shared" si="12"/>
        <v>35</v>
      </c>
      <c r="D243" s="139">
        <f t="shared" si="12"/>
        <v>100</v>
      </c>
      <c r="F243" s="112">
        <v>1</v>
      </c>
      <c r="G243" s="112">
        <f t="shared" si="15"/>
        <v>2.8571428571428572</v>
      </c>
      <c r="I243" s="112">
        <v>0</v>
      </c>
      <c r="J243" s="112">
        <f t="shared" si="14"/>
        <v>0</v>
      </c>
      <c r="L243" s="112">
        <v>34</v>
      </c>
      <c r="M243" s="112">
        <f t="shared" si="13"/>
        <v>97.142857142857139</v>
      </c>
    </row>
    <row r="244" spans="1:13">
      <c r="A244" s="26" t="s">
        <v>336</v>
      </c>
      <c r="C244" s="112">
        <f t="shared" si="12"/>
        <v>20.25</v>
      </c>
      <c r="D244" s="139">
        <f t="shared" si="12"/>
        <v>100</v>
      </c>
      <c r="F244" s="112">
        <v>1</v>
      </c>
      <c r="G244" s="112">
        <f t="shared" si="15"/>
        <v>4.9382716049382713</v>
      </c>
      <c r="I244" s="112">
        <v>1</v>
      </c>
      <c r="J244" s="112">
        <f t="shared" si="14"/>
        <v>4.9382716049382713</v>
      </c>
      <c r="L244" s="112">
        <v>18.25</v>
      </c>
      <c r="M244" s="112">
        <f t="shared" si="13"/>
        <v>90.123456790123456</v>
      </c>
    </row>
    <row r="245" spans="1:13">
      <c r="A245" s="26" t="s">
        <v>337</v>
      </c>
      <c r="C245" s="112">
        <f t="shared" si="12"/>
        <v>14.5</v>
      </c>
      <c r="D245" s="139">
        <f t="shared" si="12"/>
        <v>100</v>
      </c>
      <c r="F245" s="112">
        <v>1</v>
      </c>
      <c r="G245" s="112">
        <f t="shared" si="15"/>
        <v>6.8965517241379306</v>
      </c>
      <c r="I245" s="112">
        <v>1.5</v>
      </c>
      <c r="J245" s="112">
        <f t="shared" si="14"/>
        <v>10.344827586206897</v>
      </c>
      <c r="L245" s="112">
        <v>12</v>
      </c>
      <c r="M245" s="112">
        <f t="shared" si="13"/>
        <v>82.758620689655174</v>
      </c>
    </row>
    <row r="246" spans="1:13">
      <c r="A246" s="26" t="s">
        <v>338</v>
      </c>
      <c r="C246" s="112">
        <f t="shared" si="12"/>
        <v>17</v>
      </c>
      <c r="D246" s="139">
        <f t="shared" si="12"/>
        <v>99.999999999999986</v>
      </c>
      <c r="F246" s="112">
        <v>1</v>
      </c>
      <c r="G246" s="112">
        <f t="shared" si="15"/>
        <v>5.8823529411764701</v>
      </c>
      <c r="I246" s="112">
        <v>0</v>
      </c>
      <c r="J246" s="112">
        <f t="shared" si="14"/>
        <v>0</v>
      </c>
      <c r="L246" s="112">
        <v>16</v>
      </c>
      <c r="M246" s="112">
        <f t="shared" si="13"/>
        <v>94.117647058823522</v>
      </c>
    </row>
    <row r="247" spans="1:13">
      <c r="C247" s="112" t="str">
        <f t="shared" si="12"/>
        <v/>
      </c>
      <c r="D247" s="139" t="str">
        <f t="shared" si="12"/>
        <v/>
      </c>
      <c r="G247" s="112" t="str">
        <f t="shared" si="15"/>
        <v/>
      </c>
      <c r="J247" s="112" t="str">
        <f t="shared" si="14"/>
        <v/>
      </c>
      <c r="L247" s="112" t="s">
        <v>154</v>
      </c>
      <c r="M247" s="112" t="str">
        <f t="shared" si="13"/>
        <v/>
      </c>
    </row>
    <row r="248" spans="1:13">
      <c r="A248" s="111" t="s">
        <v>339</v>
      </c>
      <c r="C248" s="112">
        <f t="shared" si="12"/>
        <v>295.125</v>
      </c>
      <c r="D248" s="139">
        <f t="shared" si="12"/>
        <v>100</v>
      </c>
      <c r="F248" s="112">
        <f>SUM(F250:F260)</f>
        <v>29</v>
      </c>
      <c r="G248" s="112">
        <f t="shared" si="15"/>
        <v>9.8263447691656083</v>
      </c>
      <c r="I248" s="112">
        <f>SUM(I250:I260)</f>
        <v>1</v>
      </c>
      <c r="J248" s="112">
        <f t="shared" si="14"/>
        <v>0.33883947479881404</v>
      </c>
      <c r="L248" s="112">
        <f>SUM(L250:L260)</f>
        <v>265.125</v>
      </c>
      <c r="M248" s="112">
        <f t="shared" si="13"/>
        <v>89.834815756035582</v>
      </c>
    </row>
    <row r="249" spans="1:13">
      <c r="C249" s="112" t="str">
        <f t="shared" si="12"/>
        <v/>
      </c>
      <c r="D249" s="139" t="str">
        <f t="shared" si="12"/>
        <v/>
      </c>
      <c r="G249" s="112" t="str">
        <f t="shared" si="15"/>
        <v/>
      </c>
      <c r="J249" s="112" t="str">
        <f t="shared" si="14"/>
        <v/>
      </c>
      <c r="L249" s="112" t="s">
        <v>154</v>
      </c>
      <c r="M249" s="112" t="str">
        <f t="shared" si="13"/>
        <v/>
      </c>
    </row>
    <row r="250" spans="1:13">
      <c r="A250" s="111" t="s">
        <v>340</v>
      </c>
      <c r="C250" s="112">
        <f t="shared" si="12"/>
        <v>31.5</v>
      </c>
      <c r="D250" s="139">
        <f t="shared" si="12"/>
        <v>100</v>
      </c>
      <c r="F250" s="112">
        <v>0</v>
      </c>
      <c r="G250" s="112">
        <f t="shared" si="15"/>
        <v>0</v>
      </c>
      <c r="I250" s="112">
        <v>0</v>
      </c>
      <c r="J250" s="112">
        <f t="shared" si="14"/>
        <v>0</v>
      </c>
      <c r="L250" s="112">
        <v>31.5</v>
      </c>
      <c r="M250" s="112">
        <f t="shared" si="13"/>
        <v>100</v>
      </c>
    </row>
    <row r="251" spans="1:13">
      <c r="A251" s="111" t="s">
        <v>341</v>
      </c>
      <c r="C251" s="112">
        <f t="shared" si="12"/>
        <v>35</v>
      </c>
      <c r="D251" s="139">
        <f t="shared" si="12"/>
        <v>100</v>
      </c>
      <c r="F251" s="112">
        <v>0</v>
      </c>
      <c r="G251" s="112">
        <f t="shared" si="15"/>
        <v>0</v>
      </c>
      <c r="I251" s="112">
        <v>0</v>
      </c>
      <c r="J251" s="112">
        <f t="shared" si="14"/>
        <v>0</v>
      </c>
      <c r="L251" s="112">
        <v>35</v>
      </c>
      <c r="M251" s="112">
        <f t="shared" si="13"/>
        <v>100</v>
      </c>
    </row>
    <row r="252" spans="1:13">
      <c r="A252" s="111" t="s">
        <v>342</v>
      </c>
      <c r="C252" s="112">
        <f t="shared" si="12"/>
        <v>17.625</v>
      </c>
      <c r="D252" s="139">
        <f t="shared" si="12"/>
        <v>100</v>
      </c>
      <c r="F252" s="112">
        <v>0</v>
      </c>
      <c r="G252" s="112">
        <f t="shared" si="15"/>
        <v>0</v>
      </c>
      <c r="I252" s="112">
        <v>0</v>
      </c>
      <c r="J252" s="112">
        <f t="shared" si="14"/>
        <v>0</v>
      </c>
      <c r="L252" s="112">
        <v>17.625</v>
      </c>
      <c r="M252" s="112">
        <f t="shared" si="13"/>
        <v>100</v>
      </c>
    </row>
    <row r="253" spans="1:13">
      <c r="A253" s="111" t="s">
        <v>343</v>
      </c>
      <c r="C253" s="112">
        <f t="shared" si="12"/>
        <v>31</v>
      </c>
      <c r="D253" s="139">
        <f t="shared" si="12"/>
        <v>100</v>
      </c>
      <c r="F253" s="112">
        <v>0</v>
      </c>
      <c r="G253" s="112">
        <f t="shared" si="15"/>
        <v>0</v>
      </c>
      <c r="I253" s="112">
        <v>0</v>
      </c>
      <c r="J253" s="112">
        <f t="shared" si="14"/>
        <v>0</v>
      </c>
      <c r="L253" s="112">
        <v>31</v>
      </c>
      <c r="M253" s="112">
        <f t="shared" si="13"/>
        <v>100</v>
      </c>
    </row>
    <row r="254" spans="1:13">
      <c r="A254" s="111" t="s">
        <v>344</v>
      </c>
      <c r="C254" s="112">
        <f t="shared" si="12"/>
        <v>18</v>
      </c>
      <c r="D254" s="139">
        <f t="shared" si="12"/>
        <v>100</v>
      </c>
      <c r="F254" s="112">
        <v>2</v>
      </c>
      <c r="G254" s="112">
        <f t="shared" si="15"/>
        <v>11.111111111111111</v>
      </c>
      <c r="I254" s="112">
        <v>0</v>
      </c>
      <c r="J254" s="112">
        <f t="shared" si="14"/>
        <v>0</v>
      </c>
      <c r="L254" s="112">
        <v>16</v>
      </c>
      <c r="M254" s="112">
        <f t="shared" si="13"/>
        <v>88.888888888888886</v>
      </c>
    </row>
    <row r="255" spans="1:13">
      <c r="A255" s="111" t="s">
        <v>345</v>
      </c>
      <c r="C255" s="112">
        <f t="shared" si="12"/>
        <v>87.5</v>
      </c>
      <c r="D255" s="139">
        <f t="shared" si="12"/>
        <v>100</v>
      </c>
      <c r="F255" s="112">
        <v>0</v>
      </c>
      <c r="G255" s="112">
        <f t="shared" si="15"/>
        <v>0</v>
      </c>
      <c r="I255" s="112">
        <v>0</v>
      </c>
      <c r="J255" s="112">
        <f t="shared" si="14"/>
        <v>0</v>
      </c>
      <c r="L255" s="112">
        <v>87.5</v>
      </c>
      <c r="M255" s="112">
        <f t="shared" si="13"/>
        <v>100</v>
      </c>
    </row>
    <row r="256" spans="1:13">
      <c r="A256" s="111" t="s">
        <v>346</v>
      </c>
      <c r="C256" s="112">
        <f t="shared" si="12"/>
        <v>4.5</v>
      </c>
      <c r="D256" s="139">
        <f t="shared" si="12"/>
        <v>99.999999999999986</v>
      </c>
      <c r="F256" s="112">
        <v>1.5</v>
      </c>
      <c r="G256" s="112">
        <f t="shared" si="15"/>
        <v>33.333333333333329</v>
      </c>
      <c r="I256" s="112">
        <v>0</v>
      </c>
      <c r="J256" s="112">
        <f t="shared" si="14"/>
        <v>0</v>
      </c>
      <c r="L256" s="112">
        <v>3</v>
      </c>
      <c r="M256" s="112">
        <f t="shared" si="13"/>
        <v>66.666666666666657</v>
      </c>
    </row>
    <row r="257" spans="1:13">
      <c r="A257" s="111" t="s">
        <v>347</v>
      </c>
      <c r="C257" s="112">
        <f t="shared" si="12"/>
        <v>16.5</v>
      </c>
      <c r="D257" s="139">
        <f t="shared" si="12"/>
        <v>100</v>
      </c>
      <c r="F257" s="112">
        <v>9.5</v>
      </c>
      <c r="G257" s="112">
        <f t="shared" si="15"/>
        <v>57.575757575757578</v>
      </c>
      <c r="I257" s="112">
        <v>0</v>
      </c>
      <c r="J257" s="112">
        <f t="shared" si="14"/>
        <v>0</v>
      </c>
      <c r="L257" s="112">
        <v>7</v>
      </c>
      <c r="M257" s="112">
        <f t="shared" si="13"/>
        <v>42.424242424242422</v>
      </c>
    </row>
    <row r="258" spans="1:13">
      <c r="A258" s="111" t="s">
        <v>348</v>
      </c>
      <c r="C258" s="112">
        <f t="shared" si="12"/>
        <v>41.5</v>
      </c>
      <c r="D258" s="139">
        <f t="shared" si="12"/>
        <v>100</v>
      </c>
      <c r="F258" s="112">
        <v>16</v>
      </c>
      <c r="G258" s="112">
        <f t="shared" si="15"/>
        <v>38.554216867469883</v>
      </c>
      <c r="I258" s="112">
        <v>1</v>
      </c>
      <c r="J258" s="112">
        <f t="shared" si="14"/>
        <v>2.4096385542168677</v>
      </c>
      <c r="L258" s="112">
        <v>24.5</v>
      </c>
      <c r="M258" s="112">
        <f t="shared" si="13"/>
        <v>59.036144578313255</v>
      </c>
    </row>
    <row r="259" spans="1:13">
      <c r="A259" s="111" t="s">
        <v>349</v>
      </c>
      <c r="C259" s="112">
        <f t="shared" si="12"/>
        <v>4</v>
      </c>
      <c r="D259" s="139">
        <f t="shared" si="12"/>
        <v>100</v>
      </c>
      <c r="F259" s="112">
        <v>0</v>
      </c>
      <c r="G259" s="112">
        <f t="shared" si="15"/>
        <v>0</v>
      </c>
      <c r="I259" s="112">
        <v>0</v>
      </c>
      <c r="J259" s="112">
        <f t="shared" si="14"/>
        <v>0</v>
      </c>
      <c r="L259" s="112">
        <v>4</v>
      </c>
      <c r="M259" s="112">
        <f t="shared" si="13"/>
        <v>100</v>
      </c>
    </row>
    <row r="260" spans="1:13">
      <c r="A260" s="111" t="s">
        <v>350</v>
      </c>
      <c r="C260" s="112">
        <f t="shared" si="12"/>
        <v>8</v>
      </c>
      <c r="D260" s="139">
        <f t="shared" si="12"/>
        <v>100</v>
      </c>
      <c r="F260" s="112">
        <v>0</v>
      </c>
      <c r="G260" s="112">
        <f t="shared" si="15"/>
        <v>0</v>
      </c>
      <c r="I260" s="112">
        <v>0</v>
      </c>
      <c r="J260" s="112">
        <f t="shared" si="14"/>
        <v>0</v>
      </c>
      <c r="L260" s="112">
        <v>8</v>
      </c>
      <c r="M260" s="112">
        <f t="shared" si="13"/>
        <v>100</v>
      </c>
    </row>
    <row r="261" spans="1:13" ht="7" customHeight="1">
      <c r="C261" s="112" t="str">
        <f t="shared" si="12"/>
        <v/>
      </c>
      <c r="D261" s="139" t="str">
        <f t="shared" si="12"/>
        <v/>
      </c>
      <c r="G261" s="112" t="str">
        <f t="shared" si="15"/>
        <v/>
      </c>
      <c r="J261" s="112" t="str">
        <f t="shared" si="14"/>
        <v/>
      </c>
      <c r="L261" s="112" t="s">
        <v>154</v>
      </c>
      <c r="M261" s="112" t="str">
        <f t="shared" si="13"/>
        <v/>
      </c>
    </row>
    <row r="262" spans="1:13">
      <c r="A262" s="17" t="s">
        <v>351</v>
      </c>
      <c r="C262" s="112">
        <f t="shared" si="12"/>
        <v>977.26733333333334</v>
      </c>
      <c r="D262" s="139">
        <f t="shared" si="12"/>
        <v>100</v>
      </c>
      <c r="F262" s="112">
        <f>F264+F272+F280+F288+F296</f>
        <v>527.51733333333334</v>
      </c>
      <c r="G262" s="112">
        <f t="shared" si="15"/>
        <v>53.978815759045119</v>
      </c>
      <c r="I262" s="112">
        <f>I264+I272+I280+I288+I296</f>
        <v>74.75</v>
      </c>
      <c r="J262" s="112">
        <f t="shared" si="14"/>
        <v>7.6488794263732673</v>
      </c>
      <c r="L262" s="112">
        <f>L264+L272+L280+L288+L296</f>
        <v>375</v>
      </c>
      <c r="M262" s="112">
        <f t="shared" si="13"/>
        <v>38.372304814581611</v>
      </c>
    </row>
    <row r="263" spans="1:13" ht="7" customHeight="1">
      <c r="C263" s="112" t="str">
        <f t="shared" si="12"/>
        <v/>
      </c>
      <c r="D263" s="139" t="str">
        <f t="shared" si="12"/>
        <v/>
      </c>
      <c r="G263" s="112" t="str">
        <f t="shared" si="15"/>
        <v/>
      </c>
      <c r="J263" s="112" t="str">
        <f t="shared" si="14"/>
        <v/>
      </c>
      <c r="L263" s="112" t="s">
        <v>154</v>
      </c>
      <c r="M263" s="112" t="str">
        <f t="shared" si="13"/>
        <v/>
      </c>
    </row>
    <row r="264" spans="1:13" ht="15">
      <c r="A264" s="111" t="s">
        <v>352</v>
      </c>
      <c r="C264" s="112">
        <f t="shared" si="12"/>
        <v>355.50833333333333</v>
      </c>
      <c r="D264" s="139">
        <f t="shared" si="12"/>
        <v>100</v>
      </c>
      <c r="F264" s="112">
        <f>SUM(F266:F270)</f>
        <v>189.00833333333333</v>
      </c>
      <c r="G264" s="112">
        <f t="shared" si="15"/>
        <v>53.165654813529919</v>
      </c>
      <c r="I264" s="112">
        <f>SUM(I266:I270)</f>
        <v>38.75</v>
      </c>
      <c r="J264" s="112">
        <f t="shared" si="14"/>
        <v>10.899885140995288</v>
      </c>
      <c r="L264" s="112">
        <f>SUM(L266:L270)</f>
        <v>127.75</v>
      </c>
      <c r="M264" s="112">
        <f t="shared" si="13"/>
        <v>35.934460045474793</v>
      </c>
    </row>
    <row r="265" spans="1:13">
      <c r="C265" s="112" t="str">
        <f t="shared" si="12"/>
        <v/>
      </c>
      <c r="D265" s="139" t="str">
        <f t="shared" si="12"/>
        <v/>
      </c>
      <c r="G265" s="112" t="str">
        <f t="shared" si="15"/>
        <v/>
      </c>
      <c r="J265" s="112" t="str">
        <f t="shared" si="14"/>
        <v/>
      </c>
      <c r="L265" s="112" t="s">
        <v>154</v>
      </c>
      <c r="M265" s="112" t="str">
        <f t="shared" si="13"/>
        <v/>
      </c>
    </row>
    <row r="266" spans="1:13">
      <c r="A266" s="26" t="s">
        <v>353</v>
      </c>
      <c r="C266" s="112">
        <f t="shared" si="12"/>
        <v>194.25833333333333</v>
      </c>
      <c r="D266" s="139">
        <f t="shared" si="12"/>
        <v>100.00000000000001</v>
      </c>
      <c r="F266" s="156">
        <f>19/30+180.375</f>
        <v>181.00833333333333</v>
      </c>
      <c r="G266" s="112">
        <f t="shared" si="15"/>
        <v>93.179185792115319</v>
      </c>
      <c r="I266" s="112">
        <v>6.5</v>
      </c>
      <c r="J266" s="112">
        <f t="shared" si="14"/>
        <v>3.346059800094376</v>
      </c>
      <c r="L266" s="112">
        <v>6.75</v>
      </c>
      <c r="M266" s="112">
        <f t="shared" si="13"/>
        <v>3.4747544077903139</v>
      </c>
    </row>
    <row r="267" spans="1:13">
      <c r="A267" s="26" t="s">
        <v>354</v>
      </c>
      <c r="C267" s="112">
        <f t="shared" si="12"/>
        <v>30.75</v>
      </c>
      <c r="D267" s="139">
        <f t="shared" si="12"/>
        <v>100</v>
      </c>
      <c r="F267" s="156">
        <v>6</v>
      </c>
      <c r="G267" s="112">
        <f t="shared" si="15"/>
        <v>19.512195121951219</v>
      </c>
      <c r="I267" s="112">
        <v>22.25</v>
      </c>
      <c r="J267" s="112">
        <f t="shared" si="14"/>
        <v>72.357723577235774</v>
      </c>
      <c r="L267" s="112">
        <v>2.5</v>
      </c>
      <c r="M267" s="112">
        <f t="shared" si="13"/>
        <v>8.1300813008130071</v>
      </c>
    </row>
    <row r="268" spans="1:13">
      <c r="A268" s="26" t="s">
        <v>355</v>
      </c>
      <c r="C268" s="112">
        <f t="shared" si="12"/>
        <v>6.25</v>
      </c>
      <c r="D268" s="139">
        <f t="shared" si="12"/>
        <v>100</v>
      </c>
      <c r="F268" s="156">
        <v>1</v>
      </c>
      <c r="G268" s="112">
        <f t="shared" si="15"/>
        <v>16</v>
      </c>
      <c r="H268" s="25"/>
      <c r="I268" s="25">
        <v>3</v>
      </c>
      <c r="J268" s="112">
        <f t="shared" si="14"/>
        <v>48</v>
      </c>
      <c r="K268" s="25"/>
      <c r="L268" s="112">
        <v>2.25</v>
      </c>
      <c r="M268" s="112">
        <f t="shared" si="13"/>
        <v>36</v>
      </c>
    </row>
    <row r="269" spans="1:13">
      <c r="A269" s="26" t="s">
        <v>356</v>
      </c>
      <c r="C269" s="112">
        <f t="shared" si="12"/>
        <v>20.5</v>
      </c>
      <c r="D269" s="139">
        <f t="shared" si="12"/>
        <v>100</v>
      </c>
      <c r="F269" s="156">
        <v>0</v>
      </c>
      <c r="G269" s="112">
        <f t="shared" si="15"/>
        <v>0</v>
      </c>
      <c r="I269" s="25">
        <v>5</v>
      </c>
      <c r="J269" s="112">
        <f t="shared" si="14"/>
        <v>24.390243902439025</v>
      </c>
      <c r="L269" s="112">
        <v>15.5</v>
      </c>
      <c r="M269" s="112">
        <f t="shared" si="13"/>
        <v>75.609756097560975</v>
      </c>
    </row>
    <row r="270" spans="1:13">
      <c r="A270" s="26" t="s">
        <v>357</v>
      </c>
      <c r="C270" s="112">
        <f t="shared" si="12"/>
        <v>103.75</v>
      </c>
      <c r="D270" s="139">
        <f t="shared" si="12"/>
        <v>100</v>
      </c>
      <c r="F270" s="156">
        <v>1</v>
      </c>
      <c r="G270" s="112">
        <f t="shared" si="15"/>
        <v>0.96385542168674709</v>
      </c>
      <c r="I270" s="112">
        <v>2</v>
      </c>
      <c r="J270" s="112">
        <f t="shared" si="14"/>
        <v>1.9277108433734942</v>
      </c>
      <c r="L270" s="112">
        <v>100.75</v>
      </c>
      <c r="M270" s="112">
        <f t="shared" si="13"/>
        <v>97.108433734939752</v>
      </c>
    </row>
    <row r="271" spans="1:13">
      <c r="C271" s="112" t="str">
        <f t="shared" si="12"/>
        <v/>
      </c>
      <c r="D271" s="139" t="str">
        <f t="shared" si="12"/>
        <v/>
      </c>
      <c r="G271" s="112" t="str">
        <f t="shared" si="15"/>
        <v/>
      </c>
      <c r="J271" s="112" t="str">
        <f t="shared" si="14"/>
        <v/>
      </c>
      <c r="L271" s="112" t="s">
        <v>154</v>
      </c>
      <c r="M271" s="112" t="str">
        <f t="shared" si="13"/>
        <v/>
      </c>
    </row>
    <row r="272" spans="1:13" ht="15">
      <c r="A272" s="111" t="s">
        <v>358</v>
      </c>
      <c r="C272" s="112">
        <f t="shared" si="12"/>
        <v>189.917</v>
      </c>
      <c r="D272" s="139">
        <f t="shared" si="12"/>
        <v>100</v>
      </c>
      <c r="F272" s="112">
        <f>SUM(F274:F278)</f>
        <v>96.917000000000002</v>
      </c>
      <c r="G272" s="112">
        <f t="shared" si="15"/>
        <v>51.031239962720555</v>
      </c>
      <c r="I272" s="112">
        <f>SUM(I274:I278)</f>
        <v>11</v>
      </c>
      <c r="J272" s="112">
        <f t="shared" si="14"/>
        <v>5.792003875377139</v>
      </c>
      <c r="L272" s="112">
        <f>SUM(L274:L278)</f>
        <v>82</v>
      </c>
      <c r="M272" s="112">
        <f t="shared" si="13"/>
        <v>43.176756161902304</v>
      </c>
    </row>
    <row r="273" spans="1:13">
      <c r="C273" s="112" t="str">
        <f t="shared" si="12"/>
        <v/>
      </c>
      <c r="D273" s="139" t="str">
        <f t="shared" si="12"/>
        <v/>
      </c>
      <c r="G273" s="112" t="str">
        <f t="shared" si="15"/>
        <v/>
      </c>
      <c r="J273" s="112" t="str">
        <f t="shared" si="14"/>
        <v/>
      </c>
      <c r="L273" s="112" t="s">
        <v>154</v>
      </c>
      <c r="M273" s="112" t="str">
        <f t="shared" si="13"/>
        <v/>
      </c>
    </row>
    <row r="274" spans="1:13">
      <c r="A274" s="26" t="s">
        <v>359</v>
      </c>
      <c r="C274" s="112">
        <f t="shared" si="12"/>
        <v>87.841999999999999</v>
      </c>
      <c r="D274" s="139">
        <f t="shared" si="12"/>
        <v>100</v>
      </c>
      <c r="F274" s="156">
        <v>86.841999999999999</v>
      </c>
      <c r="G274" s="112">
        <f t="shared" si="15"/>
        <v>98.861592404544524</v>
      </c>
      <c r="I274" s="112">
        <v>1</v>
      </c>
      <c r="J274" s="112">
        <f t="shared" si="14"/>
        <v>1.1384075954554769</v>
      </c>
      <c r="L274" s="112">
        <v>0</v>
      </c>
      <c r="M274" s="112">
        <f t="shared" si="13"/>
        <v>0</v>
      </c>
    </row>
    <row r="275" spans="1:13">
      <c r="A275" s="26" t="s">
        <v>360</v>
      </c>
      <c r="C275" s="112">
        <f t="shared" si="12"/>
        <v>11.824999999999999</v>
      </c>
      <c r="D275" s="139">
        <f t="shared" si="12"/>
        <v>100.00000000000001</v>
      </c>
      <c r="F275" s="112">
        <v>3.8250000000000002</v>
      </c>
      <c r="G275" s="112">
        <f t="shared" si="15"/>
        <v>32.346723044397471</v>
      </c>
      <c r="I275" s="112">
        <v>7</v>
      </c>
      <c r="J275" s="112">
        <f t="shared" si="14"/>
        <v>59.196617336152222</v>
      </c>
      <c r="L275" s="112">
        <v>1</v>
      </c>
      <c r="M275" s="112">
        <f t="shared" si="13"/>
        <v>8.456659619450317</v>
      </c>
    </row>
    <row r="276" spans="1:13">
      <c r="A276" s="26" t="s">
        <v>361</v>
      </c>
      <c r="C276" s="112">
        <f t="shared" si="12"/>
        <v>4.75</v>
      </c>
      <c r="D276" s="139">
        <f t="shared" si="12"/>
        <v>100</v>
      </c>
      <c r="F276" s="25">
        <v>4.75</v>
      </c>
      <c r="G276" s="112">
        <f t="shared" si="15"/>
        <v>100</v>
      </c>
      <c r="H276" s="25"/>
      <c r="I276" s="25">
        <v>0</v>
      </c>
      <c r="J276" s="112">
        <f t="shared" si="14"/>
        <v>0</v>
      </c>
      <c r="K276" s="25"/>
      <c r="L276" s="112">
        <v>0</v>
      </c>
      <c r="M276" s="112">
        <f t="shared" si="13"/>
        <v>0</v>
      </c>
    </row>
    <row r="277" spans="1:13">
      <c r="A277" s="26" t="s">
        <v>362</v>
      </c>
      <c r="C277" s="112">
        <f t="shared" si="12"/>
        <v>11</v>
      </c>
      <c r="D277" s="139">
        <f t="shared" si="12"/>
        <v>100</v>
      </c>
      <c r="F277" s="112">
        <v>0.5</v>
      </c>
      <c r="G277" s="112">
        <f t="shared" si="15"/>
        <v>4.5454545454545459</v>
      </c>
      <c r="I277" s="112">
        <v>2</v>
      </c>
      <c r="J277" s="112">
        <f t="shared" si="14"/>
        <v>18.181818181818183</v>
      </c>
      <c r="L277" s="112">
        <v>8.5</v>
      </c>
      <c r="M277" s="112">
        <f t="shared" si="13"/>
        <v>77.272727272727266</v>
      </c>
    </row>
    <row r="278" spans="1:13">
      <c r="A278" s="26" t="s">
        <v>363</v>
      </c>
      <c r="C278" s="112">
        <f t="shared" si="12"/>
        <v>74.5</v>
      </c>
      <c r="D278" s="139">
        <f t="shared" si="12"/>
        <v>100</v>
      </c>
      <c r="F278" s="112">
        <v>1</v>
      </c>
      <c r="G278" s="112">
        <f t="shared" si="15"/>
        <v>1.3422818791946309</v>
      </c>
      <c r="I278" s="112">
        <v>1</v>
      </c>
      <c r="J278" s="112">
        <f t="shared" si="14"/>
        <v>1.3422818791946309</v>
      </c>
      <c r="L278" s="112">
        <v>72.5</v>
      </c>
      <c r="M278" s="112">
        <f t="shared" si="13"/>
        <v>97.31543624161074</v>
      </c>
    </row>
    <row r="279" spans="1:13">
      <c r="A279" s="26"/>
      <c r="C279" s="112" t="str">
        <f t="shared" ref="C279:D303" si="16">IF($A279&lt;&gt;0,F279+I279+L279,"")</f>
        <v/>
      </c>
      <c r="D279" s="139" t="str">
        <f t="shared" si="16"/>
        <v/>
      </c>
      <c r="G279" s="112" t="str">
        <f t="shared" si="15"/>
        <v/>
      </c>
      <c r="J279" s="112" t="str">
        <f t="shared" si="14"/>
        <v/>
      </c>
      <c r="L279" s="112" t="s">
        <v>154</v>
      </c>
      <c r="M279" s="112" t="str">
        <f t="shared" ref="M279:M303" si="17">IF($A279&lt;&gt;0,L279/$C279*100,"")</f>
        <v/>
      </c>
    </row>
    <row r="280" spans="1:13" ht="15">
      <c r="A280" s="111" t="s">
        <v>364</v>
      </c>
      <c r="C280" s="112">
        <f t="shared" si="16"/>
        <v>213.71699999999998</v>
      </c>
      <c r="D280" s="139">
        <f t="shared" si="16"/>
        <v>100</v>
      </c>
      <c r="F280" s="112">
        <f>SUM(F282:F286)</f>
        <v>104.217</v>
      </c>
      <c r="G280" s="112">
        <f t="shared" si="15"/>
        <v>48.764019708305845</v>
      </c>
      <c r="I280" s="112">
        <f>SUM(I282:I286)</f>
        <v>14.75</v>
      </c>
      <c r="J280" s="112">
        <f t="shared" ref="J280:J303" si="18">IF($A280&lt;&gt;0,I280/$C280*100,"")</f>
        <v>6.9016503132647387</v>
      </c>
      <c r="L280" s="112">
        <f>SUM(L282:L286)</f>
        <v>94.75</v>
      </c>
      <c r="M280" s="112">
        <f t="shared" si="17"/>
        <v>44.334329978429423</v>
      </c>
    </row>
    <row r="281" spans="1:13">
      <c r="C281" s="112" t="str">
        <f t="shared" si="16"/>
        <v/>
      </c>
      <c r="D281" s="139" t="str">
        <f t="shared" si="16"/>
        <v/>
      </c>
      <c r="G281" s="112" t="str">
        <f t="shared" ref="G281:G303" si="19">IF($A281&lt;&gt;0,F281/$C281*100,"")</f>
        <v/>
      </c>
      <c r="J281" s="112" t="str">
        <f t="shared" si="18"/>
        <v/>
      </c>
      <c r="L281" s="112" t="s">
        <v>154</v>
      </c>
      <c r="M281" s="112" t="str">
        <f t="shared" si="17"/>
        <v/>
      </c>
    </row>
    <row r="282" spans="1:13">
      <c r="A282" s="26" t="s">
        <v>365</v>
      </c>
      <c r="C282" s="112">
        <f t="shared" si="16"/>
        <v>105.717</v>
      </c>
      <c r="D282" s="139">
        <f t="shared" si="16"/>
        <v>100.00000000000001</v>
      </c>
      <c r="F282" s="156">
        <f>97.717+3</f>
        <v>100.717</v>
      </c>
      <c r="G282" s="112">
        <f t="shared" si="19"/>
        <v>95.270391706158904</v>
      </c>
      <c r="I282" s="112">
        <v>2</v>
      </c>
      <c r="J282" s="112">
        <f t="shared" si="18"/>
        <v>1.8918433175364415</v>
      </c>
      <c r="L282" s="112">
        <v>3</v>
      </c>
      <c r="M282" s="112">
        <f t="shared" si="17"/>
        <v>2.8377649763046624</v>
      </c>
    </row>
    <row r="283" spans="1:13">
      <c r="A283" s="26" t="s">
        <v>366</v>
      </c>
      <c r="C283" s="112">
        <f t="shared" si="16"/>
        <v>10</v>
      </c>
      <c r="D283" s="139">
        <f t="shared" si="16"/>
        <v>100</v>
      </c>
      <c r="F283" s="156">
        <v>1.5</v>
      </c>
      <c r="G283" s="112">
        <f t="shared" si="19"/>
        <v>15</v>
      </c>
      <c r="I283" s="112">
        <f>5+3.5</f>
        <v>8.5</v>
      </c>
      <c r="J283" s="112">
        <f t="shared" si="18"/>
        <v>85</v>
      </c>
      <c r="L283" s="112">
        <v>0</v>
      </c>
      <c r="M283" s="112">
        <f t="shared" si="17"/>
        <v>0</v>
      </c>
    </row>
    <row r="284" spans="1:13">
      <c r="A284" s="26" t="s">
        <v>367</v>
      </c>
      <c r="C284" s="112">
        <f t="shared" si="16"/>
        <v>2</v>
      </c>
      <c r="D284" s="139">
        <f t="shared" si="16"/>
        <v>100</v>
      </c>
      <c r="F284" s="156">
        <v>0.5</v>
      </c>
      <c r="G284" s="112">
        <f t="shared" si="19"/>
        <v>25</v>
      </c>
      <c r="H284" s="25"/>
      <c r="I284" s="25">
        <v>0</v>
      </c>
      <c r="J284" s="112">
        <f t="shared" si="18"/>
        <v>0</v>
      </c>
      <c r="K284" s="25"/>
      <c r="L284" s="112">
        <v>1.5</v>
      </c>
      <c r="M284" s="112">
        <f t="shared" si="17"/>
        <v>75</v>
      </c>
    </row>
    <row r="285" spans="1:13">
      <c r="A285" s="26" t="s">
        <v>368</v>
      </c>
      <c r="C285" s="112">
        <f t="shared" si="16"/>
        <v>14</v>
      </c>
      <c r="D285" s="139">
        <f t="shared" si="16"/>
        <v>100</v>
      </c>
      <c r="F285" s="156">
        <v>0.5</v>
      </c>
      <c r="G285" s="112">
        <f t="shared" si="19"/>
        <v>3.5714285714285712</v>
      </c>
      <c r="I285" s="112">
        <v>3.25</v>
      </c>
      <c r="J285" s="112">
        <f t="shared" si="18"/>
        <v>23.214285714285715</v>
      </c>
      <c r="L285" s="112">
        <f>7.25+3</f>
        <v>10.25</v>
      </c>
      <c r="M285" s="112">
        <f t="shared" si="17"/>
        <v>73.214285714285708</v>
      </c>
    </row>
    <row r="286" spans="1:13">
      <c r="A286" s="26" t="s">
        <v>369</v>
      </c>
      <c r="C286" s="112">
        <f t="shared" si="16"/>
        <v>82</v>
      </c>
      <c r="D286" s="139">
        <f t="shared" si="16"/>
        <v>100</v>
      </c>
      <c r="F286" s="156">
        <v>1</v>
      </c>
      <c r="G286" s="112">
        <f t="shared" si="19"/>
        <v>1.2195121951219512</v>
      </c>
      <c r="I286" s="112">
        <v>1</v>
      </c>
      <c r="J286" s="112">
        <f t="shared" si="18"/>
        <v>1.2195121951219512</v>
      </c>
      <c r="L286" s="112">
        <f>60+9+11</f>
        <v>80</v>
      </c>
      <c r="M286" s="112">
        <f t="shared" si="17"/>
        <v>97.560975609756099</v>
      </c>
    </row>
    <row r="287" spans="1:13">
      <c r="A287" s="26"/>
      <c r="C287" s="112" t="str">
        <f t="shared" si="16"/>
        <v/>
      </c>
      <c r="D287" s="139" t="str">
        <f t="shared" si="16"/>
        <v/>
      </c>
      <c r="G287" s="112" t="str">
        <f t="shared" si="19"/>
        <v/>
      </c>
      <c r="J287" s="112" t="str">
        <f t="shared" si="18"/>
        <v/>
      </c>
      <c r="L287" s="112" t="s">
        <v>154</v>
      </c>
      <c r="M287" s="112" t="str">
        <f t="shared" si="17"/>
        <v/>
      </c>
    </row>
    <row r="288" spans="1:13">
      <c r="A288" s="14" t="s">
        <v>370</v>
      </c>
      <c r="C288" s="112">
        <f t="shared" si="16"/>
        <v>113</v>
      </c>
      <c r="D288" s="139">
        <f t="shared" si="16"/>
        <v>99.999999999999986</v>
      </c>
      <c r="F288" s="112">
        <f>SUM(F290:F294)</f>
        <v>73</v>
      </c>
      <c r="G288" s="112">
        <f t="shared" si="19"/>
        <v>64.601769911504419</v>
      </c>
      <c r="I288" s="112">
        <f>SUM(I290:I294)</f>
        <v>3.5</v>
      </c>
      <c r="J288" s="112">
        <f t="shared" si="18"/>
        <v>3.0973451327433628</v>
      </c>
      <c r="L288" s="112">
        <f>SUM(L290:L294)</f>
        <v>36.5</v>
      </c>
      <c r="M288" s="112">
        <f t="shared" si="17"/>
        <v>32.30088495575221</v>
      </c>
    </row>
    <row r="289" spans="1:13">
      <c r="A289" s="26"/>
      <c r="C289" s="112" t="str">
        <f t="shared" si="16"/>
        <v/>
      </c>
      <c r="D289" s="139" t="str">
        <f t="shared" si="16"/>
        <v/>
      </c>
      <c r="G289" s="112" t="str">
        <f t="shared" si="19"/>
        <v/>
      </c>
      <c r="J289" s="112" t="str">
        <f t="shared" si="18"/>
        <v/>
      </c>
      <c r="L289" s="112" t="s">
        <v>154</v>
      </c>
      <c r="M289" s="112" t="str">
        <f t="shared" si="17"/>
        <v/>
      </c>
    </row>
    <row r="290" spans="1:13">
      <c r="A290" s="26" t="s">
        <v>371</v>
      </c>
      <c r="C290" s="112">
        <f t="shared" si="16"/>
        <v>74.5</v>
      </c>
      <c r="D290" s="139">
        <f t="shared" si="16"/>
        <v>100.00000000000001</v>
      </c>
      <c r="F290" s="112">
        <v>72</v>
      </c>
      <c r="G290" s="112">
        <f t="shared" si="19"/>
        <v>96.644295302013433</v>
      </c>
      <c r="I290" s="112">
        <v>1</v>
      </c>
      <c r="J290" s="112">
        <f t="shared" si="18"/>
        <v>1.3422818791946309</v>
      </c>
      <c r="L290" s="112">
        <v>1.5</v>
      </c>
      <c r="M290" s="112">
        <f t="shared" si="17"/>
        <v>2.0134228187919461</v>
      </c>
    </row>
    <row r="291" spans="1:13">
      <c r="A291" s="26" t="s">
        <v>372</v>
      </c>
      <c r="C291" s="112">
        <f t="shared" si="16"/>
        <v>2</v>
      </c>
      <c r="D291" s="139">
        <f t="shared" si="16"/>
        <v>100</v>
      </c>
      <c r="F291" s="112">
        <v>0</v>
      </c>
      <c r="G291" s="112">
        <f t="shared" si="19"/>
        <v>0</v>
      </c>
      <c r="I291" s="112">
        <v>1</v>
      </c>
      <c r="J291" s="112">
        <f t="shared" si="18"/>
        <v>50</v>
      </c>
      <c r="L291" s="112">
        <v>1</v>
      </c>
      <c r="M291" s="112">
        <f t="shared" si="17"/>
        <v>50</v>
      </c>
    </row>
    <row r="292" spans="1:13">
      <c r="A292" s="26" t="s">
        <v>373</v>
      </c>
      <c r="C292" s="112">
        <f t="shared" si="16"/>
        <v>1</v>
      </c>
      <c r="D292" s="139">
        <f t="shared" si="16"/>
        <v>100</v>
      </c>
      <c r="F292" s="25">
        <v>0</v>
      </c>
      <c r="G292" s="112">
        <f t="shared" si="19"/>
        <v>0</v>
      </c>
      <c r="H292" s="25"/>
      <c r="I292" s="25">
        <v>0</v>
      </c>
      <c r="J292" s="112">
        <f t="shared" si="18"/>
        <v>0</v>
      </c>
      <c r="K292" s="25"/>
      <c r="L292" s="112">
        <v>1</v>
      </c>
      <c r="M292" s="112">
        <f t="shared" si="17"/>
        <v>100</v>
      </c>
    </row>
    <row r="293" spans="1:13">
      <c r="A293" s="26" t="s">
        <v>374</v>
      </c>
      <c r="C293" s="112">
        <f t="shared" si="16"/>
        <v>10.5</v>
      </c>
      <c r="D293" s="139">
        <f t="shared" si="16"/>
        <v>100</v>
      </c>
      <c r="F293" s="112">
        <v>0</v>
      </c>
      <c r="G293" s="112">
        <f t="shared" si="19"/>
        <v>0</v>
      </c>
      <c r="I293" s="112">
        <v>1.5</v>
      </c>
      <c r="J293" s="112">
        <f t="shared" si="18"/>
        <v>14.285714285714285</v>
      </c>
      <c r="L293" s="112">
        <v>9</v>
      </c>
      <c r="M293" s="112">
        <f t="shared" si="17"/>
        <v>85.714285714285708</v>
      </c>
    </row>
    <row r="294" spans="1:13">
      <c r="A294" s="26" t="s">
        <v>375</v>
      </c>
      <c r="C294" s="112">
        <f t="shared" si="16"/>
        <v>25</v>
      </c>
      <c r="D294" s="139">
        <f t="shared" si="16"/>
        <v>100</v>
      </c>
      <c r="F294" s="112">
        <v>1</v>
      </c>
      <c r="G294" s="112">
        <f t="shared" si="19"/>
        <v>4</v>
      </c>
      <c r="I294" s="112">
        <v>0</v>
      </c>
      <c r="J294" s="112">
        <f t="shared" si="18"/>
        <v>0</v>
      </c>
      <c r="L294" s="112">
        <v>24</v>
      </c>
      <c r="M294" s="112">
        <f t="shared" si="17"/>
        <v>96</v>
      </c>
    </row>
    <row r="295" spans="1:13">
      <c r="A295" s="26"/>
      <c r="C295" s="112" t="str">
        <f t="shared" si="16"/>
        <v/>
      </c>
      <c r="D295" s="139" t="str">
        <f t="shared" si="16"/>
        <v/>
      </c>
      <c r="G295" s="112" t="str">
        <f t="shared" si="19"/>
        <v/>
      </c>
      <c r="J295" s="112" t="str">
        <f t="shared" si="18"/>
        <v/>
      </c>
      <c r="L295" s="112" t="s">
        <v>154</v>
      </c>
      <c r="M295" s="112" t="str">
        <f t="shared" si="17"/>
        <v/>
      </c>
    </row>
    <row r="296" spans="1:13">
      <c r="A296" s="14" t="s">
        <v>376</v>
      </c>
      <c r="C296" s="112">
        <f t="shared" si="16"/>
        <v>105.125</v>
      </c>
      <c r="D296" s="139">
        <f t="shared" si="16"/>
        <v>100</v>
      </c>
      <c r="F296" s="112">
        <f>SUM(F298:F303)</f>
        <v>64.375</v>
      </c>
      <c r="G296" s="112">
        <f t="shared" si="19"/>
        <v>61.236623067776449</v>
      </c>
      <c r="I296" s="112">
        <f>SUM(I298:I303)</f>
        <v>6.75</v>
      </c>
      <c r="J296" s="112">
        <f t="shared" si="18"/>
        <v>6.4209274673008325</v>
      </c>
      <c r="L296" s="112">
        <f>SUM(L298:L303)</f>
        <v>34</v>
      </c>
      <c r="M296" s="112">
        <f t="shared" si="17"/>
        <v>32.342449464922716</v>
      </c>
    </row>
    <row r="297" spans="1:13">
      <c r="A297" s="26"/>
      <c r="C297" s="112" t="str">
        <f t="shared" si="16"/>
        <v/>
      </c>
      <c r="D297" s="139" t="str">
        <f t="shared" si="16"/>
        <v/>
      </c>
      <c r="G297" s="112" t="str">
        <f t="shared" si="19"/>
        <v/>
      </c>
      <c r="J297" s="112" t="str">
        <f t="shared" si="18"/>
        <v/>
      </c>
      <c r="L297" s="112" t="s">
        <v>154</v>
      </c>
      <c r="M297" s="112" t="str">
        <f t="shared" si="17"/>
        <v/>
      </c>
    </row>
    <row r="298" spans="1:13">
      <c r="A298" s="26" t="s">
        <v>377</v>
      </c>
      <c r="C298" s="112">
        <f t="shared" si="16"/>
        <v>58.375</v>
      </c>
      <c r="D298" s="139">
        <f t="shared" si="16"/>
        <v>100</v>
      </c>
      <c r="F298" s="112">
        <v>58.375</v>
      </c>
      <c r="G298" s="112">
        <f t="shared" si="19"/>
        <v>100</v>
      </c>
      <c r="I298" s="112">
        <v>0</v>
      </c>
      <c r="J298" s="112">
        <f t="shared" si="18"/>
        <v>0</v>
      </c>
      <c r="L298" s="112">
        <v>0</v>
      </c>
      <c r="M298" s="112">
        <f t="shared" si="17"/>
        <v>0</v>
      </c>
    </row>
    <row r="299" spans="1:13">
      <c r="A299" s="26" t="s">
        <v>378</v>
      </c>
      <c r="C299" s="112">
        <f t="shared" si="16"/>
        <v>5</v>
      </c>
      <c r="D299" s="139">
        <f t="shared" si="16"/>
        <v>100</v>
      </c>
      <c r="F299" s="112">
        <v>0</v>
      </c>
      <c r="G299" s="112">
        <f t="shared" si="19"/>
        <v>0</v>
      </c>
      <c r="I299" s="112">
        <v>5</v>
      </c>
      <c r="J299" s="112">
        <f t="shared" si="18"/>
        <v>100</v>
      </c>
      <c r="L299" s="112">
        <v>0</v>
      </c>
      <c r="M299" s="112">
        <f t="shared" si="17"/>
        <v>0</v>
      </c>
    </row>
    <row r="300" spans="1:13">
      <c r="A300" s="26" t="s">
        <v>379</v>
      </c>
      <c r="C300" s="112">
        <f t="shared" si="16"/>
        <v>5</v>
      </c>
      <c r="D300" s="139">
        <f t="shared" si="16"/>
        <v>100</v>
      </c>
      <c r="F300" s="112">
        <v>5</v>
      </c>
      <c r="G300" s="112">
        <f t="shared" si="19"/>
        <v>100</v>
      </c>
      <c r="I300" s="112">
        <v>0</v>
      </c>
      <c r="J300" s="112">
        <f t="shared" si="18"/>
        <v>0</v>
      </c>
      <c r="L300" s="112">
        <v>0</v>
      </c>
      <c r="M300" s="112">
        <f t="shared" si="17"/>
        <v>0</v>
      </c>
    </row>
    <row r="301" spans="1:13">
      <c r="A301" s="26" t="s">
        <v>380</v>
      </c>
      <c r="C301" s="112">
        <f t="shared" si="16"/>
        <v>6.25</v>
      </c>
      <c r="D301" s="139">
        <f t="shared" si="16"/>
        <v>100</v>
      </c>
      <c r="F301" s="112">
        <v>0</v>
      </c>
      <c r="G301" s="112">
        <f t="shared" si="19"/>
        <v>0</v>
      </c>
      <c r="I301" s="112">
        <v>1.75</v>
      </c>
      <c r="J301" s="112">
        <f t="shared" si="18"/>
        <v>28.000000000000004</v>
      </c>
      <c r="L301" s="112">
        <v>4.5</v>
      </c>
      <c r="M301" s="112">
        <f t="shared" si="17"/>
        <v>72</v>
      </c>
    </row>
    <row r="302" spans="1:13">
      <c r="A302" s="26" t="s">
        <v>381</v>
      </c>
      <c r="C302" s="112">
        <f t="shared" si="16"/>
        <v>29.5</v>
      </c>
      <c r="D302" s="139">
        <f t="shared" si="16"/>
        <v>100</v>
      </c>
      <c r="F302" s="112">
        <v>0</v>
      </c>
      <c r="G302" s="112">
        <f t="shared" si="19"/>
        <v>0</v>
      </c>
      <c r="I302" s="112">
        <v>0</v>
      </c>
      <c r="J302" s="112">
        <f t="shared" si="18"/>
        <v>0</v>
      </c>
      <c r="L302" s="112">
        <v>29.5</v>
      </c>
      <c r="M302" s="112">
        <f t="shared" si="17"/>
        <v>100</v>
      </c>
    </row>
    <row r="303" spans="1:13">
      <c r="A303" s="26" t="s">
        <v>382</v>
      </c>
      <c r="C303" s="112">
        <f t="shared" si="16"/>
        <v>1</v>
      </c>
      <c r="D303" s="139">
        <f t="shared" si="16"/>
        <v>100</v>
      </c>
      <c r="F303" s="112">
        <v>1</v>
      </c>
      <c r="G303" s="112">
        <f t="shared" si="19"/>
        <v>100</v>
      </c>
      <c r="I303" s="112">
        <v>0</v>
      </c>
      <c r="J303" s="112">
        <f t="shared" si="18"/>
        <v>0</v>
      </c>
      <c r="L303" s="112">
        <v>0</v>
      </c>
      <c r="M303" s="112">
        <f t="shared" si="17"/>
        <v>0</v>
      </c>
    </row>
    <row r="304" spans="1:13" ht="7" customHeight="1" thickBot="1">
      <c r="A304" s="124"/>
      <c r="B304" s="102"/>
      <c r="C304" s="136"/>
      <c r="D304" s="124"/>
      <c r="E304" s="124"/>
      <c r="F304" s="136"/>
      <c r="G304" s="136"/>
      <c r="H304" s="136"/>
      <c r="I304" s="136"/>
      <c r="J304" s="136"/>
      <c r="K304" s="136"/>
      <c r="L304" s="136"/>
      <c r="M304" s="136"/>
    </row>
    <row r="305" spans="1:1" ht="7" customHeight="1"/>
    <row r="306" spans="1:1" ht="13.5" customHeight="1">
      <c r="A306" s="27" t="s">
        <v>1841</v>
      </c>
    </row>
    <row r="307" spans="1:1" ht="15">
      <c r="A307" s="27" t="s">
        <v>383</v>
      </c>
    </row>
    <row r="308" spans="1:1" ht="15">
      <c r="A308" s="27" t="s">
        <v>384</v>
      </c>
    </row>
    <row r="309" spans="1:1" ht="15">
      <c r="A309" s="27" t="s">
        <v>385</v>
      </c>
    </row>
    <row r="310" spans="1:1" ht="4.5" customHeight="1">
      <c r="A310" s="27" t="s">
        <v>386</v>
      </c>
    </row>
    <row r="311" spans="1:1">
      <c r="A311" s="14" t="s">
        <v>1842</v>
      </c>
    </row>
    <row r="312" spans="1:1">
      <c r="A312" s="111" t="s">
        <v>387</v>
      </c>
    </row>
    <row r="314" spans="1:1">
      <c r="A314" s="157"/>
    </row>
  </sheetData>
  <mergeCells count="2">
    <mergeCell ref="C7:M7"/>
    <mergeCell ref="C8:D8"/>
  </mergeCells>
  <pageMargins left="0.70866141732283472" right="0.70866141732283472" top="0.74803149606299213" bottom="0.74803149606299213" header="0.31496062992125984" footer="0.31496062992125984"/>
  <pageSetup scale="7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113"/>
  <sheetViews>
    <sheetView workbookViewId="0">
      <selection activeCell="A2" sqref="A2"/>
    </sheetView>
  </sheetViews>
  <sheetFormatPr baseColWidth="10" defaultColWidth="8.83203125" defaultRowHeight="13"/>
  <cols>
    <col min="1" max="1" width="32.1640625" style="95" customWidth="1"/>
    <col min="2" max="2" width="10.33203125" style="58" customWidth="1"/>
    <col min="3" max="3" width="9.83203125" style="73" customWidth="1"/>
    <col min="4" max="4" width="2.6640625" style="33" customWidth="1"/>
    <col min="5" max="5" width="8.6640625" style="72" customWidth="1"/>
    <col min="6" max="6" width="7.83203125" style="73" customWidth="1"/>
    <col min="7" max="7" width="7.83203125" style="33" customWidth="1"/>
    <col min="8" max="8" width="7.83203125" style="72" customWidth="1"/>
    <col min="9" max="9" width="7.83203125" style="73" customWidth="1"/>
    <col min="10" max="10" width="7.83203125" style="33" customWidth="1"/>
    <col min="11" max="11" width="7.5" style="72" customWidth="1"/>
    <col min="12" max="12" width="7.83203125" style="73" customWidth="1"/>
    <col min="13" max="13" width="2.6640625" style="33" customWidth="1"/>
    <col min="14" max="14" width="7.6640625" style="72" customWidth="1"/>
    <col min="15" max="15" width="7.6640625" style="73" customWidth="1"/>
    <col min="16" max="16" width="2.6640625" style="33" customWidth="1"/>
    <col min="17" max="17" width="7.5" style="72" customWidth="1"/>
    <col min="18" max="18" width="7.5" style="73" customWidth="1"/>
    <col min="19" max="19" width="2.6640625" style="33" customWidth="1"/>
    <col min="20" max="256" width="8.83203125" style="95"/>
    <col min="257" max="257" width="32.1640625" style="95" customWidth="1"/>
    <col min="258" max="258" width="10.33203125" style="95" customWidth="1"/>
    <col min="259" max="259" width="9.83203125" style="95" customWidth="1"/>
    <col min="260" max="260" width="2.6640625" style="95" customWidth="1"/>
    <col min="261" max="261" width="8.6640625" style="95" customWidth="1"/>
    <col min="262" max="266" width="7.83203125" style="95" customWidth="1"/>
    <col min="267" max="267" width="7.5" style="95" customWidth="1"/>
    <col min="268" max="268" width="7.83203125" style="95" customWidth="1"/>
    <col min="269" max="269" width="2.6640625" style="95" customWidth="1"/>
    <col min="270" max="271" width="7.6640625" style="95" customWidth="1"/>
    <col min="272" max="272" width="2.6640625" style="95" customWidth="1"/>
    <col min="273" max="274" width="7.5" style="95" customWidth="1"/>
    <col min="275" max="275" width="2.6640625" style="95" customWidth="1"/>
    <col min="276" max="512" width="8.83203125" style="95"/>
    <col min="513" max="513" width="32.1640625" style="95" customWidth="1"/>
    <col min="514" max="514" width="10.33203125" style="95" customWidth="1"/>
    <col min="515" max="515" width="9.83203125" style="95" customWidth="1"/>
    <col min="516" max="516" width="2.6640625" style="95" customWidth="1"/>
    <col min="517" max="517" width="8.6640625" style="95" customWidth="1"/>
    <col min="518" max="522" width="7.83203125" style="95" customWidth="1"/>
    <col min="523" max="523" width="7.5" style="95" customWidth="1"/>
    <col min="524" max="524" width="7.83203125" style="95" customWidth="1"/>
    <col min="525" max="525" width="2.6640625" style="95" customWidth="1"/>
    <col min="526" max="527" width="7.6640625" style="95" customWidth="1"/>
    <col min="528" max="528" width="2.6640625" style="95" customWidth="1"/>
    <col min="529" max="530" width="7.5" style="95" customWidth="1"/>
    <col min="531" max="531" width="2.6640625" style="95" customWidth="1"/>
    <col min="532" max="768" width="8.83203125" style="95"/>
    <col min="769" max="769" width="32.1640625" style="95" customWidth="1"/>
    <col min="770" max="770" width="10.33203125" style="95" customWidth="1"/>
    <col min="771" max="771" width="9.83203125" style="95" customWidth="1"/>
    <col min="772" max="772" width="2.6640625" style="95" customWidth="1"/>
    <col min="773" max="773" width="8.6640625" style="95" customWidth="1"/>
    <col min="774" max="778" width="7.83203125" style="95" customWidth="1"/>
    <col min="779" max="779" width="7.5" style="95" customWidth="1"/>
    <col min="780" max="780" width="7.83203125" style="95" customWidth="1"/>
    <col min="781" max="781" width="2.6640625" style="95" customWidth="1"/>
    <col min="782" max="783" width="7.6640625" style="95" customWidth="1"/>
    <col min="784" max="784" width="2.6640625" style="95" customWidth="1"/>
    <col min="785" max="786" width="7.5" style="95" customWidth="1"/>
    <col min="787" max="787" width="2.6640625" style="95" customWidth="1"/>
    <col min="788" max="1024" width="8.83203125" style="95"/>
    <col min="1025" max="1025" width="32.1640625" style="95" customWidth="1"/>
    <col min="1026" max="1026" width="10.33203125" style="95" customWidth="1"/>
    <col min="1027" max="1027" width="9.83203125" style="95" customWidth="1"/>
    <col min="1028" max="1028" width="2.6640625" style="95" customWidth="1"/>
    <col min="1029" max="1029" width="8.6640625" style="95" customWidth="1"/>
    <col min="1030" max="1034" width="7.83203125" style="95" customWidth="1"/>
    <col min="1035" max="1035" width="7.5" style="95" customWidth="1"/>
    <col min="1036" max="1036" width="7.83203125" style="95" customWidth="1"/>
    <col min="1037" max="1037" width="2.6640625" style="95" customWidth="1"/>
    <col min="1038" max="1039" width="7.6640625" style="95" customWidth="1"/>
    <col min="1040" max="1040" width="2.6640625" style="95" customWidth="1"/>
    <col min="1041" max="1042" width="7.5" style="95" customWidth="1"/>
    <col min="1043" max="1043" width="2.6640625" style="95" customWidth="1"/>
    <col min="1044" max="1280" width="8.83203125" style="95"/>
    <col min="1281" max="1281" width="32.1640625" style="95" customWidth="1"/>
    <col min="1282" max="1282" width="10.33203125" style="95" customWidth="1"/>
    <col min="1283" max="1283" width="9.83203125" style="95" customWidth="1"/>
    <col min="1284" max="1284" width="2.6640625" style="95" customWidth="1"/>
    <col min="1285" max="1285" width="8.6640625" style="95" customWidth="1"/>
    <col min="1286" max="1290" width="7.83203125" style="95" customWidth="1"/>
    <col min="1291" max="1291" width="7.5" style="95" customWidth="1"/>
    <col min="1292" max="1292" width="7.83203125" style="95" customWidth="1"/>
    <col min="1293" max="1293" width="2.6640625" style="95" customWidth="1"/>
    <col min="1294" max="1295" width="7.6640625" style="95" customWidth="1"/>
    <col min="1296" max="1296" width="2.6640625" style="95" customWidth="1"/>
    <col min="1297" max="1298" width="7.5" style="95" customWidth="1"/>
    <col min="1299" max="1299" width="2.6640625" style="95" customWidth="1"/>
    <col min="1300" max="1536" width="8.83203125" style="95"/>
    <col min="1537" max="1537" width="32.1640625" style="95" customWidth="1"/>
    <col min="1538" max="1538" width="10.33203125" style="95" customWidth="1"/>
    <col min="1539" max="1539" width="9.83203125" style="95" customWidth="1"/>
    <col min="1540" max="1540" width="2.6640625" style="95" customWidth="1"/>
    <col min="1541" max="1541" width="8.6640625" style="95" customWidth="1"/>
    <col min="1542" max="1546" width="7.83203125" style="95" customWidth="1"/>
    <col min="1547" max="1547" width="7.5" style="95" customWidth="1"/>
    <col min="1548" max="1548" width="7.83203125" style="95" customWidth="1"/>
    <col min="1549" max="1549" width="2.6640625" style="95" customWidth="1"/>
    <col min="1550" max="1551" width="7.6640625" style="95" customWidth="1"/>
    <col min="1552" max="1552" width="2.6640625" style="95" customWidth="1"/>
    <col min="1553" max="1554" width="7.5" style="95" customWidth="1"/>
    <col min="1555" max="1555" width="2.6640625" style="95" customWidth="1"/>
    <col min="1556" max="1792" width="8.83203125" style="95"/>
    <col min="1793" max="1793" width="32.1640625" style="95" customWidth="1"/>
    <col min="1794" max="1794" width="10.33203125" style="95" customWidth="1"/>
    <col min="1795" max="1795" width="9.83203125" style="95" customWidth="1"/>
    <col min="1796" max="1796" width="2.6640625" style="95" customWidth="1"/>
    <col min="1797" max="1797" width="8.6640625" style="95" customWidth="1"/>
    <col min="1798" max="1802" width="7.83203125" style="95" customWidth="1"/>
    <col min="1803" max="1803" width="7.5" style="95" customWidth="1"/>
    <col min="1804" max="1804" width="7.83203125" style="95" customWidth="1"/>
    <col min="1805" max="1805" width="2.6640625" style="95" customWidth="1"/>
    <col min="1806" max="1807" width="7.6640625" style="95" customWidth="1"/>
    <col min="1808" max="1808" width="2.6640625" style="95" customWidth="1"/>
    <col min="1809" max="1810" width="7.5" style="95" customWidth="1"/>
    <col min="1811" max="1811" width="2.6640625" style="95" customWidth="1"/>
    <col min="1812" max="2048" width="8.83203125" style="95"/>
    <col min="2049" max="2049" width="32.1640625" style="95" customWidth="1"/>
    <col min="2050" max="2050" width="10.33203125" style="95" customWidth="1"/>
    <col min="2051" max="2051" width="9.83203125" style="95" customWidth="1"/>
    <col min="2052" max="2052" width="2.6640625" style="95" customWidth="1"/>
    <col min="2053" max="2053" width="8.6640625" style="95" customWidth="1"/>
    <col min="2054" max="2058" width="7.83203125" style="95" customWidth="1"/>
    <col min="2059" max="2059" width="7.5" style="95" customWidth="1"/>
    <col min="2060" max="2060" width="7.83203125" style="95" customWidth="1"/>
    <col min="2061" max="2061" width="2.6640625" style="95" customWidth="1"/>
    <col min="2062" max="2063" width="7.6640625" style="95" customWidth="1"/>
    <col min="2064" max="2064" width="2.6640625" style="95" customWidth="1"/>
    <col min="2065" max="2066" width="7.5" style="95" customWidth="1"/>
    <col min="2067" max="2067" width="2.6640625" style="95" customWidth="1"/>
    <col min="2068" max="2304" width="8.83203125" style="95"/>
    <col min="2305" max="2305" width="32.1640625" style="95" customWidth="1"/>
    <col min="2306" max="2306" width="10.33203125" style="95" customWidth="1"/>
    <col min="2307" max="2307" width="9.83203125" style="95" customWidth="1"/>
    <col min="2308" max="2308" width="2.6640625" style="95" customWidth="1"/>
    <col min="2309" max="2309" width="8.6640625" style="95" customWidth="1"/>
    <col min="2310" max="2314" width="7.83203125" style="95" customWidth="1"/>
    <col min="2315" max="2315" width="7.5" style="95" customWidth="1"/>
    <col min="2316" max="2316" width="7.83203125" style="95" customWidth="1"/>
    <col min="2317" max="2317" width="2.6640625" style="95" customWidth="1"/>
    <col min="2318" max="2319" width="7.6640625" style="95" customWidth="1"/>
    <col min="2320" max="2320" width="2.6640625" style="95" customWidth="1"/>
    <col min="2321" max="2322" width="7.5" style="95" customWidth="1"/>
    <col min="2323" max="2323" width="2.6640625" style="95" customWidth="1"/>
    <col min="2324" max="2560" width="8.83203125" style="95"/>
    <col min="2561" max="2561" width="32.1640625" style="95" customWidth="1"/>
    <col min="2562" max="2562" width="10.33203125" style="95" customWidth="1"/>
    <col min="2563" max="2563" width="9.83203125" style="95" customWidth="1"/>
    <col min="2564" max="2564" width="2.6640625" style="95" customWidth="1"/>
    <col min="2565" max="2565" width="8.6640625" style="95" customWidth="1"/>
    <col min="2566" max="2570" width="7.83203125" style="95" customWidth="1"/>
    <col min="2571" max="2571" width="7.5" style="95" customWidth="1"/>
    <col min="2572" max="2572" width="7.83203125" style="95" customWidth="1"/>
    <col min="2573" max="2573" width="2.6640625" style="95" customWidth="1"/>
    <col min="2574" max="2575" width="7.6640625" style="95" customWidth="1"/>
    <col min="2576" max="2576" width="2.6640625" style="95" customWidth="1"/>
    <col min="2577" max="2578" width="7.5" style="95" customWidth="1"/>
    <col min="2579" max="2579" width="2.6640625" style="95" customWidth="1"/>
    <col min="2580" max="2816" width="8.83203125" style="95"/>
    <col min="2817" max="2817" width="32.1640625" style="95" customWidth="1"/>
    <col min="2818" max="2818" width="10.33203125" style="95" customWidth="1"/>
    <col min="2819" max="2819" width="9.83203125" style="95" customWidth="1"/>
    <col min="2820" max="2820" width="2.6640625" style="95" customWidth="1"/>
    <col min="2821" max="2821" width="8.6640625" style="95" customWidth="1"/>
    <col min="2822" max="2826" width="7.83203125" style="95" customWidth="1"/>
    <col min="2827" max="2827" width="7.5" style="95" customWidth="1"/>
    <col min="2828" max="2828" width="7.83203125" style="95" customWidth="1"/>
    <col min="2829" max="2829" width="2.6640625" style="95" customWidth="1"/>
    <col min="2830" max="2831" width="7.6640625" style="95" customWidth="1"/>
    <col min="2832" max="2832" width="2.6640625" style="95" customWidth="1"/>
    <col min="2833" max="2834" width="7.5" style="95" customWidth="1"/>
    <col min="2835" max="2835" width="2.6640625" style="95" customWidth="1"/>
    <col min="2836" max="3072" width="8.83203125" style="95"/>
    <col min="3073" max="3073" width="32.1640625" style="95" customWidth="1"/>
    <col min="3074" max="3074" width="10.33203125" style="95" customWidth="1"/>
    <col min="3075" max="3075" width="9.83203125" style="95" customWidth="1"/>
    <col min="3076" max="3076" width="2.6640625" style="95" customWidth="1"/>
    <col min="3077" max="3077" width="8.6640625" style="95" customWidth="1"/>
    <col min="3078" max="3082" width="7.83203125" style="95" customWidth="1"/>
    <col min="3083" max="3083" width="7.5" style="95" customWidth="1"/>
    <col min="3084" max="3084" width="7.83203125" style="95" customWidth="1"/>
    <col min="3085" max="3085" width="2.6640625" style="95" customWidth="1"/>
    <col min="3086" max="3087" width="7.6640625" style="95" customWidth="1"/>
    <col min="3088" max="3088" width="2.6640625" style="95" customWidth="1"/>
    <col min="3089" max="3090" width="7.5" style="95" customWidth="1"/>
    <col min="3091" max="3091" width="2.6640625" style="95" customWidth="1"/>
    <col min="3092" max="3328" width="8.83203125" style="95"/>
    <col min="3329" max="3329" width="32.1640625" style="95" customWidth="1"/>
    <col min="3330" max="3330" width="10.33203125" style="95" customWidth="1"/>
    <col min="3331" max="3331" width="9.83203125" style="95" customWidth="1"/>
    <col min="3332" max="3332" width="2.6640625" style="95" customWidth="1"/>
    <col min="3333" max="3333" width="8.6640625" style="95" customWidth="1"/>
    <col min="3334" max="3338" width="7.83203125" style="95" customWidth="1"/>
    <col min="3339" max="3339" width="7.5" style="95" customWidth="1"/>
    <col min="3340" max="3340" width="7.83203125" style="95" customWidth="1"/>
    <col min="3341" max="3341" width="2.6640625" style="95" customWidth="1"/>
    <col min="3342" max="3343" width="7.6640625" style="95" customWidth="1"/>
    <col min="3344" max="3344" width="2.6640625" style="95" customWidth="1"/>
    <col min="3345" max="3346" width="7.5" style="95" customWidth="1"/>
    <col min="3347" max="3347" width="2.6640625" style="95" customWidth="1"/>
    <col min="3348" max="3584" width="8.83203125" style="95"/>
    <col min="3585" max="3585" width="32.1640625" style="95" customWidth="1"/>
    <col min="3586" max="3586" width="10.33203125" style="95" customWidth="1"/>
    <col min="3587" max="3587" width="9.83203125" style="95" customWidth="1"/>
    <col min="3588" max="3588" width="2.6640625" style="95" customWidth="1"/>
    <col min="3589" max="3589" width="8.6640625" style="95" customWidth="1"/>
    <col min="3590" max="3594" width="7.83203125" style="95" customWidth="1"/>
    <col min="3595" max="3595" width="7.5" style="95" customWidth="1"/>
    <col min="3596" max="3596" width="7.83203125" style="95" customWidth="1"/>
    <col min="3597" max="3597" width="2.6640625" style="95" customWidth="1"/>
    <col min="3598" max="3599" width="7.6640625" style="95" customWidth="1"/>
    <col min="3600" max="3600" width="2.6640625" style="95" customWidth="1"/>
    <col min="3601" max="3602" width="7.5" style="95" customWidth="1"/>
    <col min="3603" max="3603" width="2.6640625" style="95" customWidth="1"/>
    <col min="3604" max="3840" width="8.83203125" style="95"/>
    <col min="3841" max="3841" width="32.1640625" style="95" customWidth="1"/>
    <col min="3842" max="3842" width="10.33203125" style="95" customWidth="1"/>
    <col min="3843" max="3843" width="9.83203125" style="95" customWidth="1"/>
    <col min="3844" max="3844" width="2.6640625" style="95" customWidth="1"/>
    <col min="3845" max="3845" width="8.6640625" style="95" customWidth="1"/>
    <col min="3846" max="3850" width="7.83203125" style="95" customWidth="1"/>
    <col min="3851" max="3851" width="7.5" style="95" customWidth="1"/>
    <col min="3852" max="3852" width="7.83203125" style="95" customWidth="1"/>
    <col min="3853" max="3853" width="2.6640625" style="95" customWidth="1"/>
    <col min="3854" max="3855" width="7.6640625" style="95" customWidth="1"/>
    <col min="3856" max="3856" width="2.6640625" style="95" customWidth="1"/>
    <col min="3857" max="3858" width="7.5" style="95" customWidth="1"/>
    <col min="3859" max="3859" width="2.6640625" style="95" customWidth="1"/>
    <col min="3860" max="4096" width="8.83203125" style="95"/>
    <col min="4097" max="4097" width="32.1640625" style="95" customWidth="1"/>
    <col min="4098" max="4098" width="10.33203125" style="95" customWidth="1"/>
    <col min="4099" max="4099" width="9.83203125" style="95" customWidth="1"/>
    <col min="4100" max="4100" width="2.6640625" style="95" customWidth="1"/>
    <col min="4101" max="4101" width="8.6640625" style="95" customWidth="1"/>
    <col min="4102" max="4106" width="7.83203125" style="95" customWidth="1"/>
    <col min="4107" max="4107" width="7.5" style="95" customWidth="1"/>
    <col min="4108" max="4108" width="7.83203125" style="95" customWidth="1"/>
    <col min="4109" max="4109" width="2.6640625" style="95" customWidth="1"/>
    <col min="4110" max="4111" width="7.6640625" style="95" customWidth="1"/>
    <col min="4112" max="4112" width="2.6640625" style="95" customWidth="1"/>
    <col min="4113" max="4114" width="7.5" style="95" customWidth="1"/>
    <col min="4115" max="4115" width="2.6640625" style="95" customWidth="1"/>
    <col min="4116" max="4352" width="8.83203125" style="95"/>
    <col min="4353" max="4353" width="32.1640625" style="95" customWidth="1"/>
    <col min="4354" max="4354" width="10.33203125" style="95" customWidth="1"/>
    <col min="4355" max="4355" width="9.83203125" style="95" customWidth="1"/>
    <col min="4356" max="4356" width="2.6640625" style="95" customWidth="1"/>
    <col min="4357" max="4357" width="8.6640625" style="95" customWidth="1"/>
    <col min="4358" max="4362" width="7.83203125" style="95" customWidth="1"/>
    <col min="4363" max="4363" width="7.5" style="95" customWidth="1"/>
    <col min="4364" max="4364" width="7.83203125" style="95" customWidth="1"/>
    <col min="4365" max="4365" width="2.6640625" style="95" customWidth="1"/>
    <col min="4366" max="4367" width="7.6640625" style="95" customWidth="1"/>
    <col min="4368" max="4368" width="2.6640625" style="95" customWidth="1"/>
    <col min="4369" max="4370" width="7.5" style="95" customWidth="1"/>
    <col min="4371" max="4371" width="2.6640625" style="95" customWidth="1"/>
    <col min="4372" max="4608" width="8.83203125" style="95"/>
    <col min="4609" max="4609" width="32.1640625" style="95" customWidth="1"/>
    <col min="4610" max="4610" width="10.33203125" style="95" customWidth="1"/>
    <col min="4611" max="4611" width="9.83203125" style="95" customWidth="1"/>
    <col min="4612" max="4612" width="2.6640625" style="95" customWidth="1"/>
    <col min="4613" max="4613" width="8.6640625" style="95" customWidth="1"/>
    <col min="4614" max="4618" width="7.83203125" style="95" customWidth="1"/>
    <col min="4619" max="4619" width="7.5" style="95" customWidth="1"/>
    <col min="4620" max="4620" width="7.83203125" style="95" customWidth="1"/>
    <col min="4621" max="4621" width="2.6640625" style="95" customWidth="1"/>
    <col min="4622" max="4623" width="7.6640625" style="95" customWidth="1"/>
    <col min="4624" max="4624" width="2.6640625" style="95" customWidth="1"/>
    <col min="4625" max="4626" width="7.5" style="95" customWidth="1"/>
    <col min="4627" max="4627" width="2.6640625" style="95" customWidth="1"/>
    <col min="4628" max="4864" width="8.83203125" style="95"/>
    <col min="4865" max="4865" width="32.1640625" style="95" customWidth="1"/>
    <col min="4866" max="4866" width="10.33203125" style="95" customWidth="1"/>
    <col min="4867" max="4867" width="9.83203125" style="95" customWidth="1"/>
    <col min="4868" max="4868" width="2.6640625" style="95" customWidth="1"/>
    <col min="4869" max="4869" width="8.6640625" style="95" customWidth="1"/>
    <col min="4870" max="4874" width="7.83203125" style="95" customWidth="1"/>
    <col min="4875" max="4875" width="7.5" style="95" customWidth="1"/>
    <col min="4876" max="4876" width="7.83203125" style="95" customWidth="1"/>
    <col min="4877" max="4877" width="2.6640625" style="95" customWidth="1"/>
    <col min="4878" max="4879" width="7.6640625" style="95" customWidth="1"/>
    <col min="4880" max="4880" width="2.6640625" style="95" customWidth="1"/>
    <col min="4881" max="4882" width="7.5" style="95" customWidth="1"/>
    <col min="4883" max="4883" width="2.6640625" style="95" customWidth="1"/>
    <col min="4884" max="5120" width="8.83203125" style="95"/>
    <col min="5121" max="5121" width="32.1640625" style="95" customWidth="1"/>
    <col min="5122" max="5122" width="10.33203125" style="95" customWidth="1"/>
    <col min="5123" max="5123" width="9.83203125" style="95" customWidth="1"/>
    <col min="5124" max="5124" width="2.6640625" style="95" customWidth="1"/>
    <col min="5125" max="5125" width="8.6640625" style="95" customWidth="1"/>
    <col min="5126" max="5130" width="7.83203125" style="95" customWidth="1"/>
    <col min="5131" max="5131" width="7.5" style="95" customWidth="1"/>
    <col min="5132" max="5132" width="7.83203125" style="95" customWidth="1"/>
    <col min="5133" max="5133" width="2.6640625" style="95" customWidth="1"/>
    <col min="5134" max="5135" width="7.6640625" style="95" customWidth="1"/>
    <col min="5136" max="5136" width="2.6640625" style="95" customWidth="1"/>
    <col min="5137" max="5138" width="7.5" style="95" customWidth="1"/>
    <col min="5139" max="5139" width="2.6640625" style="95" customWidth="1"/>
    <col min="5140" max="5376" width="8.83203125" style="95"/>
    <col min="5377" max="5377" width="32.1640625" style="95" customWidth="1"/>
    <col min="5378" max="5378" width="10.33203125" style="95" customWidth="1"/>
    <col min="5379" max="5379" width="9.83203125" style="95" customWidth="1"/>
    <col min="5380" max="5380" width="2.6640625" style="95" customWidth="1"/>
    <col min="5381" max="5381" width="8.6640625" style="95" customWidth="1"/>
    <col min="5382" max="5386" width="7.83203125" style="95" customWidth="1"/>
    <col min="5387" max="5387" width="7.5" style="95" customWidth="1"/>
    <col min="5388" max="5388" width="7.83203125" style="95" customWidth="1"/>
    <col min="5389" max="5389" width="2.6640625" style="95" customWidth="1"/>
    <col min="5390" max="5391" width="7.6640625" style="95" customWidth="1"/>
    <col min="5392" max="5392" width="2.6640625" style="95" customWidth="1"/>
    <col min="5393" max="5394" width="7.5" style="95" customWidth="1"/>
    <col min="5395" max="5395" width="2.6640625" style="95" customWidth="1"/>
    <col min="5396" max="5632" width="8.83203125" style="95"/>
    <col min="5633" max="5633" width="32.1640625" style="95" customWidth="1"/>
    <col min="5634" max="5634" width="10.33203125" style="95" customWidth="1"/>
    <col min="5635" max="5635" width="9.83203125" style="95" customWidth="1"/>
    <col min="5636" max="5636" width="2.6640625" style="95" customWidth="1"/>
    <col min="5637" max="5637" width="8.6640625" style="95" customWidth="1"/>
    <col min="5638" max="5642" width="7.83203125" style="95" customWidth="1"/>
    <col min="5643" max="5643" width="7.5" style="95" customWidth="1"/>
    <col min="5644" max="5644" width="7.83203125" style="95" customWidth="1"/>
    <col min="5645" max="5645" width="2.6640625" style="95" customWidth="1"/>
    <col min="5646" max="5647" width="7.6640625" style="95" customWidth="1"/>
    <col min="5648" max="5648" width="2.6640625" style="95" customWidth="1"/>
    <col min="5649" max="5650" width="7.5" style="95" customWidth="1"/>
    <col min="5651" max="5651" width="2.6640625" style="95" customWidth="1"/>
    <col min="5652" max="5888" width="8.83203125" style="95"/>
    <col min="5889" max="5889" width="32.1640625" style="95" customWidth="1"/>
    <col min="5890" max="5890" width="10.33203125" style="95" customWidth="1"/>
    <col min="5891" max="5891" width="9.83203125" style="95" customWidth="1"/>
    <col min="5892" max="5892" width="2.6640625" style="95" customWidth="1"/>
    <col min="5893" max="5893" width="8.6640625" style="95" customWidth="1"/>
    <col min="5894" max="5898" width="7.83203125" style="95" customWidth="1"/>
    <col min="5899" max="5899" width="7.5" style="95" customWidth="1"/>
    <col min="5900" max="5900" width="7.83203125" style="95" customWidth="1"/>
    <col min="5901" max="5901" width="2.6640625" style="95" customWidth="1"/>
    <col min="5902" max="5903" width="7.6640625" style="95" customWidth="1"/>
    <col min="5904" max="5904" width="2.6640625" style="95" customWidth="1"/>
    <col min="5905" max="5906" width="7.5" style="95" customWidth="1"/>
    <col min="5907" max="5907" width="2.6640625" style="95" customWidth="1"/>
    <col min="5908" max="6144" width="8.83203125" style="95"/>
    <col min="6145" max="6145" width="32.1640625" style="95" customWidth="1"/>
    <col min="6146" max="6146" width="10.33203125" style="95" customWidth="1"/>
    <col min="6147" max="6147" width="9.83203125" style="95" customWidth="1"/>
    <col min="6148" max="6148" width="2.6640625" style="95" customWidth="1"/>
    <col min="6149" max="6149" width="8.6640625" style="95" customWidth="1"/>
    <col min="6150" max="6154" width="7.83203125" style="95" customWidth="1"/>
    <col min="6155" max="6155" width="7.5" style="95" customWidth="1"/>
    <col min="6156" max="6156" width="7.83203125" style="95" customWidth="1"/>
    <col min="6157" max="6157" width="2.6640625" style="95" customWidth="1"/>
    <col min="6158" max="6159" width="7.6640625" style="95" customWidth="1"/>
    <col min="6160" max="6160" width="2.6640625" style="95" customWidth="1"/>
    <col min="6161" max="6162" width="7.5" style="95" customWidth="1"/>
    <col min="6163" max="6163" width="2.6640625" style="95" customWidth="1"/>
    <col min="6164" max="6400" width="8.83203125" style="95"/>
    <col min="6401" max="6401" width="32.1640625" style="95" customWidth="1"/>
    <col min="6402" max="6402" width="10.33203125" style="95" customWidth="1"/>
    <col min="6403" max="6403" width="9.83203125" style="95" customWidth="1"/>
    <col min="6404" max="6404" width="2.6640625" style="95" customWidth="1"/>
    <col min="6405" max="6405" width="8.6640625" style="95" customWidth="1"/>
    <col min="6406" max="6410" width="7.83203125" style="95" customWidth="1"/>
    <col min="6411" max="6411" width="7.5" style="95" customWidth="1"/>
    <col min="6412" max="6412" width="7.83203125" style="95" customWidth="1"/>
    <col min="6413" max="6413" width="2.6640625" style="95" customWidth="1"/>
    <col min="6414" max="6415" width="7.6640625" style="95" customWidth="1"/>
    <col min="6416" max="6416" width="2.6640625" style="95" customWidth="1"/>
    <col min="6417" max="6418" width="7.5" style="95" customWidth="1"/>
    <col min="6419" max="6419" width="2.6640625" style="95" customWidth="1"/>
    <col min="6420" max="6656" width="8.83203125" style="95"/>
    <col min="6657" max="6657" width="32.1640625" style="95" customWidth="1"/>
    <col min="6658" max="6658" width="10.33203125" style="95" customWidth="1"/>
    <col min="6659" max="6659" width="9.83203125" style="95" customWidth="1"/>
    <col min="6660" max="6660" width="2.6640625" style="95" customWidth="1"/>
    <col min="6661" max="6661" width="8.6640625" style="95" customWidth="1"/>
    <col min="6662" max="6666" width="7.83203125" style="95" customWidth="1"/>
    <col min="6667" max="6667" width="7.5" style="95" customWidth="1"/>
    <col min="6668" max="6668" width="7.83203125" style="95" customWidth="1"/>
    <col min="6669" max="6669" width="2.6640625" style="95" customWidth="1"/>
    <col min="6670" max="6671" width="7.6640625" style="95" customWidth="1"/>
    <col min="6672" max="6672" width="2.6640625" style="95" customWidth="1"/>
    <col min="6673" max="6674" width="7.5" style="95" customWidth="1"/>
    <col min="6675" max="6675" width="2.6640625" style="95" customWidth="1"/>
    <col min="6676" max="6912" width="8.83203125" style="95"/>
    <col min="6913" max="6913" width="32.1640625" style="95" customWidth="1"/>
    <col min="6914" max="6914" width="10.33203125" style="95" customWidth="1"/>
    <col min="6915" max="6915" width="9.83203125" style="95" customWidth="1"/>
    <col min="6916" max="6916" width="2.6640625" style="95" customWidth="1"/>
    <col min="6917" max="6917" width="8.6640625" style="95" customWidth="1"/>
    <col min="6918" max="6922" width="7.83203125" style="95" customWidth="1"/>
    <col min="6923" max="6923" width="7.5" style="95" customWidth="1"/>
    <col min="6924" max="6924" width="7.83203125" style="95" customWidth="1"/>
    <col min="6925" max="6925" width="2.6640625" style="95" customWidth="1"/>
    <col min="6926" max="6927" width="7.6640625" style="95" customWidth="1"/>
    <col min="6928" max="6928" width="2.6640625" style="95" customWidth="1"/>
    <col min="6929" max="6930" width="7.5" style="95" customWidth="1"/>
    <col min="6931" max="6931" width="2.6640625" style="95" customWidth="1"/>
    <col min="6932" max="7168" width="8.83203125" style="95"/>
    <col min="7169" max="7169" width="32.1640625" style="95" customWidth="1"/>
    <col min="7170" max="7170" width="10.33203125" style="95" customWidth="1"/>
    <col min="7171" max="7171" width="9.83203125" style="95" customWidth="1"/>
    <col min="7172" max="7172" width="2.6640625" style="95" customWidth="1"/>
    <col min="7173" max="7173" width="8.6640625" style="95" customWidth="1"/>
    <col min="7174" max="7178" width="7.83203125" style="95" customWidth="1"/>
    <col min="7179" max="7179" width="7.5" style="95" customWidth="1"/>
    <col min="7180" max="7180" width="7.83203125" style="95" customWidth="1"/>
    <col min="7181" max="7181" width="2.6640625" style="95" customWidth="1"/>
    <col min="7182" max="7183" width="7.6640625" style="95" customWidth="1"/>
    <col min="7184" max="7184" width="2.6640625" style="95" customWidth="1"/>
    <col min="7185" max="7186" width="7.5" style="95" customWidth="1"/>
    <col min="7187" max="7187" width="2.6640625" style="95" customWidth="1"/>
    <col min="7188" max="7424" width="8.83203125" style="95"/>
    <col min="7425" max="7425" width="32.1640625" style="95" customWidth="1"/>
    <col min="7426" max="7426" width="10.33203125" style="95" customWidth="1"/>
    <col min="7427" max="7427" width="9.83203125" style="95" customWidth="1"/>
    <col min="7428" max="7428" width="2.6640625" style="95" customWidth="1"/>
    <col min="7429" max="7429" width="8.6640625" style="95" customWidth="1"/>
    <col min="7430" max="7434" width="7.83203125" style="95" customWidth="1"/>
    <col min="7435" max="7435" width="7.5" style="95" customWidth="1"/>
    <col min="7436" max="7436" width="7.83203125" style="95" customWidth="1"/>
    <col min="7437" max="7437" width="2.6640625" style="95" customWidth="1"/>
    <col min="7438" max="7439" width="7.6640625" style="95" customWidth="1"/>
    <col min="7440" max="7440" width="2.6640625" style="95" customWidth="1"/>
    <col min="7441" max="7442" width="7.5" style="95" customWidth="1"/>
    <col min="7443" max="7443" width="2.6640625" style="95" customWidth="1"/>
    <col min="7444" max="7680" width="8.83203125" style="95"/>
    <col min="7681" max="7681" width="32.1640625" style="95" customWidth="1"/>
    <col min="7682" max="7682" width="10.33203125" style="95" customWidth="1"/>
    <col min="7683" max="7683" width="9.83203125" style="95" customWidth="1"/>
    <col min="7684" max="7684" width="2.6640625" style="95" customWidth="1"/>
    <col min="7685" max="7685" width="8.6640625" style="95" customWidth="1"/>
    <col min="7686" max="7690" width="7.83203125" style="95" customWidth="1"/>
    <col min="7691" max="7691" width="7.5" style="95" customWidth="1"/>
    <col min="7692" max="7692" width="7.83203125" style="95" customWidth="1"/>
    <col min="7693" max="7693" width="2.6640625" style="95" customWidth="1"/>
    <col min="7694" max="7695" width="7.6640625" style="95" customWidth="1"/>
    <col min="7696" max="7696" width="2.6640625" style="95" customWidth="1"/>
    <col min="7697" max="7698" width="7.5" style="95" customWidth="1"/>
    <col min="7699" max="7699" width="2.6640625" style="95" customWidth="1"/>
    <col min="7700" max="7936" width="8.83203125" style="95"/>
    <col min="7937" max="7937" width="32.1640625" style="95" customWidth="1"/>
    <col min="7938" max="7938" width="10.33203125" style="95" customWidth="1"/>
    <col min="7939" max="7939" width="9.83203125" style="95" customWidth="1"/>
    <col min="7940" max="7940" width="2.6640625" style="95" customWidth="1"/>
    <col min="7941" max="7941" width="8.6640625" style="95" customWidth="1"/>
    <col min="7942" max="7946" width="7.83203125" style="95" customWidth="1"/>
    <col min="7947" max="7947" width="7.5" style="95" customWidth="1"/>
    <col min="7948" max="7948" width="7.83203125" style="95" customWidth="1"/>
    <col min="7949" max="7949" width="2.6640625" style="95" customWidth="1"/>
    <col min="7950" max="7951" width="7.6640625" style="95" customWidth="1"/>
    <col min="7952" max="7952" width="2.6640625" style="95" customWidth="1"/>
    <col min="7953" max="7954" width="7.5" style="95" customWidth="1"/>
    <col min="7955" max="7955" width="2.6640625" style="95" customWidth="1"/>
    <col min="7956" max="8192" width="8.83203125" style="95"/>
    <col min="8193" max="8193" width="32.1640625" style="95" customWidth="1"/>
    <col min="8194" max="8194" width="10.33203125" style="95" customWidth="1"/>
    <col min="8195" max="8195" width="9.83203125" style="95" customWidth="1"/>
    <col min="8196" max="8196" width="2.6640625" style="95" customWidth="1"/>
    <col min="8197" max="8197" width="8.6640625" style="95" customWidth="1"/>
    <col min="8198" max="8202" width="7.83203125" style="95" customWidth="1"/>
    <col min="8203" max="8203" width="7.5" style="95" customWidth="1"/>
    <col min="8204" max="8204" width="7.83203125" style="95" customWidth="1"/>
    <col min="8205" max="8205" width="2.6640625" style="95" customWidth="1"/>
    <col min="8206" max="8207" width="7.6640625" style="95" customWidth="1"/>
    <col min="8208" max="8208" width="2.6640625" style="95" customWidth="1"/>
    <col min="8209" max="8210" width="7.5" style="95" customWidth="1"/>
    <col min="8211" max="8211" width="2.6640625" style="95" customWidth="1"/>
    <col min="8212" max="8448" width="8.83203125" style="95"/>
    <col min="8449" max="8449" width="32.1640625" style="95" customWidth="1"/>
    <col min="8450" max="8450" width="10.33203125" style="95" customWidth="1"/>
    <col min="8451" max="8451" width="9.83203125" style="95" customWidth="1"/>
    <col min="8452" max="8452" width="2.6640625" style="95" customWidth="1"/>
    <col min="8453" max="8453" width="8.6640625" style="95" customWidth="1"/>
    <col min="8454" max="8458" width="7.83203125" style="95" customWidth="1"/>
    <col min="8459" max="8459" width="7.5" style="95" customWidth="1"/>
    <col min="8460" max="8460" width="7.83203125" style="95" customWidth="1"/>
    <col min="8461" max="8461" width="2.6640625" style="95" customWidth="1"/>
    <col min="8462" max="8463" width="7.6640625" style="95" customWidth="1"/>
    <col min="8464" max="8464" width="2.6640625" style="95" customWidth="1"/>
    <col min="8465" max="8466" width="7.5" style="95" customWidth="1"/>
    <col min="8467" max="8467" width="2.6640625" style="95" customWidth="1"/>
    <col min="8468" max="8704" width="8.83203125" style="95"/>
    <col min="8705" max="8705" width="32.1640625" style="95" customWidth="1"/>
    <col min="8706" max="8706" width="10.33203125" style="95" customWidth="1"/>
    <col min="8707" max="8707" width="9.83203125" style="95" customWidth="1"/>
    <col min="8708" max="8708" width="2.6640625" style="95" customWidth="1"/>
    <col min="8709" max="8709" width="8.6640625" style="95" customWidth="1"/>
    <col min="8710" max="8714" width="7.83203125" style="95" customWidth="1"/>
    <col min="8715" max="8715" width="7.5" style="95" customWidth="1"/>
    <col min="8716" max="8716" width="7.83203125" style="95" customWidth="1"/>
    <col min="8717" max="8717" width="2.6640625" style="95" customWidth="1"/>
    <col min="8718" max="8719" width="7.6640625" style="95" customWidth="1"/>
    <col min="8720" max="8720" width="2.6640625" style="95" customWidth="1"/>
    <col min="8721" max="8722" width="7.5" style="95" customWidth="1"/>
    <col min="8723" max="8723" width="2.6640625" style="95" customWidth="1"/>
    <col min="8724" max="8960" width="8.83203125" style="95"/>
    <col min="8961" max="8961" width="32.1640625" style="95" customWidth="1"/>
    <col min="8962" max="8962" width="10.33203125" style="95" customWidth="1"/>
    <col min="8963" max="8963" width="9.83203125" style="95" customWidth="1"/>
    <col min="8964" max="8964" width="2.6640625" style="95" customWidth="1"/>
    <col min="8965" max="8965" width="8.6640625" style="95" customWidth="1"/>
    <col min="8966" max="8970" width="7.83203125" style="95" customWidth="1"/>
    <col min="8971" max="8971" width="7.5" style="95" customWidth="1"/>
    <col min="8972" max="8972" width="7.83203125" style="95" customWidth="1"/>
    <col min="8973" max="8973" width="2.6640625" style="95" customWidth="1"/>
    <col min="8974" max="8975" width="7.6640625" style="95" customWidth="1"/>
    <col min="8976" max="8976" width="2.6640625" style="95" customWidth="1"/>
    <col min="8977" max="8978" width="7.5" style="95" customWidth="1"/>
    <col min="8979" max="8979" width="2.6640625" style="95" customWidth="1"/>
    <col min="8980" max="9216" width="8.83203125" style="95"/>
    <col min="9217" max="9217" width="32.1640625" style="95" customWidth="1"/>
    <col min="9218" max="9218" width="10.33203125" style="95" customWidth="1"/>
    <col min="9219" max="9219" width="9.83203125" style="95" customWidth="1"/>
    <col min="9220" max="9220" width="2.6640625" style="95" customWidth="1"/>
    <col min="9221" max="9221" width="8.6640625" style="95" customWidth="1"/>
    <col min="9222" max="9226" width="7.83203125" style="95" customWidth="1"/>
    <col min="9227" max="9227" width="7.5" style="95" customWidth="1"/>
    <col min="9228" max="9228" width="7.83203125" style="95" customWidth="1"/>
    <col min="9229" max="9229" width="2.6640625" style="95" customWidth="1"/>
    <col min="9230" max="9231" width="7.6640625" style="95" customWidth="1"/>
    <col min="9232" max="9232" width="2.6640625" style="95" customWidth="1"/>
    <col min="9233" max="9234" width="7.5" style="95" customWidth="1"/>
    <col min="9235" max="9235" width="2.6640625" style="95" customWidth="1"/>
    <col min="9236" max="9472" width="8.83203125" style="95"/>
    <col min="9473" max="9473" width="32.1640625" style="95" customWidth="1"/>
    <col min="9474" max="9474" width="10.33203125" style="95" customWidth="1"/>
    <col min="9475" max="9475" width="9.83203125" style="95" customWidth="1"/>
    <col min="9476" max="9476" width="2.6640625" style="95" customWidth="1"/>
    <col min="9477" max="9477" width="8.6640625" style="95" customWidth="1"/>
    <col min="9478" max="9482" width="7.83203125" style="95" customWidth="1"/>
    <col min="9483" max="9483" width="7.5" style="95" customWidth="1"/>
    <col min="9484" max="9484" width="7.83203125" style="95" customWidth="1"/>
    <col min="9485" max="9485" width="2.6640625" style="95" customWidth="1"/>
    <col min="9486" max="9487" width="7.6640625" style="95" customWidth="1"/>
    <col min="9488" max="9488" width="2.6640625" style="95" customWidth="1"/>
    <col min="9489" max="9490" width="7.5" style="95" customWidth="1"/>
    <col min="9491" max="9491" width="2.6640625" style="95" customWidth="1"/>
    <col min="9492" max="9728" width="8.83203125" style="95"/>
    <col min="9729" max="9729" width="32.1640625" style="95" customWidth="1"/>
    <col min="9730" max="9730" width="10.33203125" style="95" customWidth="1"/>
    <col min="9731" max="9731" width="9.83203125" style="95" customWidth="1"/>
    <col min="9732" max="9732" width="2.6640625" style="95" customWidth="1"/>
    <col min="9733" max="9733" width="8.6640625" style="95" customWidth="1"/>
    <col min="9734" max="9738" width="7.83203125" style="95" customWidth="1"/>
    <col min="9739" max="9739" width="7.5" style="95" customWidth="1"/>
    <col min="9740" max="9740" width="7.83203125" style="95" customWidth="1"/>
    <col min="9741" max="9741" width="2.6640625" style="95" customWidth="1"/>
    <col min="9742" max="9743" width="7.6640625" style="95" customWidth="1"/>
    <col min="9744" max="9744" width="2.6640625" style="95" customWidth="1"/>
    <col min="9745" max="9746" width="7.5" style="95" customWidth="1"/>
    <col min="9747" max="9747" width="2.6640625" style="95" customWidth="1"/>
    <col min="9748" max="9984" width="8.83203125" style="95"/>
    <col min="9985" max="9985" width="32.1640625" style="95" customWidth="1"/>
    <col min="9986" max="9986" width="10.33203125" style="95" customWidth="1"/>
    <col min="9987" max="9987" width="9.83203125" style="95" customWidth="1"/>
    <col min="9988" max="9988" width="2.6640625" style="95" customWidth="1"/>
    <col min="9989" max="9989" width="8.6640625" style="95" customWidth="1"/>
    <col min="9990" max="9994" width="7.83203125" style="95" customWidth="1"/>
    <col min="9995" max="9995" width="7.5" style="95" customWidth="1"/>
    <col min="9996" max="9996" width="7.83203125" style="95" customWidth="1"/>
    <col min="9997" max="9997" width="2.6640625" style="95" customWidth="1"/>
    <col min="9998" max="9999" width="7.6640625" style="95" customWidth="1"/>
    <col min="10000" max="10000" width="2.6640625" style="95" customWidth="1"/>
    <col min="10001" max="10002" width="7.5" style="95" customWidth="1"/>
    <col min="10003" max="10003" width="2.6640625" style="95" customWidth="1"/>
    <col min="10004" max="10240" width="8.83203125" style="95"/>
    <col min="10241" max="10241" width="32.1640625" style="95" customWidth="1"/>
    <col min="10242" max="10242" width="10.33203125" style="95" customWidth="1"/>
    <col min="10243" max="10243" width="9.83203125" style="95" customWidth="1"/>
    <col min="10244" max="10244" width="2.6640625" style="95" customWidth="1"/>
    <col min="10245" max="10245" width="8.6640625" style="95" customWidth="1"/>
    <col min="10246" max="10250" width="7.83203125" style="95" customWidth="1"/>
    <col min="10251" max="10251" width="7.5" style="95" customWidth="1"/>
    <col min="10252" max="10252" width="7.83203125" style="95" customWidth="1"/>
    <col min="10253" max="10253" width="2.6640625" style="95" customWidth="1"/>
    <col min="10254" max="10255" width="7.6640625" style="95" customWidth="1"/>
    <col min="10256" max="10256" width="2.6640625" style="95" customWidth="1"/>
    <col min="10257" max="10258" width="7.5" style="95" customWidth="1"/>
    <col min="10259" max="10259" width="2.6640625" style="95" customWidth="1"/>
    <col min="10260" max="10496" width="8.83203125" style="95"/>
    <col min="10497" max="10497" width="32.1640625" style="95" customWidth="1"/>
    <col min="10498" max="10498" width="10.33203125" style="95" customWidth="1"/>
    <col min="10499" max="10499" width="9.83203125" style="95" customWidth="1"/>
    <col min="10500" max="10500" width="2.6640625" style="95" customWidth="1"/>
    <col min="10501" max="10501" width="8.6640625" style="95" customWidth="1"/>
    <col min="10502" max="10506" width="7.83203125" style="95" customWidth="1"/>
    <col min="10507" max="10507" width="7.5" style="95" customWidth="1"/>
    <col min="10508" max="10508" width="7.83203125" style="95" customWidth="1"/>
    <col min="10509" max="10509" width="2.6640625" style="95" customWidth="1"/>
    <col min="10510" max="10511" width="7.6640625" style="95" customWidth="1"/>
    <col min="10512" max="10512" width="2.6640625" style="95" customWidth="1"/>
    <col min="10513" max="10514" width="7.5" style="95" customWidth="1"/>
    <col min="10515" max="10515" width="2.6640625" style="95" customWidth="1"/>
    <col min="10516" max="10752" width="8.83203125" style="95"/>
    <col min="10753" max="10753" width="32.1640625" style="95" customWidth="1"/>
    <col min="10754" max="10754" width="10.33203125" style="95" customWidth="1"/>
    <col min="10755" max="10755" width="9.83203125" style="95" customWidth="1"/>
    <col min="10756" max="10756" width="2.6640625" style="95" customWidth="1"/>
    <col min="10757" max="10757" width="8.6640625" style="95" customWidth="1"/>
    <col min="10758" max="10762" width="7.83203125" style="95" customWidth="1"/>
    <col min="10763" max="10763" width="7.5" style="95" customWidth="1"/>
    <col min="10764" max="10764" width="7.83203125" style="95" customWidth="1"/>
    <col min="10765" max="10765" width="2.6640625" style="95" customWidth="1"/>
    <col min="10766" max="10767" width="7.6640625" style="95" customWidth="1"/>
    <col min="10768" max="10768" width="2.6640625" style="95" customWidth="1"/>
    <col min="10769" max="10770" width="7.5" style="95" customWidth="1"/>
    <col min="10771" max="10771" width="2.6640625" style="95" customWidth="1"/>
    <col min="10772" max="11008" width="8.83203125" style="95"/>
    <col min="11009" max="11009" width="32.1640625" style="95" customWidth="1"/>
    <col min="11010" max="11010" width="10.33203125" style="95" customWidth="1"/>
    <col min="11011" max="11011" width="9.83203125" style="95" customWidth="1"/>
    <col min="11012" max="11012" width="2.6640625" style="95" customWidth="1"/>
    <col min="11013" max="11013" width="8.6640625" style="95" customWidth="1"/>
    <col min="11014" max="11018" width="7.83203125" style="95" customWidth="1"/>
    <col min="11019" max="11019" width="7.5" style="95" customWidth="1"/>
    <col min="11020" max="11020" width="7.83203125" style="95" customWidth="1"/>
    <col min="11021" max="11021" width="2.6640625" style="95" customWidth="1"/>
    <col min="11022" max="11023" width="7.6640625" style="95" customWidth="1"/>
    <col min="11024" max="11024" width="2.6640625" style="95" customWidth="1"/>
    <col min="11025" max="11026" width="7.5" style="95" customWidth="1"/>
    <col min="11027" max="11027" width="2.6640625" style="95" customWidth="1"/>
    <col min="11028" max="11264" width="8.83203125" style="95"/>
    <col min="11265" max="11265" width="32.1640625" style="95" customWidth="1"/>
    <col min="11266" max="11266" width="10.33203125" style="95" customWidth="1"/>
    <col min="11267" max="11267" width="9.83203125" style="95" customWidth="1"/>
    <col min="11268" max="11268" width="2.6640625" style="95" customWidth="1"/>
    <col min="11269" max="11269" width="8.6640625" style="95" customWidth="1"/>
    <col min="11270" max="11274" width="7.83203125" style="95" customWidth="1"/>
    <col min="11275" max="11275" width="7.5" style="95" customWidth="1"/>
    <col min="11276" max="11276" width="7.83203125" style="95" customWidth="1"/>
    <col min="11277" max="11277" width="2.6640625" style="95" customWidth="1"/>
    <col min="11278" max="11279" width="7.6640625" style="95" customWidth="1"/>
    <col min="11280" max="11280" width="2.6640625" style="95" customWidth="1"/>
    <col min="11281" max="11282" width="7.5" style="95" customWidth="1"/>
    <col min="11283" max="11283" width="2.6640625" style="95" customWidth="1"/>
    <col min="11284" max="11520" width="8.83203125" style="95"/>
    <col min="11521" max="11521" width="32.1640625" style="95" customWidth="1"/>
    <col min="11522" max="11522" width="10.33203125" style="95" customWidth="1"/>
    <col min="11523" max="11523" width="9.83203125" style="95" customWidth="1"/>
    <col min="11524" max="11524" width="2.6640625" style="95" customWidth="1"/>
    <col min="11525" max="11525" width="8.6640625" style="95" customWidth="1"/>
    <col min="11526" max="11530" width="7.83203125" style="95" customWidth="1"/>
    <col min="11531" max="11531" width="7.5" style="95" customWidth="1"/>
    <col min="11532" max="11532" width="7.83203125" style="95" customWidth="1"/>
    <col min="11533" max="11533" width="2.6640625" style="95" customWidth="1"/>
    <col min="11534" max="11535" width="7.6640625" style="95" customWidth="1"/>
    <col min="11536" max="11536" width="2.6640625" style="95" customWidth="1"/>
    <col min="11537" max="11538" width="7.5" style="95" customWidth="1"/>
    <col min="11539" max="11539" width="2.6640625" style="95" customWidth="1"/>
    <col min="11540" max="11776" width="8.83203125" style="95"/>
    <col min="11777" max="11777" width="32.1640625" style="95" customWidth="1"/>
    <col min="11778" max="11778" width="10.33203125" style="95" customWidth="1"/>
    <col min="11779" max="11779" width="9.83203125" style="95" customWidth="1"/>
    <col min="11780" max="11780" width="2.6640625" style="95" customWidth="1"/>
    <col min="11781" max="11781" width="8.6640625" style="95" customWidth="1"/>
    <col min="11782" max="11786" width="7.83203125" style="95" customWidth="1"/>
    <col min="11787" max="11787" width="7.5" style="95" customWidth="1"/>
    <col min="11788" max="11788" width="7.83203125" style="95" customWidth="1"/>
    <col min="11789" max="11789" width="2.6640625" style="95" customWidth="1"/>
    <col min="11790" max="11791" width="7.6640625" style="95" customWidth="1"/>
    <col min="11792" max="11792" width="2.6640625" style="95" customWidth="1"/>
    <col min="11793" max="11794" width="7.5" style="95" customWidth="1"/>
    <col min="11795" max="11795" width="2.6640625" style="95" customWidth="1"/>
    <col min="11796" max="12032" width="8.83203125" style="95"/>
    <col min="12033" max="12033" width="32.1640625" style="95" customWidth="1"/>
    <col min="12034" max="12034" width="10.33203125" style="95" customWidth="1"/>
    <col min="12035" max="12035" width="9.83203125" style="95" customWidth="1"/>
    <col min="12036" max="12036" width="2.6640625" style="95" customWidth="1"/>
    <col min="12037" max="12037" width="8.6640625" style="95" customWidth="1"/>
    <col min="12038" max="12042" width="7.83203125" style="95" customWidth="1"/>
    <col min="12043" max="12043" width="7.5" style="95" customWidth="1"/>
    <col min="12044" max="12044" width="7.83203125" style="95" customWidth="1"/>
    <col min="12045" max="12045" width="2.6640625" style="95" customWidth="1"/>
    <col min="12046" max="12047" width="7.6640625" style="95" customWidth="1"/>
    <col min="12048" max="12048" width="2.6640625" style="95" customWidth="1"/>
    <col min="12049" max="12050" width="7.5" style="95" customWidth="1"/>
    <col min="12051" max="12051" width="2.6640625" style="95" customWidth="1"/>
    <col min="12052" max="12288" width="8.83203125" style="95"/>
    <col min="12289" max="12289" width="32.1640625" style="95" customWidth="1"/>
    <col min="12290" max="12290" width="10.33203125" style="95" customWidth="1"/>
    <col min="12291" max="12291" width="9.83203125" style="95" customWidth="1"/>
    <col min="12292" max="12292" width="2.6640625" style="95" customWidth="1"/>
    <col min="12293" max="12293" width="8.6640625" style="95" customWidth="1"/>
    <col min="12294" max="12298" width="7.83203125" style="95" customWidth="1"/>
    <col min="12299" max="12299" width="7.5" style="95" customWidth="1"/>
    <col min="12300" max="12300" width="7.83203125" style="95" customWidth="1"/>
    <col min="12301" max="12301" width="2.6640625" style="95" customWidth="1"/>
    <col min="12302" max="12303" width="7.6640625" style="95" customWidth="1"/>
    <col min="12304" max="12304" width="2.6640625" style="95" customWidth="1"/>
    <col min="12305" max="12306" width="7.5" style="95" customWidth="1"/>
    <col min="12307" max="12307" width="2.6640625" style="95" customWidth="1"/>
    <col min="12308" max="12544" width="8.83203125" style="95"/>
    <col min="12545" max="12545" width="32.1640625" style="95" customWidth="1"/>
    <col min="12546" max="12546" width="10.33203125" style="95" customWidth="1"/>
    <col min="12547" max="12547" width="9.83203125" style="95" customWidth="1"/>
    <col min="12548" max="12548" width="2.6640625" style="95" customWidth="1"/>
    <col min="12549" max="12549" width="8.6640625" style="95" customWidth="1"/>
    <col min="12550" max="12554" width="7.83203125" style="95" customWidth="1"/>
    <col min="12555" max="12555" width="7.5" style="95" customWidth="1"/>
    <col min="12556" max="12556" width="7.83203125" style="95" customWidth="1"/>
    <col min="12557" max="12557" width="2.6640625" style="95" customWidth="1"/>
    <col min="12558" max="12559" width="7.6640625" style="95" customWidth="1"/>
    <col min="12560" max="12560" width="2.6640625" style="95" customWidth="1"/>
    <col min="12561" max="12562" width="7.5" style="95" customWidth="1"/>
    <col min="12563" max="12563" width="2.6640625" style="95" customWidth="1"/>
    <col min="12564" max="12800" width="8.83203125" style="95"/>
    <col min="12801" max="12801" width="32.1640625" style="95" customWidth="1"/>
    <col min="12802" max="12802" width="10.33203125" style="95" customWidth="1"/>
    <col min="12803" max="12803" width="9.83203125" style="95" customWidth="1"/>
    <col min="12804" max="12804" width="2.6640625" style="95" customWidth="1"/>
    <col min="12805" max="12805" width="8.6640625" style="95" customWidth="1"/>
    <col min="12806" max="12810" width="7.83203125" style="95" customWidth="1"/>
    <col min="12811" max="12811" width="7.5" style="95" customWidth="1"/>
    <col min="12812" max="12812" width="7.83203125" style="95" customWidth="1"/>
    <col min="12813" max="12813" width="2.6640625" style="95" customWidth="1"/>
    <col min="12814" max="12815" width="7.6640625" style="95" customWidth="1"/>
    <col min="12816" max="12816" width="2.6640625" style="95" customWidth="1"/>
    <col min="12817" max="12818" width="7.5" style="95" customWidth="1"/>
    <col min="12819" max="12819" width="2.6640625" style="95" customWidth="1"/>
    <col min="12820" max="13056" width="8.83203125" style="95"/>
    <col min="13057" max="13057" width="32.1640625" style="95" customWidth="1"/>
    <col min="13058" max="13058" width="10.33203125" style="95" customWidth="1"/>
    <col min="13059" max="13059" width="9.83203125" style="95" customWidth="1"/>
    <col min="13060" max="13060" width="2.6640625" style="95" customWidth="1"/>
    <col min="13061" max="13061" width="8.6640625" style="95" customWidth="1"/>
    <col min="13062" max="13066" width="7.83203125" style="95" customWidth="1"/>
    <col min="13067" max="13067" width="7.5" style="95" customWidth="1"/>
    <col min="13068" max="13068" width="7.83203125" style="95" customWidth="1"/>
    <col min="13069" max="13069" width="2.6640625" style="95" customWidth="1"/>
    <col min="13070" max="13071" width="7.6640625" style="95" customWidth="1"/>
    <col min="13072" max="13072" width="2.6640625" style="95" customWidth="1"/>
    <col min="13073" max="13074" width="7.5" style="95" customWidth="1"/>
    <col min="13075" max="13075" width="2.6640625" style="95" customWidth="1"/>
    <col min="13076" max="13312" width="8.83203125" style="95"/>
    <col min="13313" max="13313" width="32.1640625" style="95" customWidth="1"/>
    <col min="13314" max="13314" width="10.33203125" style="95" customWidth="1"/>
    <col min="13315" max="13315" width="9.83203125" style="95" customWidth="1"/>
    <col min="13316" max="13316" width="2.6640625" style="95" customWidth="1"/>
    <col min="13317" max="13317" width="8.6640625" style="95" customWidth="1"/>
    <col min="13318" max="13322" width="7.83203125" style="95" customWidth="1"/>
    <col min="13323" max="13323" width="7.5" style="95" customWidth="1"/>
    <col min="13324" max="13324" width="7.83203125" style="95" customWidth="1"/>
    <col min="13325" max="13325" width="2.6640625" style="95" customWidth="1"/>
    <col min="13326" max="13327" width="7.6640625" style="95" customWidth="1"/>
    <col min="13328" max="13328" width="2.6640625" style="95" customWidth="1"/>
    <col min="13329" max="13330" width="7.5" style="95" customWidth="1"/>
    <col min="13331" max="13331" width="2.6640625" style="95" customWidth="1"/>
    <col min="13332" max="13568" width="8.83203125" style="95"/>
    <col min="13569" max="13569" width="32.1640625" style="95" customWidth="1"/>
    <col min="13570" max="13570" width="10.33203125" style="95" customWidth="1"/>
    <col min="13571" max="13571" width="9.83203125" style="95" customWidth="1"/>
    <col min="13572" max="13572" width="2.6640625" style="95" customWidth="1"/>
    <col min="13573" max="13573" width="8.6640625" style="95" customWidth="1"/>
    <col min="13574" max="13578" width="7.83203125" style="95" customWidth="1"/>
    <col min="13579" max="13579" width="7.5" style="95" customWidth="1"/>
    <col min="13580" max="13580" width="7.83203125" style="95" customWidth="1"/>
    <col min="13581" max="13581" width="2.6640625" style="95" customWidth="1"/>
    <col min="13582" max="13583" width="7.6640625" style="95" customWidth="1"/>
    <col min="13584" max="13584" width="2.6640625" style="95" customWidth="1"/>
    <col min="13585" max="13586" width="7.5" style="95" customWidth="1"/>
    <col min="13587" max="13587" width="2.6640625" style="95" customWidth="1"/>
    <col min="13588" max="13824" width="8.83203125" style="95"/>
    <col min="13825" max="13825" width="32.1640625" style="95" customWidth="1"/>
    <col min="13826" max="13826" width="10.33203125" style="95" customWidth="1"/>
    <col min="13827" max="13827" width="9.83203125" style="95" customWidth="1"/>
    <col min="13828" max="13828" width="2.6640625" style="95" customWidth="1"/>
    <col min="13829" max="13829" width="8.6640625" style="95" customWidth="1"/>
    <col min="13830" max="13834" width="7.83203125" style="95" customWidth="1"/>
    <col min="13835" max="13835" width="7.5" style="95" customWidth="1"/>
    <col min="13836" max="13836" width="7.83203125" style="95" customWidth="1"/>
    <col min="13837" max="13837" width="2.6640625" style="95" customWidth="1"/>
    <col min="13838" max="13839" width="7.6640625" style="95" customWidth="1"/>
    <col min="13840" max="13840" width="2.6640625" style="95" customWidth="1"/>
    <col min="13841" max="13842" width="7.5" style="95" customWidth="1"/>
    <col min="13843" max="13843" width="2.6640625" style="95" customWidth="1"/>
    <col min="13844" max="14080" width="8.83203125" style="95"/>
    <col min="14081" max="14081" width="32.1640625" style="95" customWidth="1"/>
    <col min="14082" max="14082" width="10.33203125" style="95" customWidth="1"/>
    <col min="14083" max="14083" width="9.83203125" style="95" customWidth="1"/>
    <col min="14084" max="14084" width="2.6640625" style="95" customWidth="1"/>
    <col min="14085" max="14085" width="8.6640625" style="95" customWidth="1"/>
    <col min="14086" max="14090" width="7.83203125" style="95" customWidth="1"/>
    <col min="14091" max="14091" width="7.5" style="95" customWidth="1"/>
    <col min="14092" max="14092" width="7.83203125" style="95" customWidth="1"/>
    <col min="14093" max="14093" width="2.6640625" style="95" customWidth="1"/>
    <col min="14094" max="14095" width="7.6640625" style="95" customWidth="1"/>
    <col min="14096" max="14096" width="2.6640625" style="95" customWidth="1"/>
    <col min="14097" max="14098" width="7.5" style="95" customWidth="1"/>
    <col min="14099" max="14099" width="2.6640625" style="95" customWidth="1"/>
    <col min="14100" max="14336" width="8.83203125" style="95"/>
    <col min="14337" max="14337" width="32.1640625" style="95" customWidth="1"/>
    <col min="14338" max="14338" width="10.33203125" style="95" customWidth="1"/>
    <col min="14339" max="14339" width="9.83203125" style="95" customWidth="1"/>
    <col min="14340" max="14340" width="2.6640625" style="95" customWidth="1"/>
    <col min="14341" max="14341" width="8.6640625" style="95" customWidth="1"/>
    <col min="14342" max="14346" width="7.83203125" style="95" customWidth="1"/>
    <col min="14347" max="14347" width="7.5" style="95" customWidth="1"/>
    <col min="14348" max="14348" width="7.83203125" style="95" customWidth="1"/>
    <col min="14349" max="14349" width="2.6640625" style="95" customWidth="1"/>
    <col min="14350" max="14351" width="7.6640625" style="95" customWidth="1"/>
    <col min="14352" max="14352" width="2.6640625" style="95" customWidth="1"/>
    <col min="14353" max="14354" width="7.5" style="95" customWidth="1"/>
    <col min="14355" max="14355" width="2.6640625" style="95" customWidth="1"/>
    <col min="14356" max="14592" width="8.83203125" style="95"/>
    <col min="14593" max="14593" width="32.1640625" style="95" customWidth="1"/>
    <col min="14594" max="14594" width="10.33203125" style="95" customWidth="1"/>
    <col min="14595" max="14595" width="9.83203125" style="95" customWidth="1"/>
    <col min="14596" max="14596" width="2.6640625" style="95" customWidth="1"/>
    <col min="14597" max="14597" width="8.6640625" style="95" customWidth="1"/>
    <col min="14598" max="14602" width="7.83203125" style="95" customWidth="1"/>
    <col min="14603" max="14603" width="7.5" style="95" customWidth="1"/>
    <col min="14604" max="14604" width="7.83203125" style="95" customWidth="1"/>
    <col min="14605" max="14605" width="2.6640625" style="95" customWidth="1"/>
    <col min="14606" max="14607" width="7.6640625" style="95" customWidth="1"/>
    <col min="14608" max="14608" width="2.6640625" style="95" customWidth="1"/>
    <col min="14609" max="14610" width="7.5" style="95" customWidth="1"/>
    <col min="14611" max="14611" width="2.6640625" style="95" customWidth="1"/>
    <col min="14612" max="14848" width="8.83203125" style="95"/>
    <col min="14849" max="14849" width="32.1640625" style="95" customWidth="1"/>
    <col min="14850" max="14850" width="10.33203125" style="95" customWidth="1"/>
    <col min="14851" max="14851" width="9.83203125" style="95" customWidth="1"/>
    <col min="14852" max="14852" width="2.6640625" style="95" customWidth="1"/>
    <col min="14853" max="14853" width="8.6640625" style="95" customWidth="1"/>
    <col min="14854" max="14858" width="7.83203125" style="95" customWidth="1"/>
    <col min="14859" max="14859" width="7.5" style="95" customWidth="1"/>
    <col min="14860" max="14860" width="7.83203125" style="95" customWidth="1"/>
    <col min="14861" max="14861" width="2.6640625" style="95" customWidth="1"/>
    <col min="14862" max="14863" width="7.6640625" style="95" customWidth="1"/>
    <col min="14864" max="14864" width="2.6640625" style="95" customWidth="1"/>
    <col min="14865" max="14866" width="7.5" style="95" customWidth="1"/>
    <col min="14867" max="14867" width="2.6640625" style="95" customWidth="1"/>
    <col min="14868" max="15104" width="8.83203125" style="95"/>
    <col min="15105" max="15105" width="32.1640625" style="95" customWidth="1"/>
    <col min="15106" max="15106" width="10.33203125" style="95" customWidth="1"/>
    <col min="15107" max="15107" width="9.83203125" style="95" customWidth="1"/>
    <col min="15108" max="15108" width="2.6640625" style="95" customWidth="1"/>
    <col min="15109" max="15109" width="8.6640625" style="95" customWidth="1"/>
    <col min="15110" max="15114" width="7.83203125" style="95" customWidth="1"/>
    <col min="15115" max="15115" width="7.5" style="95" customWidth="1"/>
    <col min="15116" max="15116" width="7.83203125" style="95" customWidth="1"/>
    <col min="15117" max="15117" width="2.6640625" style="95" customWidth="1"/>
    <col min="15118" max="15119" width="7.6640625" style="95" customWidth="1"/>
    <col min="15120" max="15120" width="2.6640625" style="95" customWidth="1"/>
    <col min="15121" max="15122" width="7.5" style="95" customWidth="1"/>
    <col min="15123" max="15123" width="2.6640625" style="95" customWidth="1"/>
    <col min="15124" max="15360" width="8.83203125" style="95"/>
    <col min="15361" max="15361" width="32.1640625" style="95" customWidth="1"/>
    <col min="15362" max="15362" width="10.33203125" style="95" customWidth="1"/>
    <col min="15363" max="15363" width="9.83203125" style="95" customWidth="1"/>
    <col min="15364" max="15364" width="2.6640625" style="95" customWidth="1"/>
    <col min="15365" max="15365" width="8.6640625" style="95" customWidth="1"/>
    <col min="15366" max="15370" width="7.83203125" style="95" customWidth="1"/>
    <col min="15371" max="15371" width="7.5" style="95" customWidth="1"/>
    <col min="15372" max="15372" width="7.83203125" style="95" customWidth="1"/>
    <col min="15373" max="15373" width="2.6640625" style="95" customWidth="1"/>
    <col min="15374" max="15375" width="7.6640625" style="95" customWidth="1"/>
    <col min="15376" max="15376" width="2.6640625" style="95" customWidth="1"/>
    <col min="15377" max="15378" width="7.5" style="95" customWidth="1"/>
    <col min="15379" max="15379" width="2.6640625" style="95" customWidth="1"/>
    <col min="15380" max="15616" width="8.83203125" style="95"/>
    <col min="15617" max="15617" width="32.1640625" style="95" customWidth="1"/>
    <col min="15618" max="15618" width="10.33203125" style="95" customWidth="1"/>
    <col min="15619" max="15619" width="9.83203125" style="95" customWidth="1"/>
    <col min="15620" max="15620" width="2.6640625" style="95" customWidth="1"/>
    <col min="15621" max="15621" width="8.6640625" style="95" customWidth="1"/>
    <col min="15622" max="15626" width="7.83203125" style="95" customWidth="1"/>
    <col min="15627" max="15627" width="7.5" style="95" customWidth="1"/>
    <col min="15628" max="15628" width="7.83203125" style="95" customWidth="1"/>
    <col min="15629" max="15629" width="2.6640625" style="95" customWidth="1"/>
    <col min="15630" max="15631" width="7.6640625" style="95" customWidth="1"/>
    <col min="15632" max="15632" width="2.6640625" style="95" customWidth="1"/>
    <col min="15633" max="15634" width="7.5" style="95" customWidth="1"/>
    <col min="15635" max="15635" width="2.6640625" style="95" customWidth="1"/>
    <col min="15636" max="15872" width="8.83203125" style="95"/>
    <col min="15873" max="15873" width="32.1640625" style="95" customWidth="1"/>
    <col min="15874" max="15874" width="10.33203125" style="95" customWidth="1"/>
    <col min="15875" max="15875" width="9.83203125" style="95" customWidth="1"/>
    <col min="15876" max="15876" width="2.6640625" style="95" customWidth="1"/>
    <col min="15877" max="15877" width="8.6640625" style="95" customWidth="1"/>
    <col min="15878" max="15882" width="7.83203125" style="95" customWidth="1"/>
    <col min="15883" max="15883" width="7.5" style="95" customWidth="1"/>
    <col min="15884" max="15884" width="7.83203125" style="95" customWidth="1"/>
    <col min="15885" max="15885" width="2.6640625" style="95" customWidth="1"/>
    <col min="15886" max="15887" width="7.6640625" style="95" customWidth="1"/>
    <col min="15888" max="15888" width="2.6640625" style="95" customWidth="1"/>
    <col min="15889" max="15890" width="7.5" style="95" customWidth="1"/>
    <col min="15891" max="15891" width="2.6640625" style="95" customWidth="1"/>
    <col min="15892" max="16128" width="8.83203125" style="95"/>
    <col min="16129" max="16129" width="32.1640625" style="95" customWidth="1"/>
    <col min="16130" max="16130" width="10.33203125" style="95" customWidth="1"/>
    <col min="16131" max="16131" width="9.83203125" style="95" customWidth="1"/>
    <col min="16132" max="16132" width="2.6640625" style="95" customWidth="1"/>
    <col min="16133" max="16133" width="8.6640625" style="95" customWidth="1"/>
    <col min="16134" max="16138" width="7.83203125" style="95" customWidth="1"/>
    <col min="16139" max="16139" width="7.5" style="95" customWidth="1"/>
    <col min="16140" max="16140" width="7.83203125" style="95" customWidth="1"/>
    <col min="16141" max="16141" width="2.6640625" style="95" customWidth="1"/>
    <col min="16142" max="16143" width="7.6640625" style="95" customWidth="1"/>
    <col min="16144" max="16144" width="2.6640625" style="95" customWidth="1"/>
    <col min="16145" max="16146" width="7.5" style="95" customWidth="1"/>
    <col min="16147" max="16147" width="2.6640625" style="95" customWidth="1"/>
    <col min="16148" max="16384" width="8.83203125" style="95"/>
  </cols>
  <sheetData>
    <row r="1" spans="1:19">
      <c r="A1" s="95" t="s">
        <v>689</v>
      </c>
    </row>
    <row r="2" spans="1:19">
      <c r="A2" s="95" t="s">
        <v>690</v>
      </c>
      <c r="C2" s="72"/>
    </row>
    <row r="3" spans="1:19" ht="8.25" customHeight="1"/>
    <row r="4" spans="1:19">
      <c r="A4" s="14" t="s">
        <v>1920</v>
      </c>
    </row>
    <row r="5" spans="1:19" ht="9.75" customHeight="1" thickBot="1">
      <c r="S5" s="73"/>
    </row>
    <row r="6" spans="1:19">
      <c r="A6" s="97"/>
      <c r="B6" s="186"/>
      <c r="C6" s="187"/>
      <c r="D6" s="188"/>
      <c r="E6" s="189"/>
      <c r="F6" s="187"/>
      <c r="G6" s="188"/>
      <c r="H6" s="189"/>
      <c r="I6" s="187"/>
      <c r="J6" s="188"/>
      <c r="K6" s="189"/>
      <c r="L6" s="187"/>
      <c r="M6" s="188"/>
      <c r="N6" s="189"/>
      <c r="O6" s="187"/>
      <c r="P6" s="188"/>
      <c r="Q6" s="189"/>
      <c r="R6" s="187"/>
      <c r="S6" s="187"/>
    </row>
    <row r="7" spans="1:19" ht="15">
      <c r="A7" s="116" t="s">
        <v>691</v>
      </c>
      <c r="B7" s="190" t="s">
        <v>692</v>
      </c>
      <c r="C7" s="191"/>
      <c r="D7" s="57"/>
      <c r="E7" s="1021" t="s">
        <v>693</v>
      </c>
      <c r="F7" s="1021"/>
      <c r="G7" s="192"/>
      <c r="H7" s="1038" t="s">
        <v>694</v>
      </c>
      <c r="I7" s="1038"/>
      <c r="J7" s="1003"/>
      <c r="K7" s="1021" t="s">
        <v>695</v>
      </c>
      <c r="L7" s="1021"/>
      <c r="M7" s="1003"/>
      <c r="N7" s="1021" t="s">
        <v>696</v>
      </c>
      <c r="O7" s="1021"/>
      <c r="P7" s="1003"/>
      <c r="Q7" s="1021" t="s">
        <v>697</v>
      </c>
      <c r="R7" s="1021"/>
      <c r="S7" s="57"/>
    </row>
    <row r="8" spans="1:19">
      <c r="A8" s="95" t="s">
        <v>698</v>
      </c>
      <c r="B8" s="194" t="s">
        <v>400</v>
      </c>
      <c r="C8" s="195" t="s">
        <v>699</v>
      </c>
      <c r="D8" s="57"/>
      <c r="E8" s="1002" t="s">
        <v>400</v>
      </c>
      <c r="F8" s="192" t="s">
        <v>699</v>
      </c>
      <c r="G8" s="57"/>
      <c r="H8" s="196" t="s">
        <v>400</v>
      </c>
      <c r="I8" s="195" t="s">
        <v>699</v>
      </c>
      <c r="J8" s="57"/>
      <c r="K8" s="196" t="s">
        <v>400</v>
      </c>
      <c r="L8" s="195" t="s">
        <v>699</v>
      </c>
      <c r="M8" s="57"/>
      <c r="N8" s="196" t="s">
        <v>400</v>
      </c>
      <c r="O8" s="195" t="s">
        <v>699</v>
      </c>
      <c r="P8" s="57"/>
      <c r="Q8" s="196" t="s">
        <v>400</v>
      </c>
      <c r="R8" s="195" t="s">
        <v>699</v>
      </c>
    </row>
    <row r="9" spans="1:19" ht="14" thickBot="1">
      <c r="A9" s="102"/>
      <c r="B9" s="197"/>
      <c r="C9" s="198"/>
      <c r="D9" s="199"/>
      <c r="E9" s="200"/>
      <c r="F9" s="198"/>
      <c r="G9" s="199"/>
      <c r="H9" s="200"/>
      <c r="I9" s="198"/>
      <c r="J9" s="199"/>
      <c r="K9" s="200"/>
      <c r="L9" s="198"/>
      <c r="M9" s="199"/>
      <c r="N9" s="200"/>
      <c r="O9" s="198"/>
      <c r="P9" s="199"/>
      <c r="Q9" s="200"/>
      <c r="R9" s="198"/>
      <c r="S9" s="198"/>
    </row>
    <row r="10" spans="1:19" ht="13.25" customHeight="1">
      <c r="A10" s="116"/>
      <c r="B10" s="190"/>
      <c r="C10" s="191"/>
      <c r="D10" s="57"/>
      <c r="E10" s="201"/>
      <c r="F10" s="191"/>
      <c r="G10" s="57"/>
      <c r="H10" s="201"/>
      <c r="I10" s="191"/>
      <c r="J10" s="57"/>
      <c r="K10" s="201"/>
      <c r="L10" s="191"/>
      <c r="M10" s="57"/>
      <c r="N10" s="201"/>
      <c r="O10" s="191"/>
      <c r="P10" s="57"/>
      <c r="Q10" s="201"/>
      <c r="R10" s="191"/>
      <c r="S10" s="187"/>
    </row>
    <row r="11" spans="1:19" ht="13" customHeight="1">
      <c r="A11" s="55" t="s">
        <v>402</v>
      </c>
      <c r="B11" s="58">
        <f>IF($A11&lt;&gt;"",B13+B98,"")</f>
        <v>42584</v>
      </c>
      <c r="C11" s="73">
        <f>SUM(C13+C98)</f>
        <v>100</v>
      </c>
      <c r="E11" s="72">
        <f>IF($A11&lt;&gt;"",E13+E98,"")</f>
        <v>12896</v>
      </c>
      <c r="F11" s="73">
        <f t="shared" ref="F11:F74" si="0">IF($A11&lt;&gt;"",E11/$B11*100,"")</f>
        <v>30.283674619575429</v>
      </c>
      <c r="H11" s="72">
        <f>IF($A11&lt;&gt;"",H13+H98,"")</f>
        <v>15503</v>
      </c>
      <c r="I11" s="73">
        <f t="shared" ref="I11:I74" si="1">IF($A11&lt;&gt;"",H11/$B11*100,"")</f>
        <v>36.405692278790156</v>
      </c>
      <c r="K11" s="72">
        <f>IF($A11&lt;&gt;"",K13+K98,"")</f>
        <v>13347</v>
      </c>
      <c r="L11" s="73">
        <f t="shared" ref="L11:L74" si="2">IF($A11&lt;&gt;"",K11/$B11*100,"")</f>
        <v>31.342757843321433</v>
      </c>
      <c r="N11" s="72">
        <f>IF($A11&lt;&gt;"",N13+N98,"")</f>
        <v>774</v>
      </c>
      <c r="O11" s="73">
        <f t="shared" ref="O11:O74" si="3">IF($A11&lt;&gt;"",N11/$B11*100,"")</f>
        <v>1.8175840691339471</v>
      </c>
      <c r="P11" s="72"/>
      <c r="Q11" s="72">
        <f>IF($A11&lt;&gt;"",Q13+Q98,"")</f>
        <v>64</v>
      </c>
      <c r="R11" s="73">
        <f>IF($A11&lt;&gt;"",Q11/$B11*100,"")</f>
        <v>0.15029118917903439</v>
      </c>
    </row>
    <row r="12" spans="1:19" ht="13" customHeight="1">
      <c r="C12" s="73" t="str">
        <f t="shared" ref="C12:C76" si="4">IF(A12&lt;&gt;0,B12/$B$11*100,"")</f>
        <v/>
      </c>
      <c r="F12" s="73" t="str">
        <f t="shared" si="0"/>
        <v/>
      </c>
      <c r="I12" s="73" t="str">
        <f t="shared" si="1"/>
        <v/>
      </c>
      <c r="L12" s="73" t="str">
        <f t="shared" si="2"/>
        <v/>
      </c>
      <c r="O12" s="73" t="str">
        <f t="shared" si="3"/>
        <v/>
      </c>
      <c r="R12" s="73" t="str">
        <f t="shared" ref="R12:R76" si="5">IF($A12&lt;&gt;"",Q12/$B12*100,"")</f>
        <v/>
      </c>
    </row>
    <row r="13" spans="1:19" ht="13" customHeight="1">
      <c r="A13" s="55" t="s">
        <v>403</v>
      </c>
      <c r="B13" s="58">
        <f>IF($A13&lt;&gt;"",B93+B15+B26+B34+B74+B60+B81+B95+B96+B105,"")</f>
        <v>32804</v>
      </c>
      <c r="C13" s="73">
        <f t="shared" si="4"/>
        <v>77.033627653578804</v>
      </c>
      <c r="D13" s="33" t="s">
        <v>128</v>
      </c>
      <c r="E13" s="58">
        <f>IF($A13&lt;&gt;"",E93+E15+E26+E34+E74+E60+E81+E95+E96+E105,"")</f>
        <v>10391</v>
      </c>
      <c r="F13" s="73">
        <f t="shared" si="0"/>
        <v>31.676015120107305</v>
      </c>
      <c r="G13" s="33" t="s">
        <v>128</v>
      </c>
      <c r="H13" s="58">
        <f>IF($A13&lt;&gt;"",H93+H15+H26+H34+H74+H60+H81+H95+H96+H105,"")</f>
        <v>11375</v>
      </c>
      <c r="I13" s="73">
        <f t="shared" si="1"/>
        <v>34.675649311059622</v>
      </c>
      <c r="J13" s="33" t="s">
        <v>128</v>
      </c>
      <c r="K13" s="58">
        <f>IF($A13&lt;&gt;"",K93+K15+K26+K34+K74+K60+K81+K95+K96+K105,"")</f>
        <v>10328</v>
      </c>
      <c r="L13" s="73">
        <f t="shared" si="2"/>
        <v>31.48396537007682</v>
      </c>
      <c r="M13" s="33" t="s">
        <v>128</v>
      </c>
      <c r="N13" s="58">
        <f>IF($A13&lt;&gt;"",N93+N15+N26+N34+N74+N60+N81+N95+N96+N105,"")</f>
        <v>650</v>
      </c>
      <c r="O13" s="73">
        <f t="shared" si="3"/>
        <v>1.9814656749176929</v>
      </c>
      <c r="P13" s="33" t="s">
        <v>128</v>
      </c>
      <c r="Q13" s="58">
        <f>IF($A13&lt;&gt;"",Q93+Q15+Q26+Q34+Q74+Q60+Q81+Q95+Q96+Q105,"")</f>
        <v>60</v>
      </c>
      <c r="R13" s="73">
        <f t="shared" si="5"/>
        <v>0.18290452383855627</v>
      </c>
    </row>
    <row r="14" spans="1:19" ht="13" customHeight="1">
      <c r="C14" s="73" t="str">
        <f t="shared" si="4"/>
        <v/>
      </c>
      <c r="F14" s="73" t="str">
        <f t="shared" si="0"/>
        <v/>
      </c>
      <c r="I14" s="73" t="str">
        <f t="shared" si="1"/>
        <v/>
      </c>
      <c r="L14" s="73" t="str">
        <f t="shared" si="2"/>
        <v/>
      </c>
      <c r="O14" s="73" t="str">
        <f t="shared" si="3"/>
        <v/>
      </c>
      <c r="R14" s="73" t="str">
        <f t="shared" si="5"/>
        <v/>
      </c>
    </row>
    <row r="15" spans="1:19" ht="13" customHeight="1">
      <c r="A15" s="55" t="s">
        <v>404</v>
      </c>
      <c r="B15" s="58">
        <f>SUM(B16+B21)</f>
        <v>3204</v>
      </c>
      <c r="C15" s="73">
        <f t="shared" si="4"/>
        <v>7.5239526582754079</v>
      </c>
      <c r="E15" s="72">
        <f>SUM(E16+E21)</f>
        <v>1238</v>
      </c>
      <c r="F15" s="73">
        <f t="shared" si="0"/>
        <v>38.639200998751562</v>
      </c>
      <c r="H15" s="72">
        <f>SUM(H16+H21)</f>
        <v>1026</v>
      </c>
      <c r="I15" s="73">
        <f t="shared" si="1"/>
        <v>32.022471910112358</v>
      </c>
      <c r="K15" s="72">
        <f>SUM(K16+K21)</f>
        <v>864</v>
      </c>
      <c r="L15" s="73">
        <f t="shared" si="2"/>
        <v>26.966292134831459</v>
      </c>
      <c r="N15" s="72">
        <f>SUM(N16+N21)</f>
        <v>72</v>
      </c>
      <c r="O15" s="73">
        <f t="shared" si="3"/>
        <v>2.2471910112359552</v>
      </c>
      <c r="Q15" s="72">
        <f>SUM(Q16+Q21)</f>
        <v>4</v>
      </c>
      <c r="R15" s="73">
        <f t="shared" si="5"/>
        <v>0.12484394506866417</v>
      </c>
    </row>
    <row r="16" spans="1:19" ht="13" customHeight="1">
      <c r="A16" s="95" t="s">
        <v>162</v>
      </c>
      <c r="B16" s="58">
        <f>SUM(E16+H16+K16+N16+Q16)</f>
        <v>1189</v>
      </c>
      <c r="C16" s="73">
        <f t="shared" si="4"/>
        <v>2.7921284989667483</v>
      </c>
      <c r="E16" s="72">
        <f>SUM(E17:E19)</f>
        <v>416</v>
      </c>
      <c r="F16" s="73">
        <f t="shared" si="0"/>
        <v>34.987384356602185</v>
      </c>
      <c r="G16" s="33" t="s">
        <v>128</v>
      </c>
      <c r="H16" s="72">
        <f>SUM(H17:H19)</f>
        <v>359</v>
      </c>
      <c r="I16" s="73">
        <f t="shared" si="1"/>
        <v>30.193439865433135</v>
      </c>
      <c r="J16" s="33" t="s">
        <v>128</v>
      </c>
      <c r="K16" s="72">
        <f>SUM(K17:K19)</f>
        <v>372</v>
      </c>
      <c r="L16" s="73">
        <f t="shared" si="2"/>
        <v>31.286795626576957</v>
      </c>
      <c r="M16" s="33" t="s">
        <v>128</v>
      </c>
      <c r="N16" s="72">
        <f>SUM(N17:N19)</f>
        <v>40</v>
      </c>
      <c r="O16" s="73">
        <f t="shared" si="3"/>
        <v>3.3641715727502102</v>
      </c>
      <c r="P16" s="33" t="s">
        <v>128</v>
      </c>
      <c r="Q16" s="72">
        <f>SUM(Q17:Q19)</f>
        <v>2</v>
      </c>
      <c r="R16" s="73">
        <f t="shared" si="5"/>
        <v>0.16820857863751051</v>
      </c>
    </row>
    <row r="17" spans="1:19" ht="13" customHeight="1">
      <c r="A17" s="95" t="s">
        <v>163</v>
      </c>
      <c r="B17" s="58">
        <f t="shared" ref="B17:B24" si="6">SUM(E17+H17+K17+N17+Q17)</f>
        <v>175</v>
      </c>
      <c r="C17" s="73">
        <f t="shared" si="4"/>
        <v>0.41095247041142213</v>
      </c>
      <c r="E17" s="824">
        <v>64</v>
      </c>
      <c r="F17" s="73">
        <f t="shared" si="0"/>
        <v>36.571428571428569</v>
      </c>
      <c r="G17" s="824"/>
      <c r="H17" s="824">
        <v>46</v>
      </c>
      <c r="I17" s="73">
        <f t="shared" si="1"/>
        <v>26.285714285714285</v>
      </c>
      <c r="J17" s="824"/>
      <c r="K17" s="824">
        <v>60</v>
      </c>
      <c r="L17" s="73">
        <f t="shared" si="2"/>
        <v>34.285714285714285</v>
      </c>
      <c r="M17" s="824"/>
      <c r="N17" s="824">
        <v>5</v>
      </c>
      <c r="O17" s="73">
        <f t="shared" si="3"/>
        <v>2.8571428571428572</v>
      </c>
      <c r="P17" s="824"/>
      <c r="Q17" s="824">
        <v>0</v>
      </c>
      <c r="R17" s="191">
        <f t="shared" si="5"/>
        <v>0</v>
      </c>
    </row>
    <row r="18" spans="1:19" ht="13" customHeight="1">
      <c r="A18" s="95" t="s">
        <v>164</v>
      </c>
      <c r="B18" s="58">
        <f t="shared" si="6"/>
        <v>267</v>
      </c>
      <c r="C18" s="73">
        <f t="shared" si="4"/>
        <v>0.62699605485628407</v>
      </c>
      <c r="E18" s="824">
        <v>71</v>
      </c>
      <c r="F18" s="73">
        <f t="shared" si="0"/>
        <v>26.591760299625467</v>
      </c>
      <c r="G18" s="824"/>
      <c r="H18" s="824">
        <v>63</v>
      </c>
      <c r="I18" s="73">
        <f t="shared" si="1"/>
        <v>23.595505617977526</v>
      </c>
      <c r="J18" s="824"/>
      <c r="K18" s="824">
        <v>103</v>
      </c>
      <c r="L18" s="73">
        <f t="shared" si="2"/>
        <v>38.576779026217231</v>
      </c>
      <c r="M18" s="824"/>
      <c r="N18" s="824">
        <v>28</v>
      </c>
      <c r="O18" s="73">
        <f t="shared" si="3"/>
        <v>10.486891385767791</v>
      </c>
      <c r="P18" s="824"/>
      <c r="Q18" s="824">
        <v>2</v>
      </c>
      <c r="R18" s="191">
        <f t="shared" si="5"/>
        <v>0.74906367041198507</v>
      </c>
    </row>
    <row r="19" spans="1:19" ht="13" customHeight="1">
      <c r="A19" s="95" t="s">
        <v>165</v>
      </c>
      <c r="B19" s="58">
        <f t="shared" si="6"/>
        <v>747</v>
      </c>
      <c r="C19" s="73">
        <f t="shared" si="4"/>
        <v>1.754179973699042</v>
      </c>
      <c r="E19" s="824">
        <v>281</v>
      </c>
      <c r="F19" s="73">
        <f t="shared" si="0"/>
        <v>37.617135207496652</v>
      </c>
      <c r="G19" s="824"/>
      <c r="H19" s="824">
        <v>250</v>
      </c>
      <c r="I19" s="73">
        <f t="shared" si="1"/>
        <v>33.467202141900934</v>
      </c>
      <c r="J19" s="824"/>
      <c r="K19" s="824">
        <v>209</v>
      </c>
      <c r="L19" s="73">
        <f t="shared" si="2"/>
        <v>27.978580990629183</v>
      </c>
      <c r="M19" s="824"/>
      <c r="N19" s="824">
        <v>7</v>
      </c>
      <c r="O19" s="73">
        <f t="shared" si="3"/>
        <v>0.93708165997322623</v>
      </c>
      <c r="P19" s="824"/>
      <c r="Q19" s="824">
        <v>0</v>
      </c>
      <c r="R19" s="191">
        <f t="shared" si="5"/>
        <v>0</v>
      </c>
    </row>
    <row r="20" spans="1:19" ht="8.5" customHeight="1">
      <c r="C20" s="73" t="str">
        <f t="shared" si="4"/>
        <v/>
      </c>
      <c r="E20" s="201"/>
      <c r="F20" s="73" t="str">
        <f t="shared" si="0"/>
        <v/>
      </c>
      <c r="G20" s="57"/>
      <c r="H20" s="201"/>
      <c r="I20" s="73" t="str">
        <f t="shared" si="1"/>
        <v/>
      </c>
      <c r="J20" s="57"/>
      <c r="K20" s="201"/>
      <c r="L20" s="73" t="str">
        <f t="shared" si="2"/>
        <v/>
      </c>
      <c r="M20" s="57"/>
      <c r="N20" s="201"/>
      <c r="O20" s="73" t="str">
        <f t="shared" si="3"/>
        <v/>
      </c>
      <c r="P20" s="57"/>
      <c r="Q20" s="201"/>
      <c r="R20" s="191" t="str">
        <f t="shared" si="5"/>
        <v/>
      </c>
    </row>
    <row r="21" spans="1:19" ht="13" customHeight="1">
      <c r="A21" s="95" t="s">
        <v>166</v>
      </c>
      <c r="B21" s="58">
        <f t="shared" si="6"/>
        <v>2015</v>
      </c>
      <c r="C21" s="73">
        <f t="shared" si="4"/>
        <v>4.7318241593086601</v>
      </c>
      <c r="E21" s="201">
        <f>SUM(E22:E24)</f>
        <v>822</v>
      </c>
      <c r="F21" s="73">
        <f t="shared" si="0"/>
        <v>40.794044665012407</v>
      </c>
      <c r="G21" s="57" t="s">
        <v>128</v>
      </c>
      <c r="H21" s="201">
        <f>SUM(H22:H24)</f>
        <v>667</v>
      </c>
      <c r="I21" s="73">
        <f t="shared" si="1"/>
        <v>33.101736972704714</v>
      </c>
      <c r="J21" s="57" t="s">
        <v>128</v>
      </c>
      <c r="K21" s="201">
        <f>SUM(K22:K24)</f>
        <v>492</v>
      </c>
      <c r="L21" s="73">
        <f t="shared" si="2"/>
        <v>24.416873449131511</v>
      </c>
      <c r="M21" s="57" t="s">
        <v>128</v>
      </c>
      <c r="N21" s="201">
        <f>SUM(N22:N24)</f>
        <v>32</v>
      </c>
      <c r="O21" s="73">
        <f t="shared" si="3"/>
        <v>1.5880893300248138</v>
      </c>
      <c r="P21" s="57" t="s">
        <v>128</v>
      </c>
      <c r="Q21" s="201">
        <f>SUM(Q22:Q24)</f>
        <v>2</v>
      </c>
      <c r="R21" s="191">
        <f t="shared" si="5"/>
        <v>9.9255583126550861E-2</v>
      </c>
    </row>
    <row r="22" spans="1:19" ht="13" customHeight="1">
      <c r="A22" s="95" t="s">
        <v>167</v>
      </c>
      <c r="B22" s="58">
        <f t="shared" si="6"/>
        <v>687</v>
      </c>
      <c r="C22" s="73">
        <f t="shared" si="4"/>
        <v>1.6132819838436971</v>
      </c>
      <c r="E22" s="824">
        <v>241</v>
      </c>
      <c r="F22" s="73">
        <f t="shared" si="0"/>
        <v>35.080058224163032</v>
      </c>
      <c r="G22" s="824"/>
      <c r="H22" s="824">
        <v>203</v>
      </c>
      <c r="I22" s="73">
        <f t="shared" si="1"/>
        <v>29.548762736535661</v>
      </c>
      <c r="J22" s="824"/>
      <c r="K22" s="824">
        <v>229</v>
      </c>
      <c r="L22" s="73">
        <f t="shared" si="2"/>
        <v>33.333333333333329</v>
      </c>
      <c r="M22" s="824"/>
      <c r="N22" s="824">
        <v>14</v>
      </c>
      <c r="O22" s="73">
        <f t="shared" si="3"/>
        <v>2.0378457059679769</v>
      </c>
      <c r="P22" s="824"/>
      <c r="Q22" s="824">
        <v>0</v>
      </c>
      <c r="R22" s="191">
        <f t="shared" si="5"/>
        <v>0</v>
      </c>
      <c r="S22" s="77"/>
    </row>
    <row r="23" spans="1:19" ht="13" customHeight="1">
      <c r="A23" s="95" t="s">
        <v>168</v>
      </c>
      <c r="B23" s="58">
        <f t="shared" si="6"/>
        <v>287</v>
      </c>
      <c r="C23" s="73">
        <f t="shared" si="4"/>
        <v>0.67396205147473232</v>
      </c>
      <c r="E23" s="824">
        <v>139</v>
      </c>
      <c r="F23" s="73">
        <f t="shared" si="0"/>
        <v>48.432055749128921</v>
      </c>
      <c r="G23" s="824"/>
      <c r="H23" s="824">
        <v>80</v>
      </c>
      <c r="I23" s="73">
        <f t="shared" si="1"/>
        <v>27.874564459930312</v>
      </c>
      <c r="J23" s="824"/>
      <c r="K23" s="824">
        <v>56</v>
      </c>
      <c r="L23" s="73">
        <f t="shared" si="2"/>
        <v>19.512195121951219</v>
      </c>
      <c r="M23" s="824"/>
      <c r="N23" s="824">
        <v>11</v>
      </c>
      <c r="O23" s="73">
        <f t="shared" si="3"/>
        <v>3.8327526132404177</v>
      </c>
      <c r="P23" s="824"/>
      <c r="Q23" s="824">
        <v>1</v>
      </c>
      <c r="R23" s="191">
        <f t="shared" si="5"/>
        <v>0.34843205574912894</v>
      </c>
      <c r="S23" s="77"/>
    </row>
    <row r="24" spans="1:19" ht="13" customHeight="1">
      <c r="A24" s="95" t="s">
        <v>169</v>
      </c>
      <c r="B24" s="58">
        <f t="shared" si="6"/>
        <v>1041</v>
      </c>
      <c r="C24" s="73">
        <f t="shared" si="4"/>
        <v>2.4445801239902307</v>
      </c>
      <c r="E24" s="824">
        <v>442</v>
      </c>
      <c r="F24" s="73">
        <f t="shared" si="0"/>
        <v>42.459173871277613</v>
      </c>
      <c r="G24" s="824"/>
      <c r="H24" s="824">
        <v>384</v>
      </c>
      <c r="I24" s="73">
        <f t="shared" si="1"/>
        <v>36.887608069164266</v>
      </c>
      <c r="J24" s="824"/>
      <c r="K24" s="824">
        <v>207</v>
      </c>
      <c r="L24" s="73">
        <f t="shared" si="2"/>
        <v>19.884726224783861</v>
      </c>
      <c r="M24" s="824"/>
      <c r="N24" s="824">
        <v>7</v>
      </c>
      <c r="O24" s="73">
        <f t="shared" si="3"/>
        <v>0.67243035542747354</v>
      </c>
      <c r="P24" s="824"/>
      <c r="Q24" s="824">
        <v>1</v>
      </c>
      <c r="R24" s="191">
        <f t="shared" si="5"/>
        <v>9.6061479346781942E-2</v>
      </c>
      <c r="S24" s="77"/>
    </row>
    <row r="25" spans="1:19" ht="9" customHeight="1">
      <c r="C25" s="73" t="str">
        <f t="shared" si="4"/>
        <v/>
      </c>
      <c r="E25" s="201"/>
      <c r="F25" s="73" t="str">
        <f t="shared" si="0"/>
        <v/>
      </c>
      <c r="G25" s="57"/>
      <c r="H25" s="201"/>
      <c r="I25" s="73" t="str">
        <f t="shared" si="1"/>
        <v/>
      </c>
      <c r="J25" s="57"/>
      <c r="K25" s="201"/>
      <c r="L25" s="73" t="str">
        <f t="shared" si="2"/>
        <v/>
      </c>
      <c r="M25" s="57"/>
      <c r="N25" s="201"/>
      <c r="O25" s="73" t="str">
        <f t="shared" si="3"/>
        <v/>
      </c>
      <c r="P25" s="57"/>
      <c r="Q25" s="201"/>
      <c r="R25" s="191" t="str">
        <f t="shared" si="5"/>
        <v/>
      </c>
    </row>
    <row r="26" spans="1:19" ht="13" customHeight="1">
      <c r="A26" s="55" t="s">
        <v>464</v>
      </c>
      <c r="B26" s="58">
        <f>SUM(B27)</f>
        <v>2129</v>
      </c>
      <c r="C26" s="73">
        <f t="shared" si="4"/>
        <v>4.9995303400338154</v>
      </c>
      <c r="E26" s="201">
        <f>SUM(E27)</f>
        <v>634</v>
      </c>
      <c r="F26" s="73">
        <f t="shared" si="0"/>
        <v>29.779239079379995</v>
      </c>
      <c r="G26" s="57"/>
      <c r="H26" s="201">
        <f>SUM(H27)</f>
        <v>943</v>
      </c>
      <c r="I26" s="73">
        <f t="shared" si="1"/>
        <v>44.293095349929544</v>
      </c>
      <c r="J26" s="57"/>
      <c r="K26" s="201">
        <f>SUM(K27)</f>
        <v>541</v>
      </c>
      <c r="L26" s="73">
        <f t="shared" si="2"/>
        <v>25.410991075622359</v>
      </c>
      <c r="M26" s="57"/>
      <c r="N26" s="201">
        <f>SUM(N27)</f>
        <v>11</v>
      </c>
      <c r="O26" s="73">
        <f t="shared" si="3"/>
        <v>0.51667449506810714</v>
      </c>
      <c r="P26" s="57"/>
      <c r="Q26" s="201">
        <f>SUM(Q27)</f>
        <v>0</v>
      </c>
      <c r="R26" s="191">
        <f t="shared" si="5"/>
        <v>0</v>
      </c>
    </row>
    <row r="27" spans="1:19" ht="13" customHeight="1">
      <c r="A27" s="95" t="s">
        <v>171</v>
      </c>
      <c r="B27" s="58">
        <f t="shared" ref="B27:B32" si="7">SUM(E27+H27+K27+N27+Q27)</f>
        <v>2129</v>
      </c>
      <c r="C27" s="73">
        <f t="shared" si="4"/>
        <v>4.9995303400338154</v>
      </c>
      <c r="E27" s="201">
        <f>SUM(E28:E32)</f>
        <v>634</v>
      </c>
      <c r="F27" s="73">
        <f t="shared" si="0"/>
        <v>29.779239079379995</v>
      </c>
      <c r="G27" s="57" t="s">
        <v>128</v>
      </c>
      <c r="H27" s="201">
        <f>SUM(H28:H32)</f>
        <v>943</v>
      </c>
      <c r="I27" s="73">
        <f t="shared" si="1"/>
        <v>44.293095349929544</v>
      </c>
      <c r="J27" s="57" t="s">
        <v>128</v>
      </c>
      <c r="K27" s="201">
        <f>SUM(K28:K32)</f>
        <v>541</v>
      </c>
      <c r="L27" s="73">
        <f t="shared" si="2"/>
        <v>25.410991075622359</v>
      </c>
      <c r="M27" s="57" t="s">
        <v>128</v>
      </c>
      <c r="N27" s="201">
        <f>SUM(N28:N32)</f>
        <v>11</v>
      </c>
      <c r="O27" s="73">
        <f t="shared" si="3"/>
        <v>0.51667449506810714</v>
      </c>
      <c r="P27" s="57" t="s">
        <v>128</v>
      </c>
      <c r="Q27" s="201">
        <f>SUM(Q28:Q32)</f>
        <v>0</v>
      </c>
      <c r="R27" s="191">
        <f t="shared" si="5"/>
        <v>0</v>
      </c>
    </row>
    <row r="28" spans="1:19" ht="13" customHeight="1">
      <c r="A28" s="95" t="s">
        <v>172</v>
      </c>
      <c r="B28" s="58">
        <f t="shared" si="7"/>
        <v>372</v>
      </c>
      <c r="C28" s="73">
        <f t="shared" si="4"/>
        <v>0.87356753710313739</v>
      </c>
      <c r="E28" s="824">
        <v>104</v>
      </c>
      <c r="F28" s="73">
        <f t="shared" si="0"/>
        <v>27.956989247311824</v>
      </c>
      <c r="G28" s="824"/>
      <c r="H28" s="824">
        <v>145</v>
      </c>
      <c r="I28" s="73">
        <f t="shared" si="1"/>
        <v>38.978494623655912</v>
      </c>
      <c r="J28" s="824"/>
      <c r="K28" s="824">
        <v>118</v>
      </c>
      <c r="L28" s="73">
        <f t="shared" si="2"/>
        <v>31.72043010752688</v>
      </c>
      <c r="M28" s="824"/>
      <c r="N28" s="824">
        <v>5</v>
      </c>
      <c r="O28" s="73">
        <f t="shared" si="3"/>
        <v>1.3440860215053763</v>
      </c>
      <c r="P28" s="824"/>
      <c r="Q28" s="824">
        <v>0</v>
      </c>
      <c r="R28" s="191">
        <f t="shared" si="5"/>
        <v>0</v>
      </c>
    </row>
    <row r="29" spans="1:19" ht="13" customHeight="1">
      <c r="A29" s="95" t="s">
        <v>173</v>
      </c>
      <c r="B29" s="58">
        <f t="shared" si="7"/>
        <v>533</v>
      </c>
      <c r="C29" s="73">
        <f t="shared" si="4"/>
        <v>1.2516438098816456</v>
      </c>
      <c r="E29" s="824">
        <v>166</v>
      </c>
      <c r="F29" s="73">
        <f t="shared" si="0"/>
        <v>31.144465290806757</v>
      </c>
      <c r="G29" s="824"/>
      <c r="H29" s="824">
        <v>212</v>
      </c>
      <c r="I29" s="73">
        <f t="shared" si="1"/>
        <v>39.774859287054412</v>
      </c>
      <c r="J29" s="824"/>
      <c r="K29" s="824">
        <v>153</v>
      </c>
      <c r="L29" s="73">
        <f t="shared" si="2"/>
        <v>28.705440900562852</v>
      </c>
      <c r="M29" s="824"/>
      <c r="N29" s="824">
        <v>2</v>
      </c>
      <c r="O29" s="73">
        <f t="shared" si="3"/>
        <v>0.37523452157598497</v>
      </c>
      <c r="P29" s="824"/>
      <c r="Q29" s="824">
        <v>0</v>
      </c>
      <c r="R29" s="191">
        <f t="shared" si="5"/>
        <v>0</v>
      </c>
    </row>
    <row r="30" spans="1:19" ht="13" customHeight="1">
      <c r="A30" s="95" t="s">
        <v>174</v>
      </c>
      <c r="B30" s="58">
        <f t="shared" si="7"/>
        <v>290</v>
      </c>
      <c r="C30" s="73">
        <f t="shared" si="4"/>
        <v>0.68100695096749952</v>
      </c>
      <c r="E30" s="824">
        <v>96</v>
      </c>
      <c r="F30" s="73">
        <f t="shared" si="0"/>
        <v>33.103448275862071</v>
      </c>
      <c r="G30" s="824"/>
      <c r="H30" s="824">
        <v>142</v>
      </c>
      <c r="I30" s="73">
        <f t="shared" si="1"/>
        <v>48.96551724137931</v>
      </c>
      <c r="J30" s="824"/>
      <c r="K30" s="824">
        <v>52</v>
      </c>
      <c r="L30" s="73">
        <f t="shared" si="2"/>
        <v>17.931034482758619</v>
      </c>
      <c r="M30" s="824"/>
      <c r="N30" s="824">
        <v>0</v>
      </c>
      <c r="O30" s="73">
        <f t="shared" si="3"/>
        <v>0</v>
      </c>
      <c r="P30" s="824"/>
      <c r="Q30" s="824">
        <v>0</v>
      </c>
      <c r="R30" s="191">
        <f t="shared" si="5"/>
        <v>0</v>
      </c>
    </row>
    <row r="31" spans="1:19" ht="13" customHeight="1">
      <c r="A31" s="95" t="s">
        <v>175</v>
      </c>
      <c r="B31" s="58">
        <f t="shared" si="7"/>
        <v>476</v>
      </c>
      <c r="C31" s="73">
        <f t="shared" si="4"/>
        <v>1.1177907195190682</v>
      </c>
      <c r="E31" s="824">
        <v>141</v>
      </c>
      <c r="F31" s="73">
        <f t="shared" si="0"/>
        <v>29.6218487394958</v>
      </c>
      <c r="G31" s="824"/>
      <c r="H31" s="824">
        <v>256</v>
      </c>
      <c r="I31" s="73">
        <f t="shared" si="1"/>
        <v>53.781512605042018</v>
      </c>
      <c r="J31" s="824"/>
      <c r="K31" s="824">
        <v>76</v>
      </c>
      <c r="L31" s="73">
        <f t="shared" si="2"/>
        <v>15.966386554621847</v>
      </c>
      <c r="M31" s="824"/>
      <c r="N31" s="824">
        <v>3</v>
      </c>
      <c r="O31" s="73">
        <f t="shared" si="3"/>
        <v>0.63025210084033612</v>
      </c>
      <c r="P31" s="824"/>
      <c r="Q31" s="824">
        <v>0</v>
      </c>
      <c r="R31" s="191">
        <f t="shared" si="5"/>
        <v>0</v>
      </c>
    </row>
    <row r="32" spans="1:19" ht="13" customHeight="1">
      <c r="A32" s="95" t="s">
        <v>176</v>
      </c>
      <c r="B32" s="58">
        <f t="shared" si="7"/>
        <v>458</v>
      </c>
      <c r="C32" s="73">
        <f t="shared" si="4"/>
        <v>1.0755213225624647</v>
      </c>
      <c r="E32" s="824">
        <v>127</v>
      </c>
      <c r="F32" s="73">
        <f t="shared" si="0"/>
        <v>27.729257641921397</v>
      </c>
      <c r="G32" s="824"/>
      <c r="H32" s="824">
        <v>188</v>
      </c>
      <c r="I32" s="73">
        <f t="shared" si="1"/>
        <v>41.048034934497821</v>
      </c>
      <c r="J32" s="824"/>
      <c r="K32" s="824">
        <v>142</v>
      </c>
      <c r="L32" s="73">
        <f t="shared" si="2"/>
        <v>31.004366812227076</v>
      </c>
      <c r="M32" s="824"/>
      <c r="N32" s="824">
        <v>1</v>
      </c>
      <c r="O32" s="73">
        <f t="shared" si="3"/>
        <v>0.21834061135371177</v>
      </c>
      <c r="P32" s="824"/>
      <c r="Q32" s="824">
        <v>0</v>
      </c>
      <c r="R32" s="191">
        <f t="shared" si="5"/>
        <v>0</v>
      </c>
    </row>
    <row r="33" spans="1:19" ht="13" customHeight="1">
      <c r="C33" s="73" t="str">
        <f t="shared" si="4"/>
        <v/>
      </c>
      <c r="E33" s="201"/>
      <c r="F33" s="73" t="str">
        <f t="shared" si="0"/>
        <v/>
      </c>
      <c r="G33" s="57"/>
      <c r="H33" s="201"/>
      <c r="I33" s="73" t="str">
        <f t="shared" si="1"/>
        <v/>
      </c>
      <c r="J33" s="57"/>
      <c r="K33" s="201"/>
      <c r="L33" s="73" t="str">
        <f t="shared" si="2"/>
        <v/>
      </c>
      <c r="M33" s="57"/>
      <c r="N33" s="201"/>
      <c r="O33" s="73" t="str">
        <f t="shared" si="3"/>
        <v/>
      </c>
      <c r="P33" s="57"/>
      <c r="Q33" s="201"/>
      <c r="R33" s="191" t="str">
        <f t="shared" si="5"/>
        <v/>
      </c>
    </row>
    <row r="34" spans="1:19" ht="13" customHeight="1">
      <c r="A34" s="55" t="s">
        <v>406</v>
      </c>
      <c r="B34" s="58">
        <f>SUM(B35+B41+B51+B53)</f>
        <v>14164</v>
      </c>
      <c r="C34" s="73">
        <f t="shared" si="4"/>
        <v>33.261318805185049</v>
      </c>
      <c r="E34" s="201">
        <f>SUM(E35+E41+E51+E53)</f>
        <v>4934</v>
      </c>
      <c r="F34" s="73">
        <f t="shared" si="0"/>
        <v>34.834792431516519</v>
      </c>
      <c r="G34" s="57"/>
      <c r="H34" s="201">
        <f>SUM(H35+H41+H51+H53)</f>
        <v>4548</v>
      </c>
      <c r="I34" s="73">
        <f t="shared" si="1"/>
        <v>32.109573566789038</v>
      </c>
      <c r="J34" s="57"/>
      <c r="K34" s="201">
        <f>SUM(K35+K41+K51+K53)</f>
        <v>4292</v>
      </c>
      <c r="L34" s="73">
        <f t="shared" si="2"/>
        <v>30.302174526969782</v>
      </c>
      <c r="M34" s="57"/>
      <c r="N34" s="201">
        <f>SUM(N35+N41+N51+N53)</f>
        <v>378</v>
      </c>
      <c r="O34" s="73">
        <f t="shared" si="3"/>
        <v>2.6687376447331261</v>
      </c>
      <c r="P34" s="57"/>
      <c r="Q34" s="201">
        <f>SUM(Q35+Q41+Q51+Q53)</f>
        <v>12</v>
      </c>
      <c r="R34" s="191">
        <f t="shared" si="5"/>
        <v>8.4721829991527817E-2</v>
      </c>
    </row>
    <row r="35" spans="1:19" ht="13" customHeight="1">
      <c r="A35" s="95" t="s">
        <v>178</v>
      </c>
      <c r="B35" s="58">
        <f>SUM(E35+H35+K35+N35+Q35)</f>
        <v>5225</v>
      </c>
      <c r="C35" s="73">
        <f t="shared" si="4"/>
        <v>12.269866616569605</v>
      </c>
      <c r="E35" s="201">
        <f>SUM(E36:E39)</f>
        <v>1921</v>
      </c>
      <c r="F35" s="73">
        <f t="shared" si="0"/>
        <v>36.76555023923445</v>
      </c>
      <c r="G35" s="57" t="s">
        <v>128</v>
      </c>
      <c r="H35" s="201">
        <f>SUM(H36:H39)</f>
        <v>1689</v>
      </c>
      <c r="I35" s="73">
        <f t="shared" si="1"/>
        <v>32.325358851674643</v>
      </c>
      <c r="J35" s="57" t="s">
        <v>128</v>
      </c>
      <c r="K35" s="201">
        <f>SUM(K36:K39)</f>
        <v>1572</v>
      </c>
      <c r="L35" s="73">
        <f t="shared" si="2"/>
        <v>30.086124401913878</v>
      </c>
      <c r="M35" s="57" t="s">
        <v>128</v>
      </c>
      <c r="N35" s="201">
        <f>SUM(N36:N39)</f>
        <v>42</v>
      </c>
      <c r="O35" s="73">
        <f t="shared" si="3"/>
        <v>0.80382775119617234</v>
      </c>
      <c r="P35" s="57" t="s">
        <v>128</v>
      </c>
      <c r="Q35" s="201">
        <f>SUM(Q36:Q39)</f>
        <v>1</v>
      </c>
      <c r="R35" s="191">
        <f t="shared" si="5"/>
        <v>1.9138755980861243E-2</v>
      </c>
    </row>
    <row r="36" spans="1:19" ht="13" customHeight="1">
      <c r="A36" s="95" t="s">
        <v>179</v>
      </c>
      <c r="B36" s="58">
        <f>SUM(E36+H36+K36+N36+Q36)</f>
        <v>3031</v>
      </c>
      <c r="C36" s="73">
        <f t="shared" si="4"/>
        <v>7.1176967875258317</v>
      </c>
      <c r="E36" s="824">
        <v>1239</v>
      </c>
      <c r="F36" s="73">
        <f t="shared" si="0"/>
        <v>40.877598152424945</v>
      </c>
      <c r="G36" s="824"/>
      <c r="H36" s="824">
        <v>956</v>
      </c>
      <c r="I36" s="73">
        <f t="shared" si="1"/>
        <v>31.540745628505444</v>
      </c>
      <c r="J36" s="824"/>
      <c r="K36" s="824">
        <v>828</v>
      </c>
      <c r="L36" s="73">
        <f t="shared" si="2"/>
        <v>27.317716925107227</v>
      </c>
      <c r="M36" s="824"/>
      <c r="N36" s="824">
        <v>7</v>
      </c>
      <c r="O36" s="73">
        <f t="shared" si="3"/>
        <v>0.23094688221709006</v>
      </c>
      <c r="P36" s="824"/>
      <c r="Q36" s="824">
        <v>1</v>
      </c>
      <c r="R36" s="191">
        <f t="shared" si="5"/>
        <v>3.2992411745298579E-2</v>
      </c>
      <c r="S36" s="33" t="s">
        <v>128</v>
      </c>
    </row>
    <row r="37" spans="1:19" ht="13" customHeight="1">
      <c r="A37" s="95" t="s">
        <v>180</v>
      </c>
      <c r="B37" s="58">
        <f>SUM(E37+H37+K37+N37+Q37)</f>
        <v>1193</v>
      </c>
      <c r="C37" s="73">
        <f t="shared" si="4"/>
        <v>2.8015216982904381</v>
      </c>
      <c r="E37" s="824">
        <v>362</v>
      </c>
      <c r="F37" s="73">
        <f t="shared" si="0"/>
        <v>30.343671416596813</v>
      </c>
      <c r="G37" s="824"/>
      <c r="H37" s="824">
        <v>286</v>
      </c>
      <c r="I37" s="73">
        <f t="shared" si="1"/>
        <v>23.973176865046103</v>
      </c>
      <c r="J37" s="824"/>
      <c r="K37" s="824">
        <v>521</v>
      </c>
      <c r="L37" s="73">
        <f t="shared" si="2"/>
        <v>43.671416596814758</v>
      </c>
      <c r="M37" s="824"/>
      <c r="N37" s="824">
        <v>24</v>
      </c>
      <c r="O37" s="73">
        <f t="shared" si="3"/>
        <v>2.0117351215423303</v>
      </c>
      <c r="P37" s="824"/>
      <c r="Q37" s="824">
        <v>0</v>
      </c>
      <c r="R37" s="191">
        <f t="shared" si="5"/>
        <v>0</v>
      </c>
    </row>
    <row r="38" spans="1:19" ht="13" customHeight="1">
      <c r="A38" s="95" t="s">
        <v>181</v>
      </c>
      <c r="B38" s="58">
        <f>SUM(E38+H38+K38+N38+Q38)</f>
        <v>528</v>
      </c>
      <c r="C38" s="73">
        <f t="shared" si="4"/>
        <v>1.2399023107270337</v>
      </c>
      <c r="E38" s="824">
        <v>149</v>
      </c>
      <c r="F38" s="73">
        <f t="shared" si="0"/>
        <v>28.219696969696972</v>
      </c>
      <c r="G38" s="824"/>
      <c r="H38" s="824">
        <v>203</v>
      </c>
      <c r="I38" s="73">
        <f t="shared" si="1"/>
        <v>38.446969696969695</v>
      </c>
      <c r="J38" s="824"/>
      <c r="K38" s="824">
        <v>167</v>
      </c>
      <c r="L38" s="73">
        <f t="shared" si="2"/>
        <v>31.628787878787879</v>
      </c>
      <c r="M38" s="824"/>
      <c r="N38" s="824">
        <v>9</v>
      </c>
      <c r="O38" s="73">
        <f t="shared" si="3"/>
        <v>1.7045454545454544</v>
      </c>
      <c r="P38" s="824"/>
      <c r="Q38" s="824">
        <v>0</v>
      </c>
      <c r="R38" s="191">
        <f t="shared" si="5"/>
        <v>0</v>
      </c>
    </row>
    <row r="39" spans="1:19" ht="13" customHeight="1">
      <c r="A39" s="95" t="s">
        <v>182</v>
      </c>
      <c r="B39" s="58">
        <f>SUM(E39+H39+K39+N39+Q39)</f>
        <v>473</v>
      </c>
      <c r="C39" s="73">
        <f t="shared" si="4"/>
        <v>1.110745820026301</v>
      </c>
      <c r="E39" s="824">
        <v>171</v>
      </c>
      <c r="F39" s="73">
        <f t="shared" si="0"/>
        <v>36.152219873150102</v>
      </c>
      <c r="G39" s="824"/>
      <c r="H39" s="824">
        <v>244</v>
      </c>
      <c r="I39" s="73">
        <f t="shared" si="1"/>
        <v>51.585623678646932</v>
      </c>
      <c r="J39" s="824"/>
      <c r="K39" s="824">
        <v>56</v>
      </c>
      <c r="L39" s="73">
        <f t="shared" si="2"/>
        <v>11.839323467230443</v>
      </c>
      <c r="M39" s="824"/>
      <c r="N39" s="824">
        <v>2</v>
      </c>
      <c r="O39" s="73">
        <f t="shared" si="3"/>
        <v>0.42283298097251587</v>
      </c>
      <c r="P39" s="824"/>
      <c r="Q39" s="824">
        <v>0</v>
      </c>
      <c r="R39" s="191">
        <f t="shared" si="5"/>
        <v>0</v>
      </c>
    </row>
    <row r="40" spans="1:19" ht="13" customHeight="1">
      <c r="C40" s="73" t="str">
        <f t="shared" si="4"/>
        <v/>
      </c>
      <c r="E40" s="201"/>
      <c r="F40" s="73" t="str">
        <f t="shared" si="0"/>
        <v/>
      </c>
      <c r="G40" s="57"/>
      <c r="H40" s="201"/>
      <c r="I40" s="73" t="str">
        <f t="shared" si="1"/>
        <v/>
      </c>
      <c r="J40" s="57"/>
      <c r="K40" s="201"/>
      <c r="L40" s="73" t="str">
        <f t="shared" si="2"/>
        <v/>
      </c>
      <c r="M40" s="57"/>
      <c r="N40" s="201"/>
      <c r="O40" s="73" t="str">
        <f t="shared" si="3"/>
        <v/>
      </c>
      <c r="P40" s="57"/>
      <c r="Q40" s="201"/>
      <c r="R40" s="191" t="str">
        <f t="shared" si="5"/>
        <v/>
      </c>
    </row>
    <row r="41" spans="1:19" ht="13" customHeight="1">
      <c r="A41" s="95" t="s">
        <v>183</v>
      </c>
      <c r="B41" s="58">
        <f t="shared" ref="B41:B49" si="8">SUM(E41+H41+K41+N41+Q41)</f>
        <v>4014</v>
      </c>
      <c r="C41" s="73">
        <f t="shared" si="4"/>
        <v>9.4260755213225611</v>
      </c>
      <c r="E41" s="201">
        <f>SUM(E42:E49)</f>
        <v>1351</v>
      </c>
      <c r="F41" s="73">
        <f t="shared" si="0"/>
        <v>33.657199800697555</v>
      </c>
      <c r="G41" s="57" t="s">
        <v>128</v>
      </c>
      <c r="H41" s="201">
        <f>SUM(H42:H49)</f>
        <v>1451</v>
      </c>
      <c r="I41" s="73">
        <f t="shared" si="1"/>
        <v>36.148480318883905</v>
      </c>
      <c r="J41" s="57" t="s">
        <v>128</v>
      </c>
      <c r="K41" s="201">
        <f>SUM(K42:K49)</f>
        <v>1164</v>
      </c>
      <c r="L41" s="73">
        <f t="shared" si="2"/>
        <v>28.998505231689087</v>
      </c>
      <c r="M41" s="57" t="s">
        <v>128</v>
      </c>
      <c r="N41" s="201">
        <f>SUM(N42:N49)</f>
        <v>44</v>
      </c>
      <c r="O41" s="73">
        <f t="shared" si="3"/>
        <v>1.096163428001993</v>
      </c>
      <c r="P41" s="57" t="s">
        <v>128</v>
      </c>
      <c r="Q41" s="201">
        <f>SUM(Q42:Q49)</f>
        <v>4</v>
      </c>
      <c r="R41" s="191">
        <f t="shared" si="5"/>
        <v>9.9651220727453901E-2</v>
      </c>
    </row>
    <row r="42" spans="1:19" ht="13" customHeight="1">
      <c r="A42" s="95" t="s">
        <v>407</v>
      </c>
      <c r="B42" s="58">
        <f t="shared" si="8"/>
        <v>422</v>
      </c>
      <c r="C42" s="73">
        <f t="shared" si="4"/>
        <v>0.99098252864925807</v>
      </c>
      <c r="E42" s="824">
        <v>175</v>
      </c>
      <c r="F42" s="73">
        <f t="shared" si="0"/>
        <v>41.469194312796212</v>
      </c>
      <c r="G42" s="824"/>
      <c r="H42" s="824">
        <v>183</v>
      </c>
      <c r="I42" s="73">
        <f t="shared" si="1"/>
        <v>43.364928909952603</v>
      </c>
      <c r="J42" s="824"/>
      <c r="K42" s="824">
        <v>61</v>
      </c>
      <c r="L42" s="73">
        <f t="shared" si="2"/>
        <v>14.454976303317535</v>
      </c>
      <c r="M42" s="824"/>
      <c r="N42" s="824">
        <v>2</v>
      </c>
      <c r="O42" s="73">
        <f t="shared" si="3"/>
        <v>0.47393364928909953</v>
      </c>
      <c r="P42" s="824"/>
      <c r="Q42" s="824">
        <v>1</v>
      </c>
      <c r="R42" s="191">
        <f t="shared" si="5"/>
        <v>0.23696682464454977</v>
      </c>
    </row>
    <row r="43" spans="1:19" ht="13" customHeight="1">
      <c r="A43" s="95" t="s">
        <v>184</v>
      </c>
      <c r="B43" s="58">
        <f t="shared" si="8"/>
        <v>425</v>
      </c>
      <c r="C43" s="73">
        <f t="shared" si="4"/>
        <v>0.99802742814202527</v>
      </c>
      <c r="E43" s="824">
        <v>166</v>
      </c>
      <c r="F43" s="73">
        <f t="shared" si="0"/>
        <v>39.058823529411761</v>
      </c>
      <c r="G43" s="824"/>
      <c r="H43" s="824">
        <v>164</v>
      </c>
      <c r="I43" s="73">
        <f t="shared" si="1"/>
        <v>38.588235294117645</v>
      </c>
      <c r="J43" s="824"/>
      <c r="K43" s="824">
        <v>86</v>
      </c>
      <c r="L43" s="73">
        <f t="shared" si="2"/>
        <v>20.235294117647058</v>
      </c>
      <c r="M43" s="824"/>
      <c r="N43" s="824">
        <v>8</v>
      </c>
      <c r="O43" s="73">
        <f t="shared" si="3"/>
        <v>1.8823529411764703</v>
      </c>
      <c r="P43" s="824"/>
      <c r="Q43" s="824">
        <v>1</v>
      </c>
      <c r="R43" s="191"/>
    </row>
    <row r="44" spans="1:19" ht="13" customHeight="1">
      <c r="A44" s="95" t="s">
        <v>530</v>
      </c>
      <c r="B44" s="58">
        <f t="shared" si="8"/>
        <v>487</v>
      </c>
      <c r="C44" s="73">
        <f t="shared" si="4"/>
        <v>1.1436220176592147</v>
      </c>
      <c r="E44" s="824">
        <v>149</v>
      </c>
      <c r="F44" s="73">
        <f t="shared" si="0"/>
        <v>30.595482546201229</v>
      </c>
      <c r="G44" s="824"/>
      <c r="H44" s="824">
        <v>110</v>
      </c>
      <c r="I44" s="73">
        <f t="shared" si="1"/>
        <v>22.587268993839835</v>
      </c>
      <c r="J44" s="824"/>
      <c r="K44" s="824">
        <v>219</v>
      </c>
      <c r="L44" s="73">
        <f t="shared" si="2"/>
        <v>44.969199178644764</v>
      </c>
      <c r="M44" s="824"/>
      <c r="N44" s="824">
        <v>8</v>
      </c>
      <c r="O44" s="73">
        <f t="shared" si="3"/>
        <v>1.6427104722792609</v>
      </c>
      <c r="P44" s="824"/>
      <c r="Q44" s="824">
        <v>1</v>
      </c>
      <c r="R44" s="191">
        <f t="shared" si="5"/>
        <v>0.20533880903490762</v>
      </c>
    </row>
    <row r="45" spans="1:19" ht="13" customHeight="1">
      <c r="A45" s="95" t="s">
        <v>186</v>
      </c>
      <c r="B45" s="58">
        <f t="shared" si="8"/>
        <v>617</v>
      </c>
      <c r="C45" s="73">
        <f t="shared" si="4"/>
        <v>1.4489009956791283</v>
      </c>
      <c r="E45" s="824">
        <v>177</v>
      </c>
      <c r="F45" s="73">
        <f t="shared" si="0"/>
        <v>28.687196110210696</v>
      </c>
      <c r="G45" s="824"/>
      <c r="H45" s="824">
        <v>216</v>
      </c>
      <c r="I45" s="73">
        <f t="shared" si="1"/>
        <v>35.008103727714754</v>
      </c>
      <c r="J45" s="824"/>
      <c r="K45" s="824">
        <v>209</v>
      </c>
      <c r="L45" s="73">
        <f t="shared" si="2"/>
        <v>33.873581847649916</v>
      </c>
      <c r="M45" s="824"/>
      <c r="N45" s="824">
        <v>15</v>
      </c>
      <c r="O45" s="73">
        <f t="shared" si="3"/>
        <v>2.4311183144246353</v>
      </c>
      <c r="P45" s="824"/>
      <c r="Q45" s="824">
        <v>0</v>
      </c>
      <c r="R45" s="191">
        <f t="shared" si="5"/>
        <v>0</v>
      </c>
    </row>
    <row r="46" spans="1:19" ht="13" customHeight="1">
      <c r="A46" s="95" t="s">
        <v>408</v>
      </c>
      <c r="B46" s="58">
        <f t="shared" si="8"/>
        <v>693</v>
      </c>
      <c r="C46" s="73">
        <f t="shared" si="4"/>
        <v>1.6273717828292318</v>
      </c>
      <c r="E46" s="824">
        <v>255</v>
      </c>
      <c r="F46" s="73">
        <f t="shared" si="0"/>
        <v>36.796536796536792</v>
      </c>
      <c r="G46" s="824"/>
      <c r="H46" s="824">
        <v>302</v>
      </c>
      <c r="I46" s="73">
        <f t="shared" si="1"/>
        <v>43.578643578643579</v>
      </c>
      <c r="J46" s="824"/>
      <c r="K46" s="824">
        <v>134</v>
      </c>
      <c r="L46" s="73">
        <f t="shared" si="2"/>
        <v>19.336219336219337</v>
      </c>
      <c r="M46" s="824"/>
      <c r="N46" s="824">
        <v>2</v>
      </c>
      <c r="O46" s="73">
        <f t="shared" si="3"/>
        <v>0.28860028860028858</v>
      </c>
      <c r="P46" s="824"/>
      <c r="Q46" s="824">
        <v>0</v>
      </c>
      <c r="R46" s="191">
        <f t="shared" si="5"/>
        <v>0</v>
      </c>
    </row>
    <row r="47" spans="1:19" ht="13" customHeight="1">
      <c r="A47" s="95" t="s">
        <v>190</v>
      </c>
      <c r="B47" s="58">
        <f t="shared" si="8"/>
        <v>301</v>
      </c>
      <c r="C47" s="73">
        <f t="shared" si="4"/>
        <v>0.70683824910764603</v>
      </c>
      <c r="E47" s="824">
        <v>84</v>
      </c>
      <c r="F47" s="73">
        <f t="shared" si="0"/>
        <v>27.906976744186046</v>
      </c>
      <c r="G47" s="824"/>
      <c r="H47" s="824">
        <v>132</v>
      </c>
      <c r="I47" s="73">
        <f t="shared" si="1"/>
        <v>43.853820598006642</v>
      </c>
      <c r="J47" s="824"/>
      <c r="K47" s="824">
        <v>85</v>
      </c>
      <c r="L47" s="73">
        <f t="shared" si="2"/>
        <v>28.239202657807311</v>
      </c>
      <c r="M47" s="824"/>
      <c r="N47" s="824">
        <v>0</v>
      </c>
      <c r="O47" s="73">
        <f t="shared" si="3"/>
        <v>0</v>
      </c>
      <c r="P47" s="824"/>
      <c r="Q47" s="824">
        <v>0</v>
      </c>
      <c r="R47" s="191">
        <f t="shared" si="5"/>
        <v>0</v>
      </c>
    </row>
    <row r="48" spans="1:19" ht="13" customHeight="1">
      <c r="A48" s="95" t="s">
        <v>189</v>
      </c>
      <c r="B48" s="58">
        <f t="shared" si="8"/>
        <v>560</v>
      </c>
      <c r="C48" s="73">
        <f t="shared" si="4"/>
        <v>1.3150479053165509</v>
      </c>
      <c r="E48" s="824">
        <v>198</v>
      </c>
      <c r="F48" s="73">
        <f t="shared" si="0"/>
        <v>35.357142857142861</v>
      </c>
      <c r="G48" s="824"/>
      <c r="H48" s="824">
        <v>169</v>
      </c>
      <c r="I48" s="73">
        <f t="shared" si="1"/>
        <v>30.178571428571427</v>
      </c>
      <c r="J48" s="824"/>
      <c r="K48" s="824">
        <v>184</v>
      </c>
      <c r="L48" s="73">
        <f t="shared" si="2"/>
        <v>32.857142857142854</v>
      </c>
      <c r="M48" s="824"/>
      <c r="N48" s="824">
        <v>8</v>
      </c>
      <c r="O48" s="73">
        <f t="shared" si="3"/>
        <v>1.4285714285714286</v>
      </c>
      <c r="P48" s="824"/>
      <c r="Q48" s="824">
        <v>1</v>
      </c>
      <c r="R48" s="191">
        <f t="shared" si="5"/>
        <v>0.17857142857142858</v>
      </c>
    </row>
    <row r="49" spans="1:19" ht="13" customHeight="1">
      <c r="A49" s="95" t="s">
        <v>188</v>
      </c>
      <c r="B49" s="58">
        <f t="shared" si="8"/>
        <v>509</v>
      </c>
      <c r="C49" s="73">
        <f t="shared" si="4"/>
        <v>1.1952846139395079</v>
      </c>
      <c r="E49" s="824">
        <v>147</v>
      </c>
      <c r="F49" s="73">
        <f t="shared" si="0"/>
        <v>28.880157170923383</v>
      </c>
      <c r="G49" s="824"/>
      <c r="H49" s="824">
        <v>175</v>
      </c>
      <c r="I49" s="73">
        <f t="shared" si="1"/>
        <v>34.381139489194503</v>
      </c>
      <c r="J49" s="824"/>
      <c r="K49" s="824">
        <v>186</v>
      </c>
      <c r="L49" s="73">
        <f t="shared" si="2"/>
        <v>36.542239685658153</v>
      </c>
      <c r="M49" s="824"/>
      <c r="N49" s="824">
        <v>1</v>
      </c>
      <c r="O49" s="73">
        <f t="shared" si="3"/>
        <v>0.19646365422396855</v>
      </c>
      <c r="P49" s="824"/>
      <c r="Q49" s="824">
        <v>0</v>
      </c>
      <c r="R49" s="191">
        <f t="shared" si="5"/>
        <v>0</v>
      </c>
    </row>
    <row r="50" spans="1:19" ht="13" customHeight="1">
      <c r="C50" s="73" t="str">
        <f t="shared" si="4"/>
        <v/>
      </c>
      <c r="E50" s="825"/>
      <c r="F50" s="73" t="str">
        <f t="shared" si="0"/>
        <v/>
      </c>
      <c r="G50" s="825"/>
      <c r="H50" s="825"/>
      <c r="I50" s="73" t="str">
        <f t="shared" si="1"/>
        <v/>
      </c>
      <c r="J50" s="825"/>
      <c r="K50" s="825"/>
      <c r="L50" s="73" t="str">
        <f t="shared" si="2"/>
        <v/>
      </c>
      <c r="M50" s="825"/>
      <c r="N50" s="825"/>
      <c r="O50" s="73" t="str">
        <f t="shared" si="3"/>
        <v/>
      </c>
      <c r="P50" s="825"/>
      <c r="Q50" s="825"/>
      <c r="R50" s="191" t="str">
        <f t="shared" si="5"/>
        <v/>
      </c>
    </row>
    <row r="51" spans="1:19" ht="13" customHeight="1">
      <c r="A51" s="95" t="s">
        <v>192</v>
      </c>
      <c r="B51" s="58">
        <f>SUM(E51+H51+K51+N51+Q51)</f>
        <v>1439</v>
      </c>
      <c r="C51" s="73">
        <f t="shared" si="4"/>
        <v>3.379203456697351</v>
      </c>
      <c r="E51" s="824">
        <v>473</v>
      </c>
      <c r="F51" s="73">
        <f t="shared" si="0"/>
        <v>32.870048644892286</v>
      </c>
      <c r="G51" s="824"/>
      <c r="H51" s="824">
        <v>192</v>
      </c>
      <c r="I51" s="73">
        <f t="shared" si="1"/>
        <v>13.342599027102153</v>
      </c>
      <c r="J51" s="824"/>
      <c r="K51" s="824">
        <v>533</v>
      </c>
      <c r="L51" s="73">
        <f t="shared" si="2"/>
        <v>37.039610840861705</v>
      </c>
      <c r="M51" s="824"/>
      <c r="N51" s="824">
        <v>238</v>
      </c>
      <c r="O51" s="73">
        <f t="shared" si="3"/>
        <v>16.539263377345378</v>
      </c>
      <c r="P51" s="824"/>
      <c r="Q51" s="824">
        <v>3</v>
      </c>
      <c r="R51" s="191">
        <f t="shared" si="5"/>
        <v>0.20847810979847115</v>
      </c>
    </row>
    <row r="52" spans="1:19" ht="13" customHeight="1">
      <c r="C52" s="73" t="str">
        <f t="shared" si="4"/>
        <v/>
      </c>
      <c r="E52" s="201"/>
      <c r="F52" s="73" t="str">
        <f t="shared" si="0"/>
        <v/>
      </c>
      <c r="G52" s="57"/>
      <c r="H52" s="201"/>
      <c r="I52" s="73" t="str">
        <f t="shared" si="1"/>
        <v/>
      </c>
      <c r="J52" s="57"/>
      <c r="K52" s="201"/>
      <c r="L52" s="73" t="str">
        <f t="shared" si="2"/>
        <v/>
      </c>
      <c r="M52" s="57"/>
      <c r="N52" s="201"/>
      <c r="O52" s="73" t="str">
        <f t="shared" si="3"/>
        <v/>
      </c>
      <c r="P52" s="57"/>
      <c r="Q52" s="201"/>
      <c r="R52" s="191" t="str">
        <f t="shared" si="5"/>
        <v/>
      </c>
    </row>
    <row r="53" spans="1:19" ht="13" customHeight="1">
      <c r="A53" s="95" t="s">
        <v>193</v>
      </c>
      <c r="B53" s="58">
        <f t="shared" ref="B53:B58" si="9">SUM(E53+H53+K53+N53+Q53)</f>
        <v>3486</v>
      </c>
      <c r="C53" s="73">
        <f t="shared" si="4"/>
        <v>8.1861732105955287</v>
      </c>
      <c r="E53" s="201">
        <f>SUM(E54:E58)</f>
        <v>1189</v>
      </c>
      <c r="F53" s="73">
        <f t="shared" si="0"/>
        <v>34.107860011474465</v>
      </c>
      <c r="G53" s="57" t="s">
        <v>128</v>
      </c>
      <c r="H53" s="201">
        <f>SUM(H54:H58)</f>
        <v>1216</v>
      </c>
      <c r="I53" s="73">
        <f t="shared" si="1"/>
        <v>34.882386689615608</v>
      </c>
      <c r="J53" s="57" t="s">
        <v>128</v>
      </c>
      <c r="K53" s="201">
        <f>SUM(K54:K58)</f>
        <v>1023</v>
      </c>
      <c r="L53" s="73">
        <f t="shared" si="2"/>
        <v>29.345955249569705</v>
      </c>
      <c r="M53" s="57" t="s">
        <v>128</v>
      </c>
      <c r="N53" s="201">
        <f>SUM(N54:N58)</f>
        <v>54</v>
      </c>
      <c r="O53" s="73">
        <f t="shared" si="3"/>
        <v>1.5490533562822719</v>
      </c>
      <c r="P53" s="57" t="s">
        <v>128</v>
      </c>
      <c r="Q53" s="201">
        <f>SUM(Q54:Q58)</f>
        <v>4</v>
      </c>
      <c r="R53" s="191">
        <f t="shared" si="5"/>
        <v>0.11474469305794606</v>
      </c>
    </row>
    <row r="54" spans="1:19" ht="13" customHeight="1">
      <c r="A54" s="95" t="s">
        <v>194</v>
      </c>
      <c r="B54" s="58">
        <f t="shared" si="9"/>
        <v>181</v>
      </c>
      <c r="C54" s="73">
        <f t="shared" si="4"/>
        <v>0.42504226939695661</v>
      </c>
      <c r="E54" s="824">
        <v>101</v>
      </c>
      <c r="F54" s="73">
        <f t="shared" si="0"/>
        <v>55.80110497237569</v>
      </c>
      <c r="G54" s="824"/>
      <c r="H54" s="824">
        <v>67</v>
      </c>
      <c r="I54" s="73">
        <f t="shared" si="1"/>
        <v>37.016574585635361</v>
      </c>
      <c r="J54" s="824"/>
      <c r="K54" s="824">
        <v>12</v>
      </c>
      <c r="L54" s="73">
        <f t="shared" si="2"/>
        <v>6.6298342541436464</v>
      </c>
      <c r="M54" s="824"/>
      <c r="N54" s="824">
        <v>0</v>
      </c>
      <c r="O54" s="73">
        <f t="shared" si="3"/>
        <v>0</v>
      </c>
      <c r="P54" s="824"/>
      <c r="Q54" s="824">
        <v>1</v>
      </c>
      <c r="R54" s="191">
        <f t="shared" si="5"/>
        <v>0.55248618784530379</v>
      </c>
    </row>
    <row r="55" spans="1:19" ht="13" customHeight="1">
      <c r="A55" s="95" t="s">
        <v>195</v>
      </c>
      <c r="B55" s="58">
        <f t="shared" si="9"/>
        <v>2118</v>
      </c>
      <c r="C55" s="73">
        <f t="shared" si="4"/>
        <v>4.9736990418936688</v>
      </c>
      <c r="E55" s="824">
        <v>737</v>
      </c>
      <c r="F55" s="73">
        <f t="shared" si="0"/>
        <v>34.796978281397543</v>
      </c>
      <c r="G55" s="824"/>
      <c r="H55" s="824">
        <v>757</v>
      </c>
      <c r="I55" s="73">
        <f t="shared" si="1"/>
        <v>35.741265344664782</v>
      </c>
      <c r="J55" s="824"/>
      <c r="K55" s="824">
        <v>588</v>
      </c>
      <c r="L55" s="73">
        <f t="shared" si="2"/>
        <v>27.762039660056658</v>
      </c>
      <c r="M55" s="824"/>
      <c r="N55" s="824">
        <v>36</v>
      </c>
      <c r="O55" s="73">
        <f t="shared" si="3"/>
        <v>1.6997167138810201</v>
      </c>
      <c r="P55" s="824"/>
      <c r="Q55" s="824">
        <v>0</v>
      </c>
      <c r="R55" s="191">
        <f t="shared" si="5"/>
        <v>0</v>
      </c>
    </row>
    <row r="56" spans="1:19" ht="13" customHeight="1">
      <c r="A56" s="95" t="s">
        <v>196</v>
      </c>
      <c r="B56" s="58">
        <f t="shared" si="9"/>
        <v>423</v>
      </c>
      <c r="C56" s="73">
        <f t="shared" si="4"/>
        <v>0.99333082848018039</v>
      </c>
      <c r="E56" s="824">
        <v>130</v>
      </c>
      <c r="F56" s="73">
        <f t="shared" si="0"/>
        <v>30.732860520094562</v>
      </c>
      <c r="G56" s="824"/>
      <c r="H56" s="824">
        <v>135</v>
      </c>
      <c r="I56" s="73">
        <f t="shared" si="1"/>
        <v>31.914893617021278</v>
      </c>
      <c r="J56" s="824"/>
      <c r="K56" s="824">
        <v>150</v>
      </c>
      <c r="L56" s="73">
        <f t="shared" si="2"/>
        <v>35.460992907801419</v>
      </c>
      <c r="M56" s="824"/>
      <c r="N56" s="824">
        <v>6</v>
      </c>
      <c r="O56" s="73">
        <f t="shared" si="3"/>
        <v>1.4184397163120568</v>
      </c>
      <c r="P56" s="824"/>
      <c r="Q56" s="824">
        <v>2</v>
      </c>
      <c r="R56" s="191">
        <f t="shared" si="5"/>
        <v>0.4728132387706856</v>
      </c>
    </row>
    <row r="57" spans="1:19" ht="13" customHeight="1">
      <c r="A57" s="95" t="s">
        <v>409</v>
      </c>
      <c r="B57" s="58">
        <f t="shared" si="9"/>
        <v>476</v>
      </c>
      <c r="C57" s="73">
        <f t="shared" si="4"/>
        <v>1.1177907195190682</v>
      </c>
      <c r="E57" s="824">
        <v>155</v>
      </c>
      <c r="F57" s="73">
        <f t="shared" si="0"/>
        <v>32.563025210084035</v>
      </c>
      <c r="G57" s="824"/>
      <c r="H57" s="824">
        <v>171</v>
      </c>
      <c r="I57" s="73">
        <f t="shared" si="1"/>
        <v>35.924369747899156</v>
      </c>
      <c r="J57" s="824"/>
      <c r="K57" s="824">
        <v>146</v>
      </c>
      <c r="L57" s="73">
        <f t="shared" si="2"/>
        <v>30.672268907563026</v>
      </c>
      <c r="M57" s="824"/>
      <c r="N57" s="824">
        <v>4</v>
      </c>
      <c r="O57" s="73">
        <f t="shared" si="3"/>
        <v>0.84033613445378152</v>
      </c>
      <c r="P57" s="824"/>
      <c r="Q57" s="824">
        <v>0</v>
      </c>
      <c r="R57" s="191">
        <f t="shared" si="5"/>
        <v>0</v>
      </c>
    </row>
    <row r="58" spans="1:19" ht="13" customHeight="1">
      <c r="A58" s="95" t="s">
        <v>198</v>
      </c>
      <c r="B58" s="58">
        <f t="shared" si="9"/>
        <v>288</v>
      </c>
      <c r="C58" s="73">
        <f t="shared" si="4"/>
        <v>0.67631035130565476</v>
      </c>
      <c r="E58" s="824">
        <v>66</v>
      </c>
      <c r="F58" s="73">
        <f t="shared" si="0"/>
        <v>22.916666666666664</v>
      </c>
      <c r="G58" s="824"/>
      <c r="H58" s="824">
        <v>86</v>
      </c>
      <c r="I58" s="73">
        <f t="shared" si="1"/>
        <v>29.861111111111111</v>
      </c>
      <c r="J58" s="824"/>
      <c r="K58" s="824">
        <v>127</v>
      </c>
      <c r="L58" s="73">
        <f t="shared" si="2"/>
        <v>44.097222222222221</v>
      </c>
      <c r="M58" s="824"/>
      <c r="N58" s="824">
        <v>8</v>
      </c>
      <c r="O58" s="73">
        <f t="shared" si="3"/>
        <v>2.7777777777777777</v>
      </c>
      <c r="P58" s="824"/>
      <c r="Q58" s="824">
        <v>1</v>
      </c>
      <c r="R58" s="191">
        <f t="shared" si="5"/>
        <v>0.34722222222222221</v>
      </c>
    </row>
    <row r="59" spans="1:19" ht="13" customHeight="1">
      <c r="C59" s="73" t="str">
        <f t="shared" si="4"/>
        <v/>
      </c>
      <c r="E59" s="201"/>
      <c r="F59" s="73" t="str">
        <f t="shared" si="0"/>
        <v/>
      </c>
      <c r="G59" s="57"/>
      <c r="H59" s="201"/>
      <c r="I59" s="73" t="str">
        <f t="shared" si="1"/>
        <v/>
      </c>
      <c r="J59" s="57"/>
      <c r="K59" s="201"/>
      <c r="L59" s="73" t="str">
        <f t="shared" si="2"/>
        <v/>
      </c>
      <c r="M59" s="57"/>
      <c r="N59" s="201"/>
      <c r="O59" s="73" t="str">
        <f t="shared" si="3"/>
        <v/>
      </c>
      <c r="P59" s="57"/>
      <c r="Q59" s="201"/>
      <c r="R59" s="191" t="str">
        <f t="shared" si="5"/>
        <v/>
      </c>
    </row>
    <row r="60" spans="1:19" ht="13" customHeight="1">
      <c r="A60" s="55" t="s">
        <v>410</v>
      </c>
      <c r="B60" s="58">
        <f>SUM(B61+B63+B70+B72)</f>
        <v>3940</v>
      </c>
      <c r="C60" s="73">
        <f t="shared" si="4"/>
        <v>9.2523013338343034</v>
      </c>
      <c r="E60" s="201">
        <f>SUM(E61+E63+E70+E72)</f>
        <v>951</v>
      </c>
      <c r="F60" s="73">
        <f t="shared" si="0"/>
        <v>24.137055837563452</v>
      </c>
      <c r="G60" s="57"/>
      <c r="H60" s="201">
        <f>SUM(H61+H63+H70+H72)</f>
        <v>1259</v>
      </c>
      <c r="I60" s="73">
        <f t="shared" si="1"/>
        <v>31.954314720812182</v>
      </c>
      <c r="J60" s="57"/>
      <c r="K60" s="201">
        <f>SUM(K61+K63+K70+K72)</f>
        <v>1537</v>
      </c>
      <c r="L60" s="73">
        <f t="shared" si="2"/>
        <v>39.01015228426396</v>
      </c>
      <c r="M60" s="57"/>
      <c r="N60" s="201">
        <f>SUM(N61+N63+N70+N72)</f>
        <v>151</v>
      </c>
      <c r="O60" s="73">
        <f t="shared" si="3"/>
        <v>3.8324873096446699</v>
      </c>
      <c r="P60" s="57"/>
      <c r="Q60" s="201">
        <f>SUM(Q61+Q63+Q70+Q72)</f>
        <v>42</v>
      </c>
      <c r="R60" s="191">
        <f t="shared" si="5"/>
        <v>1.0659898477157359</v>
      </c>
    </row>
    <row r="61" spans="1:19" ht="13" customHeight="1">
      <c r="A61" s="95" t="s">
        <v>411</v>
      </c>
      <c r="B61" s="58">
        <f>SUM(E61+H61+K61+N61+Q61)</f>
        <v>582</v>
      </c>
      <c r="C61" s="73">
        <f t="shared" si="4"/>
        <v>1.3667105015968439</v>
      </c>
      <c r="E61" s="824">
        <v>142</v>
      </c>
      <c r="F61" s="73">
        <f t="shared" si="0"/>
        <v>24.398625429553263</v>
      </c>
      <c r="G61" s="824"/>
      <c r="H61" s="824">
        <v>203</v>
      </c>
      <c r="I61" s="73">
        <f t="shared" si="1"/>
        <v>34.87972508591065</v>
      </c>
      <c r="J61" s="824"/>
      <c r="K61" s="824">
        <v>221</v>
      </c>
      <c r="L61" s="73">
        <f t="shared" si="2"/>
        <v>37.972508591065292</v>
      </c>
      <c r="M61" s="824"/>
      <c r="N61" s="824">
        <v>16</v>
      </c>
      <c r="O61" s="73">
        <f t="shared" si="3"/>
        <v>2.7491408934707904</v>
      </c>
      <c r="P61" s="824"/>
      <c r="Q61" s="824">
        <v>0</v>
      </c>
      <c r="R61" s="191">
        <f t="shared" si="5"/>
        <v>0</v>
      </c>
    </row>
    <row r="62" spans="1:19" ht="13" customHeight="1">
      <c r="C62" s="73" t="str">
        <f t="shared" si="4"/>
        <v/>
      </c>
      <c r="E62" s="201"/>
      <c r="F62" s="73" t="str">
        <f t="shared" si="0"/>
        <v/>
      </c>
      <c r="G62" s="57"/>
      <c r="H62" s="201"/>
      <c r="I62" s="73" t="str">
        <f t="shared" si="1"/>
        <v/>
      </c>
      <c r="J62" s="57"/>
      <c r="K62" s="201"/>
      <c r="L62" s="73" t="str">
        <f t="shared" si="2"/>
        <v/>
      </c>
      <c r="M62" s="57"/>
      <c r="N62" s="201"/>
      <c r="O62" s="73" t="str">
        <f t="shared" si="3"/>
        <v/>
      </c>
      <c r="P62" s="57"/>
      <c r="Q62" s="201"/>
      <c r="R62" s="191" t="str">
        <f t="shared" si="5"/>
        <v/>
      </c>
    </row>
    <row r="63" spans="1:19" ht="13" customHeight="1">
      <c r="A63" s="95" t="s">
        <v>202</v>
      </c>
      <c r="B63" s="58">
        <f t="shared" ref="B63:B68" si="10">SUM(E63+H63+K63+N63+Q63)</f>
        <v>2319</v>
      </c>
      <c r="C63" s="73">
        <f t="shared" si="4"/>
        <v>5.4457073079090739</v>
      </c>
      <c r="E63" s="201">
        <f>SUM(E64:E68)</f>
        <v>566</v>
      </c>
      <c r="F63" s="73">
        <f t="shared" si="0"/>
        <v>24.407072013799052</v>
      </c>
      <c r="G63" s="57" t="s">
        <v>128</v>
      </c>
      <c r="H63" s="201">
        <f>SUM(H64:H68)</f>
        <v>766</v>
      </c>
      <c r="I63" s="73">
        <f t="shared" si="1"/>
        <v>33.031479085812848</v>
      </c>
      <c r="J63" s="57" t="s">
        <v>128</v>
      </c>
      <c r="K63" s="201">
        <f>SUM(K64:K68)</f>
        <v>906</v>
      </c>
      <c r="L63" s="73">
        <f t="shared" si="2"/>
        <v>39.068564036222512</v>
      </c>
      <c r="M63" s="57" t="s">
        <v>128</v>
      </c>
      <c r="N63" s="201">
        <f>SUM(N64:N68)</f>
        <v>80</v>
      </c>
      <c r="O63" s="73">
        <f t="shared" si="3"/>
        <v>3.4497628288055191</v>
      </c>
      <c r="P63" s="57" t="s">
        <v>128</v>
      </c>
      <c r="Q63" s="201">
        <f>SUM(Q64:Q68)</f>
        <v>1</v>
      </c>
      <c r="R63" s="191">
        <f t="shared" si="5"/>
        <v>4.3122035360068998E-2</v>
      </c>
    </row>
    <row r="64" spans="1:19" ht="13" customHeight="1">
      <c r="A64" s="95" t="s">
        <v>203</v>
      </c>
      <c r="B64" s="58">
        <f t="shared" si="10"/>
        <v>677</v>
      </c>
      <c r="C64" s="73">
        <f t="shared" si="4"/>
        <v>1.589798985534473</v>
      </c>
      <c r="E64" s="824">
        <v>135</v>
      </c>
      <c r="F64" s="73">
        <f t="shared" si="0"/>
        <v>19.940915805022154</v>
      </c>
      <c r="G64" s="824"/>
      <c r="H64" s="824">
        <v>189</v>
      </c>
      <c r="I64" s="73">
        <f t="shared" si="1"/>
        <v>27.917282127031019</v>
      </c>
      <c r="J64" s="824"/>
      <c r="K64" s="824">
        <v>290</v>
      </c>
      <c r="L64" s="73">
        <f t="shared" si="2"/>
        <v>42.836041358936484</v>
      </c>
      <c r="M64" s="824"/>
      <c r="N64" s="824">
        <v>63</v>
      </c>
      <c r="O64" s="73">
        <f t="shared" si="3"/>
        <v>9.3057607090103396</v>
      </c>
      <c r="P64" s="824"/>
      <c r="Q64" s="824">
        <v>0</v>
      </c>
      <c r="R64" s="191">
        <f t="shared" si="5"/>
        <v>0</v>
      </c>
      <c r="S64" s="33" t="s">
        <v>128</v>
      </c>
    </row>
    <row r="65" spans="1:18" ht="13" customHeight="1">
      <c r="A65" s="95" t="s">
        <v>204</v>
      </c>
      <c r="B65" s="58">
        <f t="shared" si="10"/>
        <v>436</v>
      </c>
      <c r="C65" s="73">
        <f t="shared" si="4"/>
        <v>1.0238587262821719</v>
      </c>
      <c r="E65" s="824">
        <v>102</v>
      </c>
      <c r="F65" s="73">
        <f t="shared" si="0"/>
        <v>23.394495412844037</v>
      </c>
      <c r="G65" s="824"/>
      <c r="H65" s="824">
        <v>198</v>
      </c>
      <c r="I65" s="73">
        <f t="shared" si="1"/>
        <v>45.412844036697244</v>
      </c>
      <c r="J65" s="824"/>
      <c r="K65" s="824">
        <v>131</v>
      </c>
      <c r="L65" s="73">
        <f t="shared" si="2"/>
        <v>30.045871559633024</v>
      </c>
      <c r="M65" s="824"/>
      <c r="N65" s="824">
        <v>5</v>
      </c>
      <c r="O65" s="73">
        <f t="shared" si="3"/>
        <v>1.1467889908256881</v>
      </c>
      <c r="P65" s="824"/>
      <c r="Q65" s="824">
        <v>0</v>
      </c>
      <c r="R65" s="191">
        <f t="shared" si="5"/>
        <v>0</v>
      </c>
    </row>
    <row r="66" spans="1:18" ht="13" customHeight="1">
      <c r="A66" s="95" t="s">
        <v>207</v>
      </c>
      <c r="B66" s="58">
        <f t="shared" si="10"/>
        <v>764</v>
      </c>
      <c r="C66" s="73">
        <f t="shared" si="4"/>
        <v>1.7941010708247229</v>
      </c>
      <c r="E66" s="824">
        <v>179</v>
      </c>
      <c r="F66" s="73">
        <f t="shared" si="0"/>
        <v>23.42931937172775</v>
      </c>
      <c r="G66" s="824"/>
      <c r="H66" s="824">
        <v>196</v>
      </c>
      <c r="I66" s="73">
        <f t="shared" si="1"/>
        <v>25.654450261780106</v>
      </c>
      <c r="J66" s="824"/>
      <c r="K66" s="824">
        <v>382</v>
      </c>
      <c r="L66" s="73">
        <f t="shared" si="2"/>
        <v>50</v>
      </c>
      <c r="M66" s="824"/>
      <c r="N66" s="824">
        <v>7</v>
      </c>
      <c r="O66" s="73">
        <f t="shared" si="3"/>
        <v>0.91623036649214651</v>
      </c>
      <c r="P66" s="824"/>
      <c r="Q66" s="824">
        <v>0</v>
      </c>
      <c r="R66" s="191">
        <f t="shared" si="5"/>
        <v>0</v>
      </c>
    </row>
    <row r="67" spans="1:18" ht="13" customHeight="1">
      <c r="A67" s="95" t="s">
        <v>205</v>
      </c>
      <c r="B67" s="58">
        <f t="shared" si="10"/>
        <v>149</v>
      </c>
      <c r="C67" s="73">
        <f t="shared" si="4"/>
        <v>0.34989667480743941</v>
      </c>
      <c r="E67" s="824">
        <v>63</v>
      </c>
      <c r="F67" s="73">
        <f t="shared" si="0"/>
        <v>42.281879194630875</v>
      </c>
      <c r="G67" s="824"/>
      <c r="H67" s="824">
        <v>79</v>
      </c>
      <c r="I67" s="73">
        <f t="shared" si="1"/>
        <v>53.020134228187921</v>
      </c>
      <c r="J67" s="824"/>
      <c r="K67" s="824">
        <v>5</v>
      </c>
      <c r="L67" s="73">
        <f t="shared" si="2"/>
        <v>3.3557046979865772</v>
      </c>
      <c r="M67" s="824"/>
      <c r="N67" s="824">
        <v>2</v>
      </c>
      <c r="O67" s="73">
        <f t="shared" si="3"/>
        <v>1.3422818791946309</v>
      </c>
      <c r="P67" s="824"/>
      <c r="Q67" s="824">
        <v>0</v>
      </c>
      <c r="R67" s="191">
        <f t="shared" si="5"/>
        <v>0</v>
      </c>
    </row>
    <row r="68" spans="1:18" ht="13" customHeight="1">
      <c r="A68" s="95" t="s">
        <v>206</v>
      </c>
      <c r="B68" s="58">
        <f t="shared" si="10"/>
        <v>293</v>
      </c>
      <c r="C68" s="73">
        <f t="shared" si="4"/>
        <v>0.68805185046026673</v>
      </c>
      <c r="E68" s="824">
        <v>87</v>
      </c>
      <c r="F68" s="73">
        <f t="shared" si="0"/>
        <v>29.692832764505116</v>
      </c>
      <c r="G68" s="824"/>
      <c r="H68" s="824">
        <v>104</v>
      </c>
      <c r="I68" s="73">
        <f t="shared" si="1"/>
        <v>35.494880546075088</v>
      </c>
      <c r="J68" s="824"/>
      <c r="K68" s="824">
        <v>98</v>
      </c>
      <c r="L68" s="73">
        <f t="shared" si="2"/>
        <v>33.44709897610921</v>
      </c>
      <c r="M68" s="824"/>
      <c r="N68" s="824">
        <v>3</v>
      </c>
      <c r="O68" s="73">
        <f t="shared" si="3"/>
        <v>1.0238907849829351</v>
      </c>
      <c r="P68" s="824"/>
      <c r="Q68" s="824">
        <v>1</v>
      </c>
      <c r="R68" s="191">
        <f t="shared" si="5"/>
        <v>0.34129692832764508</v>
      </c>
    </row>
    <row r="69" spans="1:18" ht="13" customHeight="1">
      <c r="C69" s="73" t="str">
        <f t="shared" si="4"/>
        <v/>
      </c>
      <c r="E69" s="825"/>
      <c r="F69" s="73" t="str">
        <f t="shared" si="0"/>
        <v/>
      </c>
      <c r="G69" s="825"/>
      <c r="H69" s="825"/>
      <c r="I69" s="73" t="str">
        <f t="shared" si="1"/>
        <v/>
      </c>
      <c r="J69" s="825"/>
      <c r="K69" s="825"/>
      <c r="L69" s="73" t="str">
        <f t="shared" si="2"/>
        <v/>
      </c>
      <c r="M69" s="825"/>
      <c r="N69" s="825"/>
      <c r="O69" s="73" t="str">
        <f t="shared" si="3"/>
        <v/>
      </c>
      <c r="P69" s="825"/>
      <c r="Q69" s="825"/>
      <c r="R69" s="191" t="str">
        <f t="shared" si="5"/>
        <v/>
      </c>
    </row>
    <row r="70" spans="1:18" ht="13" customHeight="1">
      <c r="A70" s="95" t="s">
        <v>208</v>
      </c>
      <c r="B70" s="58">
        <f>SUM(E70+H70+K70+N70+Q70)</f>
        <v>481</v>
      </c>
      <c r="C70" s="73">
        <f t="shared" si="4"/>
        <v>1.1295322186736803</v>
      </c>
      <c r="E70" s="824">
        <v>114</v>
      </c>
      <c r="F70" s="73">
        <f t="shared" si="0"/>
        <v>23.700623700623701</v>
      </c>
      <c r="G70" s="824"/>
      <c r="H70" s="824">
        <v>109</v>
      </c>
      <c r="I70" s="73">
        <f t="shared" si="1"/>
        <v>22.661122661122661</v>
      </c>
      <c r="J70" s="824"/>
      <c r="K70" s="824">
        <v>222</v>
      </c>
      <c r="L70" s="73">
        <f t="shared" si="2"/>
        <v>46.153846153846153</v>
      </c>
      <c r="M70" s="824"/>
      <c r="N70" s="824">
        <v>35</v>
      </c>
      <c r="O70" s="73">
        <f t="shared" si="3"/>
        <v>7.2765072765072771</v>
      </c>
      <c r="P70" s="824"/>
      <c r="Q70" s="824">
        <v>1</v>
      </c>
      <c r="R70" s="191">
        <f t="shared" si="5"/>
        <v>0.20790020790020791</v>
      </c>
    </row>
    <row r="71" spans="1:18" ht="8.5" customHeight="1">
      <c r="C71" s="73" t="str">
        <f t="shared" si="4"/>
        <v/>
      </c>
      <c r="E71" s="825"/>
      <c r="F71" s="73" t="str">
        <f t="shared" si="0"/>
        <v/>
      </c>
      <c r="G71" s="825"/>
      <c r="H71" s="825"/>
      <c r="I71" s="73" t="str">
        <f t="shared" si="1"/>
        <v/>
      </c>
      <c r="J71" s="825"/>
      <c r="K71" s="825"/>
      <c r="L71" s="73" t="str">
        <f t="shared" si="2"/>
        <v/>
      </c>
      <c r="M71" s="825"/>
      <c r="N71" s="825"/>
      <c r="O71" s="73" t="str">
        <f t="shared" si="3"/>
        <v/>
      </c>
      <c r="P71" s="825"/>
      <c r="Q71" s="825"/>
      <c r="R71" s="191" t="str">
        <f t="shared" si="5"/>
        <v/>
      </c>
    </row>
    <row r="72" spans="1:18" ht="13" customHeight="1">
      <c r="A72" s="95" t="s">
        <v>209</v>
      </c>
      <c r="B72" s="58">
        <f>SUM(E72+H72+K72+N72+Q72)</f>
        <v>558</v>
      </c>
      <c r="C72" s="73">
        <f t="shared" si="4"/>
        <v>1.310351305654706</v>
      </c>
      <c r="E72" s="824">
        <v>129</v>
      </c>
      <c r="F72" s="73">
        <f t="shared" si="0"/>
        <v>23.118279569892472</v>
      </c>
      <c r="G72" s="824"/>
      <c r="H72" s="824">
        <v>181</v>
      </c>
      <c r="I72" s="73">
        <f t="shared" si="1"/>
        <v>32.437275985663085</v>
      </c>
      <c r="J72" s="824"/>
      <c r="K72" s="824">
        <v>188</v>
      </c>
      <c r="L72" s="73">
        <f t="shared" si="2"/>
        <v>33.691756272401435</v>
      </c>
      <c r="M72" s="824"/>
      <c r="N72" s="824">
        <v>20</v>
      </c>
      <c r="O72" s="73">
        <f t="shared" si="3"/>
        <v>3.5842293906810032</v>
      </c>
      <c r="P72" s="824"/>
      <c r="Q72" s="824">
        <v>40</v>
      </c>
      <c r="R72" s="191">
        <f t="shared" si="5"/>
        <v>7.1684587813620064</v>
      </c>
    </row>
    <row r="73" spans="1:18" ht="13" customHeight="1">
      <c r="C73" s="73" t="str">
        <f t="shared" si="4"/>
        <v/>
      </c>
      <c r="E73" s="201"/>
      <c r="F73" s="73" t="str">
        <f t="shared" si="0"/>
        <v/>
      </c>
      <c r="G73" s="57"/>
      <c r="H73" s="201"/>
      <c r="I73" s="73" t="str">
        <f t="shared" si="1"/>
        <v/>
      </c>
      <c r="J73" s="57"/>
      <c r="K73" s="201"/>
      <c r="L73" s="73" t="str">
        <f t="shared" si="2"/>
        <v/>
      </c>
      <c r="M73" s="57"/>
      <c r="N73" s="201"/>
      <c r="O73" s="73" t="str">
        <f t="shared" si="3"/>
        <v/>
      </c>
      <c r="P73" s="57"/>
      <c r="Q73" s="201"/>
      <c r="R73" s="191" t="str">
        <f t="shared" si="5"/>
        <v/>
      </c>
    </row>
    <row r="74" spans="1:18" ht="13" customHeight="1">
      <c r="A74" s="55" t="s">
        <v>413</v>
      </c>
      <c r="B74" s="58">
        <f t="shared" ref="B74:B79" si="11">SUM(E74+H74+K74+N74+Q74)</f>
        <v>1478</v>
      </c>
      <c r="C74" s="73">
        <f t="shared" si="4"/>
        <v>3.4707871501033249</v>
      </c>
      <c r="E74" s="201">
        <f>SUM(E75)</f>
        <v>415</v>
      </c>
      <c r="F74" s="73">
        <f t="shared" si="0"/>
        <v>28.078484438430312</v>
      </c>
      <c r="G74" s="57"/>
      <c r="H74" s="201">
        <f>SUM(H75)</f>
        <v>672</v>
      </c>
      <c r="I74" s="73">
        <f t="shared" si="1"/>
        <v>45.466847090663059</v>
      </c>
      <c r="J74" s="57"/>
      <c r="K74" s="201">
        <f>SUM(K75)</f>
        <v>382</v>
      </c>
      <c r="L74" s="73">
        <f t="shared" si="2"/>
        <v>25.845737483085252</v>
      </c>
      <c r="M74" s="57"/>
      <c r="N74" s="201">
        <f>SUM(N75)</f>
        <v>9</v>
      </c>
      <c r="O74" s="73">
        <f t="shared" si="3"/>
        <v>0.60893098782138022</v>
      </c>
      <c r="P74" s="57"/>
      <c r="Q74" s="201">
        <f>SUM(Q75)</f>
        <v>0</v>
      </c>
      <c r="R74" s="191">
        <f t="shared" si="5"/>
        <v>0</v>
      </c>
    </row>
    <row r="75" spans="1:18" ht="13" customHeight="1">
      <c r="A75" s="95" t="s">
        <v>211</v>
      </c>
      <c r="B75" s="58">
        <f t="shared" si="11"/>
        <v>1478</v>
      </c>
      <c r="C75" s="73">
        <f t="shared" si="4"/>
        <v>3.4707871501033249</v>
      </c>
      <c r="E75" s="201">
        <f>SUM(E76:E79)</f>
        <v>415</v>
      </c>
      <c r="F75" s="73">
        <f t="shared" ref="F75:F105" si="12">IF($A75&lt;&gt;"",E75/$B75*100,"")</f>
        <v>28.078484438430312</v>
      </c>
      <c r="G75" s="57" t="s">
        <v>128</v>
      </c>
      <c r="H75" s="201">
        <f>SUM(H76:H79)</f>
        <v>672</v>
      </c>
      <c r="I75" s="73">
        <f t="shared" ref="I75:I105" si="13">IF($A75&lt;&gt;"",H75/$B75*100,"")</f>
        <v>45.466847090663059</v>
      </c>
      <c r="J75" s="57" t="s">
        <v>128</v>
      </c>
      <c r="K75" s="201">
        <f>SUM(K76:K79)</f>
        <v>382</v>
      </c>
      <c r="L75" s="73">
        <f t="shared" ref="L75:L105" si="14">IF($A75&lt;&gt;"",K75/$B75*100,"")</f>
        <v>25.845737483085252</v>
      </c>
      <c r="M75" s="57" t="s">
        <v>128</v>
      </c>
      <c r="N75" s="201">
        <f>SUM(N76:N79)</f>
        <v>9</v>
      </c>
      <c r="O75" s="73">
        <f t="shared" ref="O75:O105" si="15">IF($A75&lt;&gt;"",N75/$B75*100,"")</f>
        <v>0.60893098782138022</v>
      </c>
      <c r="P75" s="57" t="s">
        <v>128</v>
      </c>
      <c r="Q75" s="201">
        <f>SUM(Q76:Q79)</f>
        <v>0</v>
      </c>
      <c r="R75" s="191">
        <f t="shared" si="5"/>
        <v>0</v>
      </c>
    </row>
    <row r="76" spans="1:18" ht="13" customHeight="1">
      <c r="A76" s="95" t="s">
        <v>212</v>
      </c>
      <c r="B76" s="58">
        <f t="shared" si="11"/>
        <v>372</v>
      </c>
      <c r="C76" s="73">
        <f t="shared" si="4"/>
        <v>0.87356753710313739</v>
      </c>
      <c r="E76" s="824">
        <v>98</v>
      </c>
      <c r="F76" s="73">
        <f t="shared" si="12"/>
        <v>26.344086021505376</v>
      </c>
      <c r="G76" s="824"/>
      <c r="H76" s="824">
        <v>147</v>
      </c>
      <c r="I76" s="73">
        <f t="shared" si="13"/>
        <v>39.516129032258064</v>
      </c>
      <c r="J76" s="824"/>
      <c r="K76" s="824">
        <v>124</v>
      </c>
      <c r="L76" s="73">
        <f t="shared" si="14"/>
        <v>33.333333333333329</v>
      </c>
      <c r="M76" s="824"/>
      <c r="N76" s="824">
        <v>3</v>
      </c>
      <c r="O76" s="73">
        <f t="shared" si="15"/>
        <v>0.80645161290322576</v>
      </c>
      <c r="P76" s="824"/>
      <c r="Q76" s="824">
        <v>0</v>
      </c>
      <c r="R76" s="191">
        <f t="shared" si="5"/>
        <v>0</v>
      </c>
    </row>
    <row r="77" spans="1:18" ht="13" customHeight="1">
      <c r="A77" s="95" t="s">
        <v>213</v>
      </c>
      <c r="B77" s="58">
        <f t="shared" si="11"/>
        <v>461</v>
      </c>
      <c r="C77" s="73">
        <f t="shared" ref="C77:C105" si="16">IF(A77&lt;&gt;0,B77/$B$11*100,"")</f>
        <v>1.0825662220552321</v>
      </c>
      <c r="E77" s="824">
        <v>140</v>
      </c>
      <c r="F77" s="73">
        <f t="shared" si="12"/>
        <v>30.368763557483732</v>
      </c>
      <c r="G77" s="824"/>
      <c r="H77" s="824">
        <v>252</v>
      </c>
      <c r="I77" s="73">
        <f t="shared" si="13"/>
        <v>54.663774403470711</v>
      </c>
      <c r="J77" s="824"/>
      <c r="K77" s="824">
        <v>69</v>
      </c>
      <c r="L77" s="73">
        <f t="shared" si="14"/>
        <v>14.967462039045554</v>
      </c>
      <c r="M77" s="824"/>
      <c r="N77" s="824">
        <v>0</v>
      </c>
      <c r="O77" s="73">
        <f t="shared" si="15"/>
        <v>0</v>
      </c>
      <c r="P77" s="824"/>
      <c r="Q77" s="824">
        <v>0</v>
      </c>
      <c r="R77" s="191">
        <f t="shared" ref="R77:R105" si="17">IF($A77&lt;&gt;"",Q77/$B77*100,"")</f>
        <v>0</v>
      </c>
    </row>
    <row r="78" spans="1:18" ht="13" customHeight="1">
      <c r="A78" s="95" t="s">
        <v>214</v>
      </c>
      <c r="B78" s="58">
        <f t="shared" si="11"/>
        <v>395</v>
      </c>
      <c r="C78" s="73">
        <f t="shared" si="16"/>
        <v>0.92757843321435285</v>
      </c>
      <c r="E78" s="824">
        <v>126</v>
      </c>
      <c r="F78" s="73">
        <f t="shared" si="12"/>
        <v>31.898734177215189</v>
      </c>
      <c r="G78" s="824"/>
      <c r="H78" s="824">
        <v>195</v>
      </c>
      <c r="I78" s="73">
        <f t="shared" si="13"/>
        <v>49.367088607594937</v>
      </c>
      <c r="J78" s="824"/>
      <c r="K78" s="824">
        <v>73</v>
      </c>
      <c r="L78" s="73">
        <f t="shared" si="14"/>
        <v>18.481012658227851</v>
      </c>
      <c r="M78" s="824"/>
      <c r="N78" s="824">
        <v>1</v>
      </c>
      <c r="O78" s="73">
        <f t="shared" si="15"/>
        <v>0.25316455696202533</v>
      </c>
      <c r="P78" s="824"/>
      <c r="Q78" s="824">
        <v>0</v>
      </c>
      <c r="R78" s="191">
        <f t="shared" si="17"/>
        <v>0</v>
      </c>
    </row>
    <row r="79" spans="1:18" ht="13" customHeight="1">
      <c r="A79" s="95" t="s">
        <v>215</v>
      </c>
      <c r="B79" s="58">
        <f t="shared" si="11"/>
        <v>250</v>
      </c>
      <c r="C79" s="73">
        <f t="shared" si="16"/>
        <v>0.58707495773060314</v>
      </c>
      <c r="E79" s="824">
        <v>51</v>
      </c>
      <c r="F79" s="73">
        <f t="shared" si="12"/>
        <v>20.399999999999999</v>
      </c>
      <c r="G79" s="824"/>
      <c r="H79" s="824">
        <v>78</v>
      </c>
      <c r="I79" s="73">
        <f t="shared" si="13"/>
        <v>31.2</v>
      </c>
      <c r="J79" s="824"/>
      <c r="K79" s="824">
        <v>116</v>
      </c>
      <c r="L79" s="73">
        <f t="shared" si="14"/>
        <v>46.400000000000006</v>
      </c>
      <c r="M79" s="824"/>
      <c r="N79" s="824">
        <v>5</v>
      </c>
      <c r="O79" s="73">
        <f t="shared" si="15"/>
        <v>2</v>
      </c>
      <c r="P79" s="824"/>
      <c r="Q79" s="824">
        <v>0</v>
      </c>
      <c r="R79" s="191">
        <f t="shared" si="17"/>
        <v>0</v>
      </c>
    </row>
    <row r="80" spans="1:18" ht="13" customHeight="1">
      <c r="C80" s="73" t="str">
        <f t="shared" si="16"/>
        <v/>
      </c>
      <c r="E80" s="201"/>
      <c r="F80" s="73" t="str">
        <f t="shared" si="12"/>
        <v/>
      </c>
      <c r="G80" s="57"/>
      <c r="H80" s="201"/>
      <c r="I80" s="73" t="str">
        <f t="shared" si="13"/>
        <v/>
      </c>
      <c r="J80" s="57"/>
      <c r="K80" s="201"/>
      <c r="L80" s="73" t="str">
        <f t="shared" si="14"/>
        <v/>
      </c>
      <c r="M80" s="57"/>
      <c r="N80" s="201"/>
      <c r="O80" s="73" t="str">
        <f t="shared" si="15"/>
        <v/>
      </c>
      <c r="P80" s="57"/>
      <c r="Q80" s="201"/>
      <c r="R80" s="191" t="str">
        <f t="shared" si="17"/>
        <v/>
      </c>
    </row>
    <row r="81" spans="1:18" ht="13" customHeight="1">
      <c r="A81" s="55" t="s">
        <v>483</v>
      </c>
      <c r="B81" s="58">
        <f t="shared" ref="B81:B91" si="18">SUM(E81+H81+K81+N81+Q81)</f>
        <v>6522</v>
      </c>
      <c r="C81" s="73">
        <f t="shared" si="16"/>
        <v>15.315611497275972</v>
      </c>
      <c r="E81" s="201">
        <f>SUM(E82)</f>
        <v>1802</v>
      </c>
      <c r="F81" s="73">
        <f t="shared" si="12"/>
        <v>27.629561484207301</v>
      </c>
      <c r="G81" s="57"/>
      <c r="H81" s="201">
        <f>SUM(H82)</f>
        <v>2494</v>
      </c>
      <c r="I81" s="73">
        <f t="shared" si="13"/>
        <v>38.239803741183685</v>
      </c>
      <c r="J81" s="57"/>
      <c r="K81" s="201">
        <f>SUM(K82)</f>
        <v>2200</v>
      </c>
      <c r="L81" s="73">
        <f t="shared" si="14"/>
        <v>33.731984053971175</v>
      </c>
      <c r="M81" s="57"/>
      <c r="N81" s="201">
        <f>SUM(N82)</f>
        <v>24</v>
      </c>
      <c r="O81" s="73">
        <f t="shared" si="15"/>
        <v>0.36798528058877644</v>
      </c>
      <c r="P81" s="57"/>
      <c r="Q81" s="201">
        <f>SUM(Q82)</f>
        <v>2</v>
      </c>
      <c r="R81" s="191">
        <f t="shared" si="17"/>
        <v>3.0665440049064706E-2</v>
      </c>
    </row>
    <row r="82" spans="1:18" ht="13" customHeight="1">
      <c r="A82" s="95" t="s">
        <v>217</v>
      </c>
      <c r="B82" s="58">
        <f t="shared" si="18"/>
        <v>6522</v>
      </c>
      <c r="C82" s="73">
        <f t="shared" si="16"/>
        <v>15.315611497275972</v>
      </c>
      <c r="E82" s="201">
        <f>SUM(E83:E91)</f>
        <v>1802</v>
      </c>
      <c r="F82" s="73">
        <f t="shared" si="12"/>
        <v>27.629561484207301</v>
      </c>
      <c r="G82" s="57" t="s">
        <v>128</v>
      </c>
      <c r="H82" s="201">
        <f>SUM(H83:H91)</f>
        <v>2494</v>
      </c>
      <c r="I82" s="73">
        <f t="shared" si="13"/>
        <v>38.239803741183685</v>
      </c>
      <c r="J82" s="57" t="s">
        <v>128</v>
      </c>
      <c r="K82" s="201">
        <f>SUM(K83:K91)</f>
        <v>2200</v>
      </c>
      <c r="L82" s="73">
        <f t="shared" si="14"/>
        <v>33.731984053971175</v>
      </c>
      <c r="M82" s="57" t="s">
        <v>128</v>
      </c>
      <c r="N82" s="201">
        <f>SUM(N83:N91)</f>
        <v>24</v>
      </c>
      <c r="O82" s="73">
        <f t="shared" si="15"/>
        <v>0.36798528058877644</v>
      </c>
      <c r="P82" s="57" t="s">
        <v>128</v>
      </c>
      <c r="Q82" s="201">
        <f>SUM(Q83:Q91)</f>
        <v>2</v>
      </c>
      <c r="R82" s="191">
        <f t="shared" si="17"/>
        <v>3.0665440049064706E-2</v>
      </c>
    </row>
    <row r="83" spans="1:18" ht="13" customHeight="1">
      <c r="A83" s="33" t="s">
        <v>1921</v>
      </c>
      <c r="B83" s="58">
        <f t="shared" si="18"/>
        <v>533</v>
      </c>
      <c r="C83" s="73">
        <f t="shared" si="16"/>
        <v>1.2516438098816456</v>
      </c>
      <c r="E83" s="824">
        <v>128</v>
      </c>
      <c r="F83" s="73">
        <f t="shared" si="12"/>
        <v>24.015009380863038</v>
      </c>
      <c r="G83" s="824"/>
      <c r="H83" s="824">
        <v>252</v>
      </c>
      <c r="I83" s="73">
        <f t="shared" si="13"/>
        <v>47.27954971857411</v>
      </c>
      <c r="J83" s="824"/>
      <c r="K83" s="824">
        <v>151</v>
      </c>
      <c r="L83" s="73">
        <f t="shared" si="14"/>
        <v>28.330206378986865</v>
      </c>
      <c r="M83" s="824"/>
      <c r="N83" s="824">
        <v>2</v>
      </c>
      <c r="O83" s="73">
        <f t="shared" si="15"/>
        <v>0.37523452157598497</v>
      </c>
      <c r="P83" s="824"/>
      <c r="Q83" s="824">
        <v>0</v>
      </c>
      <c r="R83" s="191">
        <f t="shared" si="17"/>
        <v>0</v>
      </c>
    </row>
    <row r="84" spans="1:18" ht="13" customHeight="1">
      <c r="A84" s="95" t="s">
        <v>218</v>
      </c>
      <c r="B84" s="58">
        <f t="shared" si="18"/>
        <v>942</v>
      </c>
      <c r="C84" s="73">
        <f t="shared" si="16"/>
        <v>2.2120984407289122</v>
      </c>
      <c r="E84" s="824">
        <v>234</v>
      </c>
      <c r="F84" s="73">
        <f t="shared" si="12"/>
        <v>24.840764331210192</v>
      </c>
      <c r="G84" s="824"/>
      <c r="H84" s="824">
        <v>347</v>
      </c>
      <c r="I84" s="73">
        <f t="shared" si="13"/>
        <v>36.836518046709124</v>
      </c>
      <c r="J84" s="824"/>
      <c r="K84" s="824">
        <v>356</v>
      </c>
      <c r="L84" s="73">
        <f t="shared" si="14"/>
        <v>37.791932059447987</v>
      </c>
      <c r="M84" s="824"/>
      <c r="N84" s="824">
        <v>5</v>
      </c>
      <c r="O84" s="73">
        <f t="shared" si="15"/>
        <v>0.53078556263269638</v>
      </c>
      <c r="P84" s="824"/>
      <c r="Q84" s="824">
        <v>0</v>
      </c>
      <c r="R84" s="191">
        <f t="shared" si="17"/>
        <v>0</v>
      </c>
    </row>
    <row r="85" spans="1:18" ht="13" customHeight="1">
      <c r="A85" s="95" t="s">
        <v>220</v>
      </c>
      <c r="B85" s="58">
        <f t="shared" si="18"/>
        <v>1200</v>
      </c>
      <c r="C85" s="73">
        <f t="shared" si="16"/>
        <v>2.8179597971068944</v>
      </c>
      <c r="E85" s="824">
        <v>356</v>
      </c>
      <c r="F85" s="73">
        <f t="shared" si="12"/>
        <v>29.666666666666668</v>
      </c>
      <c r="G85" s="824"/>
      <c r="H85" s="824">
        <v>491</v>
      </c>
      <c r="I85" s="73">
        <f t="shared" si="13"/>
        <v>40.916666666666671</v>
      </c>
      <c r="J85" s="824"/>
      <c r="K85" s="824">
        <v>348</v>
      </c>
      <c r="L85" s="73">
        <f t="shared" si="14"/>
        <v>28.999999999999996</v>
      </c>
      <c r="M85" s="824"/>
      <c r="N85" s="824">
        <v>3</v>
      </c>
      <c r="O85" s="73">
        <f t="shared" si="15"/>
        <v>0.25</v>
      </c>
      <c r="P85" s="824"/>
      <c r="Q85" s="824">
        <v>2</v>
      </c>
      <c r="R85" s="191">
        <f t="shared" si="17"/>
        <v>0.16666666666666669</v>
      </c>
    </row>
    <row r="86" spans="1:18" ht="13" customHeight="1">
      <c r="A86" s="95" t="s">
        <v>222</v>
      </c>
      <c r="B86" s="58">
        <f t="shared" si="18"/>
        <v>552</v>
      </c>
      <c r="C86" s="73">
        <f t="shared" si="16"/>
        <v>1.2962615066691714</v>
      </c>
      <c r="E86" s="824">
        <v>126</v>
      </c>
      <c r="F86" s="73">
        <f t="shared" si="12"/>
        <v>22.826086956521738</v>
      </c>
      <c r="G86" s="824"/>
      <c r="H86" s="824">
        <v>121</v>
      </c>
      <c r="I86" s="73">
        <f t="shared" si="13"/>
        <v>21.920289855072465</v>
      </c>
      <c r="J86" s="824"/>
      <c r="K86" s="824">
        <v>300</v>
      </c>
      <c r="L86" s="73">
        <f t="shared" si="14"/>
        <v>54.347826086956516</v>
      </c>
      <c r="M86" s="824"/>
      <c r="N86" s="824">
        <v>5</v>
      </c>
      <c r="O86" s="73">
        <f t="shared" si="15"/>
        <v>0.90579710144927539</v>
      </c>
      <c r="P86" s="824"/>
      <c r="Q86" s="824">
        <v>0</v>
      </c>
      <c r="R86" s="191">
        <f t="shared" si="17"/>
        <v>0</v>
      </c>
    </row>
    <row r="87" spans="1:18" ht="13" customHeight="1">
      <c r="A87" s="95" t="s">
        <v>221</v>
      </c>
      <c r="B87" s="58">
        <f t="shared" si="18"/>
        <v>592</v>
      </c>
      <c r="C87" s="73">
        <f t="shared" si="16"/>
        <v>1.3901934999060681</v>
      </c>
      <c r="E87" s="824">
        <v>153</v>
      </c>
      <c r="F87" s="73">
        <f t="shared" si="12"/>
        <v>25.844594594594593</v>
      </c>
      <c r="G87" s="824"/>
      <c r="H87" s="824">
        <v>196</v>
      </c>
      <c r="I87" s="73">
        <f t="shared" si="13"/>
        <v>33.108108108108105</v>
      </c>
      <c r="J87" s="824"/>
      <c r="K87" s="824">
        <v>240</v>
      </c>
      <c r="L87" s="73">
        <f t="shared" si="14"/>
        <v>40.54054054054054</v>
      </c>
      <c r="M87" s="824"/>
      <c r="N87" s="824">
        <v>3</v>
      </c>
      <c r="O87" s="73">
        <f t="shared" si="15"/>
        <v>0.5067567567567568</v>
      </c>
      <c r="P87" s="824"/>
      <c r="Q87" s="824">
        <v>0</v>
      </c>
      <c r="R87" s="191">
        <f t="shared" si="17"/>
        <v>0</v>
      </c>
    </row>
    <row r="88" spans="1:18" ht="13" customHeight="1">
      <c r="A88" s="95" t="s">
        <v>219</v>
      </c>
      <c r="B88" s="58">
        <f t="shared" si="18"/>
        <v>808</v>
      </c>
      <c r="C88" s="73">
        <f t="shared" si="16"/>
        <v>1.897426263385309</v>
      </c>
      <c r="E88" s="824">
        <v>222</v>
      </c>
      <c r="F88" s="73">
        <f t="shared" si="12"/>
        <v>27.475247524752476</v>
      </c>
      <c r="G88" s="824"/>
      <c r="H88" s="824">
        <v>267</v>
      </c>
      <c r="I88" s="73">
        <f t="shared" si="13"/>
        <v>33.044554455445549</v>
      </c>
      <c r="J88" s="824"/>
      <c r="K88" s="824">
        <v>316</v>
      </c>
      <c r="L88" s="73">
        <f t="shared" si="14"/>
        <v>39.10891089108911</v>
      </c>
      <c r="M88" s="824"/>
      <c r="N88" s="824">
        <v>3</v>
      </c>
      <c r="O88" s="73">
        <f t="shared" si="15"/>
        <v>0.37128712871287128</v>
      </c>
      <c r="P88" s="824"/>
      <c r="Q88" s="824">
        <v>0</v>
      </c>
      <c r="R88" s="191">
        <f t="shared" si="17"/>
        <v>0</v>
      </c>
    </row>
    <row r="89" spans="1:18" ht="13" customHeight="1">
      <c r="A89" s="95" t="s">
        <v>223</v>
      </c>
      <c r="B89" s="58">
        <f t="shared" si="18"/>
        <v>735</v>
      </c>
      <c r="C89" s="73">
        <f t="shared" si="16"/>
        <v>1.7260003757279727</v>
      </c>
      <c r="E89" s="824">
        <v>252</v>
      </c>
      <c r="F89" s="73">
        <f t="shared" si="12"/>
        <v>34.285714285714285</v>
      </c>
      <c r="G89" s="824"/>
      <c r="H89" s="824">
        <v>306</v>
      </c>
      <c r="I89" s="73">
        <f t="shared" si="13"/>
        <v>41.632653061224488</v>
      </c>
      <c r="J89" s="824"/>
      <c r="K89" s="824">
        <v>176</v>
      </c>
      <c r="L89" s="73">
        <f t="shared" si="14"/>
        <v>23.945578231292515</v>
      </c>
      <c r="M89" s="824"/>
      <c r="N89" s="824">
        <v>1</v>
      </c>
      <c r="O89" s="73">
        <f t="shared" si="15"/>
        <v>0.13605442176870747</v>
      </c>
      <c r="P89" s="824"/>
      <c r="Q89" s="824">
        <v>0</v>
      </c>
      <c r="R89" s="191">
        <f t="shared" si="17"/>
        <v>0</v>
      </c>
    </row>
    <row r="90" spans="1:18" ht="13" customHeight="1">
      <c r="A90" s="95" t="s">
        <v>226</v>
      </c>
      <c r="B90" s="58">
        <f t="shared" si="18"/>
        <v>436</v>
      </c>
      <c r="C90" s="73">
        <f t="shared" si="16"/>
        <v>1.0238587262821719</v>
      </c>
      <c r="E90" s="824">
        <v>133</v>
      </c>
      <c r="F90" s="73">
        <f t="shared" si="12"/>
        <v>30.504587155963304</v>
      </c>
      <c r="G90" s="824"/>
      <c r="H90" s="824">
        <v>156</v>
      </c>
      <c r="I90" s="73">
        <f t="shared" si="13"/>
        <v>35.779816513761467</v>
      </c>
      <c r="J90" s="824"/>
      <c r="K90" s="824">
        <v>147</v>
      </c>
      <c r="L90" s="73">
        <f t="shared" si="14"/>
        <v>33.715596330275226</v>
      </c>
      <c r="M90" s="824"/>
      <c r="N90" s="824">
        <v>0</v>
      </c>
      <c r="O90" s="73">
        <f t="shared" si="15"/>
        <v>0</v>
      </c>
      <c r="P90" s="824"/>
      <c r="Q90" s="824">
        <v>0</v>
      </c>
      <c r="R90" s="191">
        <f t="shared" si="17"/>
        <v>0</v>
      </c>
    </row>
    <row r="91" spans="1:18" ht="13" customHeight="1">
      <c r="A91" s="95" t="s">
        <v>225</v>
      </c>
      <c r="B91" s="58">
        <f t="shared" si="18"/>
        <v>724</v>
      </c>
      <c r="C91" s="73">
        <f t="shared" si="16"/>
        <v>1.7001690775878264</v>
      </c>
      <c r="E91" s="824">
        <v>198</v>
      </c>
      <c r="F91" s="73">
        <f t="shared" si="12"/>
        <v>27.348066298342545</v>
      </c>
      <c r="G91" s="824"/>
      <c r="H91" s="824">
        <v>358</v>
      </c>
      <c r="I91" s="73">
        <f t="shared" si="13"/>
        <v>49.447513812154696</v>
      </c>
      <c r="J91" s="824"/>
      <c r="K91" s="824">
        <v>166</v>
      </c>
      <c r="L91" s="73">
        <f t="shared" si="14"/>
        <v>22.928176795580111</v>
      </c>
      <c r="M91" s="824"/>
      <c r="N91" s="824">
        <v>2</v>
      </c>
      <c r="O91" s="73">
        <f t="shared" si="15"/>
        <v>0.27624309392265189</v>
      </c>
      <c r="P91" s="824"/>
      <c r="Q91" s="824">
        <v>0</v>
      </c>
      <c r="R91" s="191">
        <f t="shared" si="17"/>
        <v>0</v>
      </c>
    </row>
    <row r="92" spans="1:18" ht="13" customHeight="1">
      <c r="C92" s="73" t="str">
        <f t="shared" si="16"/>
        <v/>
      </c>
      <c r="E92" s="825"/>
      <c r="F92" s="73" t="str">
        <f t="shared" si="12"/>
        <v/>
      </c>
      <c r="G92" s="825"/>
      <c r="H92" s="825"/>
      <c r="I92" s="73" t="str">
        <f t="shared" si="13"/>
        <v/>
      </c>
      <c r="J92" s="825"/>
      <c r="K92" s="825"/>
      <c r="L92" s="73" t="str">
        <f t="shared" si="14"/>
        <v/>
      </c>
      <c r="M92" s="825"/>
      <c r="N92" s="825"/>
      <c r="O92" s="73" t="str">
        <f t="shared" si="15"/>
        <v/>
      </c>
      <c r="P92" s="825"/>
      <c r="Q92" s="825"/>
      <c r="R92" s="191" t="str">
        <f t="shared" si="17"/>
        <v/>
      </c>
    </row>
    <row r="93" spans="1:18" ht="13" customHeight="1">
      <c r="A93" s="95" t="s">
        <v>534</v>
      </c>
      <c r="B93" s="58">
        <f t="shared" ref="B93:B103" si="19">SUM(E93+H93+K93+N93+Q93)</f>
        <v>10</v>
      </c>
      <c r="C93" s="73">
        <f t="shared" si="16"/>
        <v>2.3482998309224123E-2</v>
      </c>
      <c r="E93" s="826">
        <v>10</v>
      </c>
      <c r="F93" s="73">
        <f t="shared" si="12"/>
        <v>100</v>
      </c>
      <c r="G93" s="826"/>
      <c r="H93" s="826">
        <v>0</v>
      </c>
      <c r="I93" s="73">
        <f t="shared" si="13"/>
        <v>0</v>
      </c>
      <c r="J93" s="826"/>
      <c r="K93" s="826">
        <v>0</v>
      </c>
      <c r="L93" s="73">
        <f t="shared" si="14"/>
        <v>0</v>
      </c>
      <c r="M93" s="826"/>
      <c r="N93" s="826">
        <v>0</v>
      </c>
      <c r="O93" s="73">
        <f t="shared" si="15"/>
        <v>0</v>
      </c>
      <c r="P93" s="826"/>
      <c r="Q93" s="826">
        <v>0</v>
      </c>
      <c r="R93" s="191">
        <f t="shared" si="17"/>
        <v>0</v>
      </c>
    </row>
    <row r="94" spans="1:18" ht="13" customHeight="1">
      <c r="C94" s="73" t="str">
        <f t="shared" si="16"/>
        <v/>
      </c>
      <c r="E94" s="601"/>
      <c r="F94" s="73" t="str">
        <f t="shared" si="12"/>
        <v/>
      </c>
      <c r="G94" s="601"/>
      <c r="H94" s="601"/>
      <c r="I94" s="73" t="str">
        <f t="shared" si="13"/>
        <v/>
      </c>
      <c r="J94" s="601"/>
      <c r="K94" s="601"/>
      <c r="L94" s="73" t="str">
        <f t="shared" si="14"/>
        <v/>
      </c>
      <c r="M94" s="601"/>
      <c r="N94" s="601"/>
      <c r="O94" s="73" t="str">
        <f t="shared" si="15"/>
        <v/>
      </c>
      <c r="P94" s="601"/>
      <c r="Q94" s="601"/>
      <c r="R94" s="191" t="str">
        <f t="shared" si="17"/>
        <v/>
      </c>
    </row>
    <row r="95" spans="1:18" ht="13" customHeight="1">
      <c r="A95" s="33" t="s">
        <v>535</v>
      </c>
      <c r="B95" s="58">
        <f t="shared" si="19"/>
        <v>438</v>
      </c>
      <c r="C95" s="73">
        <f t="shared" si="16"/>
        <v>1.0285553259440166</v>
      </c>
      <c r="E95" s="824">
        <v>66</v>
      </c>
      <c r="F95" s="73">
        <f t="shared" si="12"/>
        <v>15.068493150684931</v>
      </c>
      <c r="G95" s="824"/>
      <c r="H95" s="824">
        <v>183</v>
      </c>
      <c r="I95" s="73">
        <f t="shared" si="13"/>
        <v>41.780821917808218</v>
      </c>
      <c r="J95" s="824"/>
      <c r="K95" s="824">
        <v>189</v>
      </c>
      <c r="L95" s="73">
        <f t="shared" si="14"/>
        <v>43.150684931506852</v>
      </c>
      <c r="M95" s="824"/>
      <c r="N95" s="824">
        <v>0</v>
      </c>
      <c r="O95" s="73">
        <f t="shared" si="15"/>
        <v>0</v>
      </c>
      <c r="P95" s="824"/>
      <c r="Q95" s="824">
        <v>0</v>
      </c>
      <c r="R95" s="191">
        <f t="shared" si="17"/>
        <v>0</v>
      </c>
    </row>
    <row r="96" spans="1:18" ht="13" customHeight="1">
      <c r="A96" s="33" t="s">
        <v>2224</v>
      </c>
      <c r="B96" s="58">
        <f t="shared" si="19"/>
        <v>755</v>
      </c>
      <c r="C96" s="73">
        <f t="shared" si="16"/>
        <v>1.7729663723464211</v>
      </c>
      <c r="E96" s="824">
        <v>197</v>
      </c>
      <c r="F96" s="73">
        <f t="shared" si="12"/>
        <v>26.092715231788077</v>
      </c>
      <c r="G96" s="824"/>
      <c r="H96" s="824">
        <v>230</v>
      </c>
      <c r="I96" s="73">
        <f t="shared" si="13"/>
        <v>30.463576158940398</v>
      </c>
      <c r="J96" s="824"/>
      <c r="K96" s="824">
        <v>323</v>
      </c>
      <c r="L96" s="73">
        <f t="shared" si="14"/>
        <v>42.781456953642383</v>
      </c>
      <c r="M96" s="824"/>
      <c r="N96" s="824">
        <v>5</v>
      </c>
      <c r="O96" s="73">
        <f t="shared" si="15"/>
        <v>0.66225165562913912</v>
      </c>
      <c r="P96" s="824"/>
      <c r="Q96" s="824">
        <v>0</v>
      </c>
      <c r="R96" s="191"/>
    </row>
    <row r="97" spans="1:19" ht="13" customHeight="1">
      <c r="C97" s="73" t="str">
        <f t="shared" si="16"/>
        <v/>
      </c>
      <c r="E97" s="201"/>
      <c r="F97" s="73" t="str">
        <f t="shared" si="12"/>
        <v/>
      </c>
      <c r="G97" s="57"/>
      <c r="H97" s="201"/>
      <c r="I97" s="73" t="str">
        <f t="shared" si="13"/>
        <v/>
      </c>
      <c r="J97" s="57"/>
      <c r="K97" s="201"/>
      <c r="L97" s="73" t="str">
        <f t="shared" si="14"/>
        <v/>
      </c>
      <c r="M97" s="57"/>
      <c r="N97" s="201"/>
      <c r="O97" s="73" t="str">
        <f t="shared" si="15"/>
        <v/>
      </c>
      <c r="P97" s="57"/>
      <c r="Q97" s="201"/>
      <c r="R97" s="191" t="str">
        <f t="shared" si="17"/>
        <v/>
      </c>
    </row>
    <row r="98" spans="1:19" ht="13" customHeight="1">
      <c r="A98" s="55" t="s">
        <v>423</v>
      </c>
      <c r="B98" s="58">
        <f t="shared" si="19"/>
        <v>9780</v>
      </c>
      <c r="C98" s="73">
        <f t="shared" si="16"/>
        <v>22.966372346421192</v>
      </c>
      <c r="E98" s="201">
        <f>SUM(E99:E103)</f>
        <v>2505</v>
      </c>
      <c r="F98" s="73">
        <f t="shared" si="12"/>
        <v>25.613496932515339</v>
      </c>
      <c r="G98" s="57" t="s">
        <v>128</v>
      </c>
      <c r="H98" s="201">
        <f>SUM(H99:H103)</f>
        <v>4128</v>
      </c>
      <c r="I98" s="73">
        <f t="shared" si="13"/>
        <v>42.208588957055213</v>
      </c>
      <c r="J98" s="57" t="s">
        <v>128</v>
      </c>
      <c r="K98" s="201">
        <f>SUM(K99:K103)</f>
        <v>3019</v>
      </c>
      <c r="L98" s="73">
        <f t="shared" si="14"/>
        <v>30.869120654396724</v>
      </c>
      <c r="M98" s="57" t="s">
        <v>128</v>
      </c>
      <c r="N98" s="201">
        <f>SUM(N99:N103)</f>
        <v>124</v>
      </c>
      <c r="O98" s="73">
        <f t="shared" si="15"/>
        <v>1.2678936605316973</v>
      </c>
      <c r="P98" s="57"/>
      <c r="Q98" s="201">
        <f>SUM(Q99:Q103)</f>
        <v>4</v>
      </c>
      <c r="R98" s="191">
        <f t="shared" si="17"/>
        <v>4.0899795501022497E-2</v>
      </c>
    </row>
    <row r="99" spans="1:19" ht="13" customHeight="1">
      <c r="A99" s="95" t="s">
        <v>424</v>
      </c>
      <c r="B99" s="58">
        <f t="shared" si="19"/>
        <v>3003</v>
      </c>
      <c r="C99" s="73">
        <f t="shared" si="16"/>
        <v>7.0519443922600038</v>
      </c>
      <c r="E99" s="824">
        <v>824</v>
      </c>
      <c r="F99" s="73">
        <f t="shared" si="12"/>
        <v>27.439227439227437</v>
      </c>
      <c r="G99" s="824"/>
      <c r="H99" s="824">
        <v>1044</v>
      </c>
      <c r="I99" s="73">
        <f t="shared" si="13"/>
        <v>34.765234765234766</v>
      </c>
      <c r="J99" s="824"/>
      <c r="K99" s="824">
        <v>1068</v>
      </c>
      <c r="L99" s="73">
        <f t="shared" si="14"/>
        <v>35.564435564435563</v>
      </c>
      <c r="M99" s="824"/>
      <c r="N99" s="824">
        <v>66</v>
      </c>
      <c r="O99" s="73">
        <f t="shared" si="15"/>
        <v>2.197802197802198</v>
      </c>
      <c r="P99" s="824"/>
      <c r="Q99" s="824">
        <v>1</v>
      </c>
      <c r="R99" s="191">
        <f t="shared" si="17"/>
        <v>3.3300033300033297E-2</v>
      </c>
    </row>
    <row r="100" spans="1:19" ht="13" customHeight="1">
      <c r="A100" s="95" t="s">
        <v>425</v>
      </c>
      <c r="B100" s="58">
        <f t="shared" si="19"/>
        <v>1995</v>
      </c>
      <c r="C100" s="73">
        <f t="shared" si="16"/>
        <v>4.6848581626902117</v>
      </c>
      <c r="E100" s="824">
        <v>529</v>
      </c>
      <c r="F100" s="73">
        <f t="shared" si="12"/>
        <v>26.516290726817044</v>
      </c>
      <c r="G100" s="824"/>
      <c r="H100" s="824">
        <v>851</v>
      </c>
      <c r="I100" s="73">
        <f t="shared" si="13"/>
        <v>42.656641604010026</v>
      </c>
      <c r="J100" s="824"/>
      <c r="K100" s="824">
        <v>586</v>
      </c>
      <c r="L100" s="73">
        <f t="shared" si="14"/>
        <v>29.373433583959901</v>
      </c>
      <c r="M100" s="824"/>
      <c r="N100" s="824">
        <v>28</v>
      </c>
      <c r="O100" s="73">
        <f t="shared" si="15"/>
        <v>1.4035087719298245</v>
      </c>
      <c r="P100" s="824"/>
      <c r="Q100" s="824">
        <v>1</v>
      </c>
      <c r="R100" s="191">
        <f t="shared" si="17"/>
        <v>5.0125313283208017E-2</v>
      </c>
    </row>
    <row r="101" spans="1:19" ht="13" customHeight="1">
      <c r="A101" s="95" t="s">
        <v>426</v>
      </c>
      <c r="B101" s="58">
        <f t="shared" si="19"/>
        <v>2122</v>
      </c>
      <c r="C101" s="73">
        <f t="shared" si="16"/>
        <v>4.9830922412173591</v>
      </c>
      <c r="E101" s="824">
        <v>519</v>
      </c>
      <c r="F101" s="73">
        <f t="shared" si="12"/>
        <v>24.458058435438264</v>
      </c>
      <c r="G101" s="824"/>
      <c r="H101" s="824">
        <v>937</v>
      </c>
      <c r="I101" s="73">
        <f t="shared" si="13"/>
        <v>44.156456173421297</v>
      </c>
      <c r="J101" s="824"/>
      <c r="K101" s="824">
        <v>649</v>
      </c>
      <c r="L101" s="73">
        <f t="shared" si="14"/>
        <v>30.584354382657867</v>
      </c>
      <c r="M101" s="824"/>
      <c r="N101" s="824">
        <v>16</v>
      </c>
      <c r="O101" s="73">
        <f t="shared" si="15"/>
        <v>0.75400565504241279</v>
      </c>
      <c r="P101" s="824"/>
      <c r="Q101" s="824">
        <v>1</v>
      </c>
      <c r="R101" s="191">
        <f t="shared" si="17"/>
        <v>4.71253534401508E-2</v>
      </c>
    </row>
    <row r="102" spans="1:19" ht="13" customHeight="1">
      <c r="A102" s="33" t="s">
        <v>427</v>
      </c>
      <c r="B102" s="58">
        <f t="shared" si="19"/>
        <v>1324</v>
      </c>
      <c r="C102" s="73">
        <f t="shared" si="16"/>
        <v>3.1091489761412738</v>
      </c>
      <c r="E102" s="824">
        <v>358</v>
      </c>
      <c r="F102" s="73">
        <f t="shared" si="12"/>
        <v>27.0392749244713</v>
      </c>
      <c r="G102" s="824"/>
      <c r="H102" s="824">
        <v>640</v>
      </c>
      <c r="I102" s="73">
        <f t="shared" si="13"/>
        <v>48.338368580060425</v>
      </c>
      <c r="J102" s="824"/>
      <c r="K102" s="824">
        <v>323</v>
      </c>
      <c r="L102" s="73">
        <f t="shared" si="14"/>
        <v>24.395770392749245</v>
      </c>
      <c r="M102" s="824"/>
      <c r="N102" s="824">
        <v>2</v>
      </c>
      <c r="O102" s="73">
        <f t="shared" si="15"/>
        <v>0.15105740181268881</v>
      </c>
      <c r="P102" s="824"/>
      <c r="Q102" s="824">
        <v>1</v>
      </c>
      <c r="R102" s="191">
        <f t="shared" si="17"/>
        <v>7.5528700906344406E-2</v>
      </c>
    </row>
    <row r="103" spans="1:19" ht="13" customHeight="1">
      <c r="A103" s="95" t="s">
        <v>587</v>
      </c>
      <c r="B103" s="58">
        <f t="shared" si="19"/>
        <v>1336</v>
      </c>
      <c r="C103" s="73">
        <f t="shared" si="16"/>
        <v>3.1373285741123427</v>
      </c>
      <c r="E103" s="824">
        <v>275</v>
      </c>
      <c r="F103" s="73">
        <f t="shared" si="12"/>
        <v>20.58383233532934</v>
      </c>
      <c r="G103" s="824"/>
      <c r="H103" s="824">
        <v>656</v>
      </c>
      <c r="I103" s="73">
        <f t="shared" si="13"/>
        <v>49.101796407185624</v>
      </c>
      <c r="J103" s="824"/>
      <c r="K103" s="824">
        <v>393</v>
      </c>
      <c r="L103" s="73">
        <f t="shared" si="14"/>
        <v>29.416167664670656</v>
      </c>
      <c r="M103" s="824"/>
      <c r="N103" s="824">
        <v>12</v>
      </c>
      <c r="O103" s="73">
        <f t="shared" si="15"/>
        <v>0.89820359281437123</v>
      </c>
      <c r="P103" s="824"/>
      <c r="Q103" s="824">
        <v>0</v>
      </c>
      <c r="R103" s="191">
        <f t="shared" si="17"/>
        <v>0</v>
      </c>
    </row>
    <row r="104" spans="1:19" ht="13" customHeight="1">
      <c r="C104" s="73" t="str">
        <f t="shared" si="16"/>
        <v/>
      </c>
      <c r="E104" s="824"/>
      <c r="F104" s="73" t="str">
        <f t="shared" si="12"/>
        <v/>
      </c>
      <c r="G104" s="824"/>
      <c r="H104" s="824"/>
      <c r="I104" s="73" t="str">
        <f t="shared" si="13"/>
        <v/>
      </c>
      <c r="J104" s="824"/>
      <c r="K104" s="824"/>
      <c r="L104" s="73" t="str">
        <f t="shared" si="14"/>
        <v/>
      </c>
      <c r="M104" s="824"/>
      <c r="N104" s="824"/>
      <c r="O104" s="73" t="str">
        <f t="shared" si="15"/>
        <v/>
      </c>
      <c r="P104" s="824"/>
      <c r="Q104" s="824"/>
      <c r="R104" s="191" t="str">
        <f t="shared" si="17"/>
        <v/>
      </c>
    </row>
    <row r="105" spans="1:19" ht="13" customHeight="1">
      <c r="A105" s="95" t="s">
        <v>700</v>
      </c>
      <c r="B105" s="58">
        <f>SUM(E105+H105+K105+N105+Q105)</f>
        <v>164</v>
      </c>
      <c r="C105" s="73">
        <f t="shared" si="16"/>
        <v>0.38512117227127562</v>
      </c>
      <c r="E105" s="646">
        <v>144</v>
      </c>
      <c r="F105" s="73">
        <f t="shared" si="12"/>
        <v>87.804878048780495</v>
      </c>
      <c r="G105" s="646"/>
      <c r="H105" s="646">
        <v>20</v>
      </c>
      <c r="I105" s="73">
        <f t="shared" si="13"/>
        <v>12.195121951219512</v>
      </c>
      <c r="J105" s="646"/>
      <c r="K105" s="646">
        <v>0</v>
      </c>
      <c r="L105" s="73">
        <f t="shared" si="14"/>
        <v>0</v>
      </c>
      <c r="M105" s="646"/>
      <c r="N105" s="646">
        <v>0</v>
      </c>
      <c r="O105" s="73">
        <f t="shared" si="15"/>
        <v>0</v>
      </c>
      <c r="P105" s="646"/>
      <c r="Q105" s="646">
        <v>0</v>
      </c>
      <c r="R105" s="73">
        <f t="shared" si="17"/>
        <v>0</v>
      </c>
    </row>
    <row r="106" spans="1:19" ht="13.25" customHeight="1" thickBot="1">
      <c r="A106" s="102"/>
      <c r="B106" s="197"/>
      <c r="C106" s="198"/>
      <c r="D106" s="199"/>
      <c r="E106" s="200"/>
      <c r="F106" s="198"/>
      <c r="G106" s="199"/>
      <c r="H106" s="200"/>
      <c r="I106" s="198"/>
      <c r="J106" s="199"/>
      <c r="K106" s="200"/>
      <c r="L106" s="198"/>
      <c r="M106" s="199"/>
      <c r="N106" s="200"/>
      <c r="O106" s="198"/>
      <c r="P106" s="199"/>
      <c r="Q106" s="200"/>
      <c r="R106" s="198"/>
      <c r="S106" s="198"/>
    </row>
    <row r="107" spans="1:19" ht="9.75" customHeight="1"/>
    <row r="108" spans="1:19" ht="15" customHeight="1">
      <c r="A108" s="203" t="s">
        <v>701</v>
      </c>
    </row>
    <row r="109" spans="1:19" ht="8.25" customHeight="1">
      <c r="A109" s="95" t="s">
        <v>128</v>
      </c>
    </row>
    <row r="110" spans="1:19" ht="15" customHeight="1">
      <c r="A110" s="14" t="s">
        <v>1922</v>
      </c>
      <c r="C110" s="204"/>
      <c r="D110" s="14"/>
      <c r="E110" s="58"/>
      <c r="F110" s="204"/>
      <c r="G110" s="14"/>
    </row>
    <row r="111" spans="1:19" ht="15" customHeight="1">
      <c r="A111" s="111" t="s">
        <v>452</v>
      </c>
      <c r="C111" s="204"/>
      <c r="D111" s="205"/>
    </row>
    <row r="112" spans="1:19" ht="15" customHeight="1">
      <c r="A112" s="111"/>
      <c r="C112" s="204"/>
    </row>
    <row r="113" ht="15" customHeight="1"/>
  </sheetData>
  <mergeCells count="5">
    <mergeCell ref="E7:F7"/>
    <mergeCell ref="H7:I7"/>
    <mergeCell ref="K7:L7"/>
    <mergeCell ref="N7:O7"/>
    <mergeCell ref="Q7:R7"/>
  </mergeCells>
  <conditionalFormatting sqref="B11:R105">
    <cfRule type="cellIs" dxfId="73" priority="2" operator="equal">
      <formula>0</formula>
    </cfRule>
  </conditionalFormatting>
  <conditionalFormatting sqref="A1:XFD1048576">
    <cfRule type="cellIs" dxfId="72" priority="1" operator="equal">
      <formula>0</formula>
    </cfRule>
  </conditionalFormatting>
  <printOptions horizontalCentered="1" verticalCentered="1"/>
  <pageMargins left="0" right="0" top="0" bottom="0" header="0.31496062992125984" footer="0.31496062992125984"/>
  <pageSetup scale="55" orientation="portrait" horizontalDpi="4294967293" vertic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109"/>
  <sheetViews>
    <sheetView workbookViewId="0">
      <selection activeCell="A7" sqref="A7"/>
    </sheetView>
  </sheetViews>
  <sheetFormatPr baseColWidth="10" defaultColWidth="8.83203125" defaultRowHeight="13"/>
  <cols>
    <col min="1" max="1" width="35.6640625" style="95" customWidth="1"/>
    <col min="2" max="2" width="8.33203125" style="155" customWidth="1"/>
    <col min="3" max="3" width="8.33203125" style="105" customWidth="1"/>
    <col min="4" max="4" width="2.6640625" style="95" customWidth="1"/>
    <col min="5" max="5" width="8.5" style="140" customWidth="1"/>
    <col min="6" max="6" width="8.33203125" style="105" customWidth="1"/>
    <col min="7" max="7" width="3.33203125" style="95" customWidth="1"/>
    <col min="8" max="8" width="8.33203125" style="140" customWidth="1"/>
    <col min="9" max="9" width="8.33203125" style="105" customWidth="1"/>
    <col min="10" max="10" width="2.6640625" style="95" customWidth="1"/>
    <col min="11" max="11" width="8.33203125" style="140" customWidth="1"/>
    <col min="12" max="12" width="8.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19" width="2.6640625" style="95" customWidth="1"/>
    <col min="20" max="20" width="4.6640625" style="95" customWidth="1"/>
    <col min="21" max="21" width="3.33203125" style="33" customWidth="1"/>
    <col min="22" max="255" width="8.83203125" style="95"/>
    <col min="256" max="256" width="35.6640625" style="95" customWidth="1"/>
    <col min="257" max="258" width="8.33203125" style="95" customWidth="1"/>
    <col min="259" max="259" width="2.6640625" style="95" customWidth="1"/>
    <col min="260" max="260" width="8.5" style="95" customWidth="1"/>
    <col min="261" max="261" width="8.33203125" style="95" customWidth="1"/>
    <col min="262" max="262" width="3.33203125" style="95" customWidth="1"/>
    <col min="263" max="264" width="8.33203125" style="95" customWidth="1"/>
    <col min="265" max="265" width="2.6640625" style="95" customWidth="1"/>
    <col min="266" max="266" width="8.33203125" style="95" customWidth="1"/>
    <col min="267" max="267" width="8.5" style="95" customWidth="1"/>
    <col min="268" max="268" width="2.6640625" style="95" customWidth="1"/>
    <col min="269" max="270" width="8.33203125" style="95" customWidth="1"/>
    <col min="271" max="271" width="2.6640625" style="95" customWidth="1"/>
    <col min="272" max="273" width="8.33203125" style="95" customWidth="1"/>
    <col min="274" max="274" width="2.6640625" style="95" customWidth="1"/>
    <col min="275" max="275" width="4.6640625" style="95" customWidth="1"/>
    <col min="276" max="276" width="3.33203125" style="95" customWidth="1"/>
    <col min="277" max="277" width="6.6640625" style="95" customWidth="1"/>
    <col min="278" max="511" width="8.83203125" style="95"/>
    <col min="512" max="512" width="35.6640625" style="95" customWidth="1"/>
    <col min="513" max="514" width="8.33203125" style="95" customWidth="1"/>
    <col min="515" max="515" width="2.6640625" style="95" customWidth="1"/>
    <col min="516" max="516" width="8.5" style="95" customWidth="1"/>
    <col min="517" max="517" width="8.33203125" style="95" customWidth="1"/>
    <col min="518" max="518" width="3.33203125" style="95" customWidth="1"/>
    <col min="519" max="520" width="8.33203125" style="95" customWidth="1"/>
    <col min="521" max="521" width="2.6640625" style="95" customWidth="1"/>
    <col min="522" max="522" width="8.33203125" style="95" customWidth="1"/>
    <col min="523" max="523" width="8.5" style="95" customWidth="1"/>
    <col min="524" max="524" width="2.6640625" style="95" customWidth="1"/>
    <col min="525" max="526" width="8.33203125" style="95" customWidth="1"/>
    <col min="527" max="527" width="2.6640625" style="95" customWidth="1"/>
    <col min="528" max="529" width="8.33203125" style="95" customWidth="1"/>
    <col min="530" max="530" width="2.6640625" style="95" customWidth="1"/>
    <col min="531" max="531" width="4.6640625" style="95" customWidth="1"/>
    <col min="532" max="532" width="3.33203125" style="95" customWidth="1"/>
    <col min="533" max="533" width="6.6640625" style="95" customWidth="1"/>
    <col min="534" max="767" width="8.83203125" style="95"/>
    <col min="768" max="768" width="35.6640625" style="95" customWidth="1"/>
    <col min="769" max="770" width="8.33203125" style="95" customWidth="1"/>
    <col min="771" max="771" width="2.6640625" style="95" customWidth="1"/>
    <col min="772" max="772" width="8.5" style="95" customWidth="1"/>
    <col min="773" max="773" width="8.33203125" style="95" customWidth="1"/>
    <col min="774" max="774" width="3.33203125" style="95" customWidth="1"/>
    <col min="775" max="776" width="8.33203125" style="95" customWidth="1"/>
    <col min="777" max="777" width="2.6640625" style="95" customWidth="1"/>
    <col min="778" max="778" width="8.33203125" style="95" customWidth="1"/>
    <col min="779" max="779" width="8.5" style="95" customWidth="1"/>
    <col min="780" max="780" width="2.6640625" style="95" customWidth="1"/>
    <col min="781" max="782" width="8.33203125" style="95" customWidth="1"/>
    <col min="783" max="783" width="2.6640625" style="95" customWidth="1"/>
    <col min="784" max="785" width="8.33203125" style="95" customWidth="1"/>
    <col min="786" max="786" width="2.6640625" style="95" customWidth="1"/>
    <col min="787" max="787" width="4.6640625" style="95" customWidth="1"/>
    <col min="788" max="788" width="3.33203125" style="95" customWidth="1"/>
    <col min="789" max="789" width="6.6640625" style="95" customWidth="1"/>
    <col min="790" max="1023" width="8.83203125" style="95"/>
    <col min="1024" max="1024" width="35.6640625" style="95" customWidth="1"/>
    <col min="1025" max="1026" width="8.33203125" style="95" customWidth="1"/>
    <col min="1027" max="1027" width="2.6640625" style="95" customWidth="1"/>
    <col min="1028" max="1028" width="8.5" style="95" customWidth="1"/>
    <col min="1029" max="1029" width="8.33203125" style="95" customWidth="1"/>
    <col min="1030" max="1030" width="3.33203125" style="95" customWidth="1"/>
    <col min="1031" max="1032" width="8.33203125" style="95" customWidth="1"/>
    <col min="1033" max="1033" width="2.6640625" style="95" customWidth="1"/>
    <col min="1034" max="1034" width="8.33203125" style="95" customWidth="1"/>
    <col min="1035" max="1035" width="8.5" style="95" customWidth="1"/>
    <col min="1036" max="1036" width="2.6640625" style="95" customWidth="1"/>
    <col min="1037" max="1038" width="8.33203125" style="95" customWidth="1"/>
    <col min="1039" max="1039" width="2.6640625" style="95" customWidth="1"/>
    <col min="1040" max="1041" width="8.33203125" style="95" customWidth="1"/>
    <col min="1042" max="1042" width="2.6640625" style="95" customWidth="1"/>
    <col min="1043" max="1043" width="4.6640625" style="95" customWidth="1"/>
    <col min="1044" max="1044" width="3.33203125" style="95" customWidth="1"/>
    <col min="1045" max="1045" width="6.6640625" style="95" customWidth="1"/>
    <col min="1046" max="1279" width="8.83203125" style="95"/>
    <col min="1280" max="1280" width="35.6640625" style="95" customWidth="1"/>
    <col min="1281" max="1282" width="8.33203125" style="95" customWidth="1"/>
    <col min="1283" max="1283" width="2.6640625" style="95" customWidth="1"/>
    <col min="1284" max="1284" width="8.5" style="95" customWidth="1"/>
    <col min="1285" max="1285" width="8.33203125" style="95" customWidth="1"/>
    <col min="1286" max="1286" width="3.33203125" style="95" customWidth="1"/>
    <col min="1287" max="1288" width="8.33203125" style="95" customWidth="1"/>
    <col min="1289" max="1289" width="2.6640625" style="95" customWidth="1"/>
    <col min="1290" max="1290" width="8.33203125" style="95" customWidth="1"/>
    <col min="1291" max="1291" width="8.5" style="95" customWidth="1"/>
    <col min="1292" max="1292" width="2.6640625" style="95" customWidth="1"/>
    <col min="1293" max="1294" width="8.33203125" style="95" customWidth="1"/>
    <col min="1295" max="1295" width="2.6640625" style="95" customWidth="1"/>
    <col min="1296" max="1297" width="8.33203125" style="95" customWidth="1"/>
    <col min="1298" max="1298" width="2.6640625" style="95" customWidth="1"/>
    <col min="1299" max="1299" width="4.6640625" style="95" customWidth="1"/>
    <col min="1300" max="1300" width="3.33203125" style="95" customWidth="1"/>
    <col min="1301" max="1301" width="6.6640625" style="95" customWidth="1"/>
    <col min="1302" max="1535" width="8.83203125" style="95"/>
    <col min="1536" max="1536" width="35.6640625" style="95" customWidth="1"/>
    <col min="1537" max="1538" width="8.33203125" style="95" customWidth="1"/>
    <col min="1539" max="1539" width="2.6640625" style="95" customWidth="1"/>
    <col min="1540" max="1540" width="8.5" style="95" customWidth="1"/>
    <col min="1541" max="1541" width="8.33203125" style="95" customWidth="1"/>
    <col min="1542" max="1542" width="3.33203125" style="95" customWidth="1"/>
    <col min="1543" max="1544" width="8.33203125" style="95" customWidth="1"/>
    <col min="1545" max="1545" width="2.6640625" style="95" customWidth="1"/>
    <col min="1546" max="1546" width="8.33203125" style="95" customWidth="1"/>
    <col min="1547" max="1547" width="8.5" style="95" customWidth="1"/>
    <col min="1548" max="1548" width="2.6640625" style="95" customWidth="1"/>
    <col min="1549" max="1550" width="8.33203125" style="95" customWidth="1"/>
    <col min="1551" max="1551" width="2.6640625" style="95" customWidth="1"/>
    <col min="1552" max="1553" width="8.33203125" style="95" customWidth="1"/>
    <col min="1554" max="1554" width="2.6640625" style="95" customWidth="1"/>
    <col min="1555" max="1555" width="4.6640625" style="95" customWidth="1"/>
    <col min="1556" max="1556" width="3.33203125" style="95" customWidth="1"/>
    <col min="1557" max="1557" width="6.6640625" style="95" customWidth="1"/>
    <col min="1558" max="1791" width="8.83203125" style="95"/>
    <col min="1792" max="1792" width="35.6640625" style="95" customWidth="1"/>
    <col min="1793" max="1794" width="8.33203125" style="95" customWidth="1"/>
    <col min="1795" max="1795" width="2.6640625" style="95" customWidth="1"/>
    <col min="1796" max="1796" width="8.5" style="95" customWidth="1"/>
    <col min="1797" max="1797" width="8.33203125" style="95" customWidth="1"/>
    <col min="1798" max="1798" width="3.33203125" style="95" customWidth="1"/>
    <col min="1799" max="1800" width="8.33203125" style="95" customWidth="1"/>
    <col min="1801" max="1801" width="2.6640625" style="95" customWidth="1"/>
    <col min="1802" max="1802" width="8.33203125" style="95" customWidth="1"/>
    <col min="1803" max="1803" width="8.5" style="95" customWidth="1"/>
    <col min="1804" max="1804" width="2.6640625" style="95" customWidth="1"/>
    <col min="1805" max="1806" width="8.33203125" style="95" customWidth="1"/>
    <col min="1807" max="1807" width="2.6640625" style="95" customWidth="1"/>
    <col min="1808" max="1809" width="8.33203125" style="95" customWidth="1"/>
    <col min="1810" max="1810" width="2.6640625" style="95" customWidth="1"/>
    <col min="1811" max="1811" width="4.6640625" style="95" customWidth="1"/>
    <col min="1812" max="1812" width="3.33203125" style="95" customWidth="1"/>
    <col min="1813" max="1813" width="6.6640625" style="95" customWidth="1"/>
    <col min="1814" max="2047" width="8.83203125" style="95"/>
    <col min="2048" max="2048" width="35.6640625" style="95" customWidth="1"/>
    <col min="2049" max="2050" width="8.33203125" style="95" customWidth="1"/>
    <col min="2051" max="2051" width="2.6640625" style="95" customWidth="1"/>
    <col min="2052" max="2052" width="8.5" style="95" customWidth="1"/>
    <col min="2053" max="2053" width="8.33203125" style="95" customWidth="1"/>
    <col min="2054" max="2054" width="3.33203125" style="95" customWidth="1"/>
    <col min="2055" max="2056" width="8.33203125" style="95" customWidth="1"/>
    <col min="2057" max="2057" width="2.6640625" style="95" customWidth="1"/>
    <col min="2058" max="2058" width="8.33203125" style="95" customWidth="1"/>
    <col min="2059" max="2059" width="8.5" style="95" customWidth="1"/>
    <col min="2060" max="2060" width="2.6640625" style="95" customWidth="1"/>
    <col min="2061" max="2062" width="8.33203125" style="95" customWidth="1"/>
    <col min="2063" max="2063" width="2.6640625" style="95" customWidth="1"/>
    <col min="2064" max="2065" width="8.33203125" style="95" customWidth="1"/>
    <col min="2066" max="2066" width="2.6640625" style="95" customWidth="1"/>
    <col min="2067" max="2067" width="4.6640625" style="95" customWidth="1"/>
    <col min="2068" max="2068" width="3.33203125" style="95" customWidth="1"/>
    <col min="2069" max="2069" width="6.6640625" style="95" customWidth="1"/>
    <col min="2070" max="2303" width="8.83203125" style="95"/>
    <col min="2304" max="2304" width="35.6640625" style="95" customWidth="1"/>
    <col min="2305" max="2306" width="8.33203125" style="95" customWidth="1"/>
    <col min="2307" max="2307" width="2.6640625" style="95" customWidth="1"/>
    <col min="2308" max="2308" width="8.5" style="95" customWidth="1"/>
    <col min="2309" max="2309" width="8.33203125" style="95" customWidth="1"/>
    <col min="2310" max="2310" width="3.33203125" style="95" customWidth="1"/>
    <col min="2311" max="2312" width="8.33203125" style="95" customWidth="1"/>
    <col min="2313" max="2313" width="2.6640625" style="95" customWidth="1"/>
    <col min="2314" max="2314" width="8.33203125" style="95" customWidth="1"/>
    <col min="2315" max="2315" width="8.5" style="95" customWidth="1"/>
    <col min="2316" max="2316" width="2.6640625" style="95" customWidth="1"/>
    <col min="2317" max="2318" width="8.33203125" style="95" customWidth="1"/>
    <col min="2319" max="2319" width="2.6640625" style="95" customWidth="1"/>
    <col min="2320" max="2321" width="8.33203125" style="95" customWidth="1"/>
    <col min="2322" max="2322" width="2.6640625" style="95" customWidth="1"/>
    <col min="2323" max="2323" width="4.6640625" style="95" customWidth="1"/>
    <col min="2324" max="2324" width="3.33203125" style="95" customWidth="1"/>
    <col min="2325" max="2325" width="6.6640625" style="95" customWidth="1"/>
    <col min="2326" max="2559" width="8.83203125" style="95"/>
    <col min="2560" max="2560" width="35.6640625" style="95" customWidth="1"/>
    <col min="2561" max="2562" width="8.33203125" style="95" customWidth="1"/>
    <col min="2563" max="2563" width="2.6640625" style="95" customWidth="1"/>
    <col min="2564" max="2564" width="8.5" style="95" customWidth="1"/>
    <col min="2565" max="2565" width="8.33203125" style="95" customWidth="1"/>
    <col min="2566" max="2566" width="3.33203125" style="95" customWidth="1"/>
    <col min="2567" max="2568" width="8.33203125" style="95" customWidth="1"/>
    <col min="2569" max="2569" width="2.6640625" style="95" customWidth="1"/>
    <col min="2570" max="2570" width="8.33203125" style="95" customWidth="1"/>
    <col min="2571" max="2571" width="8.5" style="95" customWidth="1"/>
    <col min="2572" max="2572" width="2.6640625" style="95" customWidth="1"/>
    <col min="2573" max="2574" width="8.33203125" style="95" customWidth="1"/>
    <col min="2575" max="2575" width="2.6640625" style="95" customWidth="1"/>
    <col min="2576" max="2577" width="8.33203125" style="95" customWidth="1"/>
    <col min="2578" max="2578" width="2.6640625" style="95" customWidth="1"/>
    <col min="2579" max="2579" width="4.6640625" style="95" customWidth="1"/>
    <col min="2580" max="2580" width="3.33203125" style="95" customWidth="1"/>
    <col min="2581" max="2581" width="6.6640625" style="95" customWidth="1"/>
    <col min="2582" max="2815" width="8.83203125" style="95"/>
    <col min="2816" max="2816" width="35.6640625" style="95" customWidth="1"/>
    <col min="2817" max="2818" width="8.33203125" style="95" customWidth="1"/>
    <col min="2819" max="2819" width="2.6640625" style="95" customWidth="1"/>
    <col min="2820" max="2820" width="8.5" style="95" customWidth="1"/>
    <col min="2821" max="2821" width="8.33203125" style="95" customWidth="1"/>
    <col min="2822" max="2822" width="3.33203125" style="95" customWidth="1"/>
    <col min="2823" max="2824" width="8.33203125" style="95" customWidth="1"/>
    <col min="2825" max="2825" width="2.6640625" style="95" customWidth="1"/>
    <col min="2826" max="2826" width="8.33203125" style="95" customWidth="1"/>
    <col min="2827" max="2827" width="8.5" style="95" customWidth="1"/>
    <col min="2828" max="2828" width="2.6640625" style="95" customWidth="1"/>
    <col min="2829" max="2830" width="8.33203125" style="95" customWidth="1"/>
    <col min="2831" max="2831" width="2.6640625" style="95" customWidth="1"/>
    <col min="2832" max="2833" width="8.33203125" style="95" customWidth="1"/>
    <col min="2834" max="2834" width="2.6640625" style="95" customWidth="1"/>
    <col min="2835" max="2835" width="4.6640625" style="95" customWidth="1"/>
    <col min="2836" max="2836" width="3.33203125" style="95" customWidth="1"/>
    <col min="2837" max="2837" width="6.6640625" style="95" customWidth="1"/>
    <col min="2838" max="3071" width="8.83203125" style="95"/>
    <col min="3072" max="3072" width="35.6640625" style="95" customWidth="1"/>
    <col min="3073" max="3074" width="8.33203125" style="95" customWidth="1"/>
    <col min="3075" max="3075" width="2.6640625" style="95" customWidth="1"/>
    <col min="3076" max="3076" width="8.5" style="95" customWidth="1"/>
    <col min="3077" max="3077" width="8.33203125" style="95" customWidth="1"/>
    <col min="3078" max="3078" width="3.33203125" style="95" customWidth="1"/>
    <col min="3079" max="3080" width="8.33203125" style="95" customWidth="1"/>
    <col min="3081" max="3081" width="2.6640625" style="95" customWidth="1"/>
    <col min="3082" max="3082" width="8.33203125" style="95" customWidth="1"/>
    <col min="3083" max="3083" width="8.5" style="95" customWidth="1"/>
    <col min="3084" max="3084" width="2.6640625" style="95" customWidth="1"/>
    <col min="3085" max="3086" width="8.33203125" style="95" customWidth="1"/>
    <col min="3087" max="3087" width="2.6640625" style="95" customWidth="1"/>
    <col min="3088" max="3089" width="8.33203125" style="95" customWidth="1"/>
    <col min="3090" max="3090" width="2.6640625" style="95" customWidth="1"/>
    <col min="3091" max="3091" width="4.6640625" style="95" customWidth="1"/>
    <col min="3092" max="3092" width="3.33203125" style="95" customWidth="1"/>
    <col min="3093" max="3093" width="6.6640625" style="95" customWidth="1"/>
    <col min="3094" max="3327" width="8.83203125" style="95"/>
    <col min="3328" max="3328" width="35.6640625" style="95" customWidth="1"/>
    <col min="3329" max="3330" width="8.33203125" style="95" customWidth="1"/>
    <col min="3331" max="3331" width="2.6640625" style="95" customWidth="1"/>
    <col min="3332" max="3332" width="8.5" style="95" customWidth="1"/>
    <col min="3333" max="3333" width="8.33203125" style="95" customWidth="1"/>
    <col min="3334" max="3334" width="3.33203125" style="95" customWidth="1"/>
    <col min="3335" max="3336" width="8.33203125" style="95" customWidth="1"/>
    <col min="3337" max="3337" width="2.6640625" style="95" customWidth="1"/>
    <col min="3338" max="3338" width="8.33203125" style="95" customWidth="1"/>
    <col min="3339" max="3339" width="8.5" style="95" customWidth="1"/>
    <col min="3340" max="3340" width="2.6640625" style="95" customWidth="1"/>
    <col min="3341" max="3342" width="8.33203125" style="95" customWidth="1"/>
    <col min="3343" max="3343" width="2.6640625" style="95" customWidth="1"/>
    <col min="3344" max="3345" width="8.33203125" style="95" customWidth="1"/>
    <col min="3346" max="3346" width="2.6640625" style="95" customWidth="1"/>
    <col min="3347" max="3347" width="4.6640625" style="95" customWidth="1"/>
    <col min="3348" max="3348" width="3.33203125" style="95" customWidth="1"/>
    <col min="3349" max="3349" width="6.6640625" style="95" customWidth="1"/>
    <col min="3350" max="3583" width="8.83203125" style="95"/>
    <col min="3584" max="3584" width="35.6640625" style="95" customWidth="1"/>
    <col min="3585" max="3586" width="8.33203125" style="95" customWidth="1"/>
    <col min="3587" max="3587" width="2.6640625" style="95" customWidth="1"/>
    <col min="3588" max="3588" width="8.5" style="95" customWidth="1"/>
    <col min="3589" max="3589" width="8.33203125" style="95" customWidth="1"/>
    <col min="3590" max="3590" width="3.33203125" style="95" customWidth="1"/>
    <col min="3591" max="3592" width="8.33203125" style="95" customWidth="1"/>
    <col min="3593" max="3593" width="2.6640625" style="95" customWidth="1"/>
    <col min="3594" max="3594" width="8.33203125" style="95" customWidth="1"/>
    <col min="3595" max="3595" width="8.5" style="95" customWidth="1"/>
    <col min="3596" max="3596" width="2.6640625" style="95" customWidth="1"/>
    <col min="3597" max="3598" width="8.33203125" style="95" customWidth="1"/>
    <col min="3599" max="3599" width="2.6640625" style="95" customWidth="1"/>
    <col min="3600" max="3601" width="8.33203125" style="95" customWidth="1"/>
    <col min="3602" max="3602" width="2.6640625" style="95" customWidth="1"/>
    <col min="3603" max="3603" width="4.6640625" style="95" customWidth="1"/>
    <col min="3604" max="3604" width="3.33203125" style="95" customWidth="1"/>
    <col min="3605" max="3605" width="6.6640625" style="95" customWidth="1"/>
    <col min="3606" max="3839" width="8.83203125" style="95"/>
    <col min="3840" max="3840" width="35.6640625" style="95" customWidth="1"/>
    <col min="3841" max="3842" width="8.33203125" style="95" customWidth="1"/>
    <col min="3843" max="3843" width="2.6640625" style="95" customWidth="1"/>
    <col min="3844" max="3844" width="8.5" style="95" customWidth="1"/>
    <col min="3845" max="3845" width="8.33203125" style="95" customWidth="1"/>
    <col min="3846" max="3846" width="3.33203125" style="95" customWidth="1"/>
    <col min="3847" max="3848" width="8.33203125" style="95" customWidth="1"/>
    <col min="3849" max="3849" width="2.6640625" style="95" customWidth="1"/>
    <col min="3850" max="3850" width="8.33203125" style="95" customWidth="1"/>
    <col min="3851" max="3851" width="8.5" style="95" customWidth="1"/>
    <col min="3852" max="3852" width="2.6640625" style="95" customWidth="1"/>
    <col min="3853" max="3854" width="8.33203125" style="95" customWidth="1"/>
    <col min="3855" max="3855" width="2.6640625" style="95" customWidth="1"/>
    <col min="3856" max="3857" width="8.33203125" style="95" customWidth="1"/>
    <col min="3858" max="3858" width="2.6640625" style="95" customWidth="1"/>
    <col min="3859" max="3859" width="4.6640625" style="95" customWidth="1"/>
    <col min="3860" max="3860" width="3.33203125" style="95" customWidth="1"/>
    <col min="3861" max="3861" width="6.6640625" style="95" customWidth="1"/>
    <col min="3862" max="4095" width="8.83203125" style="95"/>
    <col min="4096" max="4096" width="35.6640625" style="95" customWidth="1"/>
    <col min="4097" max="4098" width="8.33203125" style="95" customWidth="1"/>
    <col min="4099" max="4099" width="2.6640625" style="95" customWidth="1"/>
    <col min="4100" max="4100" width="8.5" style="95" customWidth="1"/>
    <col min="4101" max="4101" width="8.33203125" style="95" customWidth="1"/>
    <col min="4102" max="4102" width="3.33203125" style="95" customWidth="1"/>
    <col min="4103" max="4104" width="8.33203125" style="95" customWidth="1"/>
    <col min="4105" max="4105" width="2.6640625" style="95" customWidth="1"/>
    <col min="4106" max="4106" width="8.33203125" style="95" customWidth="1"/>
    <col min="4107" max="4107" width="8.5" style="95" customWidth="1"/>
    <col min="4108" max="4108" width="2.6640625" style="95" customWidth="1"/>
    <col min="4109" max="4110" width="8.33203125" style="95" customWidth="1"/>
    <col min="4111" max="4111" width="2.6640625" style="95" customWidth="1"/>
    <col min="4112" max="4113" width="8.33203125" style="95" customWidth="1"/>
    <col min="4114" max="4114" width="2.6640625" style="95" customWidth="1"/>
    <col min="4115" max="4115" width="4.6640625" style="95" customWidth="1"/>
    <col min="4116" max="4116" width="3.33203125" style="95" customWidth="1"/>
    <col min="4117" max="4117" width="6.6640625" style="95" customWidth="1"/>
    <col min="4118" max="4351" width="8.83203125" style="95"/>
    <col min="4352" max="4352" width="35.6640625" style="95" customWidth="1"/>
    <col min="4353" max="4354" width="8.33203125" style="95" customWidth="1"/>
    <col min="4355" max="4355" width="2.6640625" style="95" customWidth="1"/>
    <col min="4356" max="4356" width="8.5" style="95" customWidth="1"/>
    <col min="4357" max="4357" width="8.33203125" style="95" customWidth="1"/>
    <col min="4358" max="4358" width="3.33203125" style="95" customWidth="1"/>
    <col min="4359" max="4360" width="8.33203125" style="95" customWidth="1"/>
    <col min="4361" max="4361" width="2.6640625" style="95" customWidth="1"/>
    <col min="4362" max="4362" width="8.33203125" style="95" customWidth="1"/>
    <col min="4363" max="4363" width="8.5" style="95" customWidth="1"/>
    <col min="4364" max="4364" width="2.6640625" style="95" customWidth="1"/>
    <col min="4365" max="4366" width="8.33203125" style="95" customWidth="1"/>
    <col min="4367" max="4367" width="2.6640625" style="95" customWidth="1"/>
    <col min="4368" max="4369" width="8.33203125" style="95" customWidth="1"/>
    <col min="4370" max="4370" width="2.6640625" style="95" customWidth="1"/>
    <col min="4371" max="4371" width="4.6640625" style="95" customWidth="1"/>
    <col min="4372" max="4372" width="3.33203125" style="95" customWidth="1"/>
    <col min="4373" max="4373" width="6.6640625" style="95" customWidth="1"/>
    <col min="4374" max="4607" width="8.83203125" style="95"/>
    <col min="4608" max="4608" width="35.6640625" style="95" customWidth="1"/>
    <col min="4609" max="4610" width="8.33203125" style="95" customWidth="1"/>
    <col min="4611" max="4611" width="2.6640625" style="95" customWidth="1"/>
    <col min="4612" max="4612" width="8.5" style="95" customWidth="1"/>
    <col min="4613" max="4613" width="8.33203125" style="95" customWidth="1"/>
    <col min="4614" max="4614" width="3.33203125" style="95" customWidth="1"/>
    <col min="4615" max="4616" width="8.33203125" style="95" customWidth="1"/>
    <col min="4617" max="4617" width="2.6640625" style="95" customWidth="1"/>
    <col min="4618" max="4618" width="8.33203125" style="95" customWidth="1"/>
    <col min="4619" max="4619" width="8.5" style="95" customWidth="1"/>
    <col min="4620" max="4620" width="2.6640625" style="95" customWidth="1"/>
    <col min="4621" max="4622" width="8.33203125" style="95" customWidth="1"/>
    <col min="4623" max="4623" width="2.6640625" style="95" customWidth="1"/>
    <col min="4624" max="4625" width="8.33203125" style="95" customWidth="1"/>
    <col min="4626" max="4626" width="2.6640625" style="95" customWidth="1"/>
    <col min="4627" max="4627" width="4.6640625" style="95" customWidth="1"/>
    <col min="4628" max="4628" width="3.33203125" style="95" customWidth="1"/>
    <col min="4629" max="4629" width="6.6640625" style="95" customWidth="1"/>
    <col min="4630" max="4863" width="8.83203125" style="95"/>
    <col min="4864" max="4864" width="35.6640625" style="95" customWidth="1"/>
    <col min="4865" max="4866" width="8.33203125" style="95" customWidth="1"/>
    <col min="4867" max="4867" width="2.6640625" style="95" customWidth="1"/>
    <col min="4868" max="4868" width="8.5" style="95" customWidth="1"/>
    <col min="4869" max="4869" width="8.33203125" style="95" customWidth="1"/>
    <col min="4870" max="4870" width="3.33203125" style="95" customWidth="1"/>
    <col min="4871" max="4872" width="8.33203125" style="95" customWidth="1"/>
    <col min="4873" max="4873" width="2.6640625" style="95" customWidth="1"/>
    <col min="4874" max="4874" width="8.33203125" style="95" customWidth="1"/>
    <col min="4875" max="4875" width="8.5" style="95" customWidth="1"/>
    <col min="4876" max="4876" width="2.6640625" style="95" customWidth="1"/>
    <col min="4877" max="4878" width="8.33203125" style="95" customWidth="1"/>
    <col min="4879" max="4879" width="2.6640625" style="95" customWidth="1"/>
    <col min="4880" max="4881" width="8.33203125" style="95" customWidth="1"/>
    <col min="4882" max="4882" width="2.6640625" style="95" customWidth="1"/>
    <col min="4883" max="4883" width="4.6640625" style="95" customWidth="1"/>
    <col min="4884" max="4884" width="3.33203125" style="95" customWidth="1"/>
    <col min="4885" max="4885" width="6.6640625" style="95" customWidth="1"/>
    <col min="4886" max="5119" width="8.83203125" style="95"/>
    <col min="5120" max="5120" width="35.6640625" style="95" customWidth="1"/>
    <col min="5121" max="5122" width="8.33203125" style="95" customWidth="1"/>
    <col min="5123" max="5123" width="2.6640625" style="95" customWidth="1"/>
    <col min="5124" max="5124" width="8.5" style="95" customWidth="1"/>
    <col min="5125" max="5125" width="8.33203125" style="95" customWidth="1"/>
    <col min="5126" max="5126" width="3.33203125" style="95" customWidth="1"/>
    <col min="5127" max="5128" width="8.33203125" style="95" customWidth="1"/>
    <col min="5129" max="5129" width="2.6640625" style="95" customWidth="1"/>
    <col min="5130" max="5130" width="8.33203125" style="95" customWidth="1"/>
    <col min="5131" max="5131" width="8.5" style="95" customWidth="1"/>
    <col min="5132" max="5132" width="2.6640625" style="95" customWidth="1"/>
    <col min="5133" max="5134" width="8.33203125" style="95" customWidth="1"/>
    <col min="5135" max="5135" width="2.6640625" style="95" customWidth="1"/>
    <col min="5136" max="5137" width="8.33203125" style="95" customWidth="1"/>
    <col min="5138" max="5138" width="2.6640625" style="95" customWidth="1"/>
    <col min="5139" max="5139" width="4.6640625" style="95" customWidth="1"/>
    <col min="5140" max="5140" width="3.33203125" style="95" customWidth="1"/>
    <col min="5141" max="5141" width="6.6640625" style="95" customWidth="1"/>
    <col min="5142" max="5375" width="8.83203125" style="95"/>
    <col min="5376" max="5376" width="35.6640625" style="95" customWidth="1"/>
    <col min="5377" max="5378" width="8.33203125" style="95" customWidth="1"/>
    <col min="5379" max="5379" width="2.6640625" style="95" customWidth="1"/>
    <col min="5380" max="5380" width="8.5" style="95" customWidth="1"/>
    <col min="5381" max="5381" width="8.33203125" style="95" customWidth="1"/>
    <col min="5382" max="5382" width="3.33203125" style="95" customWidth="1"/>
    <col min="5383" max="5384" width="8.33203125" style="95" customWidth="1"/>
    <col min="5385" max="5385" width="2.6640625" style="95" customWidth="1"/>
    <col min="5386" max="5386" width="8.33203125" style="95" customWidth="1"/>
    <col min="5387" max="5387" width="8.5" style="95" customWidth="1"/>
    <col min="5388" max="5388" width="2.6640625" style="95" customWidth="1"/>
    <col min="5389" max="5390" width="8.33203125" style="95" customWidth="1"/>
    <col min="5391" max="5391" width="2.6640625" style="95" customWidth="1"/>
    <col min="5392" max="5393" width="8.33203125" style="95" customWidth="1"/>
    <col min="5394" max="5394" width="2.6640625" style="95" customWidth="1"/>
    <col min="5395" max="5395" width="4.6640625" style="95" customWidth="1"/>
    <col min="5396" max="5396" width="3.33203125" style="95" customWidth="1"/>
    <col min="5397" max="5397" width="6.6640625" style="95" customWidth="1"/>
    <col min="5398" max="5631" width="8.83203125" style="95"/>
    <col min="5632" max="5632" width="35.6640625" style="95" customWidth="1"/>
    <col min="5633" max="5634" width="8.33203125" style="95" customWidth="1"/>
    <col min="5635" max="5635" width="2.6640625" style="95" customWidth="1"/>
    <col min="5636" max="5636" width="8.5" style="95" customWidth="1"/>
    <col min="5637" max="5637" width="8.33203125" style="95" customWidth="1"/>
    <col min="5638" max="5638" width="3.33203125" style="95" customWidth="1"/>
    <col min="5639" max="5640" width="8.33203125" style="95" customWidth="1"/>
    <col min="5641" max="5641" width="2.6640625" style="95" customWidth="1"/>
    <col min="5642" max="5642" width="8.33203125" style="95" customWidth="1"/>
    <col min="5643" max="5643" width="8.5" style="95" customWidth="1"/>
    <col min="5644" max="5644" width="2.6640625" style="95" customWidth="1"/>
    <col min="5645" max="5646" width="8.33203125" style="95" customWidth="1"/>
    <col min="5647" max="5647" width="2.6640625" style="95" customWidth="1"/>
    <col min="5648" max="5649" width="8.33203125" style="95" customWidth="1"/>
    <col min="5650" max="5650" width="2.6640625" style="95" customWidth="1"/>
    <col min="5651" max="5651" width="4.6640625" style="95" customWidth="1"/>
    <col min="5652" max="5652" width="3.33203125" style="95" customWidth="1"/>
    <col min="5653" max="5653" width="6.6640625" style="95" customWidth="1"/>
    <col min="5654" max="5887" width="8.83203125" style="95"/>
    <col min="5888" max="5888" width="35.6640625" style="95" customWidth="1"/>
    <col min="5889" max="5890" width="8.33203125" style="95" customWidth="1"/>
    <col min="5891" max="5891" width="2.6640625" style="95" customWidth="1"/>
    <col min="5892" max="5892" width="8.5" style="95" customWidth="1"/>
    <col min="5893" max="5893" width="8.33203125" style="95" customWidth="1"/>
    <col min="5894" max="5894" width="3.33203125" style="95" customWidth="1"/>
    <col min="5895" max="5896" width="8.33203125" style="95" customWidth="1"/>
    <col min="5897" max="5897" width="2.6640625" style="95" customWidth="1"/>
    <col min="5898" max="5898" width="8.33203125" style="95" customWidth="1"/>
    <col min="5899" max="5899" width="8.5" style="95" customWidth="1"/>
    <col min="5900" max="5900" width="2.6640625" style="95" customWidth="1"/>
    <col min="5901" max="5902" width="8.33203125" style="95" customWidth="1"/>
    <col min="5903" max="5903" width="2.6640625" style="95" customWidth="1"/>
    <col min="5904" max="5905" width="8.33203125" style="95" customWidth="1"/>
    <col min="5906" max="5906" width="2.6640625" style="95" customWidth="1"/>
    <col min="5907" max="5907" width="4.6640625" style="95" customWidth="1"/>
    <col min="5908" max="5908" width="3.33203125" style="95" customWidth="1"/>
    <col min="5909" max="5909" width="6.6640625" style="95" customWidth="1"/>
    <col min="5910" max="6143" width="8.83203125" style="95"/>
    <col min="6144" max="6144" width="35.6640625" style="95" customWidth="1"/>
    <col min="6145" max="6146" width="8.33203125" style="95" customWidth="1"/>
    <col min="6147" max="6147" width="2.6640625" style="95" customWidth="1"/>
    <col min="6148" max="6148" width="8.5" style="95" customWidth="1"/>
    <col min="6149" max="6149" width="8.33203125" style="95" customWidth="1"/>
    <col min="6150" max="6150" width="3.33203125" style="95" customWidth="1"/>
    <col min="6151" max="6152" width="8.33203125" style="95" customWidth="1"/>
    <col min="6153" max="6153" width="2.6640625" style="95" customWidth="1"/>
    <col min="6154" max="6154" width="8.33203125" style="95" customWidth="1"/>
    <col min="6155" max="6155" width="8.5" style="95" customWidth="1"/>
    <col min="6156" max="6156" width="2.6640625" style="95" customWidth="1"/>
    <col min="6157" max="6158" width="8.33203125" style="95" customWidth="1"/>
    <col min="6159" max="6159" width="2.6640625" style="95" customWidth="1"/>
    <col min="6160" max="6161" width="8.33203125" style="95" customWidth="1"/>
    <col min="6162" max="6162" width="2.6640625" style="95" customWidth="1"/>
    <col min="6163" max="6163" width="4.6640625" style="95" customWidth="1"/>
    <col min="6164" max="6164" width="3.33203125" style="95" customWidth="1"/>
    <col min="6165" max="6165" width="6.6640625" style="95" customWidth="1"/>
    <col min="6166" max="6399" width="8.83203125" style="95"/>
    <col min="6400" max="6400" width="35.6640625" style="95" customWidth="1"/>
    <col min="6401" max="6402" width="8.33203125" style="95" customWidth="1"/>
    <col min="6403" max="6403" width="2.6640625" style="95" customWidth="1"/>
    <col min="6404" max="6404" width="8.5" style="95" customWidth="1"/>
    <col min="6405" max="6405" width="8.33203125" style="95" customWidth="1"/>
    <col min="6406" max="6406" width="3.33203125" style="95" customWidth="1"/>
    <col min="6407" max="6408" width="8.33203125" style="95" customWidth="1"/>
    <col min="6409" max="6409" width="2.6640625" style="95" customWidth="1"/>
    <col min="6410" max="6410" width="8.33203125" style="95" customWidth="1"/>
    <col min="6411" max="6411" width="8.5" style="95" customWidth="1"/>
    <col min="6412" max="6412" width="2.6640625" style="95" customWidth="1"/>
    <col min="6413" max="6414" width="8.33203125" style="95" customWidth="1"/>
    <col min="6415" max="6415" width="2.6640625" style="95" customWidth="1"/>
    <col min="6416" max="6417" width="8.33203125" style="95" customWidth="1"/>
    <col min="6418" max="6418" width="2.6640625" style="95" customWidth="1"/>
    <col min="6419" max="6419" width="4.6640625" style="95" customWidth="1"/>
    <col min="6420" max="6420" width="3.33203125" style="95" customWidth="1"/>
    <col min="6421" max="6421" width="6.6640625" style="95" customWidth="1"/>
    <col min="6422" max="6655" width="8.83203125" style="95"/>
    <col min="6656" max="6656" width="35.6640625" style="95" customWidth="1"/>
    <col min="6657" max="6658" width="8.33203125" style="95" customWidth="1"/>
    <col min="6659" max="6659" width="2.6640625" style="95" customWidth="1"/>
    <col min="6660" max="6660" width="8.5" style="95" customWidth="1"/>
    <col min="6661" max="6661" width="8.33203125" style="95" customWidth="1"/>
    <col min="6662" max="6662" width="3.33203125" style="95" customWidth="1"/>
    <col min="6663" max="6664" width="8.33203125" style="95" customWidth="1"/>
    <col min="6665" max="6665" width="2.6640625" style="95" customWidth="1"/>
    <col min="6666" max="6666" width="8.33203125" style="95" customWidth="1"/>
    <col min="6667" max="6667" width="8.5" style="95" customWidth="1"/>
    <col min="6668" max="6668" width="2.6640625" style="95" customWidth="1"/>
    <col min="6669" max="6670" width="8.33203125" style="95" customWidth="1"/>
    <col min="6671" max="6671" width="2.6640625" style="95" customWidth="1"/>
    <col min="6672" max="6673" width="8.33203125" style="95" customWidth="1"/>
    <col min="6674" max="6674" width="2.6640625" style="95" customWidth="1"/>
    <col min="6675" max="6675" width="4.6640625" style="95" customWidth="1"/>
    <col min="6676" max="6676" width="3.33203125" style="95" customWidth="1"/>
    <col min="6677" max="6677" width="6.6640625" style="95" customWidth="1"/>
    <col min="6678" max="6911" width="8.83203125" style="95"/>
    <col min="6912" max="6912" width="35.6640625" style="95" customWidth="1"/>
    <col min="6913" max="6914" width="8.33203125" style="95" customWidth="1"/>
    <col min="6915" max="6915" width="2.6640625" style="95" customWidth="1"/>
    <col min="6916" max="6916" width="8.5" style="95" customWidth="1"/>
    <col min="6917" max="6917" width="8.33203125" style="95" customWidth="1"/>
    <col min="6918" max="6918" width="3.33203125" style="95" customWidth="1"/>
    <col min="6919" max="6920" width="8.33203125" style="95" customWidth="1"/>
    <col min="6921" max="6921" width="2.6640625" style="95" customWidth="1"/>
    <col min="6922" max="6922" width="8.33203125" style="95" customWidth="1"/>
    <col min="6923" max="6923" width="8.5" style="95" customWidth="1"/>
    <col min="6924" max="6924" width="2.6640625" style="95" customWidth="1"/>
    <col min="6925" max="6926" width="8.33203125" style="95" customWidth="1"/>
    <col min="6927" max="6927" width="2.6640625" style="95" customWidth="1"/>
    <col min="6928" max="6929" width="8.33203125" style="95" customWidth="1"/>
    <col min="6930" max="6930" width="2.6640625" style="95" customWidth="1"/>
    <col min="6931" max="6931" width="4.6640625" style="95" customWidth="1"/>
    <col min="6932" max="6932" width="3.33203125" style="95" customWidth="1"/>
    <col min="6933" max="6933" width="6.6640625" style="95" customWidth="1"/>
    <col min="6934" max="7167" width="8.83203125" style="95"/>
    <col min="7168" max="7168" width="35.6640625" style="95" customWidth="1"/>
    <col min="7169" max="7170" width="8.33203125" style="95" customWidth="1"/>
    <col min="7171" max="7171" width="2.6640625" style="95" customWidth="1"/>
    <col min="7172" max="7172" width="8.5" style="95" customWidth="1"/>
    <col min="7173" max="7173" width="8.33203125" style="95" customWidth="1"/>
    <col min="7174" max="7174" width="3.33203125" style="95" customWidth="1"/>
    <col min="7175" max="7176" width="8.33203125" style="95" customWidth="1"/>
    <col min="7177" max="7177" width="2.6640625" style="95" customWidth="1"/>
    <col min="7178" max="7178" width="8.33203125" style="95" customWidth="1"/>
    <col min="7179" max="7179" width="8.5" style="95" customWidth="1"/>
    <col min="7180" max="7180" width="2.6640625" style="95" customWidth="1"/>
    <col min="7181" max="7182" width="8.33203125" style="95" customWidth="1"/>
    <col min="7183" max="7183" width="2.6640625" style="95" customWidth="1"/>
    <col min="7184" max="7185" width="8.33203125" style="95" customWidth="1"/>
    <col min="7186" max="7186" width="2.6640625" style="95" customWidth="1"/>
    <col min="7187" max="7187" width="4.6640625" style="95" customWidth="1"/>
    <col min="7188" max="7188" width="3.33203125" style="95" customWidth="1"/>
    <col min="7189" max="7189" width="6.6640625" style="95" customWidth="1"/>
    <col min="7190" max="7423" width="8.83203125" style="95"/>
    <col min="7424" max="7424" width="35.6640625" style="95" customWidth="1"/>
    <col min="7425" max="7426" width="8.33203125" style="95" customWidth="1"/>
    <col min="7427" max="7427" width="2.6640625" style="95" customWidth="1"/>
    <col min="7428" max="7428" width="8.5" style="95" customWidth="1"/>
    <col min="7429" max="7429" width="8.33203125" style="95" customWidth="1"/>
    <col min="7430" max="7430" width="3.33203125" style="95" customWidth="1"/>
    <col min="7431" max="7432" width="8.33203125" style="95" customWidth="1"/>
    <col min="7433" max="7433" width="2.6640625" style="95" customWidth="1"/>
    <col min="7434" max="7434" width="8.33203125" style="95" customWidth="1"/>
    <col min="7435" max="7435" width="8.5" style="95" customWidth="1"/>
    <col min="7436" max="7436" width="2.6640625" style="95" customWidth="1"/>
    <col min="7437" max="7438" width="8.33203125" style="95" customWidth="1"/>
    <col min="7439" max="7439" width="2.6640625" style="95" customWidth="1"/>
    <col min="7440" max="7441" width="8.33203125" style="95" customWidth="1"/>
    <col min="7442" max="7442" width="2.6640625" style="95" customWidth="1"/>
    <col min="7443" max="7443" width="4.6640625" style="95" customWidth="1"/>
    <col min="7444" max="7444" width="3.33203125" style="95" customWidth="1"/>
    <col min="7445" max="7445" width="6.6640625" style="95" customWidth="1"/>
    <col min="7446" max="7679" width="8.83203125" style="95"/>
    <col min="7680" max="7680" width="35.6640625" style="95" customWidth="1"/>
    <col min="7681" max="7682" width="8.33203125" style="95" customWidth="1"/>
    <col min="7683" max="7683" width="2.6640625" style="95" customWidth="1"/>
    <col min="7684" max="7684" width="8.5" style="95" customWidth="1"/>
    <col min="7685" max="7685" width="8.33203125" style="95" customWidth="1"/>
    <col min="7686" max="7686" width="3.33203125" style="95" customWidth="1"/>
    <col min="7687" max="7688" width="8.33203125" style="95" customWidth="1"/>
    <col min="7689" max="7689" width="2.6640625" style="95" customWidth="1"/>
    <col min="7690" max="7690" width="8.33203125" style="95" customWidth="1"/>
    <col min="7691" max="7691" width="8.5" style="95" customWidth="1"/>
    <col min="7692" max="7692" width="2.6640625" style="95" customWidth="1"/>
    <col min="7693" max="7694" width="8.33203125" style="95" customWidth="1"/>
    <col min="7695" max="7695" width="2.6640625" style="95" customWidth="1"/>
    <col min="7696" max="7697" width="8.33203125" style="95" customWidth="1"/>
    <col min="7698" max="7698" width="2.6640625" style="95" customWidth="1"/>
    <col min="7699" max="7699" width="4.6640625" style="95" customWidth="1"/>
    <col min="7700" max="7700" width="3.33203125" style="95" customWidth="1"/>
    <col min="7701" max="7701" width="6.6640625" style="95" customWidth="1"/>
    <col min="7702" max="7935" width="8.83203125" style="95"/>
    <col min="7936" max="7936" width="35.6640625" style="95" customWidth="1"/>
    <col min="7937" max="7938" width="8.33203125" style="95" customWidth="1"/>
    <col min="7939" max="7939" width="2.6640625" style="95" customWidth="1"/>
    <col min="7940" max="7940" width="8.5" style="95" customWidth="1"/>
    <col min="7941" max="7941" width="8.33203125" style="95" customWidth="1"/>
    <col min="7942" max="7942" width="3.33203125" style="95" customWidth="1"/>
    <col min="7943" max="7944" width="8.33203125" style="95" customWidth="1"/>
    <col min="7945" max="7945" width="2.6640625" style="95" customWidth="1"/>
    <col min="7946" max="7946" width="8.33203125" style="95" customWidth="1"/>
    <col min="7947" max="7947" width="8.5" style="95" customWidth="1"/>
    <col min="7948" max="7948" width="2.6640625" style="95" customWidth="1"/>
    <col min="7949" max="7950" width="8.33203125" style="95" customWidth="1"/>
    <col min="7951" max="7951" width="2.6640625" style="95" customWidth="1"/>
    <col min="7952" max="7953" width="8.33203125" style="95" customWidth="1"/>
    <col min="7954" max="7954" width="2.6640625" style="95" customWidth="1"/>
    <col min="7955" max="7955" width="4.6640625" style="95" customWidth="1"/>
    <col min="7956" max="7956" width="3.33203125" style="95" customWidth="1"/>
    <col min="7957" max="7957" width="6.6640625" style="95" customWidth="1"/>
    <col min="7958" max="8191" width="8.83203125" style="95"/>
    <col min="8192" max="8192" width="35.6640625" style="95" customWidth="1"/>
    <col min="8193" max="8194" width="8.33203125" style="95" customWidth="1"/>
    <col min="8195" max="8195" width="2.6640625" style="95" customWidth="1"/>
    <col min="8196" max="8196" width="8.5" style="95" customWidth="1"/>
    <col min="8197" max="8197" width="8.33203125" style="95" customWidth="1"/>
    <col min="8198" max="8198" width="3.33203125" style="95" customWidth="1"/>
    <col min="8199" max="8200" width="8.33203125" style="95" customWidth="1"/>
    <col min="8201" max="8201" width="2.6640625" style="95" customWidth="1"/>
    <col min="8202" max="8202" width="8.33203125" style="95" customWidth="1"/>
    <col min="8203" max="8203" width="8.5" style="95" customWidth="1"/>
    <col min="8204" max="8204" width="2.6640625" style="95" customWidth="1"/>
    <col min="8205" max="8206" width="8.33203125" style="95" customWidth="1"/>
    <col min="8207" max="8207" width="2.6640625" style="95" customWidth="1"/>
    <col min="8208" max="8209" width="8.33203125" style="95" customWidth="1"/>
    <col min="8210" max="8210" width="2.6640625" style="95" customWidth="1"/>
    <col min="8211" max="8211" width="4.6640625" style="95" customWidth="1"/>
    <col min="8212" max="8212" width="3.33203125" style="95" customWidth="1"/>
    <col min="8213" max="8213" width="6.6640625" style="95" customWidth="1"/>
    <col min="8214" max="8447" width="8.83203125" style="95"/>
    <col min="8448" max="8448" width="35.6640625" style="95" customWidth="1"/>
    <col min="8449" max="8450" width="8.33203125" style="95" customWidth="1"/>
    <col min="8451" max="8451" width="2.6640625" style="95" customWidth="1"/>
    <col min="8452" max="8452" width="8.5" style="95" customWidth="1"/>
    <col min="8453" max="8453" width="8.33203125" style="95" customWidth="1"/>
    <col min="8454" max="8454" width="3.33203125" style="95" customWidth="1"/>
    <col min="8455" max="8456" width="8.33203125" style="95" customWidth="1"/>
    <col min="8457" max="8457" width="2.6640625" style="95" customWidth="1"/>
    <col min="8458" max="8458" width="8.33203125" style="95" customWidth="1"/>
    <col min="8459" max="8459" width="8.5" style="95" customWidth="1"/>
    <col min="8460" max="8460" width="2.6640625" style="95" customWidth="1"/>
    <col min="8461" max="8462" width="8.33203125" style="95" customWidth="1"/>
    <col min="8463" max="8463" width="2.6640625" style="95" customWidth="1"/>
    <col min="8464" max="8465" width="8.33203125" style="95" customWidth="1"/>
    <col min="8466" max="8466" width="2.6640625" style="95" customWidth="1"/>
    <col min="8467" max="8467" width="4.6640625" style="95" customWidth="1"/>
    <col min="8468" max="8468" width="3.33203125" style="95" customWidth="1"/>
    <col min="8469" max="8469" width="6.6640625" style="95" customWidth="1"/>
    <col min="8470" max="8703" width="8.83203125" style="95"/>
    <col min="8704" max="8704" width="35.6640625" style="95" customWidth="1"/>
    <col min="8705" max="8706" width="8.33203125" style="95" customWidth="1"/>
    <col min="8707" max="8707" width="2.6640625" style="95" customWidth="1"/>
    <col min="8708" max="8708" width="8.5" style="95" customWidth="1"/>
    <col min="8709" max="8709" width="8.33203125" style="95" customWidth="1"/>
    <col min="8710" max="8710" width="3.33203125" style="95" customWidth="1"/>
    <col min="8711" max="8712" width="8.33203125" style="95" customWidth="1"/>
    <col min="8713" max="8713" width="2.6640625" style="95" customWidth="1"/>
    <col min="8714" max="8714" width="8.33203125" style="95" customWidth="1"/>
    <col min="8715" max="8715" width="8.5" style="95" customWidth="1"/>
    <col min="8716" max="8716" width="2.6640625" style="95" customWidth="1"/>
    <col min="8717" max="8718" width="8.33203125" style="95" customWidth="1"/>
    <col min="8719" max="8719" width="2.6640625" style="95" customWidth="1"/>
    <col min="8720" max="8721" width="8.33203125" style="95" customWidth="1"/>
    <col min="8722" max="8722" width="2.6640625" style="95" customWidth="1"/>
    <col min="8723" max="8723" width="4.6640625" style="95" customWidth="1"/>
    <col min="8724" max="8724" width="3.33203125" style="95" customWidth="1"/>
    <col min="8725" max="8725" width="6.6640625" style="95" customWidth="1"/>
    <col min="8726" max="8959" width="8.83203125" style="95"/>
    <col min="8960" max="8960" width="35.6640625" style="95" customWidth="1"/>
    <col min="8961" max="8962" width="8.33203125" style="95" customWidth="1"/>
    <col min="8963" max="8963" width="2.6640625" style="95" customWidth="1"/>
    <col min="8964" max="8964" width="8.5" style="95" customWidth="1"/>
    <col min="8965" max="8965" width="8.33203125" style="95" customWidth="1"/>
    <col min="8966" max="8966" width="3.33203125" style="95" customWidth="1"/>
    <col min="8967" max="8968" width="8.33203125" style="95" customWidth="1"/>
    <col min="8969" max="8969" width="2.6640625" style="95" customWidth="1"/>
    <col min="8970" max="8970" width="8.33203125" style="95" customWidth="1"/>
    <col min="8971" max="8971" width="8.5" style="95" customWidth="1"/>
    <col min="8972" max="8972" width="2.6640625" style="95" customWidth="1"/>
    <col min="8973" max="8974" width="8.33203125" style="95" customWidth="1"/>
    <col min="8975" max="8975" width="2.6640625" style="95" customWidth="1"/>
    <col min="8976" max="8977" width="8.33203125" style="95" customWidth="1"/>
    <col min="8978" max="8978" width="2.6640625" style="95" customWidth="1"/>
    <col min="8979" max="8979" width="4.6640625" style="95" customWidth="1"/>
    <col min="8980" max="8980" width="3.33203125" style="95" customWidth="1"/>
    <col min="8981" max="8981" width="6.6640625" style="95" customWidth="1"/>
    <col min="8982" max="9215" width="8.83203125" style="95"/>
    <col min="9216" max="9216" width="35.6640625" style="95" customWidth="1"/>
    <col min="9217" max="9218" width="8.33203125" style="95" customWidth="1"/>
    <col min="9219" max="9219" width="2.6640625" style="95" customWidth="1"/>
    <col min="9220" max="9220" width="8.5" style="95" customWidth="1"/>
    <col min="9221" max="9221" width="8.33203125" style="95" customWidth="1"/>
    <col min="9222" max="9222" width="3.33203125" style="95" customWidth="1"/>
    <col min="9223" max="9224" width="8.33203125" style="95" customWidth="1"/>
    <col min="9225" max="9225" width="2.6640625" style="95" customWidth="1"/>
    <col min="9226" max="9226" width="8.33203125" style="95" customWidth="1"/>
    <col min="9227" max="9227" width="8.5" style="95" customWidth="1"/>
    <col min="9228" max="9228" width="2.6640625" style="95" customWidth="1"/>
    <col min="9229" max="9230" width="8.33203125" style="95" customWidth="1"/>
    <col min="9231" max="9231" width="2.6640625" style="95" customWidth="1"/>
    <col min="9232" max="9233" width="8.33203125" style="95" customWidth="1"/>
    <col min="9234" max="9234" width="2.6640625" style="95" customWidth="1"/>
    <col min="9235" max="9235" width="4.6640625" style="95" customWidth="1"/>
    <col min="9236" max="9236" width="3.33203125" style="95" customWidth="1"/>
    <col min="9237" max="9237" width="6.6640625" style="95" customWidth="1"/>
    <col min="9238" max="9471" width="8.83203125" style="95"/>
    <col min="9472" max="9472" width="35.6640625" style="95" customWidth="1"/>
    <col min="9473" max="9474" width="8.33203125" style="95" customWidth="1"/>
    <col min="9475" max="9475" width="2.6640625" style="95" customWidth="1"/>
    <col min="9476" max="9476" width="8.5" style="95" customWidth="1"/>
    <col min="9477" max="9477" width="8.33203125" style="95" customWidth="1"/>
    <col min="9478" max="9478" width="3.33203125" style="95" customWidth="1"/>
    <col min="9479" max="9480" width="8.33203125" style="95" customWidth="1"/>
    <col min="9481" max="9481" width="2.6640625" style="95" customWidth="1"/>
    <col min="9482" max="9482" width="8.33203125" style="95" customWidth="1"/>
    <col min="9483" max="9483" width="8.5" style="95" customWidth="1"/>
    <col min="9484" max="9484" width="2.6640625" style="95" customWidth="1"/>
    <col min="9485" max="9486" width="8.33203125" style="95" customWidth="1"/>
    <col min="9487" max="9487" width="2.6640625" style="95" customWidth="1"/>
    <col min="9488" max="9489" width="8.33203125" style="95" customWidth="1"/>
    <col min="9490" max="9490" width="2.6640625" style="95" customWidth="1"/>
    <col min="9491" max="9491" width="4.6640625" style="95" customWidth="1"/>
    <col min="9492" max="9492" width="3.33203125" style="95" customWidth="1"/>
    <col min="9493" max="9493" width="6.6640625" style="95" customWidth="1"/>
    <col min="9494" max="9727" width="8.83203125" style="95"/>
    <col min="9728" max="9728" width="35.6640625" style="95" customWidth="1"/>
    <col min="9729" max="9730" width="8.33203125" style="95" customWidth="1"/>
    <col min="9731" max="9731" width="2.6640625" style="95" customWidth="1"/>
    <col min="9732" max="9732" width="8.5" style="95" customWidth="1"/>
    <col min="9733" max="9733" width="8.33203125" style="95" customWidth="1"/>
    <col min="9734" max="9734" width="3.33203125" style="95" customWidth="1"/>
    <col min="9735" max="9736" width="8.33203125" style="95" customWidth="1"/>
    <col min="9737" max="9737" width="2.6640625" style="95" customWidth="1"/>
    <col min="9738" max="9738" width="8.33203125" style="95" customWidth="1"/>
    <col min="9739" max="9739" width="8.5" style="95" customWidth="1"/>
    <col min="9740" max="9740" width="2.6640625" style="95" customWidth="1"/>
    <col min="9741" max="9742" width="8.33203125" style="95" customWidth="1"/>
    <col min="9743" max="9743" width="2.6640625" style="95" customWidth="1"/>
    <col min="9744" max="9745" width="8.33203125" style="95" customWidth="1"/>
    <col min="9746" max="9746" width="2.6640625" style="95" customWidth="1"/>
    <col min="9747" max="9747" width="4.6640625" style="95" customWidth="1"/>
    <col min="9748" max="9748" width="3.33203125" style="95" customWidth="1"/>
    <col min="9749" max="9749" width="6.6640625" style="95" customWidth="1"/>
    <col min="9750" max="9983" width="8.83203125" style="95"/>
    <col min="9984" max="9984" width="35.6640625" style="95" customWidth="1"/>
    <col min="9985" max="9986" width="8.33203125" style="95" customWidth="1"/>
    <col min="9987" max="9987" width="2.6640625" style="95" customWidth="1"/>
    <col min="9988" max="9988" width="8.5" style="95" customWidth="1"/>
    <col min="9989" max="9989" width="8.33203125" style="95" customWidth="1"/>
    <col min="9990" max="9990" width="3.33203125" style="95" customWidth="1"/>
    <col min="9991" max="9992" width="8.33203125" style="95" customWidth="1"/>
    <col min="9993" max="9993" width="2.6640625" style="95" customWidth="1"/>
    <col min="9994" max="9994" width="8.33203125" style="95" customWidth="1"/>
    <col min="9995" max="9995" width="8.5" style="95" customWidth="1"/>
    <col min="9996" max="9996" width="2.6640625" style="95" customWidth="1"/>
    <col min="9997" max="9998" width="8.33203125" style="95" customWidth="1"/>
    <col min="9999" max="9999" width="2.6640625" style="95" customWidth="1"/>
    <col min="10000" max="10001" width="8.33203125" style="95" customWidth="1"/>
    <col min="10002" max="10002" width="2.6640625" style="95" customWidth="1"/>
    <col min="10003" max="10003" width="4.6640625" style="95" customWidth="1"/>
    <col min="10004" max="10004" width="3.33203125" style="95" customWidth="1"/>
    <col min="10005" max="10005" width="6.6640625" style="95" customWidth="1"/>
    <col min="10006" max="10239" width="8.83203125" style="95"/>
    <col min="10240" max="10240" width="35.6640625" style="95" customWidth="1"/>
    <col min="10241" max="10242" width="8.33203125" style="95" customWidth="1"/>
    <col min="10243" max="10243" width="2.6640625" style="95" customWidth="1"/>
    <col min="10244" max="10244" width="8.5" style="95" customWidth="1"/>
    <col min="10245" max="10245" width="8.33203125" style="95" customWidth="1"/>
    <col min="10246" max="10246" width="3.33203125" style="95" customWidth="1"/>
    <col min="10247" max="10248" width="8.33203125" style="95" customWidth="1"/>
    <col min="10249" max="10249" width="2.6640625" style="95" customWidth="1"/>
    <col min="10250" max="10250" width="8.33203125" style="95" customWidth="1"/>
    <col min="10251" max="10251" width="8.5" style="95" customWidth="1"/>
    <col min="10252" max="10252" width="2.6640625" style="95" customWidth="1"/>
    <col min="10253" max="10254" width="8.33203125" style="95" customWidth="1"/>
    <col min="10255" max="10255" width="2.6640625" style="95" customWidth="1"/>
    <col min="10256" max="10257" width="8.33203125" style="95" customWidth="1"/>
    <col min="10258" max="10258" width="2.6640625" style="95" customWidth="1"/>
    <col min="10259" max="10259" width="4.6640625" style="95" customWidth="1"/>
    <col min="10260" max="10260" width="3.33203125" style="95" customWidth="1"/>
    <col min="10261" max="10261" width="6.6640625" style="95" customWidth="1"/>
    <col min="10262" max="10495" width="8.83203125" style="95"/>
    <col min="10496" max="10496" width="35.6640625" style="95" customWidth="1"/>
    <col min="10497" max="10498" width="8.33203125" style="95" customWidth="1"/>
    <col min="10499" max="10499" width="2.6640625" style="95" customWidth="1"/>
    <col min="10500" max="10500" width="8.5" style="95" customWidth="1"/>
    <col min="10501" max="10501" width="8.33203125" style="95" customWidth="1"/>
    <col min="10502" max="10502" width="3.33203125" style="95" customWidth="1"/>
    <col min="10503" max="10504" width="8.33203125" style="95" customWidth="1"/>
    <col min="10505" max="10505" width="2.6640625" style="95" customWidth="1"/>
    <col min="10506" max="10506" width="8.33203125" style="95" customWidth="1"/>
    <col min="10507" max="10507" width="8.5" style="95" customWidth="1"/>
    <col min="10508" max="10508" width="2.6640625" style="95" customWidth="1"/>
    <col min="10509" max="10510" width="8.33203125" style="95" customWidth="1"/>
    <col min="10511" max="10511" width="2.6640625" style="95" customWidth="1"/>
    <col min="10512" max="10513" width="8.33203125" style="95" customWidth="1"/>
    <col min="10514" max="10514" width="2.6640625" style="95" customWidth="1"/>
    <col min="10515" max="10515" width="4.6640625" style="95" customWidth="1"/>
    <col min="10516" max="10516" width="3.33203125" style="95" customWidth="1"/>
    <col min="10517" max="10517" width="6.6640625" style="95" customWidth="1"/>
    <col min="10518" max="10751" width="8.83203125" style="95"/>
    <col min="10752" max="10752" width="35.6640625" style="95" customWidth="1"/>
    <col min="10753" max="10754" width="8.33203125" style="95" customWidth="1"/>
    <col min="10755" max="10755" width="2.6640625" style="95" customWidth="1"/>
    <col min="10756" max="10756" width="8.5" style="95" customWidth="1"/>
    <col min="10757" max="10757" width="8.33203125" style="95" customWidth="1"/>
    <col min="10758" max="10758" width="3.33203125" style="95" customWidth="1"/>
    <col min="10759" max="10760" width="8.33203125" style="95" customWidth="1"/>
    <col min="10761" max="10761" width="2.6640625" style="95" customWidth="1"/>
    <col min="10762" max="10762" width="8.33203125" style="95" customWidth="1"/>
    <col min="10763" max="10763" width="8.5" style="95" customWidth="1"/>
    <col min="10764" max="10764" width="2.6640625" style="95" customWidth="1"/>
    <col min="10765" max="10766" width="8.33203125" style="95" customWidth="1"/>
    <col min="10767" max="10767" width="2.6640625" style="95" customWidth="1"/>
    <col min="10768" max="10769" width="8.33203125" style="95" customWidth="1"/>
    <col min="10770" max="10770" width="2.6640625" style="95" customWidth="1"/>
    <col min="10771" max="10771" width="4.6640625" style="95" customWidth="1"/>
    <col min="10772" max="10772" width="3.33203125" style="95" customWidth="1"/>
    <col min="10773" max="10773" width="6.6640625" style="95" customWidth="1"/>
    <col min="10774" max="11007" width="8.83203125" style="95"/>
    <col min="11008" max="11008" width="35.6640625" style="95" customWidth="1"/>
    <col min="11009" max="11010" width="8.33203125" style="95" customWidth="1"/>
    <col min="11011" max="11011" width="2.6640625" style="95" customWidth="1"/>
    <col min="11012" max="11012" width="8.5" style="95" customWidth="1"/>
    <col min="11013" max="11013" width="8.33203125" style="95" customWidth="1"/>
    <col min="11014" max="11014" width="3.33203125" style="95" customWidth="1"/>
    <col min="11015" max="11016" width="8.33203125" style="95" customWidth="1"/>
    <col min="11017" max="11017" width="2.6640625" style="95" customWidth="1"/>
    <col min="11018" max="11018" width="8.33203125" style="95" customWidth="1"/>
    <col min="11019" max="11019" width="8.5" style="95" customWidth="1"/>
    <col min="11020" max="11020" width="2.6640625" style="95" customWidth="1"/>
    <col min="11021" max="11022" width="8.33203125" style="95" customWidth="1"/>
    <col min="11023" max="11023" width="2.6640625" style="95" customWidth="1"/>
    <col min="11024" max="11025" width="8.33203125" style="95" customWidth="1"/>
    <col min="11026" max="11026" width="2.6640625" style="95" customWidth="1"/>
    <col min="11027" max="11027" width="4.6640625" style="95" customWidth="1"/>
    <col min="11028" max="11028" width="3.33203125" style="95" customWidth="1"/>
    <col min="11029" max="11029" width="6.6640625" style="95" customWidth="1"/>
    <col min="11030" max="11263" width="8.83203125" style="95"/>
    <col min="11264" max="11264" width="35.6640625" style="95" customWidth="1"/>
    <col min="11265" max="11266" width="8.33203125" style="95" customWidth="1"/>
    <col min="11267" max="11267" width="2.6640625" style="95" customWidth="1"/>
    <col min="11268" max="11268" width="8.5" style="95" customWidth="1"/>
    <col min="11269" max="11269" width="8.33203125" style="95" customWidth="1"/>
    <col min="11270" max="11270" width="3.33203125" style="95" customWidth="1"/>
    <col min="11271" max="11272" width="8.33203125" style="95" customWidth="1"/>
    <col min="11273" max="11273" width="2.6640625" style="95" customWidth="1"/>
    <col min="11274" max="11274" width="8.33203125" style="95" customWidth="1"/>
    <col min="11275" max="11275" width="8.5" style="95" customWidth="1"/>
    <col min="11276" max="11276" width="2.6640625" style="95" customWidth="1"/>
    <col min="11277" max="11278" width="8.33203125" style="95" customWidth="1"/>
    <col min="11279" max="11279" width="2.6640625" style="95" customWidth="1"/>
    <col min="11280" max="11281" width="8.33203125" style="95" customWidth="1"/>
    <col min="11282" max="11282" width="2.6640625" style="95" customWidth="1"/>
    <col min="11283" max="11283" width="4.6640625" style="95" customWidth="1"/>
    <col min="11284" max="11284" width="3.33203125" style="95" customWidth="1"/>
    <col min="11285" max="11285" width="6.6640625" style="95" customWidth="1"/>
    <col min="11286" max="11519" width="8.83203125" style="95"/>
    <col min="11520" max="11520" width="35.6640625" style="95" customWidth="1"/>
    <col min="11521" max="11522" width="8.33203125" style="95" customWidth="1"/>
    <col min="11523" max="11523" width="2.6640625" style="95" customWidth="1"/>
    <col min="11524" max="11524" width="8.5" style="95" customWidth="1"/>
    <col min="11525" max="11525" width="8.33203125" style="95" customWidth="1"/>
    <col min="11526" max="11526" width="3.33203125" style="95" customWidth="1"/>
    <col min="11527" max="11528" width="8.33203125" style="95" customWidth="1"/>
    <col min="11529" max="11529" width="2.6640625" style="95" customWidth="1"/>
    <col min="11530" max="11530" width="8.33203125" style="95" customWidth="1"/>
    <col min="11531" max="11531" width="8.5" style="95" customWidth="1"/>
    <col min="11532" max="11532" width="2.6640625" style="95" customWidth="1"/>
    <col min="11533" max="11534" width="8.33203125" style="95" customWidth="1"/>
    <col min="11535" max="11535" width="2.6640625" style="95" customWidth="1"/>
    <col min="11536" max="11537" width="8.33203125" style="95" customWidth="1"/>
    <col min="11538" max="11538" width="2.6640625" style="95" customWidth="1"/>
    <col min="11539" max="11539" width="4.6640625" style="95" customWidth="1"/>
    <col min="11540" max="11540" width="3.33203125" style="95" customWidth="1"/>
    <col min="11541" max="11541" width="6.6640625" style="95" customWidth="1"/>
    <col min="11542" max="11775" width="8.83203125" style="95"/>
    <col min="11776" max="11776" width="35.6640625" style="95" customWidth="1"/>
    <col min="11777" max="11778" width="8.33203125" style="95" customWidth="1"/>
    <col min="11779" max="11779" width="2.6640625" style="95" customWidth="1"/>
    <col min="11780" max="11780" width="8.5" style="95" customWidth="1"/>
    <col min="11781" max="11781" width="8.33203125" style="95" customWidth="1"/>
    <col min="11782" max="11782" width="3.33203125" style="95" customWidth="1"/>
    <col min="11783" max="11784" width="8.33203125" style="95" customWidth="1"/>
    <col min="11785" max="11785" width="2.6640625" style="95" customWidth="1"/>
    <col min="11786" max="11786" width="8.33203125" style="95" customWidth="1"/>
    <col min="11787" max="11787" width="8.5" style="95" customWidth="1"/>
    <col min="11788" max="11788" width="2.6640625" style="95" customWidth="1"/>
    <col min="11789" max="11790" width="8.33203125" style="95" customWidth="1"/>
    <col min="11791" max="11791" width="2.6640625" style="95" customWidth="1"/>
    <col min="11792" max="11793" width="8.33203125" style="95" customWidth="1"/>
    <col min="11794" max="11794" width="2.6640625" style="95" customWidth="1"/>
    <col min="11795" max="11795" width="4.6640625" style="95" customWidth="1"/>
    <col min="11796" max="11796" width="3.33203125" style="95" customWidth="1"/>
    <col min="11797" max="11797" width="6.6640625" style="95" customWidth="1"/>
    <col min="11798" max="12031" width="8.83203125" style="95"/>
    <col min="12032" max="12032" width="35.6640625" style="95" customWidth="1"/>
    <col min="12033" max="12034" width="8.33203125" style="95" customWidth="1"/>
    <col min="12035" max="12035" width="2.6640625" style="95" customWidth="1"/>
    <col min="12036" max="12036" width="8.5" style="95" customWidth="1"/>
    <col min="12037" max="12037" width="8.33203125" style="95" customWidth="1"/>
    <col min="12038" max="12038" width="3.33203125" style="95" customWidth="1"/>
    <col min="12039" max="12040" width="8.33203125" style="95" customWidth="1"/>
    <col min="12041" max="12041" width="2.6640625" style="95" customWidth="1"/>
    <col min="12042" max="12042" width="8.33203125" style="95" customWidth="1"/>
    <col min="12043" max="12043" width="8.5" style="95" customWidth="1"/>
    <col min="12044" max="12044" width="2.6640625" style="95" customWidth="1"/>
    <col min="12045" max="12046" width="8.33203125" style="95" customWidth="1"/>
    <col min="12047" max="12047" width="2.6640625" style="95" customWidth="1"/>
    <col min="12048" max="12049" width="8.33203125" style="95" customWidth="1"/>
    <col min="12050" max="12050" width="2.6640625" style="95" customWidth="1"/>
    <col min="12051" max="12051" width="4.6640625" style="95" customWidth="1"/>
    <col min="12052" max="12052" width="3.33203125" style="95" customWidth="1"/>
    <col min="12053" max="12053" width="6.6640625" style="95" customWidth="1"/>
    <col min="12054" max="12287" width="8.83203125" style="95"/>
    <col min="12288" max="12288" width="35.6640625" style="95" customWidth="1"/>
    <col min="12289" max="12290" width="8.33203125" style="95" customWidth="1"/>
    <col min="12291" max="12291" width="2.6640625" style="95" customWidth="1"/>
    <col min="12292" max="12292" width="8.5" style="95" customWidth="1"/>
    <col min="12293" max="12293" width="8.33203125" style="95" customWidth="1"/>
    <col min="12294" max="12294" width="3.33203125" style="95" customWidth="1"/>
    <col min="12295" max="12296" width="8.33203125" style="95" customWidth="1"/>
    <col min="12297" max="12297" width="2.6640625" style="95" customWidth="1"/>
    <col min="12298" max="12298" width="8.33203125" style="95" customWidth="1"/>
    <col min="12299" max="12299" width="8.5" style="95" customWidth="1"/>
    <col min="12300" max="12300" width="2.6640625" style="95" customWidth="1"/>
    <col min="12301" max="12302" width="8.33203125" style="95" customWidth="1"/>
    <col min="12303" max="12303" width="2.6640625" style="95" customWidth="1"/>
    <col min="12304" max="12305" width="8.33203125" style="95" customWidth="1"/>
    <col min="12306" max="12306" width="2.6640625" style="95" customWidth="1"/>
    <col min="12307" max="12307" width="4.6640625" style="95" customWidth="1"/>
    <col min="12308" max="12308" width="3.33203125" style="95" customWidth="1"/>
    <col min="12309" max="12309" width="6.6640625" style="95" customWidth="1"/>
    <col min="12310" max="12543" width="8.83203125" style="95"/>
    <col min="12544" max="12544" width="35.6640625" style="95" customWidth="1"/>
    <col min="12545" max="12546" width="8.33203125" style="95" customWidth="1"/>
    <col min="12547" max="12547" width="2.6640625" style="95" customWidth="1"/>
    <col min="12548" max="12548" width="8.5" style="95" customWidth="1"/>
    <col min="12549" max="12549" width="8.33203125" style="95" customWidth="1"/>
    <col min="12550" max="12550" width="3.33203125" style="95" customWidth="1"/>
    <col min="12551" max="12552" width="8.33203125" style="95" customWidth="1"/>
    <col min="12553" max="12553" width="2.6640625" style="95" customWidth="1"/>
    <col min="12554" max="12554" width="8.33203125" style="95" customWidth="1"/>
    <col min="12555" max="12555" width="8.5" style="95" customWidth="1"/>
    <col min="12556" max="12556" width="2.6640625" style="95" customWidth="1"/>
    <col min="12557" max="12558" width="8.33203125" style="95" customWidth="1"/>
    <col min="12559" max="12559" width="2.6640625" style="95" customWidth="1"/>
    <col min="12560" max="12561" width="8.33203125" style="95" customWidth="1"/>
    <col min="12562" max="12562" width="2.6640625" style="95" customWidth="1"/>
    <col min="12563" max="12563" width="4.6640625" style="95" customWidth="1"/>
    <col min="12564" max="12564" width="3.33203125" style="95" customWidth="1"/>
    <col min="12565" max="12565" width="6.6640625" style="95" customWidth="1"/>
    <col min="12566" max="12799" width="8.83203125" style="95"/>
    <col min="12800" max="12800" width="35.6640625" style="95" customWidth="1"/>
    <col min="12801" max="12802" width="8.33203125" style="95" customWidth="1"/>
    <col min="12803" max="12803" width="2.6640625" style="95" customWidth="1"/>
    <col min="12804" max="12804" width="8.5" style="95" customWidth="1"/>
    <col min="12805" max="12805" width="8.33203125" style="95" customWidth="1"/>
    <col min="12806" max="12806" width="3.33203125" style="95" customWidth="1"/>
    <col min="12807" max="12808" width="8.33203125" style="95" customWidth="1"/>
    <col min="12809" max="12809" width="2.6640625" style="95" customWidth="1"/>
    <col min="12810" max="12810" width="8.33203125" style="95" customWidth="1"/>
    <col min="12811" max="12811" width="8.5" style="95" customWidth="1"/>
    <col min="12812" max="12812" width="2.6640625" style="95" customWidth="1"/>
    <col min="12813" max="12814" width="8.33203125" style="95" customWidth="1"/>
    <col min="12815" max="12815" width="2.6640625" style="95" customWidth="1"/>
    <col min="12816" max="12817" width="8.33203125" style="95" customWidth="1"/>
    <col min="12818" max="12818" width="2.6640625" style="95" customWidth="1"/>
    <col min="12819" max="12819" width="4.6640625" style="95" customWidth="1"/>
    <col min="12820" max="12820" width="3.33203125" style="95" customWidth="1"/>
    <col min="12821" max="12821" width="6.6640625" style="95" customWidth="1"/>
    <col min="12822" max="13055" width="8.83203125" style="95"/>
    <col min="13056" max="13056" width="35.6640625" style="95" customWidth="1"/>
    <col min="13057" max="13058" width="8.33203125" style="95" customWidth="1"/>
    <col min="13059" max="13059" width="2.6640625" style="95" customWidth="1"/>
    <col min="13060" max="13060" width="8.5" style="95" customWidth="1"/>
    <col min="13061" max="13061" width="8.33203125" style="95" customWidth="1"/>
    <col min="13062" max="13062" width="3.33203125" style="95" customWidth="1"/>
    <col min="13063" max="13064" width="8.33203125" style="95" customWidth="1"/>
    <col min="13065" max="13065" width="2.6640625" style="95" customWidth="1"/>
    <col min="13066" max="13066" width="8.33203125" style="95" customWidth="1"/>
    <col min="13067" max="13067" width="8.5" style="95" customWidth="1"/>
    <col min="13068" max="13068" width="2.6640625" style="95" customWidth="1"/>
    <col min="13069" max="13070" width="8.33203125" style="95" customWidth="1"/>
    <col min="13071" max="13071" width="2.6640625" style="95" customWidth="1"/>
    <col min="13072" max="13073" width="8.33203125" style="95" customWidth="1"/>
    <col min="13074" max="13074" width="2.6640625" style="95" customWidth="1"/>
    <col min="13075" max="13075" width="4.6640625" style="95" customWidth="1"/>
    <col min="13076" max="13076" width="3.33203125" style="95" customWidth="1"/>
    <col min="13077" max="13077" width="6.6640625" style="95" customWidth="1"/>
    <col min="13078" max="13311" width="8.83203125" style="95"/>
    <col min="13312" max="13312" width="35.6640625" style="95" customWidth="1"/>
    <col min="13313" max="13314" width="8.33203125" style="95" customWidth="1"/>
    <col min="13315" max="13315" width="2.6640625" style="95" customWidth="1"/>
    <col min="13316" max="13316" width="8.5" style="95" customWidth="1"/>
    <col min="13317" max="13317" width="8.33203125" style="95" customWidth="1"/>
    <col min="13318" max="13318" width="3.33203125" style="95" customWidth="1"/>
    <col min="13319" max="13320" width="8.33203125" style="95" customWidth="1"/>
    <col min="13321" max="13321" width="2.6640625" style="95" customWidth="1"/>
    <col min="13322" max="13322" width="8.33203125" style="95" customWidth="1"/>
    <col min="13323" max="13323" width="8.5" style="95" customWidth="1"/>
    <col min="13324" max="13324" width="2.6640625" style="95" customWidth="1"/>
    <col min="13325" max="13326" width="8.33203125" style="95" customWidth="1"/>
    <col min="13327" max="13327" width="2.6640625" style="95" customWidth="1"/>
    <col min="13328" max="13329" width="8.33203125" style="95" customWidth="1"/>
    <col min="13330" max="13330" width="2.6640625" style="95" customWidth="1"/>
    <col min="13331" max="13331" width="4.6640625" style="95" customWidth="1"/>
    <col min="13332" max="13332" width="3.33203125" style="95" customWidth="1"/>
    <col min="13333" max="13333" width="6.6640625" style="95" customWidth="1"/>
    <col min="13334" max="13567" width="8.83203125" style="95"/>
    <col min="13568" max="13568" width="35.6640625" style="95" customWidth="1"/>
    <col min="13569" max="13570" width="8.33203125" style="95" customWidth="1"/>
    <col min="13571" max="13571" width="2.6640625" style="95" customWidth="1"/>
    <col min="13572" max="13572" width="8.5" style="95" customWidth="1"/>
    <col min="13573" max="13573" width="8.33203125" style="95" customWidth="1"/>
    <col min="13574" max="13574" width="3.33203125" style="95" customWidth="1"/>
    <col min="13575" max="13576" width="8.33203125" style="95" customWidth="1"/>
    <col min="13577" max="13577" width="2.6640625" style="95" customWidth="1"/>
    <col min="13578" max="13578" width="8.33203125" style="95" customWidth="1"/>
    <col min="13579" max="13579" width="8.5" style="95" customWidth="1"/>
    <col min="13580" max="13580" width="2.6640625" style="95" customWidth="1"/>
    <col min="13581" max="13582" width="8.33203125" style="95" customWidth="1"/>
    <col min="13583" max="13583" width="2.6640625" style="95" customWidth="1"/>
    <col min="13584" max="13585" width="8.33203125" style="95" customWidth="1"/>
    <col min="13586" max="13586" width="2.6640625" style="95" customWidth="1"/>
    <col min="13587" max="13587" width="4.6640625" style="95" customWidth="1"/>
    <col min="13588" max="13588" width="3.33203125" style="95" customWidth="1"/>
    <col min="13589" max="13589" width="6.6640625" style="95" customWidth="1"/>
    <col min="13590" max="13823" width="8.83203125" style="95"/>
    <col min="13824" max="13824" width="35.6640625" style="95" customWidth="1"/>
    <col min="13825" max="13826" width="8.33203125" style="95" customWidth="1"/>
    <col min="13827" max="13827" width="2.6640625" style="95" customWidth="1"/>
    <col min="13828" max="13828" width="8.5" style="95" customWidth="1"/>
    <col min="13829" max="13829" width="8.33203125" style="95" customWidth="1"/>
    <col min="13830" max="13830" width="3.33203125" style="95" customWidth="1"/>
    <col min="13831" max="13832" width="8.33203125" style="95" customWidth="1"/>
    <col min="13833" max="13833" width="2.6640625" style="95" customWidth="1"/>
    <col min="13834" max="13834" width="8.33203125" style="95" customWidth="1"/>
    <col min="13835" max="13835" width="8.5" style="95" customWidth="1"/>
    <col min="13836" max="13836" width="2.6640625" style="95" customWidth="1"/>
    <col min="13837" max="13838" width="8.33203125" style="95" customWidth="1"/>
    <col min="13839" max="13839" width="2.6640625" style="95" customWidth="1"/>
    <col min="13840" max="13841" width="8.33203125" style="95" customWidth="1"/>
    <col min="13842" max="13842" width="2.6640625" style="95" customWidth="1"/>
    <col min="13843" max="13843" width="4.6640625" style="95" customWidth="1"/>
    <col min="13844" max="13844" width="3.33203125" style="95" customWidth="1"/>
    <col min="13845" max="13845" width="6.6640625" style="95" customWidth="1"/>
    <col min="13846" max="14079" width="8.83203125" style="95"/>
    <col min="14080" max="14080" width="35.6640625" style="95" customWidth="1"/>
    <col min="14081" max="14082" width="8.33203125" style="95" customWidth="1"/>
    <col min="14083" max="14083" width="2.6640625" style="95" customWidth="1"/>
    <col min="14084" max="14084" width="8.5" style="95" customWidth="1"/>
    <col min="14085" max="14085" width="8.33203125" style="95" customWidth="1"/>
    <col min="14086" max="14086" width="3.33203125" style="95" customWidth="1"/>
    <col min="14087" max="14088" width="8.33203125" style="95" customWidth="1"/>
    <col min="14089" max="14089" width="2.6640625" style="95" customWidth="1"/>
    <col min="14090" max="14090" width="8.33203125" style="95" customWidth="1"/>
    <col min="14091" max="14091" width="8.5" style="95" customWidth="1"/>
    <col min="14092" max="14092" width="2.6640625" style="95" customWidth="1"/>
    <col min="14093" max="14094" width="8.33203125" style="95" customWidth="1"/>
    <col min="14095" max="14095" width="2.6640625" style="95" customWidth="1"/>
    <col min="14096" max="14097" width="8.33203125" style="95" customWidth="1"/>
    <col min="14098" max="14098" width="2.6640625" style="95" customWidth="1"/>
    <col min="14099" max="14099" width="4.6640625" style="95" customWidth="1"/>
    <col min="14100" max="14100" width="3.33203125" style="95" customWidth="1"/>
    <col min="14101" max="14101" width="6.6640625" style="95" customWidth="1"/>
    <col min="14102" max="14335" width="8.83203125" style="95"/>
    <col min="14336" max="14336" width="35.6640625" style="95" customWidth="1"/>
    <col min="14337" max="14338" width="8.33203125" style="95" customWidth="1"/>
    <col min="14339" max="14339" width="2.6640625" style="95" customWidth="1"/>
    <col min="14340" max="14340" width="8.5" style="95" customWidth="1"/>
    <col min="14341" max="14341" width="8.33203125" style="95" customWidth="1"/>
    <col min="14342" max="14342" width="3.33203125" style="95" customWidth="1"/>
    <col min="14343" max="14344" width="8.33203125" style="95" customWidth="1"/>
    <col min="14345" max="14345" width="2.6640625" style="95" customWidth="1"/>
    <col min="14346" max="14346" width="8.33203125" style="95" customWidth="1"/>
    <col min="14347" max="14347" width="8.5" style="95" customWidth="1"/>
    <col min="14348" max="14348" width="2.6640625" style="95" customWidth="1"/>
    <col min="14349" max="14350" width="8.33203125" style="95" customWidth="1"/>
    <col min="14351" max="14351" width="2.6640625" style="95" customWidth="1"/>
    <col min="14352" max="14353" width="8.33203125" style="95" customWidth="1"/>
    <col min="14354" max="14354" width="2.6640625" style="95" customWidth="1"/>
    <col min="14355" max="14355" width="4.6640625" style="95" customWidth="1"/>
    <col min="14356" max="14356" width="3.33203125" style="95" customWidth="1"/>
    <col min="14357" max="14357" width="6.6640625" style="95" customWidth="1"/>
    <col min="14358" max="14591" width="8.83203125" style="95"/>
    <col min="14592" max="14592" width="35.6640625" style="95" customWidth="1"/>
    <col min="14593" max="14594" width="8.33203125" style="95" customWidth="1"/>
    <col min="14595" max="14595" width="2.6640625" style="95" customWidth="1"/>
    <col min="14596" max="14596" width="8.5" style="95" customWidth="1"/>
    <col min="14597" max="14597" width="8.33203125" style="95" customWidth="1"/>
    <col min="14598" max="14598" width="3.33203125" style="95" customWidth="1"/>
    <col min="14599" max="14600" width="8.33203125" style="95" customWidth="1"/>
    <col min="14601" max="14601" width="2.6640625" style="95" customWidth="1"/>
    <col min="14602" max="14602" width="8.33203125" style="95" customWidth="1"/>
    <col min="14603" max="14603" width="8.5" style="95" customWidth="1"/>
    <col min="14604" max="14604" width="2.6640625" style="95" customWidth="1"/>
    <col min="14605" max="14606" width="8.33203125" style="95" customWidth="1"/>
    <col min="14607" max="14607" width="2.6640625" style="95" customWidth="1"/>
    <col min="14608" max="14609" width="8.33203125" style="95" customWidth="1"/>
    <col min="14610" max="14610" width="2.6640625" style="95" customWidth="1"/>
    <col min="14611" max="14611" width="4.6640625" style="95" customWidth="1"/>
    <col min="14612" max="14612" width="3.33203125" style="95" customWidth="1"/>
    <col min="14613" max="14613" width="6.6640625" style="95" customWidth="1"/>
    <col min="14614" max="14847" width="8.83203125" style="95"/>
    <col min="14848" max="14848" width="35.6640625" style="95" customWidth="1"/>
    <col min="14849" max="14850" width="8.33203125" style="95" customWidth="1"/>
    <col min="14851" max="14851" width="2.6640625" style="95" customWidth="1"/>
    <col min="14852" max="14852" width="8.5" style="95" customWidth="1"/>
    <col min="14853" max="14853" width="8.33203125" style="95" customWidth="1"/>
    <col min="14854" max="14854" width="3.33203125" style="95" customWidth="1"/>
    <col min="14855" max="14856" width="8.33203125" style="95" customWidth="1"/>
    <col min="14857" max="14857" width="2.6640625" style="95" customWidth="1"/>
    <col min="14858" max="14858" width="8.33203125" style="95" customWidth="1"/>
    <col min="14859" max="14859" width="8.5" style="95" customWidth="1"/>
    <col min="14860" max="14860" width="2.6640625" style="95" customWidth="1"/>
    <col min="14861" max="14862" width="8.33203125" style="95" customWidth="1"/>
    <col min="14863" max="14863" width="2.6640625" style="95" customWidth="1"/>
    <col min="14864" max="14865" width="8.33203125" style="95" customWidth="1"/>
    <col min="14866" max="14866" width="2.6640625" style="95" customWidth="1"/>
    <col min="14867" max="14867" width="4.6640625" style="95" customWidth="1"/>
    <col min="14868" max="14868" width="3.33203125" style="95" customWidth="1"/>
    <col min="14869" max="14869" width="6.6640625" style="95" customWidth="1"/>
    <col min="14870" max="15103" width="8.83203125" style="95"/>
    <col min="15104" max="15104" width="35.6640625" style="95" customWidth="1"/>
    <col min="15105" max="15106" width="8.33203125" style="95" customWidth="1"/>
    <col min="15107" max="15107" width="2.6640625" style="95" customWidth="1"/>
    <col min="15108" max="15108" width="8.5" style="95" customWidth="1"/>
    <col min="15109" max="15109" width="8.33203125" style="95" customWidth="1"/>
    <col min="15110" max="15110" width="3.33203125" style="95" customWidth="1"/>
    <col min="15111" max="15112" width="8.33203125" style="95" customWidth="1"/>
    <col min="15113" max="15113" width="2.6640625" style="95" customWidth="1"/>
    <col min="15114" max="15114" width="8.33203125" style="95" customWidth="1"/>
    <col min="15115" max="15115" width="8.5" style="95" customWidth="1"/>
    <col min="15116" max="15116" width="2.6640625" style="95" customWidth="1"/>
    <col min="15117" max="15118" width="8.33203125" style="95" customWidth="1"/>
    <col min="15119" max="15119" width="2.6640625" style="95" customWidth="1"/>
    <col min="15120" max="15121" width="8.33203125" style="95" customWidth="1"/>
    <col min="15122" max="15122" width="2.6640625" style="95" customWidth="1"/>
    <col min="15123" max="15123" width="4.6640625" style="95" customWidth="1"/>
    <col min="15124" max="15124" width="3.33203125" style="95" customWidth="1"/>
    <col min="15125" max="15125" width="6.6640625" style="95" customWidth="1"/>
    <col min="15126" max="15359" width="8.83203125" style="95"/>
    <col min="15360" max="15360" width="35.6640625" style="95" customWidth="1"/>
    <col min="15361" max="15362" width="8.33203125" style="95" customWidth="1"/>
    <col min="15363" max="15363" width="2.6640625" style="95" customWidth="1"/>
    <col min="15364" max="15364" width="8.5" style="95" customWidth="1"/>
    <col min="15365" max="15365" width="8.33203125" style="95" customWidth="1"/>
    <col min="15366" max="15366" width="3.33203125" style="95" customWidth="1"/>
    <col min="15367" max="15368" width="8.33203125" style="95" customWidth="1"/>
    <col min="15369" max="15369" width="2.6640625" style="95" customWidth="1"/>
    <col min="15370" max="15370" width="8.33203125" style="95" customWidth="1"/>
    <col min="15371" max="15371" width="8.5" style="95" customWidth="1"/>
    <col min="15372" max="15372" width="2.6640625" style="95" customWidth="1"/>
    <col min="15373" max="15374" width="8.33203125" style="95" customWidth="1"/>
    <col min="15375" max="15375" width="2.6640625" style="95" customWidth="1"/>
    <col min="15376" max="15377" width="8.33203125" style="95" customWidth="1"/>
    <col min="15378" max="15378" width="2.6640625" style="95" customWidth="1"/>
    <col min="15379" max="15379" width="4.6640625" style="95" customWidth="1"/>
    <col min="15380" max="15380" width="3.33203125" style="95" customWidth="1"/>
    <col min="15381" max="15381" width="6.6640625" style="95" customWidth="1"/>
    <col min="15382" max="15615" width="8.83203125" style="95"/>
    <col min="15616" max="15616" width="35.6640625" style="95" customWidth="1"/>
    <col min="15617" max="15618" width="8.33203125" style="95" customWidth="1"/>
    <col min="15619" max="15619" width="2.6640625" style="95" customWidth="1"/>
    <col min="15620" max="15620" width="8.5" style="95" customWidth="1"/>
    <col min="15621" max="15621" width="8.33203125" style="95" customWidth="1"/>
    <col min="15622" max="15622" width="3.33203125" style="95" customWidth="1"/>
    <col min="15623" max="15624" width="8.33203125" style="95" customWidth="1"/>
    <col min="15625" max="15625" width="2.6640625" style="95" customWidth="1"/>
    <col min="15626" max="15626" width="8.33203125" style="95" customWidth="1"/>
    <col min="15627" max="15627" width="8.5" style="95" customWidth="1"/>
    <col min="15628" max="15628" width="2.6640625" style="95" customWidth="1"/>
    <col min="15629" max="15630" width="8.33203125" style="95" customWidth="1"/>
    <col min="15631" max="15631" width="2.6640625" style="95" customWidth="1"/>
    <col min="15632" max="15633" width="8.33203125" style="95" customWidth="1"/>
    <col min="15634" max="15634" width="2.6640625" style="95" customWidth="1"/>
    <col min="15635" max="15635" width="4.6640625" style="95" customWidth="1"/>
    <col min="15636" max="15636" width="3.33203125" style="95" customWidth="1"/>
    <col min="15637" max="15637" width="6.6640625" style="95" customWidth="1"/>
    <col min="15638" max="15871" width="8.83203125" style="95"/>
    <col min="15872" max="15872" width="35.6640625" style="95" customWidth="1"/>
    <col min="15873" max="15874" width="8.33203125" style="95" customWidth="1"/>
    <col min="15875" max="15875" width="2.6640625" style="95" customWidth="1"/>
    <col min="15876" max="15876" width="8.5" style="95" customWidth="1"/>
    <col min="15877" max="15877" width="8.33203125" style="95" customWidth="1"/>
    <col min="15878" max="15878" width="3.33203125" style="95" customWidth="1"/>
    <col min="15879" max="15880" width="8.33203125" style="95" customWidth="1"/>
    <col min="15881" max="15881" width="2.6640625" style="95" customWidth="1"/>
    <col min="15882" max="15882" width="8.33203125" style="95" customWidth="1"/>
    <col min="15883" max="15883" width="8.5" style="95" customWidth="1"/>
    <col min="15884" max="15884" width="2.6640625" style="95" customWidth="1"/>
    <col min="15885" max="15886" width="8.33203125" style="95" customWidth="1"/>
    <col min="15887" max="15887" width="2.6640625" style="95" customWidth="1"/>
    <col min="15888" max="15889" width="8.33203125" style="95" customWidth="1"/>
    <col min="15890" max="15890" width="2.6640625" style="95" customWidth="1"/>
    <col min="15891" max="15891" width="4.6640625" style="95" customWidth="1"/>
    <col min="15892" max="15892" width="3.33203125" style="95" customWidth="1"/>
    <col min="15893" max="15893" width="6.6640625" style="95" customWidth="1"/>
    <col min="15894" max="16127" width="8.83203125" style="95"/>
    <col min="16128" max="16128" width="35.6640625" style="95" customWidth="1"/>
    <col min="16129" max="16130" width="8.33203125" style="95" customWidth="1"/>
    <col min="16131" max="16131" width="2.6640625" style="95" customWidth="1"/>
    <col min="16132" max="16132" width="8.5" style="95" customWidth="1"/>
    <col min="16133" max="16133" width="8.33203125" style="95" customWidth="1"/>
    <col min="16134" max="16134" width="3.33203125" style="95" customWidth="1"/>
    <col min="16135" max="16136" width="8.33203125" style="95" customWidth="1"/>
    <col min="16137" max="16137" width="2.6640625" style="95" customWidth="1"/>
    <col min="16138" max="16138" width="8.33203125" style="95" customWidth="1"/>
    <col min="16139" max="16139" width="8.5" style="95" customWidth="1"/>
    <col min="16140" max="16140" width="2.6640625" style="95" customWidth="1"/>
    <col min="16141" max="16142" width="8.33203125" style="95" customWidth="1"/>
    <col min="16143" max="16143" width="2.6640625" style="95" customWidth="1"/>
    <col min="16144" max="16145" width="8.33203125" style="95" customWidth="1"/>
    <col min="16146" max="16146" width="2.6640625" style="95" customWidth="1"/>
    <col min="16147" max="16147" width="4.6640625" style="95" customWidth="1"/>
    <col min="16148" max="16148" width="3.33203125" style="95" customWidth="1"/>
    <col min="16149" max="16149" width="6.6640625" style="95" customWidth="1"/>
    <col min="16150" max="16384" width="8.83203125" style="95"/>
  </cols>
  <sheetData>
    <row r="1" spans="1:21">
      <c r="A1" s="95" t="s">
        <v>144</v>
      </c>
      <c r="F1" s="95"/>
      <c r="H1" s="95"/>
    </row>
    <row r="2" spans="1:21">
      <c r="A2" s="95" t="s">
        <v>145</v>
      </c>
    </row>
    <row r="3" spans="1:21" ht="10" customHeight="1"/>
    <row r="4" spans="1:21">
      <c r="A4" s="14" t="s">
        <v>2225</v>
      </c>
    </row>
    <row r="5" spans="1:21" ht="10" customHeight="1" thickBot="1">
      <c r="S5" s="105"/>
    </row>
    <row r="6" spans="1:21">
      <c r="A6" s="97"/>
      <c r="B6" s="115"/>
      <c r="C6" s="99"/>
      <c r="D6" s="97"/>
      <c r="E6" s="144"/>
      <c r="F6" s="99"/>
      <c r="G6" s="97"/>
      <c r="H6" s="144"/>
      <c r="I6" s="99"/>
      <c r="J6" s="97"/>
      <c r="K6" s="144"/>
      <c r="L6" s="99"/>
      <c r="M6" s="97"/>
      <c r="N6" s="144"/>
      <c r="O6" s="99"/>
      <c r="P6" s="97"/>
      <c r="Q6" s="144"/>
      <c r="R6" s="99"/>
      <c r="S6" s="99"/>
    </row>
    <row r="7" spans="1:21" ht="15">
      <c r="A7" s="116" t="s">
        <v>702</v>
      </c>
      <c r="B7" s="119" t="s">
        <v>457</v>
      </c>
      <c r="C7" s="135"/>
      <c r="D7" s="116"/>
      <c r="E7" s="154" t="s">
        <v>703</v>
      </c>
      <c r="F7" s="135"/>
      <c r="G7" s="116"/>
      <c r="H7" s="154" t="s">
        <v>704</v>
      </c>
      <c r="I7" s="135"/>
      <c r="J7" s="116"/>
      <c r="K7" s="154" t="s">
        <v>705</v>
      </c>
      <c r="L7" s="135"/>
      <c r="M7" s="116"/>
      <c r="N7" s="154" t="s">
        <v>706</v>
      </c>
      <c r="O7" s="135"/>
      <c r="P7" s="116"/>
      <c r="Q7" s="154" t="s">
        <v>707</v>
      </c>
      <c r="R7" s="135"/>
    </row>
    <row r="8" spans="1:21">
      <c r="A8" s="116" t="s">
        <v>708</v>
      </c>
      <c r="B8" s="294" t="s">
        <v>400</v>
      </c>
      <c r="C8" s="101" t="s">
        <v>401</v>
      </c>
      <c r="D8" s="116"/>
      <c r="E8" s="149" t="s">
        <v>400</v>
      </c>
      <c r="F8" s="101" t="s">
        <v>401</v>
      </c>
      <c r="G8" s="116"/>
      <c r="H8" s="149" t="s">
        <v>400</v>
      </c>
      <c r="I8" s="101" t="s">
        <v>401</v>
      </c>
      <c r="J8" s="116"/>
      <c r="K8" s="149" t="s">
        <v>400</v>
      </c>
      <c r="L8" s="101" t="s">
        <v>401</v>
      </c>
      <c r="M8" s="116"/>
      <c r="N8" s="149" t="s">
        <v>400</v>
      </c>
      <c r="O8" s="101" t="s">
        <v>401</v>
      </c>
      <c r="P8" s="116"/>
      <c r="Q8" s="149" t="s">
        <v>400</v>
      </c>
      <c r="R8" s="101" t="s">
        <v>401</v>
      </c>
      <c r="S8" s="116"/>
    </row>
    <row r="9" spans="1:21" ht="14" thickBot="1">
      <c r="A9" s="102"/>
      <c r="B9" s="125"/>
      <c r="C9" s="96"/>
      <c r="D9" s="102"/>
      <c r="E9" s="153"/>
      <c r="F9" s="96"/>
      <c r="G9" s="102"/>
      <c r="H9" s="153"/>
      <c r="I9" s="96"/>
      <c r="J9" s="102"/>
      <c r="K9" s="153"/>
      <c r="L9" s="96"/>
      <c r="M9" s="102"/>
      <c r="N9" s="153"/>
      <c r="O9" s="96"/>
      <c r="P9" s="102"/>
      <c r="Q9" s="153"/>
      <c r="R9" s="96"/>
      <c r="S9" s="96"/>
    </row>
    <row r="10" spans="1:21" ht="10" customHeight="1">
      <c r="A10" s="116"/>
      <c r="B10" s="119"/>
      <c r="C10" s="135"/>
      <c r="D10" s="116"/>
      <c r="E10" s="154"/>
      <c r="F10" s="135"/>
      <c r="G10" s="116"/>
      <c r="H10" s="154"/>
      <c r="I10" s="135"/>
      <c r="J10" s="116"/>
      <c r="K10" s="154"/>
      <c r="L10" s="135"/>
      <c r="M10" s="116"/>
      <c r="N10" s="154"/>
      <c r="O10" s="135"/>
      <c r="P10" s="116"/>
      <c r="Q10" s="154"/>
      <c r="R10" s="135"/>
      <c r="S10" s="135"/>
    </row>
    <row r="11" spans="1:21" ht="13.25" customHeight="1">
      <c r="A11" s="55" t="s">
        <v>290</v>
      </c>
      <c r="B11" s="221">
        <f t="shared" ref="B11:B74" si="0">IF($A11&lt;&gt;0,E11+H11+K11+N11+Q11,"")</f>
        <v>2907</v>
      </c>
      <c r="C11" s="218">
        <f>C15+C21+C82+C88</f>
        <v>100.00000000000001</v>
      </c>
      <c r="D11" s="219" t="s">
        <v>128</v>
      </c>
      <c r="E11" s="217">
        <f>IF($A11&lt;&gt;0,E13+E88,"")</f>
        <v>2240</v>
      </c>
      <c r="F11" s="218">
        <f>IF($A11&lt;&gt;0,E11/$B11*100,"")</f>
        <v>77.055383556931545</v>
      </c>
      <c r="G11" s="219"/>
      <c r="H11" s="217">
        <f>IF($A11&lt;&gt;0,H13+H88,"")</f>
        <v>543</v>
      </c>
      <c r="I11" s="218">
        <f>IF($A11&lt;&gt;0,H11/$B11*100,"")</f>
        <v>18.679050567595461</v>
      </c>
      <c r="J11" s="219"/>
      <c r="K11" s="217">
        <f>IF($A11&lt;&gt;0,K13+K88,"")</f>
        <v>116</v>
      </c>
      <c r="L11" s="218">
        <f>IF($A11&lt;&gt;0,K11/$B11*100,"")</f>
        <v>3.9903680770553831</v>
      </c>
      <c r="M11" s="219"/>
      <c r="N11" s="217">
        <f>IF($A11&lt;&gt;0,N13+N88,"")</f>
        <v>4</v>
      </c>
      <c r="O11" s="218">
        <f>IF($A11&lt;&gt;0,N11/$B11*100,"")</f>
        <v>0.13759889920880633</v>
      </c>
      <c r="P11" s="219"/>
      <c r="Q11" s="217">
        <f>IF($A11&lt;&gt;0,Q21+Q82+Q15,"")</f>
        <v>4</v>
      </c>
      <c r="R11" s="218">
        <f t="shared" ref="R11:R74" si="1">IF($A11&lt;&gt;0,Q11/$B11*100,"")</f>
        <v>0.13759889920880633</v>
      </c>
    </row>
    <row r="12" spans="1:21" ht="10" customHeight="1">
      <c r="A12" s="55"/>
      <c r="B12" s="221" t="str">
        <f t="shared" si="0"/>
        <v/>
      </c>
      <c r="C12" s="218" t="str">
        <f t="shared" ref="C12:C75" si="2">IF(A12&lt;&gt;0,B12/$B$11*100,"")</f>
        <v/>
      </c>
      <c r="D12" s="219"/>
      <c r="E12" s="217"/>
      <c r="F12" s="218"/>
      <c r="G12" s="219"/>
      <c r="H12" s="217"/>
      <c r="I12" s="218"/>
      <c r="J12" s="219"/>
      <c r="K12" s="217"/>
      <c r="L12" s="218"/>
      <c r="M12" s="219"/>
      <c r="N12" s="217"/>
      <c r="O12" s="218"/>
      <c r="P12" s="219"/>
      <c r="Q12" s="217"/>
      <c r="R12" s="218" t="str">
        <f t="shared" si="1"/>
        <v/>
      </c>
    </row>
    <row r="13" spans="1:21" ht="13.25" customHeight="1">
      <c r="A13" s="55" t="s">
        <v>403</v>
      </c>
      <c r="B13" s="221">
        <f t="shared" si="0"/>
        <v>2747</v>
      </c>
      <c r="C13" s="218">
        <f t="shared" si="2"/>
        <v>94.496044031647756</v>
      </c>
      <c r="D13" s="219"/>
      <c r="E13" s="217">
        <f>E15+E21+E82</f>
        <v>2109</v>
      </c>
      <c r="F13" s="218">
        <f t="shared" ref="F13:F76" si="3">IF($A13&lt;&gt;0,E13/$B13*100,"")</f>
        <v>76.774663269020749</v>
      </c>
      <c r="G13" s="219"/>
      <c r="H13" s="217">
        <f>H15+H21+H82</f>
        <v>523</v>
      </c>
      <c r="I13" s="218">
        <f t="shared" ref="I13:I76" si="4">IF($A13&lt;&gt;0,H13/$B13*100,"")</f>
        <v>19.038951583545686</v>
      </c>
      <c r="J13" s="219"/>
      <c r="K13" s="217">
        <f>K15+K21+K82</f>
        <v>107</v>
      </c>
      <c r="L13" s="218">
        <f t="shared" ref="L13:L76" si="5">IF($A13&lt;&gt;0,K13/$B13*100,"")</f>
        <v>3.8951583545686201</v>
      </c>
      <c r="M13" s="219"/>
      <c r="N13" s="217">
        <f>N15+N21+N82</f>
        <v>4</v>
      </c>
      <c r="O13" s="218">
        <f t="shared" ref="O13:O21" si="6">IF($A13&lt;&gt;0,N13/$B13*100,"")</f>
        <v>0.14561339643247179</v>
      </c>
      <c r="P13" s="219"/>
      <c r="Q13" s="217">
        <f>Q15+Q21+Q82</f>
        <v>4</v>
      </c>
      <c r="R13" s="218">
        <f t="shared" si="1"/>
        <v>0.14561339643247179</v>
      </c>
    </row>
    <row r="14" spans="1:21" ht="10" customHeight="1">
      <c r="B14" s="221" t="str">
        <f t="shared" si="0"/>
        <v/>
      </c>
      <c r="C14" s="218" t="str">
        <f t="shared" si="2"/>
        <v/>
      </c>
      <c r="D14" s="219"/>
      <c r="E14" s="217"/>
      <c r="F14" s="218" t="str">
        <f t="shared" si="3"/>
        <v/>
      </c>
      <c r="G14" s="219"/>
      <c r="H14" s="217"/>
      <c r="I14" s="218" t="str">
        <f t="shared" si="4"/>
        <v/>
      </c>
      <c r="J14" s="219"/>
      <c r="K14" s="217"/>
      <c r="L14" s="218" t="str">
        <f t="shared" si="5"/>
        <v/>
      </c>
      <c r="M14" s="219"/>
      <c r="N14" s="217"/>
      <c r="O14" s="218" t="str">
        <f t="shared" si="6"/>
        <v/>
      </c>
      <c r="P14" s="219"/>
      <c r="Q14" s="217"/>
      <c r="R14" s="218" t="str">
        <f t="shared" si="1"/>
        <v/>
      </c>
    </row>
    <row r="15" spans="1:21" ht="12.75" customHeight="1">
      <c r="A15" s="55" t="s">
        <v>709</v>
      </c>
      <c r="B15" s="221">
        <f t="shared" si="0"/>
        <v>94</v>
      </c>
      <c r="C15" s="218">
        <f t="shared" si="2"/>
        <v>3.2335741314069488</v>
      </c>
      <c r="D15" s="219"/>
      <c r="E15" s="217">
        <f>SUM(E16:E19)</f>
        <v>76</v>
      </c>
      <c r="F15" s="218">
        <f t="shared" si="3"/>
        <v>80.851063829787222</v>
      </c>
      <c r="G15" s="219"/>
      <c r="H15" s="217">
        <f>SUM(H16:H19)</f>
        <v>11</v>
      </c>
      <c r="I15" s="218">
        <f t="shared" si="4"/>
        <v>11.702127659574469</v>
      </c>
      <c r="J15" s="219"/>
      <c r="K15" s="217">
        <f>SUM(K16:K19)</f>
        <v>7</v>
      </c>
      <c r="L15" s="218">
        <f t="shared" si="5"/>
        <v>7.4468085106382977</v>
      </c>
      <c r="M15" s="219"/>
      <c r="N15" s="217">
        <f>SUM(N16:N19)</f>
        <v>0</v>
      </c>
      <c r="O15" s="218">
        <f t="shared" si="6"/>
        <v>0</v>
      </c>
      <c r="P15" s="219"/>
      <c r="Q15" s="217">
        <f>SUM(Q16:Q19)</f>
        <v>0</v>
      </c>
      <c r="R15" s="218">
        <f t="shared" si="1"/>
        <v>0</v>
      </c>
    </row>
    <row r="16" spans="1:21" ht="13.25" customHeight="1">
      <c r="A16" s="95" t="s">
        <v>710</v>
      </c>
      <c r="B16" s="221">
        <f t="shared" si="0"/>
        <v>25</v>
      </c>
      <c r="C16" s="218">
        <f t="shared" si="2"/>
        <v>0.85999312005503958</v>
      </c>
      <c r="D16" s="219"/>
      <c r="E16" s="830">
        <v>25</v>
      </c>
      <c r="F16" s="218">
        <f t="shared" si="3"/>
        <v>100</v>
      </c>
      <c r="G16" s="830"/>
      <c r="H16" s="830">
        <v>0</v>
      </c>
      <c r="I16" s="218">
        <f t="shared" si="4"/>
        <v>0</v>
      </c>
      <c r="J16" s="830"/>
      <c r="K16" s="830">
        <v>0</v>
      </c>
      <c r="L16" s="218">
        <f t="shared" si="5"/>
        <v>0</v>
      </c>
      <c r="M16" s="830"/>
      <c r="N16" s="830">
        <v>0</v>
      </c>
      <c r="O16" s="830"/>
      <c r="P16" s="830"/>
      <c r="Q16" s="830">
        <v>0</v>
      </c>
      <c r="R16" s="218">
        <f t="shared" si="1"/>
        <v>0</v>
      </c>
      <c r="U16" s="830"/>
    </row>
    <row r="17" spans="1:21" ht="13.25" customHeight="1">
      <c r="A17" s="95" t="s">
        <v>711</v>
      </c>
      <c r="B17" s="221">
        <f t="shared" si="0"/>
        <v>11</v>
      </c>
      <c r="C17" s="218">
        <f t="shared" si="2"/>
        <v>0.37839697282421741</v>
      </c>
      <c r="D17" s="219"/>
      <c r="E17" s="830">
        <v>3</v>
      </c>
      <c r="F17" s="218">
        <f t="shared" si="3"/>
        <v>27.27272727272727</v>
      </c>
      <c r="G17" s="830"/>
      <c r="H17" s="830">
        <v>1</v>
      </c>
      <c r="I17" s="218">
        <f t="shared" si="4"/>
        <v>9.0909090909090917</v>
      </c>
      <c r="J17" s="830"/>
      <c r="K17" s="830">
        <v>7</v>
      </c>
      <c r="L17" s="218">
        <f t="shared" si="5"/>
        <v>63.636363636363633</v>
      </c>
      <c r="M17" s="830"/>
      <c r="N17" s="830">
        <v>0</v>
      </c>
      <c r="O17" s="830"/>
      <c r="P17" s="830"/>
      <c r="Q17" s="830">
        <v>0</v>
      </c>
      <c r="R17" s="218">
        <f t="shared" si="1"/>
        <v>0</v>
      </c>
      <c r="U17" s="830"/>
    </row>
    <row r="18" spans="1:21" ht="13.25" customHeight="1">
      <c r="A18" s="95" t="s">
        <v>712</v>
      </c>
      <c r="B18" s="221">
        <f t="shared" si="0"/>
        <v>50</v>
      </c>
      <c r="C18" s="218">
        <f t="shared" si="2"/>
        <v>1.7199862401100792</v>
      </c>
      <c r="D18" s="219"/>
      <c r="E18" s="830">
        <v>40</v>
      </c>
      <c r="F18" s="218">
        <f t="shared" si="3"/>
        <v>80</v>
      </c>
      <c r="G18" s="830"/>
      <c r="H18" s="830">
        <v>10</v>
      </c>
      <c r="I18" s="218">
        <f t="shared" si="4"/>
        <v>20</v>
      </c>
      <c r="J18" s="830"/>
      <c r="K18" s="830">
        <v>0</v>
      </c>
      <c r="L18" s="218">
        <f t="shared" si="5"/>
        <v>0</v>
      </c>
      <c r="M18" s="830"/>
      <c r="N18" s="830">
        <v>0</v>
      </c>
      <c r="O18" s="830"/>
      <c r="P18" s="830"/>
      <c r="Q18" s="830">
        <v>0</v>
      </c>
      <c r="R18" s="218">
        <f t="shared" si="1"/>
        <v>0</v>
      </c>
      <c r="U18" s="830"/>
    </row>
    <row r="19" spans="1:21" ht="13.25" customHeight="1">
      <c r="A19" s="95" t="s">
        <v>713</v>
      </c>
      <c r="B19" s="221">
        <f>IF($A19&lt;&gt;0,E19+H19+K19+N19+Q19,"")</f>
        <v>8</v>
      </c>
      <c r="C19" s="218">
        <f>IF(A19&lt;&gt;0,B19/$B$11*100,"")</f>
        <v>0.27519779841761266</v>
      </c>
      <c r="D19" s="219"/>
      <c r="E19" s="830">
        <v>8</v>
      </c>
      <c r="F19" s="218">
        <f t="shared" si="3"/>
        <v>100</v>
      </c>
      <c r="G19" s="830"/>
      <c r="H19" s="830">
        <v>0</v>
      </c>
      <c r="I19" s="218">
        <f t="shared" si="4"/>
        <v>0</v>
      </c>
      <c r="J19" s="830"/>
      <c r="K19" s="830">
        <v>0</v>
      </c>
      <c r="L19" s="218">
        <f t="shared" si="5"/>
        <v>0</v>
      </c>
      <c r="M19" s="830"/>
      <c r="N19" s="830">
        <v>0</v>
      </c>
      <c r="O19" s="830"/>
      <c r="P19" s="830"/>
      <c r="Q19" s="830">
        <v>0</v>
      </c>
      <c r="R19" s="218">
        <f t="shared" si="1"/>
        <v>0</v>
      </c>
      <c r="U19" s="830"/>
    </row>
    <row r="20" spans="1:21" ht="10" customHeight="1">
      <c r="B20" s="221" t="str">
        <f t="shared" si="0"/>
        <v/>
      </c>
      <c r="C20" s="218" t="str">
        <f t="shared" si="2"/>
        <v/>
      </c>
      <c r="D20" s="219"/>
      <c r="E20" s="217"/>
      <c r="F20" s="218" t="str">
        <f t="shared" si="3"/>
        <v/>
      </c>
      <c r="G20" s="219"/>
      <c r="H20" s="217"/>
      <c r="I20" s="218" t="str">
        <f t="shared" si="4"/>
        <v/>
      </c>
      <c r="J20" s="219"/>
      <c r="K20" s="217"/>
      <c r="L20" s="218" t="str">
        <f t="shared" si="5"/>
        <v/>
      </c>
      <c r="M20" s="219"/>
      <c r="N20" s="217"/>
      <c r="O20" s="218" t="str">
        <f t="shared" si="6"/>
        <v/>
      </c>
      <c r="P20" s="219"/>
      <c r="Q20" s="217"/>
      <c r="R20" s="218" t="str">
        <f t="shared" si="1"/>
        <v/>
      </c>
      <c r="U20" s="61"/>
    </row>
    <row r="21" spans="1:21" ht="13.25" customHeight="1">
      <c r="A21" s="55" t="s">
        <v>714</v>
      </c>
      <c r="B21" s="221">
        <f t="shared" si="0"/>
        <v>2067</v>
      </c>
      <c r="C21" s="218">
        <f t="shared" si="2"/>
        <v>71.104231166150669</v>
      </c>
      <c r="D21" s="219"/>
      <c r="E21" s="217">
        <f>SUM(E22:E80)</f>
        <v>1610</v>
      </c>
      <c r="F21" s="218">
        <f t="shared" si="3"/>
        <v>77.89066279632317</v>
      </c>
      <c r="G21" s="212"/>
      <c r="H21" s="212">
        <f>SUM(H22:H80)</f>
        <v>367</v>
      </c>
      <c r="I21" s="218">
        <f t="shared" si="4"/>
        <v>17.755200774068701</v>
      </c>
      <c r="J21" s="211"/>
      <c r="K21" s="212">
        <f>SUM(K22:K80)</f>
        <v>82</v>
      </c>
      <c r="L21" s="218">
        <f t="shared" si="5"/>
        <v>3.9671020803096271</v>
      </c>
      <c r="M21" s="211"/>
      <c r="N21" s="212">
        <f>SUM(N22:N80)</f>
        <v>4</v>
      </c>
      <c r="O21" s="218">
        <f t="shared" si="6"/>
        <v>0.19351717464925011</v>
      </c>
      <c r="P21" s="211"/>
      <c r="Q21" s="212">
        <f>SUM(Q22:Q80)</f>
        <v>4</v>
      </c>
      <c r="R21" s="218">
        <f t="shared" si="1"/>
        <v>0.19351717464925011</v>
      </c>
      <c r="U21" s="1003"/>
    </row>
    <row r="22" spans="1:21" ht="13.25" customHeight="1">
      <c r="A22" s="95" t="s">
        <v>715</v>
      </c>
      <c r="B22" s="221">
        <f t="shared" si="0"/>
        <v>74</v>
      </c>
      <c r="C22" s="218">
        <f t="shared" si="2"/>
        <v>2.545579635362917</v>
      </c>
      <c r="D22" s="219"/>
      <c r="E22" s="831">
        <v>48</v>
      </c>
      <c r="F22" s="218">
        <f t="shared" si="3"/>
        <v>64.86486486486487</v>
      </c>
      <c r="G22" s="831"/>
      <c r="H22" s="831">
        <v>24</v>
      </c>
      <c r="I22" s="218">
        <f t="shared" si="4"/>
        <v>32.432432432432435</v>
      </c>
      <c r="J22" s="831"/>
      <c r="K22" s="831">
        <v>2</v>
      </c>
      <c r="L22" s="218">
        <f t="shared" si="5"/>
        <v>2.7027027027027026</v>
      </c>
      <c r="M22" s="831"/>
      <c r="N22" s="831">
        <v>0</v>
      </c>
      <c r="O22" s="831"/>
      <c r="P22" s="831"/>
      <c r="Q22" s="831">
        <v>0</v>
      </c>
      <c r="R22" s="218">
        <f t="shared" si="1"/>
        <v>0</v>
      </c>
      <c r="U22" s="831"/>
    </row>
    <row r="23" spans="1:21" ht="13.25" customHeight="1">
      <c r="A23" s="95" t="s">
        <v>716</v>
      </c>
      <c r="B23" s="221">
        <f t="shared" si="0"/>
        <v>13</v>
      </c>
      <c r="C23" s="218">
        <f t="shared" si="2"/>
        <v>0.44719642242862062</v>
      </c>
      <c r="D23" s="219"/>
      <c r="E23" s="830">
        <v>6</v>
      </c>
      <c r="F23" s="218">
        <f t="shared" si="3"/>
        <v>46.153846153846153</v>
      </c>
      <c r="G23" s="830"/>
      <c r="H23" s="830">
        <v>7</v>
      </c>
      <c r="I23" s="218">
        <f t="shared" si="4"/>
        <v>53.846153846153847</v>
      </c>
      <c r="J23" s="830"/>
      <c r="K23" s="830">
        <v>0</v>
      </c>
      <c r="L23" s="218">
        <f t="shared" si="5"/>
        <v>0</v>
      </c>
      <c r="M23" s="830"/>
      <c r="N23" s="830">
        <v>0</v>
      </c>
      <c r="O23" s="830"/>
      <c r="P23" s="830"/>
      <c r="Q23" s="830">
        <v>0</v>
      </c>
      <c r="R23" s="218">
        <f t="shared" si="1"/>
        <v>0</v>
      </c>
      <c r="U23" s="830"/>
    </row>
    <row r="24" spans="1:21" ht="13.25" customHeight="1">
      <c r="A24" s="95" t="s">
        <v>717</v>
      </c>
      <c r="B24" s="221">
        <f t="shared" si="0"/>
        <v>102</v>
      </c>
      <c r="C24" s="218">
        <f t="shared" si="2"/>
        <v>3.5087719298245612</v>
      </c>
      <c r="D24" s="219"/>
      <c r="E24" s="830">
        <v>95</v>
      </c>
      <c r="F24" s="218">
        <f t="shared" si="3"/>
        <v>93.137254901960787</v>
      </c>
      <c r="G24" s="830"/>
      <c r="H24" s="830">
        <v>5</v>
      </c>
      <c r="I24" s="218">
        <f t="shared" si="4"/>
        <v>4.9019607843137258</v>
      </c>
      <c r="J24" s="830"/>
      <c r="K24" s="830">
        <v>2</v>
      </c>
      <c r="L24" s="218">
        <f t="shared" si="5"/>
        <v>1.9607843137254901</v>
      </c>
      <c r="M24" s="830"/>
      <c r="N24" s="830">
        <v>0</v>
      </c>
      <c r="O24" s="830"/>
      <c r="P24" s="830"/>
      <c r="Q24" s="830">
        <v>0</v>
      </c>
      <c r="R24" s="218">
        <f t="shared" si="1"/>
        <v>0</v>
      </c>
      <c r="U24" s="830"/>
    </row>
    <row r="25" spans="1:21" ht="13.25" customHeight="1">
      <c r="A25" s="95" t="s">
        <v>718</v>
      </c>
      <c r="B25" s="221">
        <f t="shared" si="0"/>
        <v>29</v>
      </c>
      <c r="C25" s="218">
        <f t="shared" si="2"/>
        <v>0.99759201926384578</v>
      </c>
      <c r="D25" s="219"/>
      <c r="E25" s="830">
        <v>20</v>
      </c>
      <c r="F25" s="218">
        <f t="shared" si="3"/>
        <v>68.965517241379317</v>
      </c>
      <c r="G25" s="830"/>
      <c r="H25" s="830">
        <v>7</v>
      </c>
      <c r="I25" s="218">
        <f t="shared" si="4"/>
        <v>24.137931034482758</v>
      </c>
      <c r="J25" s="830"/>
      <c r="K25" s="830">
        <v>2</v>
      </c>
      <c r="L25" s="218">
        <f t="shared" si="5"/>
        <v>6.8965517241379306</v>
      </c>
      <c r="M25" s="830"/>
      <c r="N25" s="830">
        <v>0</v>
      </c>
      <c r="O25" s="830"/>
      <c r="P25" s="830"/>
      <c r="Q25" s="830">
        <v>0</v>
      </c>
      <c r="R25" s="218">
        <f t="shared" si="1"/>
        <v>0</v>
      </c>
      <c r="U25" s="830"/>
    </row>
    <row r="26" spans="1:21" ht="13.25" customHeight="1">
      <c r="A26" s="95" t="s">
        <v>719</v>
      </c>
      <c r="B26" s="221">
        <f t="shared" si="0"/>
        <v>55</v>
      </c>
      <c r="C26" s="218">
        <f t="shared" si="2"/>
        <v>1.8919848641210868</v>
      </c>
      <c r="D26" s="219"/>
      <c r="E26" s="830">
        <v>39</v>
      </c>
      <c r="F26" s="218">
        <f t="shared" si="3"/>
        <v>70.909090909090907</v>
      </c>
      <c r="G26" s="830"/>
      <c r="H26" s="830">
        <v>15</v>
      </c>
      <c r="I26" s="218">
        <f t="shared" si="4"/>
        <v>27.27272727272727</v>
      </c>
      <c r="J26" s="830"/>
      <c r="K26" s="830">
        <v>1</v>
      </c>
      <c r="L26" s="218">
        <f t="shared" si="5"/>
        <v>1.8181818181818181</v>
      </c>
      <c r="M26" s="830"/>
      <c r="N26" s="830">
        <v>0</v>
      </c>
      <c r="O26" s="830"/>
      <c r="P26" s="830"/>
      <c r="Q26" s="830">
        <v>0</v>
      </c>
      <c r="R26" s="218">
        <f t="shared" si="1"/>
        <v>0</v>
      </c>
      <c r="U26" s="830"/>
    </row>
    <row r="27" spans="1:21" ht="13.25" customHeight="1">
      <c r="A27" s="95" t="s">
        <v>720</v>
      </c>
      <c r="B27" s="221">
        <f t="shared" si="0"/>
        <v>53</v>
      </c>
      <c r="C27" s="218">
        <f t="shared" si="2"/>
        <v>1.8231854145166839</v>
      </c>
      <c r="D27" s="219"/>
      <c r="E27" s="830">
        <v>33</v>
      </c>
      <c r="F27" s="218">
        <f t="shared" si="3"/>
        <v>62.264150943396224</v>
      </c>
      <c r="G27" s="830"/>
      <c r="H27" s="830">
        <v>20</v>
      </c>
      <c r="I27" s="218">
        <f t="shared" si="4"/>
        <v>37.735849056603776</v>
      </c>
      <c r="J27" s="830"/>
      <c r="K27" s="830">
        <v>0</v>
      </c>
      <c r="L27" s="218">
        <f t="shared" si="5"/>
        <v>0</v>
      </c>
      <c r="M27" s="830"/>
      <c r="N27" s="830">
        <v>0</v>
      </c>
      <c r="O27" s="830"/>
      <c r="P27" s="830"/>
      <c r="Q27" s="830">
        <v>0</v>
      </c>
      <c r="R27" s="218">
        <f t="shared" si="1"/>
        <v>0</v>
      </c>
      <c r="U27" s="830"/>
    </row>
    <row r="28" spans="1:21" ht="13.25" customHeight="1">
      <c r="A28" s="95" t="s">
        <v>721</v>
      </c>
      <c r="B28" s="221">
        <f t="shared" si="0"/>
        <v>1</v>
      </c>
      <c r="C28" s="218">
        <f t="shared" si="2"/>
        <v>3.4399724802201583E-2</v>
      </c>
      <c r="D28" s="219"/>
      <c r="E28" s="830">
        <v>1</v>
      </c>
      <c r="F28" s="218">
        <f t="shared" si="3"/>
        <v>100</v>
      </c>
      <c r="G28" s="830"/>
      <c r="H28" s="830">
        <v>0</v>
      </c>
      <c r="I28" s="218">
        <f t="shared" si="4"/>
        <v>0</v>
      </c>
      <c r="J28" s="830"/>
      <c r="K28" s="830">
        <v>0</v>
      </c>
      <c r="L28" s="218">
        <f t="shared" si="5"/>
        <v>0</v>
      </c>
      <c r="M28" s="830"/>
      <c r="N28" s="830">
        <v>0</v>
      </c>
      <c r="O28" s="830"/>
      <c r="P28" s="830"/>
      <c r="Q28" s="830">
        <v>0</v>
      </c>
      <c r="R28" s="218">
        <f t="shared" si="1"/>
        <v>0</v>
      </c>
      <c r="U28" s="830"/>
    </row>
    <row r="29" spans="1:21" ht="13.25" customHeight="1">
      <c r="A29" s="95" t="s">
        <v>722</v>
      </c>
      <c r="B29" s="221">
        <f t="shared" si="0"/>
        <v>67</v>
      </c>
      <c r="C29" s="218">
        <f t="shared" si="2"/>
        <v>2.304781561747506</v>
      </c>
      <c r="D29" s="219"/>
      <c r="E29" s="830">
        <v>47</v>
      </c>
      <c r="F29" s="218">
        <f t="shared" si="3"/>
        <v>70.149253731343293</v>
      </c>
      <c r="G29" s="830"/>
      <c r="H29" s="830">
        <v>17</v>
      </c>
      <c r="I29" s="218">
        <f t="shared" si="4"/>
        <v>25.373134328358208</v>
      </c>
      <c r="J29" s="830"/>
      <c r="K29" s="830">
        <v>3</v>
      </c>
      <c r="L29" s="218">
        <f t="shared" si="5"/>
        <v>4.4776119402985071</v>
      </c>
      <c r="M29" s="830"/>
      <c r="N29" s="830">
        <v>0</v>
      </c>
      <c r="O29" s="830"/>
      <c r="P29" s="830"/>
      <c r="Q29" s="830">
        <v>0</v>
      </c>
      <c r="R29" s="218">
        <f t="shared" si="1"/>
        <v>0</v>
      </c>
      <c r="U29" s="830"/>
    </row>
    <row r="30" spans="1:21" ht="13.25" customHeight="1">
      <c r="A30" s="95" t="s">
        <v>723</v>
      </c>
      <c r="B30" s="221">
        <f t="shared" si="0"/>
        <v>5</v>
      </c>
      <c r="C30" s="218">
        <f t="shared" si="2"/>
        <v>0.17199862401100791</v>
      </c>
      <c r="D30" s="219"/>
      <c r="E30" s="830">
        <v>1</v>
      </c>
      <c r="F30" s="218">
        <f t="shared" si="3"/>
        <v>20</v>
      </c>
      <c r="G30" s="830"/>
      <c r="H30" s="830">
        <v>4</v>
      </c>
      <c r="I30" s="218">
        <f t="shared" si="4"/>
        <v>80</v>
      </c>
      <c r="J30" s="830"/>
      <c r="K30" s="830">
        <v>0</v>
      </c>
      <c r="L30" s="218">
        <f t="shared" si="5"/>
        <v>0</v>
      </c>
      <c r="M30" s="830"/>
      <c r="N30" s="830">
        <v>0</v>
      </c>
      <c r="O30" s="830"/>
      <c r="P30" s="830"/>
      <c r="Q30" s="830">
        <v>0</v>
      </c>
      <c r="R30" s="218">
        <f t="shared" si="1"/>
        <v>0</v>
      </c>
      <c r="U30" s="830"/>
    </row>
    <row r="31" spans="1:21" ht="13.25" customHeight="1">
      <c r="A31" s="95" t="s">
        <v>724</v>
      </c>
      <c r="B31" s="221">
        <f t="shared" si="0"/>
        <v>28</v>
      </c>
      <c r="C31" s="218">
        <f t="shared" si="2"/>
        <v>0.96319229446164434</v>
      </c>
      <c r="D31" s="219"/>
      <c r="E31" s="830">
        <v>26</v>
      </c>
      <c r="F31" s="218">
        <f t="shared" si="3"/>
        <v>92.857142857142861</v>
      </c>
      <c r="G31" s="830"/>
      <c r="H31" s="830">
        <v>1</v>
      </c>
      <c r="I31" s="218">
        <f t="shared" si="4"/>
        <v>3.5714285714285712</v>
      </c>
      <c r="J31" s="830"/>
      <c r="K31" s="830">
        <v>1</v>
      </c>
      <c r="L31" s="218">
        <f t="shared" si="5"/>
        <v>3.5714285714285712</v>
      </c>
      <c r="M31" s="830"/>
      <c r="N31" s="830">
        <v>0</v>
      </c>
      <c r="O31" s="830"/>
      <c r="P31" s="830"/>
      <c r="Q31" s="830">
        <v>0</v>
      </c>
      <c r="R31" s="218">
        <f t="shared" si="1"/>
        <v>0</v>
      </c>
      <c r="U31" s="830"/>
    </row>
    <row r="32" spans="1:21" ht="13.25" customHeight="1">
      <c r="A32" s="95" t="s">
        <v>725</v>
      </c>
      <c r="B32" s="221">
        <f t="shared" si="0"/>
        <v>26</v>
      </c>
      <c r="C32" s="218">
        <f t="shared" si="2"/>
        <v>0.89439284485724124</v>
      </c>
      <c r="D32" s="219"/>
      <c r="E32" s="830">
        <v>24</v>
      </c>
      <c r="F32" s="218">
        <f t="shared" si="3"/>
        <v>92.307692307692307</v>
      </c>
      <c r="G32" s="830"/>
      <c r="H32" s="830">
        <v>2</v>
      </c>
      <c r="I32" s="218">
        <f t="shared" si="4"/>
        <v>7.6923076923076925</v>
      </c>
      <c r="J32" s="830"/>
      <c r="K32" s="830">
        <v>0</v>
      </c>
      <c r="L32" s="218">
        <f t="shared" si="5"/>
        <v>0</v>
      </c>
      <c r="M32" s="830"/>
      <c r="N32" s="830">
        <v>0</v>
      </c>
      <c r="O32" s="830"/>
      <c r="P32" s="830"/>
      <c r="Q32" s="830">
        <v>0</v>
      </c>
      <c r="R32" s="218">
        <f t="shared" si="1"/>
        <v>0</v>
      </c>
      <c r="U32" s="830"/>
    </row>
    <row r="33" spans="1:21" ht="13.25" customHeight="1">
      <c r="A33" s="95" t="s">
        <v>726</v>
      </c>
      <c r="B33" s="221">
        <f t="shared" si="0"/>
        <v>21</v>
      </c>
      <c r="C33" s="218">
        <f t="shared" si="2"/>
        <v>0.72239422084623317</v>
      </c>
      <c r="D33" s="219"/>
      <c r="E33" s="830">
        <v>21</v>
      </c>
      <c r="F33" s="218">
        <f t="shared" si="3"/>
        <v>100</v>
      </c>
      <c r="G33" s="830"/>
      <c r="H33" s="830">
        <v>0</v>
      </c>
      <c r="I33" s="218">
        <f t="shared" si="4"/>
        <v>0</v>
      </c>
      <c r="J33" s="830"/>
      <c r="K33" s="830">
        <v>0</v>
      </c>
      <c r="L33" s="218">
        <f t="shared" si="5"/>
        <v>0</v>
      </c>
      <c r="M33" s="830"/>
      <c r="N33" s="830">
        <v>0</v>
      </c>
      <c r="O33" s="830"/>
      <c r="P33" s="830"/>
      <c r="Q33" s="830">
        <v>0</v>
      </c>
      <c r="R33" s="218">
        <f t="shared" si="1"/>
        <v>0</v>
      </c>
      <c r="U33" s="830"/>
    </row>
    <row r="34" spans="1:21" ht="13.25" customHeight="1">
      <c r="A34" s="127" t="s">
        <v>727</v>
      </c>
      <c r="B34" s="221">
        <f t="shared" si="0"/>
        <v>3</v>
      </c>
      <c r="C34" s="218">
        <f t="shared" si="2"/>
        <v>0.10319917440660474</v>
      </c>
      <c r="D34" s="219"/>
      <c r="E34" s="830">
        <v>3</v>
      </c>
      <c r="F34" s="218">
        <f t="shared" si="3"/>
        <v>100</v>
      </c>
      <c r="G34" s="830"/>
      <c r="H34" s="830">
        <v>0</v>
      </c>
      <c r="I34" s="218">
        <f t="shared" si="4"/>
        <v>0</v>
      </c>
      <c r="J34" s="830"/>
      <c r="K34" s="830">
        <v>0</v>
      </c>
      <c r="L34" s="218">
        <f t="shared" si="5"/>
        <v>0</v>
      </c>
      <c r="M34" s="830"/>
      <c r="N34" s="830">
        <v>0</v>
      </c>
      <c r="O34" s="830"/>
      <c r="P34" s="830"/>
      <c r="Q34" s="830">
        <v>0</v>
      </c>
      <c r="R34" s="218">
        <f t="shared" si="1"/>
        <v>0</v>
      </c>
      <c r="U34" s="830"/>
    </row>
    <row r="35" spans="1:21" ht="13.25" customHeight="1">
      <c r="A35" s="127" t="s">
        <v>728</v>
      </c>
      <c r="B35" s="221">
        <f t="shared" si="0"/>
        <v>46</v>
      </c>
      <c r="C35" s="218">
        <f t="shared" si="2"/>
        <v>1.5823873409012728</v>
      </c>
      <c r="D35" s="219"/>
      <c r="E35" s="830">
        <v>32</v>
      </c>
      <c r="F35" s="218">
        <f t="shared" si="3"/>
        <v>69.565217391304344</v>
      </c>
      <c r="G35" s="830"/>
      <c r="H35" s="830">
        <v>13</v>
      </c>
      <c r="I35" s="218">
        <f t="shared" si="4"/>
        <v>28.260869565217391</v>
      </c>
      <c r="J35" s="830"/>
      <c r="K35" s="830">
        <v>1</v>
      </c>
      <c r="L35" s="218">
        <f t="shared" si="5"/>
        <v>2.1739130434782608</v>
      </c>
      <c r="M35" s="830"/>
      <c r="N35" s="830">
        <v>0</v>
      </c>
      <c r="O35" s="830"/>
      <c r="P35" s="830"/>
      <c r="Q35" s="830">
        <v>0</v>
      </c>
      <c r="R35" s="218">
        <f t="shared" si="1"/>
        <v>0</v>
      </c>
      <c r="U35" s="830"/>
    </row>
    <row r="36" spans="1:21" ht="13.25" customHeight="1">
      <c r="A36" s="127" t="s">
        <v>729</v>
      </c>
      <c r="B36" s="221">
        <f t="shared" si="0"/>
        <v>31</v>
      </c>
      <c r="C36" s="218">
        <f t="shared" si="2"/>
        <v>1.0663914688682492</v>
      </c>
      <c r="D36" s="219"/>
      <c r="E36" s="830">
        <v>30</v>
      </c>
      <c r="F36" s="218">
        <f t="shared" si="3"/>
        <v>96.774193548387103</v>
      </c>
      <c r="G36" s="830"/>
      <c r="H36" s="830">
        <v>1</v>
      </c>
      <c r="I36" s="218">
        <f t="shared" si="4"/>
        <v>3.225806451612903</v>
      </c>
      <c r="J36" s="830"/>
      <c r="K36" s="830">
        <v>0</v>
      </c>
      <c r="L36" s="218">
        <f t="shared" si="5"/>
        <v>0</v>
      </c>
      <c r="M36" s="830"/>
      <c r="N36" s="830">
        <v>0</v>
      </c>
      <c r="O36" s="830"/>
      <c r="P36" s="830"/>
      <c r="Q36" s="830">
        <v>0</v>
      </c>
      <c r="R36" s="218">
        <f t="shared" si="1"/>
        <v>0</v>
      </c>
      <c r="U36" s="830"/>
    </row>
    <row r="37" spans="1:21" ht="13.25" customHeight="1">
      <c r="A37" s="95" t="s">
        <v>730</v>
      </c>
      <c r="B37" s="221">
        <f t="shared" si="0"/>
        <v>13</v>
      </c>
      <c r="C37" s="218">
        <f t="shared" si="2"/>
        <v>0.44719642242862062</v>
      </c>
      <c r="D37" s="219"/>
      <c r="E37" s="830">
        <v>10</v>
      </c>
      <c r="F37" s="218">
        <f t="shared" si="3"/>
        <v>76.923076923076934</v>
      </c>
      <c r="G37" s="830"/>
      <c r="H37" s="830">
        <v>2</v>
      </c>
      <c r="I37" s="218">
        <f t="shared" si="4"/>
        <v>15.384615384615385</v>
      </c>
      <c r="J37" s="830"/>
      <c r="K37" s="830">
        <v>0</v>
      </c>
      <c r="L37" s="218">
        <f t="shared" si="5"/>
        <v>0</v>
      </c>
      <c r="M37" s="830"/>
      <c r="N37" s="830">
        <v>1</v>
      </c>
      <c r="O37" s="830"/>
      <c r="P37" s="830"/>
      <c r="Q37" s="830">
        <v>0</v>
      </c>
      <c r="R37" s="218">
        <f t="shared" si="1"/>
        <v>0</v>
      </c>
      <c r="U37" s="830"/>
    </row>
    <row r="38" spans="1:21" ht="13.25" customHeight="1">
      <c r="A38" s="95" t="s">
        <v>731</v>
      </c>
      <c r="B38" s="221">
        <f t="shared" si="0"/>
        <v>71</v>
      </c>
      <c r="C38" s="218">
        <f t="shared" si="2"/>
        <v>2.4423804609563122</v>
      </c>
      <c r="D38" s="219"/>
      <c r="E38" s="830">
        <v>53</v>
      </c>
      <c r="F38" s="218">
        <f t="shared" si="3"/>
        <v>74.647887323943664</v>
      </c>
      <c r="G38" s="830"/>
      <c r="H38" s="830">
        <v>17</v>
      </c>
      <c r="I38" s="218">
        <f t="shared" si="4"/>
        <v>23.943661971830984</v>
      </c>
      <c r="J38" s="830"/>
      <c r="K38" s="830">
        <v>1</v>
      </c>
      <c r="L38" s="218">
        <f t="shared" si="5"/>
        <v>1.4084507042253522</v>
      </c>
      <c r="M38" s="830"/>
      <c r="N38" s="830">
        <v>0</v>
      </c>
      <c r="O38" s="830"/>
      <c r="P38" s="830"/>
      <c r="Q38" s="830">
        <v>0</v>
      </c>
      <c r="R38" s="218">
        <f t="shared" si="1"/>
        <v>0</v>
      </c>
      <c r="U38" s="830"/>
    </row>
    <row r="39" spans="1:21" ht="13.25" customHeight="1">
      <c r="A39" s="95" t="s">
        <v>732</v>
      </c>
      <c r="B39" s="221">
        <f t="shared" si="0"/>
        <v>59</v>
      </c>
      <c r="C39" s="218">
        <f t="shared" si="2"/>
        <v>2.0295837633298937</v>
      </c>
      <c r="D39" s="219"/>
      <c r="E39" s="830">
        <v>55</v>
      </c>
      <c r="F39" s="218">
        <f t="shared" si="3"/>
        <v>93.220338983050837</v>
      </c>
      <c r="G39" s="830"/>
      <c r="H39" s="830">
        <v>3</v>
      </c>
      <c r="I39" s="218">
        <f t="shared" si="4"/>
        <v>5.0847457627118651</v>
      </c>
      <c r="J39" s="830"/>
      <c r="K39" s="830">
        <v>1</v>
      </c>
      <c r="L39" s="218">
        <f t="shared" si="5"/>
        <v>1.6949152542372881</v>
      </c>
      <c r="M39" s="830"/>
      <c r="N39" s="830">
        <v>0</v>
      </c>
      <c r="O39" s="830"/>
      <c r="P39" s="830"/>
      <c r="Q39" s="830">
        <v>0</v>
      </c>
      <c r="R39" s="218">
        <f t="shared" si="1"/>
        <v>0</v>
      </c>
      <c r="U39" s="830"/>
    </row>
    <row r="40" spans="1:21" ht="13.25" customHeight="1">
      <c r="A40" s="95" t="s">
        <v>733</v>
      </c>
      <c r="B40" s="221">
        <f t="shared" si="0"/>
        <v>34</v>
      </c>
      <c r="C40" s="218">
        <f t="shared" si="2"/>
        <v>1.1695906432748537</v>
      </c>
      <c r="D40" s="219"/>
      <c r="E40" s="830">
        <v>33</v>
      </c>
      <c r="F40" s="218">
        <f t="shared" si="3"/>
        <v>97.058823529411768</v>
      </c>
      <c r="G40" s="830"/>
      <c r="H40" s="830">
        <v>1</v>
      </c>
      <c r="I40" s="218">
        <f t="shared" si="4"/>
        <v>2.9411764705882351</v>
      </c>
      <c r="J40" s="830"/>
      <c r="K40" s="830">
        <v>0</v>
      </c>
      <c r="L40" s="218">
        <f t="shared" si="5"/>
        <v>0</v>
      </c>
      <c r="M40" s="830"/>
      <c r="N40" s="830">
        <v>0</v>
      </c>
      <c r="O40" s="830"/>
      <c r="P40" s="830"/>
      <c r="Q40" s="830">
        <v>0</v>
      </c>
      <c r="R40" s="218">
        <f t="shared" si="1"/>
        <v>0</v>
      </c>
      <c r="U40" s="830"/>
    </row>
    <row r="41" spans="1:21" ht="13.25" customHeight="1">
      <c r="A41" s="95" t="s">
        <v>734</v>
      </c>
      <c r="B41" s="221">
        <f t="shared" si="0"/>
        <v>42</v>
      </c>
      <c r="C41" s="218">
        <f t="shared" si="2"/>
        <v>1.4447884416924663</v>
      </c>
      <c r="D41" s="219"/>
      <c r="E41" s="830">
        <v>30</v>
      </c>
      <c r="F41" s="218">
        <f t="shared" si="3"/>
        <v>71.428571428571431</v>
      </c>
      <c r="G41" s="830"/>
      <c r="H41" s="830">
        <v>12</v>
      </c>
      <c r="I41" s="218">
        <f t="shared" si="4"/>
        <v>28.571428571428569</v>
      </c>
      <c r="J41" s="830"/>
      <c r="K41" s="830">
        <v>0</v>
      </c>
      <c r="L41" s="218">
        <f t="shared" si="5"/>
        <v>0</v>
      </c>
      <c r="M41" s="830"/>
      <c r="N41" s="830">
        <v>0</v>
      </c>
      <c r="O41" s="830"/>
      <c r="P41" s="830"/>
      <c r="Q41" s="830">
        <v>0</v>
      </c>
      <c r="R41" s="218">
        <f t="shared" si="1"/>
        <v>0</v>
      </c>
      <c r="U41" s="830"/>
    </row>
    <row r="42" spans="1:21" ht="13.25" customHeight="1">
      <c r="A42" s="95" t="s">
        <v>735</v>
      </c>
      <c r="B42" s="221">
        <f t="shared" si="0"/>
        <v>66</v>
      </c>
      <c r="C42" s="218">
        <f t="shared" si="2"/>
        <v>2.2703818369453046</v>
      </c>
      <c r="D42" s="219"/>
      <c r="E42" s="830">
        <v>62</v>
      </c>
      <c r="F42" s="218">
        <f t="shared" si="3"/>
        <v>93.939393939393938</v>
      </c>
      <c r="G42" s="830"/>
      <c r="H42" s="830">
        <v>4</v>
      </c>
      <c r="I42" s="218">
        <f t="shared" si="4"/>
        <v>6.0606060606060606</v>
      </c>
      <c r="J42" s="830"/>
      <c r="K42" s="830">
        <v>0</v>
      </c>
      <c r="L42" s="218">
        <f t="shared" si="5"/>
        <v>0</v>
      </c>
      <c r="M42" s="830"/>
      <c r="N42" s="830">
        <v>0</v>
      </c>
      <c r="O42" s="830"/>
      <c r="P42" s="830"/>
      <c r="Q42" s="830">
        <v>0</v>
      </c>
      <c r="R42" s="218">
        <f t="shared" si="1"/>
        <v>0</v>
      </c>
      <c r="U42" s="830"/>
    </row>
    <row r="43" spans="1:21" ht="13.25" customHeight="1">
      <c r="A43" s="95" t="s">
        <v>736</v>
      </c>
      <c r="B43" s="221">
        <f t="shared" si="0"/>
        <v>21</v>
      </c>
      <c r="C43" s="218">
        <f t="shared" si="2"/>
        <v>0.72239422084623317</v>
      </c>
      <c r="D43" s="219"/>
      <c r="E43" s="830">
        <v>20</v>
      </c>
      <c r="F43" s="218">
        <f t="shared" si="3"/>
        <v>95.238095238095227</v>
      </c>
      <c r="G43" s="830"/>
      <c r="H43" s="830">
        <v>1</v>
      </c>
      <c r="I43" s="218">
        <f t="shared" si="4"/>
        <v>4.7619047619047619</v>
      </c>
      <c r="J43" s="830"/>
      <c r="K43" s="830">
        <v>0</v>
      </c>
      <c r="L43" s="218">
        <f t="shared" si="5"/>
        <v>0</v>
      </c>
      <c r="M43" s="830"/>
      <c r="N43" s="830">
        <v>0</v>
      </c>
      <c r="O43" s="830"/>
      <c r="P43" s="830"/>
      <c r="Q43" s="830">
        <v>0</v>
      </c>
      <c r="R43" s="218">
        <f t="shared" si="1"/>
        <v>0</v>
      </c>
      <c r="U43" s="830"/>
    </row>
    <row r="44" spans="1:21" ht="13.25" customHeight="1">
      <c r="A44" s="95" t="s">
        <v>737</v>
      </c>
      <c r="B44" s="221">
        <f t="shared" si="0"/>
        <v>125</v>
      </c>
      <c r="C44" s="218">
        <f t="shared" si="2"/>
        <v>4.2999656002751978</v>
      </c>
      <c r="D44" s="219"/>
      <c r="E44" s="830">
        <v>68</v>
      </c>
      <c r="F44" s="218">
        <f t="shared" si="3"/>
        <v>54.400000000000006</v>
      </c>
      <c r="G44" s="830"/>
      <c r="H44" s="830">
        <v>46</v>
      </c>
      <c r="I44" s="218">
        <f t="shared" si="4"/>
        <v>36.799999999999997</v>
      </c>
      <c r="J44" s="830"/>
      <c r="K44" s="830">
        <v>11</v>
      </c>
      <c r="L44" s="218">
        <f t="shared" si="5"/>
        <v>8.7999999999999989</v>
      </c>
      <c r="M44" s="830"/>
      <c r="N44" s="830">
        <v>0</v>
      </c>
      <c r="O44" s="830"/>
      <c r="P44" s="830"/>
      <c r="Q44" s="830">
        <v>0</v>
      </c>
      <c r="R44" s="218">
        <f t="shared" si="1"/>
        <v>0</v>
      </c>
      <c r="S44" s="95" t="s">
        <v>128</v>
      </c>
      <c r="U44" s="830"/>
    </row>
    <row r="45" spans="1:21" ht="13.25" customHeight="1">
      <c r="A45" s="95" t="s">
        <v>738</v>
      </c>
      <c r="B45" s="221">
        <f t="shared" si="0"/>
        <v>50</v>
      </c>
      <c r="C45" s="218">
        <f t="shared" si="2"/>
        <v>1.7199862401100792</v>
      </c>
      <c r="D45" s="219"/>
      <c r="E45" s="830">
        <v>47</v>
      </c>
      <c r="F45" s="218">
        <f t="shared" si="3"/>
        <v>94</v>
      </c>
      <c r="G45" s="830"/>
      <c r="H45" s="830">
        <v>3</v>
      </c>
      <c r="I45" s="218">
        <f t="shared" si="4"/>
        <v>6</v>
      </c>
      <c r="J45" s="830"/>
      <c r="K45" s="830">
        <v>0</v>
      </c>
      <c r="L45" s="218">
        <f t="shared" si="5"/>
        <v>0</v>
      </c>
      <c r="M45" s="830"/>
      <c r="N45" s="830">
        <v>0</v>
      </c>
      <c r="O45" s="830"/>
      <c r="P45" s="830"/>
      <c r="Q45" s="830">
        <v>0</v>
      </c>
      <c r="R45" s="218">
        <f t="shared" si="1"/>
        <v>0</v>
      </c>
      <c r="U45" s="830"/>
    </row>
    <row r="46" spans="1:21" ht="13.25" customHeight="1">
      <c r="A46" s="95" t="s">
        <v>739</v>
      </c>
      <c r="B46" s="221">
        <f t="shared" si="0"/>
        <v>4</v>
      </c>
      <c r="C46" s="218">
        <f t="shared" si="2"/>
        <v>0.13759889920880633</v>
      </c>
      <c r="D46" s="219"/>
      <c r="E46" s="830">
        <v>2</v>
      </c>
      <c r="F46" s="218">
        <f t="shared" si="3"/>
        <v>50</v>
      </c>
      <c r="G46" s="830"/>
      <c r="H46" s="830">
        <v>2</v>
      </c>
      <c r="I46" s="218">
        <f t="shared" si="4"/>
        <v>50</v>
      </c>
      <c r="J46" s="830"/>
      <c r="K46" s="830">
        <v>0</v>
      </c>
      <c r="L46" s="218">
        <f t="shared" si="5"/>
        <v>0</v>
      </c>
      <c r="M46" s="830"/>
      <c r="N46" s="830">
        <v>0</v>
      </c>
      <c r="O46" s="830"/>
      <c r="P46" s="830"/>
      <c r="Q46" s="830">
        <v>0</v>
      </c>
      <c r="R46" s="218">
        <f t="shared" si="1"/>
        <v>0</v>
      </c>
      <c r="U46" s="830"/>
    </row>
    <row r="47" spans="1:21" ht="13.25" customHeight="1">
      <c r="A47" s="95" t="s">
        <v>740</v>
      </c>
      <c r="B47" s="221">
        <f t="shared" si="0"/>
        <v>71</v>
      </c>
      <c r="C47" s="218">
        <f t="shared" si="2"/>
        <v>2.4423804609563122</v>
      </c>
      <c r="D47" s="219"/>
      <c r="E47" s="830">
        <v>70</v>
      </c>
      <c r="F47" s="218">
        <f t="shared" si="3"/>
        <v>98.591549295774655</v>
      </c>
      <c r="G47" s="830"/>
      <c r="H47" s="830">
        <v>1</v>
      </c>
      <c r="I47" s="218">
        <f t="shared" si="4"/>
        <v>1.4084507042253522</v>
      </c>
      <c r="J47" s="830"/>
      <c r="K47" s="830">
        <v>0</v>
      </c>
      <c r="L47" s="218">
        <f t="shared" si="5"/>
        <v>0</v>
      </c>
      <c r="M47" s="830"/>
      <c r="N47" s="830">
        <v>0</v>
      </c>
      <c r="O47" s="830"/>
      <c r="P47" s="830"/>
      <c r="Q47" s="830">
        <v>0</v>
      </c>
      <c r="R47" s="218">
        <f t="shared" si="1"/>
        <v>0</v>
      </c>
      <c r="U47" s="830"/>
    </row>
    <row r="48" spans="1:21" ht="13.25" customHeight="1">
      <c r="A48" s="95" t="s">
        <v>741</v>
      </c>
      <c r="B48" s="221">
        <f t="shared" si="0"/>
        <v>27</v>
      </c>
      <c r="C48" s="218">
        <f t="shared" si="2"/>
        <v>0.92879256965944268</v>
      </c>
      <c r="D48" s="219"/>
      <c r="E48" s="830">
        <v>21</v>
      </c>
      <c r="F48" s="218">
        <f t="shared" si="3"/>
        <v>77.777777777777786</v>
      </c>
      <c r="G48" s="830"/>
      <c r="H48" s="830">
        <v>5</v>
      </c>
      <c r="I48" s="218">
        <f t="shared" si="4"/>
        <v>18.518518518518519</v>
      </c>
      <c r="J48" s="830"/>
      <c r="K48" s="830">
        <v>0</v>
      </c>
      <c r="L48" s="218">
        <f t="shared" si="5"/>
        <v>0</v>
      </c>
      <c r="M48" s="830"/>
      <c r="N48" s="830">
        <v>1</v>
      </c>
      <c r="O48" s="830"/>
      <c r="P48" s="830"/>
      <c r="Q48" s="830">
        <v>0</v>
      </c>
      <c r="R48" s="218">
        <f t="shared" si="1"/>
        <v>0</v>
      </c>
      <c r="U48" s="830"/>
    </row>
    <row r="49" spans="1:21" ht="13.25" customHeight="1">
      <c r="A49" s="95" t="s">
        <v>742</v>
      </c>
      <c r="B49" s="221">
        <f t="shared" si="0"/>
        <v>14</v>
      </c>
      <c r="C49" s="218">
        <f t="shared" si="2"/>
        <v>0.48159614723082217</v>
      </c>
      <c r="D49" s="219"/>
      <c r="E49" s="830">
        <v>5</v>
      </c>
      <c r="F49" s="218">
        <f t="shared" si="3"/>
        <v>35.714285714285715</v>
      </c>
      <c r="G49" s="830"/>
      <c r="H49" s="830">
        <v>9</v>
      </c>
      <c r="I49" s="218">
        <f t="shared" si="4"/>
        <v>64.285714285714292</v>
      </c>
      <c r="J49" s="830"/>
      <c r="K49" s="830">
        <v>0</v>
      </c>
      <c r="L49" s="218">
        <f t="shared" si="5"/>
        <v>0</v>
      </c>
      <c r="M49" s="830"/>
      <c r="N49" s="830">
        <v>0</v>
      </c>
      <c r="O49" s="830"/>
      <c r="P49" s="830"/>
      <c r="Q49" s="830">
        <v>0</v>
      </c>
      <c r="R49" s="218">
        <f t="shared" si="1"/>
        <v>0</v>
      </c>
      <c r="U49" s="830"/>
    </row>
    <row r="50" spans="1:21" ht="13.25" customHeight="1">
      <c r="A50" s="95" t="s">
        <v>743</v>
      </c>
      <c r="B50" s="221">
        <f t="shared" si="0"/>
        <v>24</v>
      </c>
      <c r="C50" s="218">
        <f t="shared" si="2"/>
        <v>0.82559339525283792</v>
      </c>
      <c r="D50" s="219"/>
      <c r="E50" s="832">
        <v>24</v>
      </c>
      <c r="F50" s="218">
        <f t="shared" si="3"/>
        <v>100</v>
      </c>
      <c r="G50" s="832"/>
      <c r="H50" s="832">
        <v>0</v>
      </c>
      <c r="I50" s="218">
        <f t="shared" si="4"/>
        <v>0</v>
      </c>
      <c r="J50" s="832"/>
      <c r="K50" s="832">
        <v>0</v>
      </c>
      <c r="L50" s="218">
        <f t="shared" si="5"/>
        <v>0</v>
      </c>
      <c r="M50" s="832"/>
      <c r="N50" s="832">
        <v>0</v>
      </c>
      <c r="O50" s="832"/>
      <c r="P50" s="832"/>
      <c r="Q50" s="832">
        <v>0</v>
      </c>
      <c r="R50" s="218">
        <f t="shared" si="1"/>
        <v>0</v>
      </c>
      <c r="U50" s="832"/>
    </row>
    <row r="51" spans="1:21" ht="13.25" customHeight="1">
      <c r="A51" s="95" t="s">
        <v>744</v>
      </c>
      <c r="B51" s="221">
        <f t="shared" si="0"/>
        <v>43</v>
      </c>
      <c r="C51" s="218">
        <f t="shared" si="2"/>
        <v>1.479188166494668</v>
      </c>
      <c r="D51" s="219"/>
      <c r="E51" s="830">
        <v>27</v>
      </c>
      <c r="F51" s="218">
        <f t="shared" si="3"/>
        <v>62.790697674418603</v>
      </c>
      <c r="G51" s="830"/>
      <c r="H51" s="830">
        <v>16</v>
      </c>
      <c r="I51" s="218">
        <f t="shared" si="4"/>
        <v>37.209302325581397</v>
      </c>
      <c r="J51" s="830"/>
      <c r="K51" s="830">
        <v>0</v>
      </c>
      <c r="L51" s="218">
        <f t="shared" si="5"/>
        <v>0</v>
      </c>
      <c r="M51" s="830"/>
      <c r="N51" s="830">
        <v>0</v>
      </c>
      <c r="O51" s="830"/>
      <c r="P51" s="830"/>
      <c r="Q51" s="830">
        <v>0</v>
      </c>
      <c r="R51" s="218">
        <f t="shared" si="1"/>
        <v>0</v>
      </c>
      <c r="U51" s="830"/>
    </row>
    <row r="52" spans="1:21" ht="13.25" hidden="1" customHeight="1">
      <c r="A52" s="95" t="s">
        <v>745</v>
      </c>
      <c r="B52" s="221">
        <f t="shared" si="0"/>
        <v>0</v>
      </c>
      <c r="C52" s="218">
        <f t="shared" si="2"/>
        <v>0</v>
      </c>
      <c r="D52" s="219"/>
      <c r="E52" s="61"/>
      <c r="F52" s="218" t="e">
        <f t="shared" si="3"/>
        <v>#DIV/0!</v>
      </c>
      <c r="G52" s="61"/>
      <c r="H52" s="61"/>
      <c r="I52" s="218" t="e">
        <f t="shared" si="4"/>
        <v>#DIV/0!</v>
      </c>
      <c r="J52" s="61"/>
      <c r="K52" s="61"/>
      <c r="L52" s="218" t="e">
        <f t="shared" si="5"/>
        <v>#DIV/0!</v>
      </c>
      <c r="M52" s="61"/>
      <c r="N52" s="61"/>
      <c r="O52" s="61"/>
      <c r="P52" s="61"/>
      <c r="Q52" s="61"/>
      <c r="R52" s="218" t="e">
        <f t="shared" si="1"/>
        <v>#DIV/0!</v>
      </c>
      <c r="U52" s="61"/>
    </row>
    <row r="53" spans="1:21" ht="13.25" customHeight="1">
      <c r="A53" s="95" t="s">
        <v>746</v>
      </c>
      <c r="B53" s="221">
        <f t="shared" si="0"/>
        <v>52</v>
      </c>
      <c r="C53" s="218">
        <f t="shared" si="2"/>
        <v>1.7887856897144825</v>
      </c>
      <c r="D53" s="219"/>
      <c r="E53" s="830">
        <v>33</v>
      </c>
      <c r="F53" s="218">
        <f t="shared" si="3"/>
        <v>63.46153846153846</v>
      </c>
      <c r="G53" s="830"/>
      <c r="H53" s="830">
        <v>15</v>
      </c>
      <c r="I53" s="218">
        <f t="shared" si="4"/>
        <v>28.846153846153843</v>
      </c>
      <c r="J53" s="830"/>
      <c r="K53" s="830">
        <v>4</v>
      </c>
      <c r="L53" s="218">
        <f t="shared" si="5"/>
        <v>7.6923076923076925</v>
      </c>
      <c r="M53" s="830"/>
      <c r="N53" s="830">
        <v>0</v>
      </c>
      <c r="O53" s="830"/>
      <c r="P53" s="830"/>
      <c r="Q53" s="830">
        <v>0</v>
      </c>
      <c r="R53" s="218">
        <f t="shared" si="1"/>
        <v>0</v>
      </c>
      <c r="U53" s="830"/>
    </row>
    <row r="54" spans="1:21" ht="13.25" customHeight="1">
      <c r="A54" s="95" t="s">
        <v>747</v>
      </c>
      <c r="B54" s="221">
        <f t="shared" si="0"/>
        <v>14</v>
      </c>
      <c r="C54" s="218">
        <f t="shared" si="2"/>
        <v>0.48159614723082217</v>
      </c>
      <c r="D54" s="219"/>
      <c r="E54" s="830">
        <v>10</v>
      </c>
      <c r="F54" s="218">
        <f t="shared" si="3"/>
        <v>71.428571428571431</v>
      </c>
      <c r="G54" s="830"/>
      <c r="H54" s="830">
        <v>4</v>
      </c>
      <c r="I54" s="218">
        <f t="shared" si="4"/>
        <v>28.571428571428569</v>
      </c>
      <c r="J54" s="830"/>
      <c r="K54" s="830">
        <v>0</v>
      </c>
      <c r="L54" s="218">
        <f t="shared" si="5"/>
        <v>0</v>
      </c>
      <c r="M54" s="830"/>
      <c r="N54" s="830">
        <v>0</v>
      </c>
      <c r="O54" s="830"/>
      <c r="P54" s="830"/>
      <c r="Q54" s="830">
        <v>0</v>
      </c>
      <c r="R54" s="218">
        <f t="shared" si="1"/>
        <v>0</v>
      </c>
      <c r="U54" s="830"/>
    </row>
    <row r="55" spans="1:21" ht="13.25" customHeight="1">
      <c r="A55" s="95" t="s">
        <v>748</v>
      </c>
      <c r="B55" s="221">
        <f t="shared" si="0"/>
        <v>25</v>
      </c>
      <c r="C55" s="218">
        <f t="shared" si="2"/>
        <v>0.85999312005503958</v>
      </c>
      <c r="D55" s="219"/>
      <c r="E55" s="830">
        <v>10</v>
      </c>
      <c r="F55" s="218">
        <f t="shared" si="3"/>
        <v>40</v>
      </c>
      <c r="G55" s="830"/>
      <c r="H55" s="830">
        <v>14</v>
      </c>
      <c r="I55" s="218">
        <f t="shared" si="4"/>
        <v>56.000000000000007</v>
      </c>
      <c r="J55" s="830"/>
      <c r="K55" s="830">
        <v>0</v>
      </c>
      <c r="L55" s="218">
        <f t="shared" si="5"/>
        <v>0</v>
      </c>
      <c r="M55" s="830"/>
      <c r="N55" s="830">
        <v>1</v>
      </c>
      <c r="O55" s="830"/>
      <c r="P55" s="830"/>
      <c r="Q55" s="830">
        <v>0</v>
      </c>
      <c r="R55" s="218">
        <f t="shared" si="1"/>
        <v>0</v>
      </c>
      <c r="U55" s="830"/>
    </row>
    <row r="56" spans="1:21" ht="13.25" customHeight="1">
      <c r="A56" s="95" t="s">
        <v>749</v>
      </c>
      <c r="B56" s="221">
        <f t="shared" si="0"/>
        <v>20</v>
      </c>
      <c r="C56" s="218">
        <f t="shared" si="2"/>
        <v>0.68799449604403162</v>
      </c>
      <c r="D56" s="219"/>
      <c r="E56" s="830">
        <v>8</v>
      </c>
      <c r="F56" s="218">
        <f t="shared" si="3"/>
        <v>40</v>
      </c>
      <c r="G56" s="830"/>
      <c r="H56" s="830">
        <v>11</v>
      </c>
      <c r="I56" s="218">
        <f t="shared" si="4"/>
        <v>55.000000000000007</v>
      </c>
      <c r="J56" s="830"/>
      <c r="K56" s="830">
        <v>1</v>
      </c>
      <c r="L56" s="218">
        <f t="shared" si="5"/>
        <v>5</v>
      </c>
      <c r="M56" s="830"/>
      <c r="N56" s="830">
        <v>0</v>
      </c>
      <c r="O56" s="830"/>
      <c r="P56" s="830"/>
      <c r="Q56" s="830">
        <v>0</v>
      </c>
      <c r="R56" s="218">
        <f t="shared" si="1"/>
        <v>0</v>
      </c>
      <c r="U56" s="830"/>
    </row>
    <row r="57" spans="1:21" ht="13.25" customHeight="1">
      <c r="A57" s="95" t="s">
        <v>750</v>
      </c>
      <c r="B57" s="221">
        <f t="shared" si="0"/>
        <v>13</v>
      </c>
      <c r="C57" s="218">
        <f t="shared" si="2"/>
        <v>0.44719642242862062</v>
      </c>
      <c r="D57" s="219"/>
      <c r="E57" s="830">
        <v>13</v>
      </c>
      <c r="F57" s="218">
        <f t="shared" si="3"/>
        <v>100</v>
      </c>
      <c r="G57" s="830"/>
      <c r="H57" s="830">
        <v>0</v>
      </c>
      <c r="I57" s="218">
        <f t="shared" si="4"/>
        <v>0</v>
      </c>
      <c r="J57" s="830"/>
      <c r="K57" s="830">
        <v>0</v>
      </c>
      <c r="L57" s="218">
        <f t="shared" si="5"/>
        <v>0</v>
      </c>
      <c r="M57" s="830"/>
      <c r="N57" s="830">
        <v>0</v>
      </c>
      <c r="O57" s="830"/>
      <c r="P57" s="830"/>
      <c r="Q57" s="830">
        <v>0</v>
      </c>
      <c r="R57" s="218">
        <f t="shared" si="1"/>
        <v>0</v>
      </c>
      <c r="U57" s="830"/>
    </row>
    <row r="58" spans="1:21" ht="13.25" customHeight="1">
      <c r="A58" s="95" t="s">
        <v>751</v>
      </c>
      <c r="B58" s="221">
        <f t="shared" si="0"/>
        <v>35</v>
      </c>
      <c r="C58" s="218">
        <f t="shared" si="2"/>
        <v>1.2039903680770554</v>
      </c>
      <c r="D58" s="219"/>
      <c r="E58" s="830">
        <v>26</v>
      </c>
      <c r="F58" s="218">
        <f t="shared" si="3"/>
        <v>74.285714285714292</v>
      </c>
      <c r="G58" s="830"/>
      <c r="H58" s="830">
        <v>8</v>
      </c>
      <c r="I58" s="218">
        <f t="shared" si="4"/>
        <v>22.857142857142858</v>
      </c>
      <c r="J58" s="830"/>
      <c r="K58" s="830">
        <v>1</v>
      </c>
      <c r="L58" s="218">
        <f t="shared" si="5"/>
        <v>2.8571428571428572</v>
      </c>
      <c r="M58" s="830"/>
      <c r="N58" s="830">
        <v>0</v>
      </c>
      <c r="O58" s="830"/>
      <c r="P58" s="830"/>
      <c r="Q58" s="830">
        <v>0</v>
      </c>
      <c r="R58" s="218">
        <f t="shared" si="1"/>
        <v>0</v>
      </c>
      <c r="U58" s="830"/>
    </row>
    <row r="59" spans="1:21" ht="13.25" customHeight="1">
      <c r="A59" s="95" t="s">
        <v>752</v>
      </c>
      <c r="B59" s="221">
        <f t="shared" si="0"/>
        <v>13</v>
      </c>
      <c r="C59" s="218">
        <f t="shared" si="2"/>
        <v>0.44719642242862062</v>
      </c>
      <c r="D59" s="219"/>
      <c r="E59" s="830">
        <v>6</v>
      </c>
      <c r="F59" s="218">
        <f t="shared" si="3"/>
        <v>46.153846153846153</v>
      </c>
      <c r="G59" s="830"/>
      <c r="H59" s="830">
        <v>4</v>
      </c>
      <c r="I59" s="218">
        <f t="shared" si="4"/>
        <v>30.76923076923077</v>
      </c>
      <c r="J59" s="830"/>
      <c r="K59" s="830">
        <v>3</v>
      </c>
      <c r="L59" s="218">
        <f t="shared" si="5"/>
        <v>23.076923076923077</v>
      </c>
      <c r="M59" s="830"/>
      <c r="N59" s="830">
        <v>0</v>
      </c>
      <c r="O59" s="830"/>
      <c r="P59" s="830"/>
      <c r="Q59" s="830">
        <v>0</v>
      </c>
      <c r="R59" s="218">
        <f t="shared" si="1"/>
        <v>0</v>
      </c>
      <c r="U59" s="830"/>
    </row>
    <row r="60" spans="1:21" ht="13.25" customHeight="1">
      <c r="A60" s="111" t="s">
        <v>753</v>
      </c>
      <c r="B60" s="221">
        <f t="shared" si="0"/>
        <v>2</v>
      </c>
      <c r="C60" s="218">
        <f t="shared" si="2"/>
        <v>6.8799449604403165E-2</v>
      </c>
      <c r="D60" s="219"/>
      <c r="E60" s="830">
        <v>1</v>
      </c>
      <c r="F60" s="218">
        <f t="shared" si="3"/>
        <v>50</v>
      </c>
      <c r="G60" s="830"/>
      <c r="H60" s="830">
        <v>1</v>
      </c>
      <c r="I60" s="218">
        <f t="shared" si="4"/>
        <v>50</v>
      </c>
      <c r="J60" s="830"/>
      <c r="K60" s="830">
        <v>0</v>
      </c>
      <c r="L60" s="218">
        <f t="shared" si="5"/>
        <v>0</v>
      </c>
      <c r="M60" s="830"/>
      <c r="N60" s="830">
        <v>0</v>
      </c>
      <c r="O60" s="830"/>
      <c r="P60" s="830"/>
      <c r="Q60" s="830">
        <v>0</v>
      </c>
      <c r="R60" s="218">
        <f t="shared" si="1"/>
        <v>0</v>
      </c>
      <c r="U60" s="830"/>
    </row>
    <row r="61" spans="1:21" ht="13.25" customHeight="1">
      <c r="A61" s="106" t="s">
        <v>754</v>
      </c>
      <c r="B61" s="221">
        <f t="shared" si="0"/>
        <v>22</v>
      </c>
      <c r="C61" s="218">
        <f t="shared" si="2"/>
        <v>0.75679394564843483</v>
      </c>
      <c r="D61" s="219"/>
      <c r="E61" s="830">
        <v>22</v>
      </c>
      <c r="F61" s="218">
        <f t="shared" si="3"/>
        <v>100</v>
      </c>
      <c r="G61" s="830"/>
      <c r="H61" s="830">
        <v>0</v>
      </c>
      <c r="I61" s="218">
        <f t="shared" si="4"/>
        <v>0</v>
      </c>
      <c r="J61" s="830"/>
      <c r="K61" s="830">
        <v>0</v>
      </c>
      <c r="L61" s="218">
        <f t="shared" si="5"/>
        <v>0</v>
      </c>
      <c r="M61" s="830"/>
      <c r="N61" s="830">
        <v>0</v>
      </c>
      <c r="O61" s="830"/>
      <c r="P61" s="830"/>
      <c r="Q61" s="830">
        <v>0</v>
      </c>
      <c r="R61" s="218">
        <f t="shared" si="1"/>
        <v>0</v>
      </c>
      <c r="U61" s="830"/>
    </row>
    <row r="62" spans="1:21" ht="13.25" customHeight="1">
      <c r="A62" s="95" t="s">
        <v>755</v>
      </c>
      <c r="B62" s="221">
        <f t="shared" si="0"/>
        <v>59</v>
      </c>
      <c r="C62" s="218">
        <f t="shared" si="2"/>
        <v>2.0295837633298937</v>
      </c>
      <c r="D62" s="219"/>
      <c r="E62" s="830">
        <v>52</v>
      </c>
      <c r="F62" s="218">
        <f t="shared" si="3"/>
        <v>88.135593220338976</v>
      </c>
      <c r="G62" s="830"/>
      <c r="H62" s="830">
        <v>7</v>
      </c>
      <c r="I62" s="218">
        <f t="shared" si="4"/>
        <v>11.864406779661017</v>
      </c>
      <c r="J62" s="830"/>
      <c r="K62" s="830">
        <v>0</v>
      </c>
      <c r="L62" s="218">
        <f t="shared" si="5"/>
        <v>0</v>
      </c>
      <c r="M62" s="830"/>
      <c r="N62" s="830">
        <v>0</v>
      </c>
      <c r="O62" s="830"/>
      <c r="P62" s="830"/>
      <c r="Q62" s="830">
        <v>0</v>
      </c>
      <c r="R62" s="218">
        <f t="shared" si="1"/>
        <v>0</v>
      </c>
      <c r="U62" s="830"/>
    </row>
    <row r="63" spans="1:21" ht="13.25" customHeight="1">
      <c r="A63" s="95" t="s">
        <v>756</v>
      </c>
      <c r="B63" s="221">
        <f t="shared" si="0"/>
        <v>70</v>
      </c>
      <c r="C63" s="218">
        <f t="shared" si="2"/>
        <v>2.4079807361541108</v>
      </c>
      <c r="D63" s="219"/>
      <c r="E63" s="830">
        <v>67</v>
      </c>
      <c r="F63" s="218">
        <f t="shared" si="3"/>
        <v>95.714285714285722</v>
      </c>
      <c r="G63" s="830"/>
      <c r="H63" s="830">
        <v>3</v>
      </c>
      <c r="I63" s="218">
        <f t="shared" si="4"/>
        <v>4.2857142857142856</v>
      </c>
      <c r="J63" s="830"/>
      <c r="K63" s="830">
        <v>0</v>
      </c>
      <c r="L63" s="218">
        <f t="shared" si="5"/>
        <v>0</v>
      </c>
      <c r="M63" s="830"/>
      <c r="N63" s="830">
        <v>0</v>
      </c>
      <c r="O63" s="830"/>
      <c r="P63" s="830"/>
      <c r="Q63" s="830">
        <v>0</v>
      </c>
      <c r="R63" s="218">
        <f t="shared" si="1"/>
        <v>0</v>
      </c>
      <c r="U63" s="830"/>
    </row>
    <row r="64" spans="1:21" ht="13.25" customHeight="1">
      <c r="A64" s="95" t="s">
        <v>757</v>
      </c>
      <c r="B64" s="221">
        <f t="shared" si="0"/>
        <v>22</v>
      </c>
      <c r="C64" s="218">
        <f t="shared" si="2"/>
        <v>0.75679394564843483</v>
      </c>
      <c r="D64" s="219"/>
      <c r="E64" s="830">
        <v>5</v>
      </c>
      <c r="F64" s="218">
        <f t="shared" si="3"/>
        <v>22.727272727272727</v>
      </c>
      <c r="G64" s="830"/>
      <c r="H64" s="830">
        <v>1</v>
      </c>
      <c r="I64" s="218">
        <f t="shared" si="4"/>
        <v>4.5454545454545459</v>
      </c>
      <c r="J64" s="830"/>
      <c r="K64" s="830">
        <v>16</v>
      </c>
      <c r="L64" s="218">
        <f t="shared" si="5"/>
        <v>72.727272727272734</v>
      </c>
      <c r="M64" s="830"/>
      <c r="N64" s="830">
        <v>0</v>
      </c>
      <c r="O64" s="830"/>
      <c r="P64" s="830"/>
      <c r="Q64" s="830">
        <v>0</v>
      </c>
      <c r="R64" s="218">
        <f t="shared" si="1"/>
        <v>0</v>
      </c>
      <c r="U64" s="830"/>
    </row>
    <row r="65" spans="1:21" ht="13.25" customHeight="1">
      <c r="A65" s="95" t="s">
        <v>758</v>
      </c>
      <c r="B65" s="221">
        <f t="shared" si="0"/>
        <v>38</v>
      </c>
      <c r="C65" s="218">
        <f t="shared" si="2"/>
        <v>1.3071895424836601</v>
      </c>
      <c r="D65" s="219"/>
      <c r="E65" s="830">
        <v>38</v>
      </c>
      <c r="F65" s="218">
        <f t="shared" si="3"/>
        <v>100</v>
      </c>
      <c r="G65" s="830"/>
      <c r="H65" s="830">
        <v>0</v>
      </c>
      <c r="I65" s="218">
        <f t="shared" si="4"/>
        <v>0</v>
      </c>
      <c r="J65" s="830"/>
      <c r="K65" s="830">
        <v>0</v>
      </c>
      <c r="L65" s="218">
        <f t="shared" si="5"/>
        <v>0</v>
      </c>
      <c r="M65" s="830"/>
      <c r="N65" s="830">
        <v>0</v>
      </c>
      <c r="O65" s="830"/>
      <c r="P65" s="830"/>
      <c r="Q65" s="830">
        <v>0</v>
      </c>
      <c r="R65" s="218">
        <f t="shared" si="1"/>
        <v>0</v>
      </c>
      <c r="U65" s="830"/>
    </row>
    <row r="66" spans="1:21" ht="13.25" customHeight="1">
      <c r="A66" s="33" t="s">
        <v>759</v>
      </c>
      <c r="B66" s="221">
        <f t="shared" si="0"/>
        <v>22</v>
      </c>
      <c r="C66" s="218">
        <f t="shared" si="2"/>
        <v>0.75679394564843483</v>
      </c>
      <c r="D66" s="219"/>
      <c r="E66" s="830">
        <v>19</v>
      </c>
      <c r="F66" s="218">
        <f t="shared" si="3"/>
        <v>86.36363636363636</v>
      </c>
      <c r="G66" s="830"/>
      <c r="H66" s="830">
        <v>2</v>
      </c>
      <c r="I66" s="218">
        <f t="shared" si="4"/>
        <v>9.0909090909090917</v>
      </c>
      <c r="J66" s="830"/>
      <c r="K66" s="830">
        <v>1</v>
      </c>
      <c r="L66" s="218">
        <f t="shared" si="5"/>
        <v>4.5454545454545459</v>
      </c>
      <c r="M66" s="830"/>
      <c r="N66" s="830">
        <v>0</v>
      </c>
      <c r="O66" s="830"/>
      <c r="P66" s="830"/>
      <c r="Q66" s="830">
        <v>0</v>
      </c>
      <c r="R66" s="218"/>
      <c r="U66" s="830"/>
    </row>
    <row r="67" spans="1:21" ht="13.25" customHeight="1">
      <c r="A67" s="95" t="s">
        <v>760</v>
      </c>
      <c r="B67" s="221">
        <f t="shared" si="0"/>
        <v>6</v>
      </c>
      <c r="C67" s="218">
        <f t="shared" si="2"/>
        <v>0.20639834881320948</v>
      </c>
      <c r="D67" s="219"/>
      <c r="E67" s="830">
        <v>6</v>
      </c>
      <c r="F67" s="218">
        <f t="shared" si="3"/>
        <v>100</v>
      </c>
      <c r="G67" s="830"/>
      <c r="H67" s="830">
        <v>0</v>
      </c>
      <c r="I67" s="218">
        <f t="shared" si="4"/>
        <v>0</v>
      </c>
      <c r="J67" s="830"/>
      <c r="K67" s="830">
        <v>0</v>
      </c>
      <c r="L67" s="218">
        <f t="shared" si="5"/>
        <v>0</v>
      </c>
      <c r="M67" s="830"/>
      <c r="N67" s="830">
        <v>0</v>
      </c>
      <c r="O67" s="830"/>
      <c r="P67" s="830"/>
      <c r="Q67" s="830">
        <v>0</v>
      </c>
      <c r="R67" s="218">
        <f t="shared" si="1"/>
        <v>0</v>
      </c>
      <c r="U67" s="830"/>
    </row>
    <row r="68" spans="1:21" ht="13.25" customHeight="1">
      <c r="A68" s="95" t="s">
        <v>761</v>
      </c>
      <c r="B68" s="221">
        <f t="shared" si="0"/>
        <v>44</v>
      </c>
      <c r="C68" s="218">
        <f t="shared" si="2"/>
        <v>1.5135878912968697</v>
      </c>
      <c r="D68" s="219"/>
      <c r="E68" s="830">
        <v>31</v>
      </c>
      <c r="F68" s="218">
        <f t="shared" si="3"/>
        <v>70.454545454545453</v>
      </c>
      <c r="G68" s="830"/>
      <c r="H68" s="830">
        <v>10</v>
      </c>
      <c r="I68" s="218">
        <f t="shared" si="4"/>
        <v>22.727272727272727</v>
      </c>
      <c r="J68" s="830"/>
      <c r="K68" s="830">
        <v>3</v>
      </c>
      <c r="L68" s="218">
        <f t="shared" si="5"/>
        <v>6.8181818181818175</v>
      </c>
      <c r="M68" s="830"/>
      <c r="N68" s="830">
        <v>0</v>
      </c>
      <c r="O68" s="830"/>
      <c r="P68" s="830"/>
      <c r="Q68" s="830">
        <v>0</v>
      </c>
      <c r="R68" s="218">
        <f t="shared" si="1"/>
        <v>0</v>
      </c>
      <c r="U68" s="830"/>
    </row>
    <row r="69" spans="1:21" ht="13.25" customHeight="1">
      <c r="A69" s="95" t="s">
        <v>762</v>
      </c>
      <c r="B69" s="221">
        <f t="shared" si="0"/>
        <v>81</v>
      </c>
      <c r="C69" s="218">
        <f t="shared" si="2"/>
        <v>2.7863777089783279</v>
      </c>
      <c r="D69" s="219"/>
      <c r="E69" s="830">
        <v>66</v>
      </c>
      <c r="F69" s="218">
        <f t="shared" si="3"/>
        <v>81.481481481481481</v>
      </c>
      <c r="G69" s="830"/>
      <c r="H69" s="830">
        <v>11</v>
      </c>
      <c r="I69" s="218">
        <f t="shared" si="4"/>
        <v>13.580246913580247</v>
      </c>
      <c r="J69" s="830"/>
      <c r="K69" s="830">
        <v>3</v>
      </c>
      <c r="L69" s="218">
        <f t="shared" si="5"/>
        <v>3.7037037037037033</v>
      </c>
      <c r="M69" s="830"/>
      <c r="N69" s="830">
        <v>1</v>
      </c>
      <c r="O69" s="830"/>
      <c r="P69" s="830"/>
      <c r="Q69" s="830">
        <v>0</v>
      </c>
      <c r="R69" s="218">
        <f t="shared" si="1"/>
        <v>0</v>
      </c>
      <c r="U69" s="830"/>
    </row>
    <row r="70" spans="1:21" ht="13.25" customHeight="1">
      <c r="A70" s="95" t="s">
        <v>763</v>
      </c>
      <c r="B70" s="221">
        <f t="shared" si="0"/>
        <v>52</v>
      </c>
      <c r="C70" s="218">
        <f t="shared" si="2"/>
        <v>1.7887856897144825</v>
      </c>
      <c r="D70" s="219"/>
      <c r="E70" s="830">
        <v>47</v>
      </c>
      <c r="F70" s="218">
        <f t="shared" si="3"/>
        <v>90.384615384615387</v>
      </c>
      <c r="G70" s="830"/>
      <c r="H70" s="830">
        <v>5</v>
      </c>
      <c r="I70" s="218">
        <f t="shared" si="4"/>
        <v>9.6153846153846168</v>
      </c>
      <c r="J70" s="830"/>
      <c r="K70" s="830">
        <v>0</v>
      </c>
      <c r="L70" s="218">
        <f t="shared" si="5"/>
        <v>0</v>
      </c>
      <c r="M70" s="830"/>
      <c r="N70" s="830">
        <v>0</v>
      </c>
      <c r="O70" s="830"/>
      <c r="P70" s="830"/>
      <c r="Q70" s="830">
        <v>0</v>
      </c>
      <c r="R70" s="218">
        <f t="shared" si="1"/>
        <v>0</v>
      </c>
      <c r="U70" s="830"/>
    </row>
    <row r="71" spans="1:21" ht="13.25" customHeight="1">
      <c r="A71" s="95" t="s">
        <v>764</v>
      </c>
      <c r="B71" s="221">
        <f t="shared" si="0"/>
        <v>40</v>
      </c>
      <c r="C71" s="218">
        <f t="shared" si="2"/>
        <v>1.3759889920880632</v>
      </c>
      <c r="D71" s="219"/>
      <c r="E71" s="830">
        <v>32</v>
      </c>
      <c r="F71" s="218">
        <f t="shared" si="3"/>
        <v>80</v>
      </c>
      <c r="G71" s="830"/>
      <c r="H71" s="830">
        <v>8</v>
      </c>
      <c r="I71" s="218">
        <f t="shared" si="4"/>
        <v>20</v>
      </c>
      <c r="J71" s="830"/>
      <c r="K71" s="830">
        <v>0</v>
      </c>
      <c r="L71" s="218">
        <f t="shared" si="5"/>
        <v>0</v>
      </c>
      <c r="M71" s="830"/>
      <c r="N71" s="830">
        <v>0</v>
      </c>
      <c r="O71" s="830"/>
      <c r="P71" s="830"/>
      <c r="Q71" s="830">
        <v>0</v>
      </c>
      <c r="R71" s="218">
        <f t="shared" si="1"/>
        <v>0</v>
      </c>
      <c r="U71" s="830"/>
    </row>
    <row r="72" spans="1:21" ht="13.25" customHeight="1">
      <c r="A72" s="95" t="s">
        <v>765</v>
      </c>
      <c r="B72" s="221">
        <f t="shared" si="0"/>
        <v>20</v>
      </c>
      <c r="C72" s="218">
        <f t="shared" si="2"/>
        <v>0.68799449604403162</v>
      </c>
      <c r="D72" s="219"/>
      <c r="E72" s="830">
        <v>13</v>
      </c>
      <c r="F72" s="218">
        <f t="shared" si="3"/>
        <v>65</v>
      </c>
      <c r="G72" s="830"/>
      <c r="H72" s="830">
        <v>7</v>
      </c>
      <c r="I72" s="218">
        <f t="shared" si="4"/>
        <v>35</v>
      </c>
      <c r="J72" s="830"/>
      <c r="K72" s="830">
        <v>0</v>
      </c>
      <c r="L72" s="218">
        <f t="shared" si="5"/>
        <v>0</v>
      </c>
      <c r="M72" s="830"/>
      <c r="N72" s="830">
        <v>0</v>
      </c>
      <c r="O72" s="830"/>
      <c r="P72" s="830"/>
      <c r="Q72" s="830">
        <v>0</v>
      </c>
      <c r="R72" s="218">
        <f t="shared" si="1"/>
        <v>0</v>
      </c>
      <c r="U72" s="830"/>
    </row>
    <row r="73" spans="1:21" ht="13.25" customHeight="1">
      <c r="A73" s="95" t="s">
        <v>766</v>
      </c>
      <c r="B73" s="221">
        <f t="shared" si="0"/>
        <v>19</v>
      </c>
      <c r="C73" s="218">
        <f t="shared" si="2"/>
        <v>0.65359477124183007</v>
      </c>
      <c r="D73" s="219"/>
      <c r="E73" s="830">
        <v>0</v>
      </c>
      <c r="F73" s="218">
        <f t="shared" si="3"/>
        <v>0</v>
      </c>
      <c r="G73" s="830"/>
      <c r="H73" s="830">
        <v>0</v>
      </c>
      <c r="I73" s="218">
        <f t="shared" si="4"/>
        <v>0</v>
      </c>
      <c r="J73" s="830"/>
      <c r="K73" s="830">
        <v>15</v>
      </c>
      <c r="L73" s="218">
        <f t="shared" si="5"/>
        <v>78.94736842105263</v>
      </c>
      <c r="M73" s="830"/>
      <c r="N73" s="830">
        <v>0</v>
      </c>
      <c r="O73" s="830"/>
      <c r="P73" s="830"/>
      <c r="Q73" s="830">
        <v>4</v>
      </c>
      <c r="R73" s="218">
        <f t="shared" si="1"/>
        <v>21.052631578947366</v>
      </c>
      <c r="U73" s="830"/>
    </row>
    <row r="74" spans="1:21" ht="13.25" customHeight="1">
      <c r="A74" s="95" t="s">
        <v>767</v>
      </c>
      <c r="B74" s="221">
        <f t="shared" si="0"/>
        <v>10</v>
      </c>
      <c r="C74" s="218">
        <f t="shared" si="2"/>
        <v>0.34399724802201581</v>
      </c>
      <c r="D74" s="219"/>
      <c r="E74" s="830">
        <v>0</v>
      </c>
      <c r="F74" s="218">
        <f t="shared" si="3"/>
        <v>0</v>
      </c>
      <c r="G74" s="830"/>
      <c r="H74" s="830">
        <v>10</v>
      </c>
      <c r="I74" s="218">
        <f t="shared" si="4"/>
        <v>100</v>
      </c>
      <c r="J74" s="830"/>
      <c r="K74" s="830">
        <v>0</v>
      </c>
      <c r="L74" s="218">
        <f t="shared" si="5"/>
        <v>0</v>
      </c>
      <c r="M74" s="830"/>
      <c r="N74" s="830">
        <v>0</v>
      </c>
      <c r="O74" s="830"/>
      <c r="P74" s="830"/>
      <c r="Q74" s="830">
        <v>0</v>
      </c>
      <c r="R74" s="218">
        <f t="shared" si="1"/>
        <v>0</v>
      </c>
      <c r="U74" s="830"/>
    </row>
    <row r="75" spans="1:21" ht="13.25" customHeight="1">
      <c r="A75" s="95" t="s">
        <v>768</v>
      </c>
      <c r="B75" s="221">
        <f t="shared" ref="B75:B102" si="7">IF($A75&lt;&gt;0,E75+H75+K75+N75+Q75,"")</f>
        <v>52</v>
      </c>
      <c r="C75" s="218">
        <f t="shared" si="2"/>
        <v>1.7887856897144825</v>
      </c>
      <c r="D75" s="219"/>
      <c r="E75" s="830">
        <v>40</v>
      </c>
      <c r="F75" s="218">
        <f t="shared" si="3"/>
        <v>76.923076923076934</v>
      </c>
      <c r="G75" s="830"/>
      <c r="H75" s="830">
        <v>5</v>
      </c>
      <c r="I75" s="218">
        <f t="shared" si="4"/>
        <v>9.6153846153846168</v>
      </c>
      <c r="J75" s="830"/>
      <c r="K75" s="830">
        <v>7</v>
      </c>
      <c r="L75" s="218">
        <f t="shared" si="5"/>
        <v>13.461538461538462</v>
      </c>
      <c r="M75" s="830"/>
      <c r="N75" s="830">
        <v>0</v>
      </c>
      <c r="O75" s="830"/>
      <c r="P75" s="830"/>
      <c r="Q75" s="830">
        <v>0</v>
      </c>
      <c r="R75" s="218">
        <f t="shared" ref="R75:R103" si="8">IF($A75&lt;&gt;0,Q75/$B75*100,"")</f>
        <v>0</v>
      </c>
      <c r="U75" s="830"/>
    </row>
    <row r="76" spans="1:21" ht="13.25" customHeight="1">
      <c r="A76" s="95" t="s">
        <v>769</v>
      </c>
      <c r="B76" s="221">
        <f t="shared" si="7"/>
        <v>30</v>
      </c>
      <c r="C76" s="218">
        <f t="shared" ref="C76:C102" si="9">IF(A76&lt;&gt;0,B76/$B$11*100,"")</f>
        <v>1.0319917440660475</v>
      </c>
      <c r="D76" s="219"/>
      <c r="E76" s="830">
        <v>28</v>
      </c>
      <c r="F76" s="218">
        <f t="shared" si="3"/>
        <v>93.333333333333329</v>
      </c>
      <c r="G76" s="830"/>
      <c r="H76" s="830">
        <v>1</v>
      </c>
      <c r="I76" s="218">
        <f t="shared" si="4"/>
        <v>3.3333333333333335</v>
      </c>
      <c r="J76" s="830"/>
      <c r="K76" s="830">
        <v>1</v>
      </c>
      <c r="L76" s="218">
        <f t="shared" si="5"/>
        <v>3.3333333333333335</v>
      </c>
      <c r="M76" s="830"/>
      <c r="N76" s="830">
        <v>0</v>
      </c>
      <c r="O76" s="830"/>
      <c r="P76" s="830"/>
      <c r="Q76" s="830">
        <v>0</v>
      </c>
      <c r="R76" s="218">
        <f t="shared" si="8"/>
        <v>0</v>
      </c>
      <c r="U76" s="830"/>
    </row>
    <row r="77" spans="1:21" ht="13.25" customHeight="1">
      <c r="A77" s="95" t="s">
        <v>770</v>
      </c>
      <c r="B77" s="221">
        <f t="shared" si="7"/>
        <v>30</v>
      </c>
      <c r="C77" s="218">
        <f t="shared" si="9"/>
        <v>1.0319917440660475</v>
      </c>
      <c r="D77" s="219"/>
      <c r="E77" s="830">
        <v>29</v>
      </c>
      <c r="F77" s="218">
        <f t="shared" ref="F77:F103" si="10">IF($A77&lt;&gt;0,E77/$B77*100,"")</f>
        <v>96.666666666666671</v>
      </c>
      <c r="G77" s="830"/>
      <c r="H77" s="830">
        <v>0</v>
      </c>
      <c r="I77" s="218">
        <f t="shared" ref="I77:I103" si="11">IF($A77&lt;&gt;0,H77/$B77*100,"")</f>
        <v>0</v>
      </c>
      <c r="J77" s="830"/>
      <c r="K77" s="830">
        <v>1</v>
      </c>
      <c r="L77" s="218">
        <f t="shared" ref="L77:L103" si="12">IF($A77&lt;&gt;0,K77/$B77*100,"")</f>
        <v>3.3333333333333335</v>
      </c>
      <c r="M77" s="830"/>
      <c r="N77" s="830">
        <v>0</v>
      </c>
      <c r="O77" s="830"/>
      <c r="P77" s="830"/>
      <c r="Q77" s="830">
        <v>0</v>
      </c>
      <c r="R77" s="218">
        <f t="shared" si="8"/>
        <v>0</v>
      </c>
      <c r="U77" s="830"/>
    </row>
    <row r="78" spans="1:21" ht="13.25" customHeight="1">
      <c r="A78" s="95" t="s">
        <v>771</v>
      </c>
      <c r="B78" s="221">
        <f t="shared" si="7"/>
        <v>26</v>
      </c>
      <c r="C78" s="218">
        <f t="shared" si="9"/>
        <v>0.89439284485724124</v>
      </c>
      <c r="D78" s="219"/>
      <c r="E78" s="830">
        <v>23</v>
      </c>
      <c r="F78" s="218">
        <f t="shared" si="10"/>
        <v>88.461538461538453</v>
      </c>
      <c r="G78" s="830"/>
      <c r="H78" s="830">
        <v>2</v>
      </c>
      <c r="I78" s="218">
        <f t="shared" si="11"/>
        <v>7.6923076923076925</v>
      </c>
      <c r="J78" s="830"/>
      <c r="K78" s="830">
        <v>1</v>
      </c>
      <c r="L78" s="218">
        <f t="shared" si="12"/>
        <v>3.8461538461538463</v>
      </c>
      <c r="M78" s="830"/>
      <c r="N78" s="830">
        <v>0</v>
      </c>
      <c r="O78" s="830"/>
      <c r="P78" s="830"/>
      <c r="Q78" s="830">
        <v>0</v>
      </c>
      <c r="R78" s="218">
        <f t="shared" si="8"/>
        <v>0</v>
      </c>
      <c r="U78" s="830"/>
    </row>
    <row r="79" spans="1:21" ht="13.25" customHeight="1">
      <c r="A79" s="95" t="s">
        <v>772</v>
      </c>
      <c r="B79" s="221">
        <f t="shared" si="7"/>
        <v>31</v>
      </c>
      <c r="C79" s="218">
        <f t="shared" si="9"/>
        <v>1.0663914688682492</v>
      </c>
      <c r="D79" s="219"/>
      <c r="E79" s="830">
        <v>31</v>
      </c>
      <c r="F79" s="218">
        <f t="shared" si="10"/>
        <v>100</v>
      </c>
      <c r="G79" s="830"/>
      <c r="H79" s="830">
        <v>0</v>
      </c>
      <c r="I79" s="218">
        <f t="shared" si="11"/>
        <v>0</v>
      </c>
      <c r="J79" s="830"/>
      <c r="K79" s="830">
        <v>0</v>
      </c>
      <c r="L79" s="218">
        <f t="shared" si="12"/>
        <v>0</v>
      </c>
      <c r="M79" s="830"/>
      <c r="N79" s="830">
        <v>0</v>
      </c>
      <c r="O79" s="830"/>
      <c r="P79" s="830"/>
      <c r="Q79" s="830">
        <v>0</v>
      </c>
      <c r="R79" s="218">
        <f t="shared" si="8"/>
        <v>0</v>
      </c>
      <c r="U79" s="830"/>
    </row>
    <row r="80" spans="1:21" ht="13.25" customHeight="1">
      <c r="A80" s="95" t="s">
        <v>773</v>
      </c>
      <c r="B80" s="221">
        <f t="shared" si="7"/>
        <v>1</v>
      </c>
      <c r="C80" s="218">
        <f t="shared" si="9"/>
        <v>3.4399724802201583E-2</v>
      </c>
      <c r="D80" s="219"/>
      <c r="E80" s="830">
        <v>1</v>
      </c>
      <c r="F80" s="218">
        <f t="shared" si="10"/>
        <v>100</v>
      </c>
      <c r="G80" s="830"/>
      <c r="H80" s="830">
        <v>0</v>
      </c>
      <c r="I80" s="218">
        <f t="shared" si="11"/>
        <v>0</v>
      </c>
      <c r="J80" s="830"/>
      <c r="K80" s="830">
        <v>0</v>
      </c>
      <c r="L80" s="218">
        <f t="shared" si="12"/>
        <v>0</v>
      </c>
      <c r="M80" s="830"/>
      <c r="N80" s="830">
        <v>0</v>
      </c>
      <c r="O80" s="830"/>
      <c r="P80" s="830"/>
      <c r="Q80" s="830">
        <v>0</v>
      </c>
      <c r="R80" s="218">
        <f t="shared" si="8"/>
        <v>0</v>
      </c>
      <c r="U80" s="830"/>
    </row>
    <row r="81" spans="1:21" ht="10" customHeight="1">
      <c r="B81" s="221" t="str">
        <f>IF($A81&lt;&gt;0,E81+H81+K81+N81+Q81,"")</f>
        <v/>
      </c>
      <c r="C81" s="218" t="str">
        <f>IF(A81&lt;&gt;0,B81/$B$11*100,"")</f>
        <v/>
      </c>
      <c r="D81" s="219"/>
      <c r="E81" s="217"/>
      <c r="F81" s="218" t="str">
        <f t="shared" si="10"/>
        <v/>
      </c>
      <c r="G81" s="219"/>
      <c r="H81" s="217"/>
      <c r="I81" s="218" t="str">
        <f t="shared" si="11"/>
        <v/>
      </c>
      <c r="J81" s="219"/>
      <c r="K81" s="217"/>
      <c r="L81" s="218" t="str">
        <f t="shared" si="12"/>
        <v/>
      </c>
      <c r="M81" s="219"/>
      <c r="N81" s="217"/>
      <c r="O81" s="218" t="str">
        <f t="shared" ref="O81:O103" si="13">IF($A81&lt;&gt;0,N81/$B81*100,"")</f>
        <v/>
      </c>
      <c r="P81" s="219"/>
      <c r="Q81" s="220"/>
      <c r="R81" s="218" t="str">
        <f t="shared" si="8"/>
        <v/>
      </c>
      <c r="U81" s="61"/>
    </row>
    <row r="82" spans="1:21" ht="13.25" customHeight="1">
      <c r="A82" s="55" t="s">
        <v>774</v>
      </c>
      <c r="B82" s="221">
        <f>IF($A82&lt;&gt;0,E82+H82+K82+N82+Q82,"")</f>
        <v>586</v>
      </c>
      <c r="C82" s="218">
        <f>IF(A82&lt;&gt;0,B82/$B$11*100,"")</f>
        <v>20.158238734090126</v>
      </c>
      <c r="D82" s="219"/>
      <c r="E82" s="217">
        <f>SUM(E83:E86)</f>
        <v>423</v>
      </c>
      <c r="F82" s="218">
        <f t="shared" si="10"/>
        <v>72.184300341296932</v>
      </c>
      <c r="G82" s="219"/>
      <c r="H82" s="217">
        <f>SUM(H83:H86)</f>
        <v>145</v>
      </c>
      <c r="I82" s="218">
        <f t="shared" si="11"/>
        <v>24.744027303754265</v>
      </c>
      <c r="J82" s="219"/>
      <c r="K82" s="217">
        <f>SUM(K83:K86)</f>
        <v>18</v>
      </c>
      <c r="L82" s="218">
        <f t="shared" si="12"/>
        <v>3.0716723549488054</v>
      </c>
      <c r="M82" s="219"/>
      <c r="N82" s="217">
        <f>SUM(N83:N86)</f>
        <v>0</v>
      </c>
      <c r="O82" s="218">
        <f t="shared" si="13"/>
        <v>0</v>
      </c>
      <c r="P82" s="219"/>
      <c r="Q82" s="220"/>
      <c r="R82" s="218">
        <f t="shared" si="8"/>
        <v>0</v>
      </c>
      <c r="S82" s="95" t="s">
        <v>128</v>
      </c>
      <c r="U82" s="61"/>
    </row>
    <row r="83" spans="1:21" ht="13.25" customHeight="1">
      <c r="A83" s="95" t="s">
        <v>775</v>
      </c>
      <c r="B83" s="221">
        <f t="shared" si="7"/>
        <v>170</v>
      </c>
      <c r="C83" s="218">
        <f t="shared" si="9"/>
        <v>5.8479532163742682</v>
      </c>
      <c r="D83" s="219"/>
      <c r="E83" s="830">
        <v>90</v>
      </c>
      <c r="F83" s="218">
        <f t="shared" si="10"/>
        <v>52.941176470588239</v>
      </c>
      <c r="G83" s="830"/>
      <c r="H83" s="830">
        <v>63</v>
      </c>
      <c r="I83" s="218">
        <f t="shared" si="11"/>
        <v>37.058823529411768</v>
      </c>
      <c r="J83" s="830"/>
      <c r="K83" s="830">
        <v>17</v>
      </c>
      <c r="L83" s="218">
        <f t="shared" si="12"/>
        <v>10</v>
      </c>
      <c r="M83" s="830"/>
      <c r="N83" s="830">
        <v>0</v>
      </c>
      <c r="O83" s="830"/>
      <c r="P83" s="830"/>
      <c r="Q83" s="830">
        <v>0</v>
      </c>
      <c r="R83" s="218">
        <f t="shared" si="8"/>
        <v>0</v>
      </c>
      <c r="U83" s="830"/>
    </row>
    <row r="84" spans="1:21" ht="13.25" customHeight="1">
      <c r="A84" s="95" t="s">
        <v>776</v>
      </c>
      <c r="B84" s="221">
        <f t="shared" si="7"/>
        <v>330</v>
      </c>
      <c r="C84" s="218">
        <f t="shared" si="9"/>
        <v>11.351909184726521</v>
      </c>
      <c r="D84" s="219"/>
      <c r="E84" s="830">
        <v>330</v>
      </c>
      <c r="F84" s="218">
        <f t="shared" si="10"/>
        <v>100</v>
      </c>
      <c r="G84" s="830"/>
      <c r="H84" s="830">
        <v>0</v>
      </c>
      <c r="I84" s="218">
        <f t="shared" si="11"/>
        <v>0</v>
      </c>
      <c r="J84" s="830"/>
      <c r="K84" s="830">
        <v>0</v>
      </c>
      <c r="L84" s="218">
        <f t="shared" si="12"/>
        <v>0</v>
      </c>
      <c r="M84" s="830"/>
      <c r="N84" s="830">
        <v>0</v>
      </c>
      <c r="O84" s="830"/>
      <c r="P84" s="830"/>
      <c r="Q84" s="830">
        <v>0</v>
      </c>
      <c r="R84" s="218">
        <f t="shared" si="8"/>
        <v>0</v>
      </c>
      <c r="U84" s="830"/>
    </row>
    <row r="85" spans="1:21" ht="13.25" hidden="1" customHeight="1">
      <c r="A85" s="33" t="s">
        <v>777</v>
      </c>
      <c r="B85" s="221">
        <f t="shared" si="7"/>
        <v>0</v>
      </c>
      <c r="C85" s="218">
        <f t="shared" si="9"/>
        <v>0</v>
      </c>
      <c r="D85" s="219"/>
      <c r="E85" s="61"/>
      <c r="F85" s="218" t="e">
        <f t="shared" si="10"/>
        <v>#DIV/0!</v>
      </c>
      <c r="G85" s="61"/>
      <c r="H85" s="61"/>
      <c r="I85" s="218" t="e">
        <f t="shared" si="11"/>
        <v>#DIV/0!</v>
      </c>
      <c r="J85" s="61"/>
      <c r="K85" s="61"/>
      <c r="L85" s="218" t="e">
        <f t="shared" si="12"/>
        <v>#DIV/0!</v>
      </c>
      <c r="M85" s="61"/>
      <c r="N85" s="61"/>
      <c r="O85" s="61"/>
      <c r="P85" s="61"/>
      <c r="Q85" s="61"/>
      <c r="R85" s="218"/>
      <c r="U85" s="61"/>
    </row>
    <row r="86" spans="1:21" ht="13.25" customHeight="1">
      <c r="A86" s="95" t="s">
        <v>778</v>
      </c>
      <c r="B86" s="221">
        <f t="shared" si="7"/>
        <v>86</v>
      </c>
      <c r="C86" s="218">
        <f t="shared" si="9"/>
        <v>2.958376332989336</v>
      </c>
      <c r="D86" s="219"/>
      <c r="E86" s="830">
        <v>3</v>
      </c>
      <c r="F86" s="218">
        <f t="shared" si="10"/>
        <v>3.4883720930232558</v>
      </c>
      <c r="G86" s="830"/>
      <c r="H86" s="830">
        <v>82</v>
      </c>
      <c r="I86" s="218">
        <f t="shared" si="11"/>
        <v>95.348837209302332</v>
      </c>
      <c r="J86" s="830"/>
      <c r="K86" s="830">
        <v>1</v>
      </c>
      <c r="L86" s="218">
        <f t="shared" si="12"/>
        <v>1.1627906976744187</v>
      </c>
      <c r="M86" s="830"/>
      <c r="N86" s="830">
        <v>0</v>
      </c>
      <c r="O86" s="830"/>
      <c r="P86" s="830"/>
      <c r="Q86" s="830">
        <v>0</v>
      </c>
      <c r="R86" s="218">
        <f t="shared" si="8"/>
        <v>0</v>
      </c>
      <c r="U86" s="830"/>
    </row>
    <row r="87" spans="1:21" ht="10" customHeight="1">
      <c r="A87" s="116"/>
      <c r="B87" s="221" t="str">
        <f>IF($A87&lt;&gt;0,E87+H87+K87+N87+Q87,"")</f>
        <v/>
      </c>
      <c r="C87" s="218" t="str">
        <f>IF(A87&lt;&gt;0,B87/$B$11*100,"")</f>
        <v/>
      </c>
      <c r="D87" s="219"/>
      <c r="E87" s="217"/>
      <c r="F87" s="218" t="str">
        <f t="shared" si="10"/>
        <v/>
      </c>
      <c r="G87" s="219"/>
      <c r="H87" s="217"/>
      <c r="I87" s="218" t="str">
        <f t="shared" si="11"/>
        <v/>
      </c>
      <c r="J87" s="219"/>
      <c r="K87" s="217"/>
      <c r="L87" s="218" t="str">
        <f t="shared" si="12"/>
        <v/>
      </c>
      <c r="M87" s="219"/>
      <c r="N87" s="217"/>
      <c r="O87" s="218" t="str">
        <f t="shared" si="13"/>
        <v/>
      </c>
      <c r="P87" s="219"/>
      <c r="Q87" s="220"/>
      <c r="R87" s="218" t="str">
        <f t="shared" si="8"/>
        <v/>
      </c>
      <c r="U87" s="61"/>
    </row>
    <row r="88" spans="1:21" ht="13.25" customHeight="1">
      <c r="A88" s="68" t="s">
        <v>423</v>
      </c>
      <c r="B88" s="221">
        <f>IF($A88&lt;&gt;0,E88+H88+K88+N88+Q88,"")</f>
        <v>160</v>
      </c>
      <c r="C88" s="218">
        <f>IF(A88&lt;&gt;0,B88/$B$11*100,"")</f>
        <v>5.503955968352253</v>
      </c>
      <c r="D88" s="868"/>
      <c r="E88" s="221">
        <f>SUM(E90+E94)</f>
        <v>131</v>
      </c>
      <c r="F88" s="218">
        <f t="shared" si="10"/>
        <v>81.875</v>
      </c>
      <c r="G88" s="868"/>
      <c r="H88" s="221">
        <f>SUM(H90+H94)</f>
        <v>20</v>
      </c>
      <c r="I88" s="218">
        <f t="shared" si="11"/>
        <v>12.5</v>
      </c>
      <c r="J88" s="219"/>
      <c r="K88" s="221">
        <f>SUM(K90+K94)</f>
        <v>9</v>
      </c>
      <c r="L88" s="218">
        <f t="shared" si="12"/>
        <v>5.625</v>
      </c>
      <c r="M88" s="219"/>
      <c r="N88" s="221">
        <f>SUM(N90+N94)</f>
        <v>0</v>
      </c>
      <c r="O88" s="218">
        <f t="shared" si="13"/>
        <v>0</v>
      </c>
      <c r="P88" s="219"/>
      <c r="Q88" s="221">
        <f>SUM(Q90+Q94)</f>
        <v>0</v>
      </c>
      <c r="R88" s="218">
        <f t="shared" si="8"/>
        <v>0</v>
      </c>
      <c r="U88" s="61"/>
    </row>
    <row r="89" spans="1:21" ht="13.25" customHeight="1">
      <c r="A89" s="68"/>
      <c r="B89" s="221" t="str">
        <f t="shared" ref="B89:B99" si="14">IF($A89&lt;&gt;0,E89+H89+K89+N89+Q89,"")</f>
        <v/>
      </c>
      <c r="C89" s="218" t="str">
        <f t="shared" ref="C89:C98" si="15">IF(A89&lt;&gt;0,B89/$B$11*100,"")</f>
        <v/>
      </c>
      <c r="D89" s="868"/>
      <c r="E89" s="221"/>
      <c r="F89" s="218" t="str">
        <f t="shared" si="10"/>
        <v/>
      </c>
      <c r="G89" s="868"/>
      <c r="H89" s="221"/>
      <c r="I89" s="218" t="str">
        <f t="shared" si="11"/>
        <v/>
      </c>
      <c r="J89" s="219"/>
      <c r="K89" s="221"/>
      <c r="L89" s="218" t="str">
        <f t="shared" si="12"/>
        <v/>
      </c>
      <c r="M89" s="219"/>
      <c r="N89" s="217"/>
      <c r="O89" s="218"/>
      <c r="P89" s="219"/>
      <c r="Q89" s="220"/>
      <c r="R89" s="218"/>
      <c r="U89" s="61"/>
    </row>
    <row r="90" spans="1:21" ht="13.25" customHeight="1">
      <c r="A90" s="68" t="s">
        <v>678</v>
      </c>
      <c r="B90" s="221">
        <f t="shared" si="14"/>
        <v>2</v>
      </c>
      <c r="C90" s="218">
        <f t="shared" si="15"/>
        <v>6.8799449604403165E-2</v>
      </c>
      <c r="D90" s="868"/>
      <c r="E90" s="221">
        <f>SUM(E92)</f>
        <v>2</v>
      </c>
      <c r="F90" s="218">
        <f t="shared" si="10"/>
        <v>100</v>
      </c>
      <c r="G90" s="868"/>
      <c r="H90" s="221">
        <f>SUM(H92)</f>
        <v>0</v>
      </c>
      <c r="I90" s="218">
        <f t="shared" si="11"/>
        <v>0</v>
      </c>
      <c r="J90" s="219"/>
      <c r="K90" s="221">
        <f>SUM(K92)</f>
        <v>0</v>
      </c>
      <c r="L90" s="218">
        <f t="shared" si="12"/>
        <v>0</v>
      </c>
      <c r="M90" s="219"/>
      <c r="N90" s="221">
        <f>SUM(N92)</f>
        <v>0</v>
      </c>
      <c r="O90" s="218"/>
      <c r="P90" s="219"/>
      <c r="Q90" s="221">
        <f>SUM(Q92)</f>
        <v>0</v>
      </c>
      <c r="R90" s="218"/>
      <c r="U90" s="61"/>
    </row>
    <row r="91" spans="1:21" ht="8" customHeight="1">
      <c r="A91" s="68"/>
      <c r="B91" s="221" t="str">
        <f t="shared" si="14"/>
        <v/>
      </c>
      <c r="C91" s="218" t="str">
        <f t="shared" si="15"/>
        <v/>
      </c>
      <c r="D91" s="868"/>
      <c r="E91" s="221"/>
      <c r="F91" s="218" t="str">
        <f t="shared" si="10"/>
        <v/>
      </c>
      <c r="G91" s="868"/>
      <c r="H91" s="221"/>
      <c r="I91" s="218" t="str">
        <f t="shared" si="11"/>
        <v/>
      </c>
      <c r="J91" s="219"/>
      <c r="K91" s="221"/>
      <c r="L91" s="218" t="str">
        <f t="shared" si="12"/>
        <v/>
      </c>
      <c r="M91" s="219"/>
      <c r="N91" s="217"/>
      <c r="O91" s="218"/>
      <c r="P91" s="219"/>
      <c r="Q91" s="220"/>
      <c r="R91" s="218"/>
      <c r="U91" s="61"/>
    </row>
    <row r="92" spans="1:21" ht="13.25" customHeight="1">
      <c r="A92" s="95" t="s">
        <v>712</v>
      </c>
      <c r="B92" s="221">
        <f t="shared" si="14"/>
        <v>2</v>
      </c>
      <c r="C92" s="218">
        <f t="shared" si="15"/>
        <v>6.8799449604403165E-2</v>
      </c>
      <c r="D92" s="868"/>
      <c r="E92" s="221">
        <v>2</v>
      </c>
      <c r="F92" s="218">
        <f t="shared" si="10"/>
        <v>100</v>
      </c>
      <c r="G92" s="868"/>
      <c r="H92" s="221"/>
      <c r="I92" s="218">
        <f t="shared" si="11"/>
        <v>0</v>
      </c>
      <c r="J92" s="219"/>
      <c r="K92" s="221"/>
      <c r="L92" s="218">
        <f t="shared" si="12"/>
        <v>0</v>
      </c>
      <c r="M92" s="219"/>
      <c r="N92" s="217"/>
      <c r="O92" s="218"/>
      <c r="P92" s="219"/>
      <c r="Q92" s="220"/>
      <c r="R92" s="218"/>
      <c r="U92" s="61"/>
    </row>
    <row r="93" spans="1:21" ht="10" customHeight="1">
      <c r="A93" s="68"/>
      <c r="B93" s="221" t="str">
        <f t="shared" si="14"/>
        <v/>
      </c>
      <c r="C93" s="218" t="str">
        <f t="shared" si="15"/>
        <v/>
      </c>
      <c r="D93" s="868"/>
      <c r="E93" s="221"/>
      <c r="F93" s="218" t="str">
        <f t="shared" si="10"/>
        <v/>
      </c>
      <c r="G93" s="868"/>
      <c r="H93" s="221"/>
      <c r="I93" s="218" t="str">
        <f t="shared" si="11"/>
        <v/>
      </c>
      <c r="J93" s="219"/>
      <c r="K93" s="217"/>
      <c r="L93" s="218" t="str">
        <f t="shared" si="12"/>
        <v/>
      </c>
      <c r="M93" s="219"/>
      <c r="N93" s="217"/>
      <c r="O93" s="218" t="str">
        <f t="shared" si="13"/>
        <v/>
      </c>
      <c r="P93" s="219"/>
      <c r="Q93" s="220"/>
      <c r="R93" s="218" t="str">
        <f t="shared" si="8"/>
        <v/>
      </c>
      <c r="U93" s="61"/>
    </row>
    <row r="94" spans="1:21" ht="13.25" customHeight="1">
      <c r="A94" s="68" t="s">
        <v>714</v>
      </c>
      <c r="B94" s="221">
        <f t="shared" si="14"/>
        <v>158</v>
      </c>
      <c r="C94" s="218">
        <f t="shared" si="15"/>
        <v>5.4351565187478501</v>
      </c>
      <c r="D94" s="868"/>
      <c r="E94" s="221">
        <f>SUM(E95:E103)</f>
        <v>129</v>
      </c>
      <c r="F94" s="218">
        <f t="shared" si="10"/>
        <v>81.64556962025317</v>
      </c>
      <c r="G94" s="868"/>
      <c r="H94" s="221">
        <f>SUM(H95:H103)</f>
        <v>20</v>
      </c>
      <c r="I94" s="218">
        <f t="shared" si="11"/>
        <v>12.658227848101266</v>
      </c>
      <c r="J94" s="219"/>
      <c r="K94" s="221">
        <f>SUM(K95:K103)</f>
        <v>9</v>
      </c>
      <c r="L94" s="218">
        <f t="shared" si="12"/>
        <v>5.6962025316455698</v>
      </c>
      <c r="M94" s="219"/>
      <c r="N94" s="221">
        <f>SUM(N95:N103)</f>
        <v>0</v>
      </c>
      <c r="O94" s="218">
        <f t="shared" si="13"/>
        <v>0</v>
      </c>
      <c r="P94" s="219"/>
      <c r="Q94" s="221">
        <f>SUM(Q95:Q103)</f>
        <v>0</v>
      </c>
      <c r="R94" s="218">
        <f t="shared" si="8"/>
        <v>0</v>
      </c>
      <c r="U94" s="61"/>
    </row>
    <row r="95" spans="1:21" ht="13.25" customHeight="1">
      <c r="A95" s="95" t="s">
        <v>715</v>
      </c>
      <c r="B95" s="221">
        <f t="shared" si="14"/>
        <v>1</v>
      </c>
      <c r="C95" s="218">
        <f t="shared" si="15"/>
        <v>3.4399724802201583E-2</v>
      </c>
      <c r="D95" s="868"/>
      <c r="E95" s="221">
        <v>1</v>
      </c>
      <c r="F95" s="218">
        <f t="shared" si="10"/>
        <v>100</v>
      </c>
      <c r="G95" s="868"/>
      <c r="H95" s="221"/>
      <c r="I95" s="218">
        <f t="shared" si="11"/>
        <v>0</v>
      </c>
      <c r="J95" s="219"/>
      <c r="K95" s="221"/>
      <c r="L95" s="218">
        <f t="shared" si="12"/>
        <v>0</v>
      </c>
      <c r="M95" s="219"/>
      <c r="N95" s="221"/>
      <c r="O95" s="218"/>
      <c r="P95" s="219"/>
      <c r="Q95" s="220"/>
      <c r="R95" s="218"/>
      <c r="U95" s="61"/>
    </row>
    <row r="96" spans="1:21" ht="13.25" customHeight="1">
      <c r="A96" s="33" t="s">
        <v>779</v>
      </c>
      <c r="B96" s="221">
        <f t="shared" si="14"/>
        <v>28</v>
      </c>
      <c r="C96" s="218">
        <f t="shared" si="15"/>
        <v>0.96319229446164434</v>
      </c>
      <c r="D96" s="868"/>
      <c r="E96" s="831">
        <v>22</v>
      </c>
      <c r="F96" s="218">
        <f t="shared" si="10"/>
        <v>78.571428571428569</v>
      </c>
      <c r="G96" s="831"/>
      <c r="H96" s="831">
        <v>4</v>
      </c>
      <c r="I96" s="218">
        <f t="shared" si="11"/>
        <v>14.285714285714285</v>
      </c>
      <c r="J96" s="61"/>
      <c r="K96" s="831">
        <v>2</v>
      </c>
      <c r="L96" s="218">
        <f t="shared" si="12"/>
        <v>7.1428571428571423</v>
      </c>
      <c r="M96" s="210"/>
      <c r="N96" s="214"/>
      <c r="O96" s="218">
        <f t="shared" si="13"/>
        <v>0</v>
      </c>
      <c r="P96" s="215"/>
      <c r="Q96" s="95"/>
      <c r="R96" s="218"/>
      <c r="U96" s="61"/>
    </row>
    <row r="97" spans="1:21" ht="13.25" customHeight="1">
      <c r="A97" s="75" t="s">
        <v>780</v>
      </c>
      <c r="B97" s="221">
        <f t="shared" si="14"/>
        <v>11</v>
      </c>
      <c r="C97" s="218">
        <f t="shared" si="15"/>
        <v>0.37839697282421741</v>
      </c>
      <c r="D97" s="868"/>
      <c r="E97" s="831">
        <v>3</v>
      </c>
      <c r="F97" s="218">
        <f t="shared" si="10"/>
        <v>27.27272727272727</v>
      </c>
      <c r="G97" s="831"/>
      <c r="H97" s="831">
        <v>8</v>
      </c>
      <c r="I97" s="218">
        <f t="shared" si="11"/>
        <v>72.727272727272734</v>
      </c>
      <c r="J97" s="61"/>
      <c r="K97" s="831">
        <v>0</v>
      </c>
      <c r="L97" s="218">
        <f t="shared" si="12"/>
        <v>0</v>
      </c>
      <c r="M97" s="210"/>
      <c r="N97" s="214"/>
      <c r="O97" s="218">
        <f t="shared" si="13"/>
        <v>0</v>
      </c>
      <c r="P97" s="215"/>
      <c r="Q97" s="95"/>
      <c r="R97" s="218">
        <f t="shared" si="8"/>
        <v>0</v>
      </c>
      <c r="U97" s="61"/>
    </row>
    <row r="98" spans="1:21" ht="13.25" customHeight="1">
      <c r="A98" s="33" t="s">
        <v>781</v>
      </c>
      <c r="B98" s="221">
        <f t="shared" si="14"/>
        <v>12</v>
      </c>
      <c r="C98" s="218">
        <f t="shared" si="15"/>
        <v>0.41279669762641896</v>
      </c>
      <c r="D98" s="868"/>
      <c r="E98" s="831">
        <v>12</v>
      </c>
      <c r="F98" s="218">
        <f t="shared" si="10"/>
        <v>100</v>
      </c>
      <c r="G98" s="831"/>
      <c r="H98" s="831">
        <v>0</v>
      </c>
      <c r="I98" s="218">
        <f t="shared" si="11"/>
        <v>0</v>
      </c>
      <c r="J98" s="61"/>
      <c r="K98" s="831">
        <v>0</v>
      </c>
      <c r="L98" s="218">
        <f t="shared" si="12"/>
        <v>0</v>
      </c>
      <c r="M98" s="210"/>
      <c r="N98" s="214"/>
      <c r="O98" s="218">
        <f t="shared" si="13"/>
        <v>0</v>
      </c>
      <c r="P98" s="215"/>
      <c r="Q98" s="95"/>
      <c r="R98" s="218"/>
      <c r="U98" s="61"/>
    </row>
    <row r="99" spans="1:21" ht="13.25" customHeight="1">
      <c r="A99" s="95" t="s">
        <v>782</v>
      </c>
      <c r="B99" s="221">
        <f t="shared" si="14"/>
        <v>19</v>
      </c>
      <c r="C99" s="218">
        <f t="shared" si="9"/>
        <v>0.65359477124183007</v>
      </c>
      <c r="D99" s="868"/>
      <c r="E99" s="831">
        <v>14</v>
      </c>
      <c r="F99" s="218">
        <f t="shared" si="10"/>
        <v>73.68421052631578</v>
      </c>
      <c r="G99" s="831"/>
      <c r="H99" s="831">
        <v>4</v>
      </c>
      <c r="I99" s="218">
        <f t="shared" si="11"/>
        <v>21.052631578947366</v>
      </c>
      <c r="J99" s="61"/>
      <c r="K99" s="831">
        <v>1</v>
      </c>
      <c r="L99" s="218">
        <f t="shared" si="12"/>
        <v>5.2631578947368416</v>
      </c>
      <c r="M99" s="210"/>
      <c r="N99" s="214"/>
      <c r="O99" s="218">
        <f t="shared" si="13"/>
        <v>0</v>
      </c>
      <c r="P99" s="215"/>
      <c r="Q99" s="95"/>
      <c r="R99" s="218">
        <f t="shared" si="8"/>
        <v>0</v>
      </c>
      <c r="U99" s="61"/>
    </row>
    <row r="100" spans="1:21" ht="13.25" customHeight="1">
      <c r="A100" s="95" t="s">
        <v>783</v>
      </c>
      <c r="B100" s="221">
        <f t="shared" si="7"/>
        <v>27</v>
      </c>
      <c r="C100" s="218">
        <f t="shared" si="9"/>
        <v>0.92879256965944268</v>
      </c>
      <c r="D100" s="868"/>
      <c r="E100" s="831">
        <v>17</v>
      </c>
      <c r="F100" s="218">
        <f t="shared" si="10"/>
        <v>62.962962962962962</v>
      </c>
      <c r="G100" s="831"/>
      <c r="H100" s="831">
        <v>4</v>
      </c>
      <c r="I100" s="218">
        <f t="shared" si="11"/>
        <v>14.814814814814813</v>
      </c>
      <c r="J100" s="61"/>
      <c r="K100" s="831">
        <v>6</v>
      </c>
      <c r="L100" s="218">
        <f t="shared" si="12"/>
        <v>22.222222222222221</v>
      </c>
      <c r="M100" s="210"/>
      <c r="N100" s="214"/>
      <c r="O100" s="218">
        <f t="shared" si="13"/>
        <v>0</v>
      </c>
      <c r="P100" s="215"/>
      <c r="Q100" s="95"/>
      <c r="R100" s="218">
        <f t="shared" si="8"/>
        <v>0</v>
      </c>
      <c r="U100" s="61"/>
    </row>
    <row r="101" spans="1:21" ht="13.25" hidden="1" customHeight="1" thickBot="1">
      <c r="A101" s="33" t="s">
        <v>784</v>
      </c>
      <c r="B101" s="221">
        <f t="shared" si="7"/>
        <v>0</v>
      </c>
      <c r="C101" s="218">
        <f t="shared" si="9"/>
        <v>0</v>
      </c>
      <c r="D101" s="868"/>
      <c r="E101" s="61"/>
      <c r="F101" s="218" t="e">
        <f t="shared" si="10"/>
        <v>#DIV/0!</v>
      </c>
      <c r="G101" s="61"/>
      <c r="H101" s="61"/>
      <c r="I101" s="218" t="e">
        <f t="shared" si="11"/>
        <v>#DIV/0!</v>
      </c>
      <c r="J101" s="61"/>
      <c r="K101" s="61"/>
      <c r="L101" s="218" t="e">
        <f t="shared" si="12"/>
        <v>#DIV/0!</v>
      </c>
      <c r="M101" s="210"/>
      <c r="N101" s="214"/>
      <c r="O101" s="218" t="e">
        <f t="shared" si="13"/>
        <v>#DIV/0!</v>
      </c>
      <c r="P101" s="215"/>
      <c r="Q101" s="95"/>
      <c r="R101" s="218"/>
      <c r="U101" s="61"/>
    </row>
    <row r="102" spans="1:21" ht="13.25" customHeight="1">
      <c r="A102" s="75" t="s">
        <v>168</v>
      </c>
      <c r="B102" s="221">
        <f t="shared" si="7"/>
        <v>2</v>
      </c>
      <c r="C102" s="218">
        <f t="shared" si="9"/>
        <v>6.8799449604403165E-2</v>
      </c>
      <c r="D102" s="868"/>
      <c r="E102" s="832">
        <v>2</v>
      </c>
      <c r="F102" s="218">
        <f t="shared" si="10"/>
        <v>100</v>
      </c>
      <c r="G102" s="832"/>
      <c r="H102" s="832">
        <v>0</v>
      </c>
      <c r="I102" s="218">
        <f t="shared" si="11"/>
        <v>0</v>
      </c>
      <c r="J102" s="61"/>
      <c r="K102" s="832">
        <v>0</v>
      </c>
      <c r="L102" s="218">
        <f t="shared" si="12"/>
        <v>0</v>
      </c>
      <c r="M102" s="213"/>
      <c r="N102" s="214"/>
      <c r="O102" s="218">
        <f t="shared" si="13"/>
        <v>0</v>
      </c>
      <c r="P102" s="216"/>
      <c r="Q102" s="95"/>
      <c r="R102" s="218">
        <f t="shared" si="8"/>
        <v>0</v>
      </c>
      <c r="U102" s="61"/>
    </row>
    <row r="103" spans="1:21" ht="13.25" customHeight="1">
      <c r="A103" s="75" t="s">
        <v>785</v>
      </c>
      <c r="B103" s="221">
        <f>IF($A103&lt;&gt;0,E103+H103+K103+N103+Q103,"")</f>
        <v>58</v>
      </c>
      <c r="C103" s="218">
        <f>IF(A103&lt;&gt;0,B103/$B$11*100,"")</f>
        <v>1.9951840385276916</v>
      </c>
      <c r="D103" s="868"/>
      <c r="E103" s="831">
        <v>58</v>
      </c>
      <c r="F103" s="218">
        <f t="shared" si="10"/>
        <v>100</v>
      </c>
      <c r="G103" s="831"/>
      <c r="H103" s="831">
        <v>0</v>
      </c>
      <c r="I103" s="218">
        <f t="shared" si="11"/>
        <v>0</v>
      </c>
      <c r="J103" s="61"/>
      <c r="K103" s="831">
        <v>0</v>
      </c>
      <c r="L103" s="218">
        <f t="shared" si="12"/>
        <v>0</v>
      </c>
      <c r="M103" s="210"/>
      <c r="N103" s="214"/>
      <c r="O103" s="218">
        <f t="shared" si="13"/>
        <v>0</v>
      </c>
      <c r="P103" s="215"/>
      <c r="Q103" s="95"/>
      <c r="R103" s="218">
        <f t="shared" si="8"/>
        <v>0</v>
      </c>
      <c r="U103" s="61"/>
    </row>
    <row r="104" spans="1:21" ht="5.25" customHeight="1" thickBot="1">
      <c r="A104" s="153"/>
      <c r="B104" s="125"/>
      <c r="C104" s="96"/>
      <c r="D104" s="102"/>
      <c r="E104" s="153"/>
      <c r="F104" s="96"/>
      <c r="G104" s="102"/>
      <c r="H104" s="153"/>
      <c r="I104" s="96"/>
      <c r="J104" s="102"/>
      <c r="K104" s="153"/>
      <c r="L104" s="96"/>
      <c r="M104" s="102"/>
      <c r="N104" s="153"/>
      <c r="O104" s="96"/>
      <c r="P104" s="102"/>
      <c r="Q104" s="153"/>
      <c r="R104" s="96"/>
      <c r="S104" s="96"/>
    </row>
    <row r="105" spans="1:21" ht="8.25" customHeight="1">
      <c r="B105" s="119"/>
      <c r="C105" s="135"/>
      <c r="D105" s="116"/>
      <c r="E105" s="154"/>
      <c r="F105" s="135"/>
      <c r="G105" s="116"/>
      <c r="H105" s="154"/>
      <c r="I105" s="135"/>
      <c r="J105" s="116"/>
      <c r="K105" s="154"/>
      <c r="L105" s="135"/>
      <c r="M105" s="116"/>
      <c r="N105" s="154"/>
      <c r="O105" s="135"/>
      <c r="P105" s="116"/>
      <c r="Q105" s="154"/>
      <c r="R105" s="135"/>
      <c r="S105" s="135"/>
    </row>
    <row r="106" spans="1:21" ht="15">
      <c r="A106" s="203" t="s">
        <v>701</v>
      </c>
      <c r="C106" s="95"/>
      <c r="D106" s="140"/>
      <c r="E106" s="105"/>
      <c r="F106" s="95"/>
      <c r="G106" s="140"/>
      <c r="H106" s="105"/>
      <c r="I106" s="95"/>
      <c r="J106" s="140"/>
      <c r="K106" s="105"/>
      <c r="L106" s="95"/>
      <c r="M106" s="140"/>
      <c r="N106" s="105"/>
      <c r="O106" s="95"/>
      <c r="P106" s="140"/>
      <c r="Q106" s="105"/>
      <c r="R106" s="95"/>
    </row>
    <row r="107" spans="1:21" ht="7.5" customHeight="1"/>
    <row r="108" spans="1:21">
      <c r="A108" s="14" t="s">
        <v>1923</v>
      </c>
      <c r="C108" s="139"/>
    </row>
    <row r="109" spans="1:21">
      <c r="A109" s="111" t="s">
        <v>452</v>
      </c>
    </row>
  </sheetData>
  <conditionalFormatting sqref="N15:N39">
    <cfRule type="cellIs" dxfId="71" priority="4" operator="equal">
      <formula>0</formula>
    </cfRule>
  </conditionalFormatting>
  <conditionalFormatting sqref="O15:O19">
    <cfRule type="cellIs" dxfId="70" priority="3" operator="equal">
      <formula>0</formula>
    </cfRule>
  </conditionalFormatting>
  <conditionalFormatting sqref="N11:R40">
    <cfRule type="cellIs" dxfId="69" priority="2" operator="equal">
      <formula>0</formula>
    </cfRule>
  </conditionalFormatting>
  <conditionalFormatting sqref="B11:R100">
    <cfRule type="cellIs" dxfId="68" priority="1" operator="equal">
      <formula>0</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127"/>
  <sheetViews>
    <sheetView workbookViewId="0">
      <selection activeCell="A2" sqref="A2"/>
    </sheetView>
  </sheetViews>
  <sheetFormatPr baseColWidth="10" defaultColWidth="9.1640625" defaultRowHeight="13"/>
  <cols>
    <col min="1" max="1" width="35.6640625" style="95" customWidth="1"/>
    <col min="2" max="2" width="8" style="58" customWidth="1"/>
    <col min="3" max="3" width="8.33203125" style="204" customWidth="1"/>
    <col min="4" max="4" width="2.6640625" style="33" customWidth="1"/>
    <col min="5" max="5" width="8.33203125" style="72" customWidth="1"/>
    <col min="6" max="6" width="8.3320312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33203125" style="73" customWidth="1"/>
    <col min="13" max="13" width="2.6640625" style="33" customWidth="1"/>
    <col min="14" max="14" width="8.33203125" style="33" customWidth="1"/>
    <col min="15" max="15" width="8.33203125" style="73" customWidth="1"/>
    <col min="16" max="16" width="2.6640625" style="33" customWidth="1"/>
    <col min="17" max="17" width="8.33203125" style="33" customWidth="1"/>
    <col min="18" max="18" width="8.33203125" style="73" customWidth="1"/>
    <col min="19" max="19" width="2.6640625" style="33" customWidth="1"/>
    <col min="20" max="256" width="9.1640625" style="95"/>
    <col min="257" max="257" width="35.6640625" style="95" customWidth="1"/>
    <col min="258" max="258" width="8" style="95" customWidth="1"/>
    <col min="259"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9.1640625" style="95"/>
    <col min="513" max="513" width="35.6640625" style="95" customWidth="1"/>
    <col min="514" max="514" width="8" style="95" customWidth="1"/>
    <col min="515"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9.1640625" style="95"/>
    <col min="769" max="769" width="35.6640625" style="95" customWidth="1"/>
    <col min="770" max="770" width="8" style="95" customWidth="1"/>
    <col min="771"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9.1640625" style="95"/>
    <col min="1025" max="1025" width="35.6640625" style="95" customWidth="1"/>
    <col min="1026" max="1026" width="8" style="95" customWidth="1"/>
    <col min="1027"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9.1640625" style="95"/>
    <col min="1281" max="1281" width="35.6640625" style="95" customWidth="1"/>
    <col min="1282" max="1282" width="8" style="95" customWidth="1"/>
    <col min="1283"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9.1640625" style="95"/>
    <col min="1537" max="1537" width="35.6640625" style="95" customWidth="1"/>
    <col min="1538" max="1538" width="8" style="95" customWidth="1"/>
    <col min="1539"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9.1640625" style="95"/>
    <col min="1793" max="1793" width="35.6640625" style="95" customWidth="1"/>
    <col min="1794" max="1794" width="8" style="95" customWidth="1"/>
    <col min="1795"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9.1640625" style="95"/>
    <col min="2049" max="2049" width="35.6640625" style="95" customWidth="1"/>
    <col min="2050" max="2050" width="8" style="95" customWidth="1"/>
    <col min="2051"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9.1640625" style="95"/>
    <col min="2305" max="2305" width="35.6640625" style="95" customWidth="1"/>
    <col min="2306" max="2306" width="8" style="95" customWidth="1"/>
    <col min="2307"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9.1640625" style="95"/>
    <col min="2561" max="2561" width="35.6640625" style="95" customWidth="1"/>
    <col min="2562" max="2562" width="8" style="95" customWidth="1"/>
    <col min="2563"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9.1640625" style="95"/>
    <col min="2817" max="2817" width="35.6640625" style="95" customWidth="1"/>
    <col min="2818" max="2818" width="8" style="95" customWidth="1"/>
    <col min="2819"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9.1640625" style="95"/>
    <col min="3073" max="3073" width="35.6640625" style="95" customWidth="1"/>
    <col min="3074" max="3074" width="8" style="95" customWidth="1"/>
    <col min="3075"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9.1640625" style="95"/>
    <col min="3329" max="3329" width="35.6640625" style="95" customWidth="1"/>
    <col min="3330" max="3330" width="8" style="95" customWidth="1"/>
    <col min="3331"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9.1640625" style="95"/>
    <col min="3585" max="3585" width="35.6640625" style="95" customWidth="1"/>
    <col min="3586" max="3586" width="8" style="95" customWidth="1"/>
    <col min="3587"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9.1640625" style="95"/>
    <col min="3841" max="3841" width="35.6640625" style="95" customWidth="1"/>
    <col min="3842" max="3842" width="8" style="95" customWidth="1"/>
    <col min="3843"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9.1640625" style="95"/>
    <col min="4097" max="4097" width="35.6640625" style="95" customWidth="1"/>
    <col min="4098" max="4098" width="8" style="95" customWidth="1"/>
    <col min="4099"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9.1640625" style="95"/>
    <col min="4353" max="4353" width="35.6640625" style="95" customWidth="1"/>
    <col min="4354" max="4354" width="8" style="95" customWidth="1"/>
    <col min="4355"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9.1640625" style="95"/>
    <col min="4609" max="4609" width="35.6640625" style="95" customWidth="1"/>
    <col min="4610" max="4610" width="8" style="95" customWidth="1"/>
    <col min="4611"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9.1640625" style="95"/>
    <col min="4865" max="4865" width="35.6640625" style="95" customWidth="1"/>
    <col min="4866" max="4866" width="8" style="95" customWidth="1"/>
    <col min="4867"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9.1640625" style="95"/>
    <col min="5121" max="5121" width="35.6640625" style="95" customWidth="1"/>
    <col min="5122" max="5122" width="8" style="95" customWidth="1"/>
    <col min="5123"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9.1640625" style="95"/>
    <col min="5377" max="5377" width="35.6640625" style="95" customWidth="1"/>
    <col min="5378" max="5378" width="8" style="95" customWidth="1"/>
    <col min="5379"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9.1640625" style="95"/>
    <col min="5633" max="5633" width="35.6640625" style="95" customWidth="1"/>
    <col min="5634" max="5634" width="8" style="95" customWidth="1"/>
    <col min="5635"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9.1640625" style="95"/>
    <col min="5889" max="5889" width="35.6640625" style="95" customWidth="1"/>
    <col min="5890" max="5890" width="8" style="95" customWidth="1"/>
    <col min="5891"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9.1640625" style="95"/>
    <col min="6145" max="6145" width="35.6640625" style="95" customWidth="1"/>
    <col min="6146" max="6146" width="8" style="95" customWidth="1"/>
    <col min="6147"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9.1640625" style="95"/>
    <col min="6401" max="6401" width="35.6640625" style="95" customWidth="1"/>
    <col min="6402" max="6402" width="8" style="95" customWidth="1"/>
    <col min="6403"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9.1640625" style="95"/>
    <col min="6657" max="6657" width="35.6640625" style="95" customWidth="1"/>
    <col min="6658" max="6658" width="8" style="95" customWidth="1"/>
    <col min="6659"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9.1640625" style="95"/>
    <col min="6913" max="6913" width="35.6640625" style="95" customWidth="1"/>
    <col min="6914" max="6914" width="8" style="95" customWidth="1"/>
    <col min="6915"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9.1640625" style="95"/>
    <col min="7169" max="7169" width="35.6640625" style="95" customWidth="1"/>
    <col min="7170" max="7170" width="8" style="95" customWidth="1"/>
    <col min="7171"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9.1640625" style="95"/>
    <col min="7425" max="7425" width="35.6640625" style="95" customWidth="1"/>
    <col min="7426" max="7426" width="8" style="95" customWidth="1"/>
    <col min="7427"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9.1640625" style="95"/>
    <col min="7681" max="7681" width="35.6640625" style="95" customWidth="1"/>
    <col min="7682" max="7682" width="8" style="95" customWidth="1"/>
    <col min="7683"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9.1640625" style="95"/>
    <col min="7937" max="7937" width="35.6640625" style="95" customWidth="1"/>
    <col min="7938" max="7938" width="8" style="95" customWidth="1"/>
    <col min="7939"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9.1640625" style="95"/>
    <col min="8193" max="8193" width="35.6640625" style="95" customWidth="1"/>
    <col min="8194" max="8194" width="8" style="95" customWidth="1"/>
    <col min="8195"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9.1640625" style="95"/>
    <col min="8449" max="8449" width="35.6640625" style="95" customWidth="1"/>
    <col min="8450" max="8450" width="8" style="95" customWidth="1"/>
    <col min="8451"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9.1640625" style="95"/>
    <col min="8705" max="8705" width="35.6640625" style="95" customWidth="1"/>
    <col min="8706" max="8706" width="8" style="95" customWidth="1"/>
    <col min="8707"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9.1640625" style="95"/>
    <col min="8961" max="8961" width="35.6640625" style="95" customWidth="1"/>
    <col min="8962" max="8962" width="8" style="95" customWidth="1"/>
    <col min="8963"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9.1640625" style="95"/>
    <col min="9217" max="9217" width="35.6640625" style="95" customWidth="1"/>
    <col min="9218" max="9218" width="8" style="95" customWidth="1"/>
    <col min="9219"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9.1640625" style="95"/>
    <col min="9473" max="9473" width="35.6640625" style="95" customWidth="1"/>
    <col min="9474" max="9474" width="8" style="95" customWidth="1"/>
    <col min="9475"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9.1640625" style="95"/>
    <col min="9729" max="9729" width="35.6640625" style="95" customWidth="1"/>
    <col min="9730" max="9730" width="8" style="95" customWidth="1"/>
    <col min="9731"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9.1640625" style="95"/>
    <col min="9985" max="9985" width="35.6640625" style="95" customWidth="1"/>
    <col min="9986" max="9986" width="8" style="95" customWidth="1"/>
    <col min="9987"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9.1640625" style="95"/>
    <col min="10241" max="10241" width="35.6640625" style="95" customWidth="1"/>
    <col min="10242" max="10242" width="8" style="95" customWidth="1"/>
    <col min="10243"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9.1640625" style="95"/>
    <col min="10497" max="10497" width="35.6640625" style="95" customWidth="1"/>
    <col min="10498" max="10498" width="8" style="95" customWidth="1"/>
    <col min="10499"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9.1640625" style="95"/>
    <col min="10753" max="10753" width="35.6640625" style="95" customWidth="1"/>
    <col min="10754" max="10754" width="8" style="95" customWidth="1"/>
    <col min="10755"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9.1640625" style="95"/>
    <col min="11009" max="11009" width="35.6640625" style="95" customWidth="1"/>
    <col min="11010" max="11010" width="8" style="95" customWidth="1"/>
    <col min="11011"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9.1640625" style="95"/>
    <col min="11265" max="11265" width="35.6640625" style="95" customWidth="1"/>
    <col min="11266" max="11266" width="8" style="95" customWidth="1"/>
    <col min="11267"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9.1640625" style="95"/>
    <col min="11521" max="11521" width="35.6640625" style="95" customWidth="1"/>
    <col min="11522" max="11522" width="8" style="95" customWidth="1"/>
    <col min="11523"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9.1640625" style="95"/>
    <col min="11777" max="11777" width="35.6640625" style="95" customWidth="1"/>
    <col min="11778" max="11778" width="8" style="95" customWidth="1"/>
    <col min="11779"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9.1640625" style="95"/>
    <col min="12033" max="12033" width="35.6640625" style="95" customWidth="1"/>
    <col min="12034" max="12034" width="8" style="95" customWidth="1"/>
    <col min="12035"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9.1640625" style="95"/>
    <col min="12289" max="12289" width="35.6640625" style="95" customWidth="1"/>
    <col min="12290" max="12290" width="8" style="95" customWidth="1"/>
    <col min="12291"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9.1640625" style="95"/>
    <col min="12545" max="12545" width="35.6640625" style="95" customWidth="1"/>
    <col min="12546" max="12546" width="8" style="95" customWidth="1"/>
    <col min="12547"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9.1640625" style="95"/>
    <col min="12801" max="12801" width="35.6640625" style="95" customWidth="1"/>
    <col min="12802" max="12802" width="8" style="95" customWidth="1"/>
    <col min="12803"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9.1640625" style="95"/>
    <col min="13057" max="13057" width="35.6640625" style="95" customWidth="1"/>
    <col min="13058" max="13058" width="8" style="95" customWidth="1"/>
    <col min="13059"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9.1640625" style="95"/>
    <col min="13313" max="13313" width="35.6640625" style="95" customWidth="1"/>
    <col min="13314" max="13314" width="8" style="95" customWidth="1"/>
    <col min="13315"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9.1640625" style="95"/>
    <col min="13569" max="13569" width="35.6640625" style="95" customWidth="1"/>
    <col min="13570" max="13570" width="8" style="95" customWidth="1"/>
    <col min="13571"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9.1640625" style="95"/>
    <col min="13825" max="13825" width="35.6640625" style="95" customWidth="1"/>
    <col min="13826" max="13826" width="8" style="95" customWidth="1"/>
    <col min="13827"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9.1640625" style="95"/>
    <col min="14081" max="14081" width="35.6640625" style="95" customWidth="1"/>
    <col min="14082" max="14082" width="8" style="95" customWidth="1"/>
    <col min="14083"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9.1640625" style="95"/>
    <col min="14337" max="14337" width="35.6640625" style="95" customWidth="1"/>
    <col min="14338" max="14338" width="8" style="95" customWidth="1"/>
    <col min="14339"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9.1640625" style="95"/>
    <col min="14593" max="14593" width="35.6640625" style="95" customWidth="1"/>
    <col min="14594" max="14594" width="8" style="95" customWidth="1"/>
    <col min="14595"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9.1640625" style="95"/>
    <col min="14849" max="14849" width="35.6640625" style="95" customWidth="1"/>
    <col min="14850" max="14850" width="8" style="95" customWidth="1"/>
    <col min="14851"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9.1640625" style="95"/>
    <col min="15105" max="15105" width="35.6640625" style="95" customWidth="1"/>
    <col min="15106" max="15106" width="8" style="95" customWidth="1"/>
    <col min="15107"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9.1640625" style="95"/>
    <col min="15361" max="15361" width="35.6640625" style="95" customWidth="1"/>
    <col min="15362" max="15362" width="8" style="95" customWidth="1"/>
    <col min="15363"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9.1640625" style="95"/>
    <col min="15617" max="15617" width="35.6640625" style="95" customWidth="1"/>
    <col min="15618" max="15618" width="8" style="95" customWidth="1"/>
    <col min="15619"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9.1640625" style="95"/>
    <col min="15873" max="15873" width="35.6640625" style="95" customWidth="1"/>
    <col min="15874" max="15874" width="8" style="95" customWidth="1"/>
    <col min="15875"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9.1640625" style="95"/>
    <col min="16129" max="16129" width="35.6640625" style="95" customWidth="1"/>
    <col min="16130" max="16130" width="8" style="95" customWidth="1"/>
    <col min="16131"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9.1640625" style="95"/>
  </cols>
  <sheetData>
    <row r="1" spans="1:19">
      <c r="A1" s="95" t="s">
        <v>144</v>
      </c>
    </row>
    <row r="2" spans="1:19">
      <c r="A2" s="95" t="s">
        <v>145</v>
      </c>
    </row>
    <row r="3" spans="1:19" ht="9" customHeight="1"/>
    <row r="4" spans="1:19">
      <c r="A4" s="14" t="s">
        <v>1924</v>
      </c>
    </row>
    <row r="5" spans="1:19" ht="10.5" customHeight="1" thickBot="1">
      <c r="S5" s="57"/>
    </row>
    <row r="6" spans="1:19">
      <c r="A6" s="97"/>
      <c r="B6" s="186"/>
      <c r="C6" s="222"/>
      <c r="D6" s="188"/>
      <c r="E6" s="189"/>
      <c r="F6" s="187"/>
      <c r="G6" s="188"/>
      <c r="H6" s="189"/>
      <c r="I6" s="187"/>
      <c r="J6" s="188"/>
      <c r="K6" s="189"/>
      <c r="L6" s="187"/>
      <c r="M6" s="188"/>
      <c r="N6" s="188"/>
      <c r="O6" s="187"/>
      <c r="P6" s="188"/>
      <c r="Q6" s="188"/>
      <c r="R6" s="187"/>
      <c r="S6" s="187"/>
    </row>
    <row r="7" spans="1:19" ht="15">
      <c r="A7" s="116" t="s">
        <v>787</v>
      </c>
      <c r="B7" s="190" t="s">
        <v>692</v>
      </c>
      <c r="C7" s="223"/>
      <c r="D7" s="57"/>
      <c r="E7" s="201" t="s">
        <v>703</v>
      </c>
      <c r="F7" s="191"/>
      <c r="G7" s="57"/>
      <c r="H7" s="201" t="s">
        <v>704</v>
      </c>
      <c r="I7" s="191"/>
      <c r="J7" s="57"/>
      <c r="K7" s="201" t="s">
        <v>705</v>
      </c>
      <c r="L7" s="191"/>
      <c r="M7" s="57"/>
      <c r="N7" s="57" t="s">
        <v>706</v>
      </c>
      <c r="O7" s="191"/>
      <c r="P7" s="57"/>
      <c r="Q7" s="57" t="s">
        <v>707</v>
      </c>
      <c r="R7" s="191"/>
    </row>
    <row r="8" spans="1:19">
      <c r="A8" s="95" t="s">
        <v>788</v>
      </c>
      <c r="B8" s="194" t="s">
        <v>400</v>
      </c>
      <c r="C8" s="224" t="s">
        <v>401</v>
      </c>
      <c r="D8" s="57"/>
      <c r="E8" s="196" t="s">
        <v>400</v>
      </c>
      <c r="F8" s="195" t="s">
        <v>401</v>
      </c>
      <c r="G8" s="57"/>
      <c r="H8" s="196" t="s">
        <v>400</v>
      </c>
      <c r="I8" s="195" t="s">
        <v>401</v>
      </c>
      <c r="J8" s="57"/>
      <c r="K8" s="196" t="s">
        <v>400</v>
      </c>
      <c r="L8" s="195" t="s">
        <v>401</v>
      </c>
      <c r="M8" s="57"/>
      <c r="N8" s="225" t="s">
        <v>400</v>
      </c>
      <c r="O8" s="195" t="s">
        <v>401</v>
      </c>
      <c r="P8" s="57"/>
      <c r="Q8" s="225" t="s">
        <v>400</v>
      </c>
      <c r="R8" s="195" t="s">
        <v>401</v>
      </c>
      <c r="S8" s="57"/>
    </row>
    <row r="9" spans="1:19" ht="14" thickBot="1">
      <c r="A9" s="102"/>
      <c r="B9" s="197"/>
      <c r="C9" s="226"/>
      <c r="D9" s="199"/>
      <c r="E9" s="200"/>
      <c r="F9" s="198"/>
      <c r="G9" s="199"/>
      <c r="H9" s="200"/>
      <c r="I9" s="198"/>
      <c r="J9" s="199"/>
      <c r="K9" s="200"/>
      <c r="L9" s="198"/>
      <c r="M9" s="199"/>
      <c r="N9" s="199"/>
      <c r="O9" s="198"/>
      <c r="P9" s="199"/>
      <c r="Q9" s="199"/>
      <c r="R9" s="198"/>
      <c r="S9" s="198"/>
    </row>
    <row r="10" spans="1:19" ht="13.25" customHeight="1">
      <c r="A10" s="116"/>
      <c r="B10" s="190"/>
      <c r="C10" s="223"/>
      <c r="D10" s="57"/>
      <c r="E10" s="201"/>
      <c r="F10" s="191"/>
      <c r="G10" s="57"/>
      <c r="H10" s="201"/>
      <c r="I10" s="191"/>
      <c r="J10" s="57"/>
      <c r="K10" s="201"/>
      <c r="L10" s="191"/>
      <c r="M10" s="57"/>
      <c r="N10" s="201"/>
      <c r="O10" s="191"/>
      <c r="P10" s="57"/>
      <c r="Q10" s="201"/>
      <c r="R10" s="191"/>
      <c r="S10" s="57"/>
    </row>
    <row r="11" spans="1:19" ht="12.75" customHeight="1">
      <c r="A11" s="55" t="s">
        <v>402</v>
      </c>
      <c r="B11" s="58">
        <f>B13+B98</f>
        <v>42584</v>
      </c>
      <c r="C11" s="204">
        <f>C13+C98</f>
        <v>100</v>
      </c>
      <c r="E11" s="72">
        <f>E13+E98</f>
        <v>16376</v>
      </c>
      <c r="F11" s="73">
        <f t="shared" ref="F11:F74" si="0">IF($A11&lt;&gt;"",E11/$B11*100,"")</f>
        <v>38.455758031185425</v>
      </c>
      <c r="H11" s="72">
        <f>H13+H98</f>
        <v>16769</v>
      </c>
      <c r="I11" s="73">
        <f t="shared" ref="I11:I74" si="1">IF($A11&lt;&gt;"",H11/$B11*100,"")</f>
        <v>39.378639864737927</v>
      </c>
      <c r="K11" s="72">
        <f>K13+K98</f>
        <v>8914</v>
      </c>
      <c r="L11" s="73">
        <f t="shared" ref="L11:L74" si="2">IF($A11&lt;&gt;"",K11/$B11*100,"")</f>
        <v>20.93274469284238</v>
      </c>
      <c r="N11" s="33">
        <f>N13+N98</f>
        <v>477</v>
      </c>
      <c r="O11" s="73">
        <f>IF($A11&lt;&gt;"",N11/$B11*100,"")</f>
        <v>1.1201390193499905</v>
      </c>
      <c r="Q11" s="33">
        <f>Q13+Q98</f>
        <v>48</v>
      </c>
      <c r="R11" s="73">
        <f>IF($A11&lt;&gt;"",Q11/$B11*100,"")</f>
        <v>0.11271839188427579</v>
      </c>
    </row>
    <row r="12" spans="1:19" ht="8.25" customHeight="1">
      <c r="F12" s="73" t="str">
        <f t="shared" si="0"/>
        <v/>
      </c>
      <c r="I12" s="73" t="str">
        <f t="shared" si="1"/>
        <v/>
      </c>
      <c r="L12" s="73" t="str">
        <f t="shared" si="2"/>
        <v/>
      </c>
      <c r="O12" s="73" t="str">
        <f t="shared" ref="O12:O75" si="3">IF($A12&lt;&gt;"",N12/$B12*100,"")</f>
        <v/>
      </c>
      <c r="R12" s="73" t="str">
        <f t="shared" ref="R12:R77" si="4">IF($A12&lt;&gt;"",Q12/$B12*100,"")</f>
        <v/>
      </c>
    </row>
    <row r="13" spans="1:19" ht="13.25" customHeight="1">
      <c r="A13" s="17" t="s">
        <v>403</v>
      </c>
      <c r="B13" s="58">
        <f>B93+B15+B26+B34+B74+B60+B105+B81+B95+B96</f>
        <v>32804</v>
      </c>
      <c r="C13" s="204">
        <f>IF(A13&lt;&gt;0,B13/$B$11*100,"")</f>
        <v>77.033627653578804</v>
      </c>
      <c r="D13" s="14" t="s">
        <v>128</v>
      </c>
      <c r="E13" s="58">
        <f>E93+E15+E26+E34+E74+E60+E105+E81+E95+E96</f>
        <v>13056</v>
      </c>
      <c r="F13" s="204">
        <f t="shared" si="0"/>
        <v>39.800024387269843</v>
      </c>
      <c r="G13" s="14" t="s">
        <v>128</v>
      </c>
      <c r="H13" s="58">
        <f>H93+H15+H26+H34+H74+H60+H105+H81+H95+H96</f>
        <v>12477</v>
      </c>
      <c r="I13" s="73">
        <f t="shared" si="1"/>
        <v>38.034995732227777</v>
      </c>
      <c r="J13" s="33" t="s">
        <v>128</v>
      </c>
      <c r="K13" s="72">
        <f>K93+K15+K26+K34+K74+K60+K105+K81+K95+K96</f>
        <v>6839</v>
      </c>
      <c r="L13" s="73">
        <f t="shared" si="2"/>
        <v>20.848067308864774</v>
      </c>
      <c r="M13" s="33" t="s">
        <v>128</v>
      </c>
      <c r="N13" s="72">
        <f>N93+N15+N26+N34+N74+N60+N105+N81+N95+N96</f>
        <v>386</v>
      </c>
      <c r="O13" s="73">
        <f t="shared" si="3"/>
        <v>1.1766857700280453</v>
      </c>
      <c r="P13" s="33" t="s">
        <v>128</v>
      </c>
      <c r="Q13" s="72">
        <f>Q93+Q15+Q26+Q34+Q74+Q60+Q105+Q81+Q95+Q96</f>
        <v>46</v>
      </c>
      <c r="R13" s="73">
        <f t="shared" si="4"/>
        <v>0.1402268016095598</v>
      </c>
    </row>
    <row r="14" spans="1:19" ht="12" customHeight="1">
      <c r="A14" s="111"/>
      <c r="C14" s="204" t="str">
        <f t="shared" ref="C14:C81" si="5">IF(A14&lt;&gt;0,B14/$B$11*100,"")</f>
        <v/>
      </c>
      <c r="D14" s="14"/>
      <c r="E14" s="58"/>
      <c r="F14" s="204" t="str">
        <f t="shared" si="0"/>
        <v/>
      </c>
      <c r="G14" s="14"/>
      <c r="H14" s="58"/>
      <c r="I14" s="73" t="str">
        <f t="shared" si="1"/>
        <v/>
      </c>
      <c r="L14" s="73" t="str">
        <f t="shared" si="2"/>
        <v/>
      </c>
      <c r="O14" s="73" t="str">
        <f t="shared" si="3"/>
        <v/>
      </c>
      <c r="R14" s="73" t="str">
        <f t="shared" si="4"/>
        <v/>
      </c>
    </row>
    <row r="15" spans="1:19" ht="12" customHeight="1">
      <c r="A15" s="17" t="s">
        <v>404</v>
      </c>
      <c r="B15" s="58">
        <f>SUM(B16+B21)</f>
        <v>3204</v>
      </c>
      <c r="C15" s="204">
        <f t="shared" si="5"/>
        <v>7.5239526582754079</v>
      </c>
      <c r="D15" s="14"/>
      <c r="E15" s="58">
        <f>SUM(E16+E21)</f>
        <v>1443</v>
      </c>
      <c r="F15" s="204">
        <f t="shared" si="0"/>
        <v>45.037453183520597</v>
      </c>
      <c r="G15" s="14"/>
      <c r="H15" s="58">
        <f>SUM(H16+H21)</f>
        <v>1138</v>
      </c>
      <c r="I15" s="73">
        <f t="shared" si="1"/>
        <v>35.518102372034953</v>
      </c>
      <c r="K15" s="72">
        <f>SUM(K16+K21)</f>
        <v>585</v>
      </c>
      <c r="L15" s="73">
        <f t="shared" si="2"/>
        <v>18.258426966292134</v>
      </c>
      <c r="N15" s="33">
        <f>SUM(N16+N21)</f>
        <v>36</v>
      </c>
      <c r="O15" s="73">
        <f t="shared" si="3"/>
        <v>1.1235955056179776</v>
      </c>
      <c r="Q15" s="33">
        <f>SUM(Q16+Q21)</f>
        <v>2</v>
      </c>
      <c r="R15" s="73">
        <f t="shared" si="4"/>
        <v>6.2421972534332085E-2</v>
      </c>
    </row>
    <row r="16" spans="1:19" ht="12" customHeight="1">
      <c r="A16" s="111" t="s">
        <v>162</v>
      </c>
      <c r="B16" s="58">
        <f>SUM(E16+H16+K16+N16+Q16)</f>
        <v>1189</v>
      </c>
      <c r="C16" s="204">
        <f t="shared" si="5"/>
        <v>2.7921284989667483</v>
      </c>
      <c r="D16" s="14"/>
      <c r="E16" s="58">
        <f>SUM(E17:E19)</f>
        <v>470</v>
      </c>
      <c r="F16" s="204">
        <f t="shared" si="0"/>
        <v>39.529015979814972</v>
      </c>
      <c r="G16" s="14" t="s">
        <v>128</v>
      </c>
      <c r="H16" s="58">
        <f>SUM(H17:H19)</f>
        <v>437</v>
      </c>
      <c r="I16" s="73">
        <f t="shared" si="1"/>
        <v>36.753574432296048</v>
      </c>
      <c r="J16" s="33" t="s">
        <v>128</v>
      </c>
      <c r="K16" s="72">
        <f>SUM(K17:K19)</f>
        <v>258</v>
      </c>
      <c r="L16" s="73">
        <f t="shared" si="2"/>
        <v>21.698906644238853</v>
      </c>
      <c r="M16" s="33" t="s">
        <v>128</v>
      </c>
      <c r="N16" s="33">
        <f>SUM(N17:N19)</f>
        <v>22</v>
      </c>
      <c r="O16" s="73">
        <f t="shared" si="3"/>
        <v>1.8502943650126156</v>
      </c>
      <c r="P16" s="33" t="s">
        <v>128</v>
      </c>
      <c r="Q16" s="33">
        <f>SUM(Q17:Q19)</f>
        <v>2</v>
      </c>
      <c r="R16" s="73">
        <f t="shared" si="4"/>
        <v>0.16820857863751051</v>
      </c>
    </row>
    <row r="17" spans="1:19" ht="12" customHeight="1">
      <c r="A17" s="111" t="s">
        <v>163</v>
      </c>
      <c r="B17" s="58">
        <f>SUM(E17+H17+K17+N17+Q17)</f>
        <v>175</v>
      </c>
      <c r="C17" s="204">
        <f t="shared" si="5"/>
        <v>0.41095247041142213</v>
      </c>
      <c r="D17" s="14"/>
      <c r="E17" s="833">
        <v>74</v>
      </c>
      <c r="F17" s="204">
        <f t="shared" si="0"/>
        <v>42.285714285714285</v>
      </c>
      <c r="G17" s="833"/>
      <c r="H17" s="834">
        <v>55</v>
      </c>
      <c r="I17" s="73">
        <f t="shared" si="1"/>
        <v>31.428571428571427</v>
      </c>
      <c r="J17" s="834"/>
      <c r="K17" s="834">
        <v>45</v>
      </c>
      <c r="L17" s="73">
        <f t="shared" si="2"/>
        <v>25.714285714285712</v>
      </c>
      <c r="M17" s="834"/>
      <c r="N17" s="834">
        <v>1</v>
      </c>
      <c r="O17" s="73">
        <f t="shared" si="3"/>
        <v>0.5714285714285714</v>
      </c>
      <c r="P17" s="834"/>
      <c r="Q17" s="834">
        <v>0</v>
      </c>
      <c r="R17" s="73">
        <f>IF($A17&lt;&gt;"",Q17/$B17*100,"")</f>
        <v>0</v>
      </c>
      <c r="S17" s="227"/>
    </row>
    <row r="18" spans="1:19" ht="12" customHeight="1">
      <c r="A18" s="111" t="s">
        <v>164</v>
      </c>
      <c r="B18" s="58">
        <f>SUM(E18+H18+K18+N18+Q18)</f>
        <v>267</v>
      </c>
      <c r="C18" s="204">
        <f t="shared" si="5"/>
        <v>0.62699605485628407</v>
      </c>
      <c r="D18" s="14"/>
      <c r="E18" s="833">
        <v>78</v>
      </c>
      <c r="F18" s="204">
        <f t="shared" si="0"/>
        <v>29.213483146067414</v>
      </c>
      <c r="G18" s="833"/>
      <c r="H18" s="834">
        <v>93</v>
      </c>
      <c r="I18" s="73">
        <f t="shared" si="1"/>
        <v>34.831460674157306</v>
      </c>
      <c r="J18" s="834"/>
      <c r="K18" s="834">
        <v>78</v>
      </c>
      <c r="L18" s="73">
        <f t="shared" si="2"/>
        <v>29.213483146067414</v>
      </c>
      <c r="M18" s="834"/>
      <c r="N18" s="834">
        <v>16</v>
      </c>
      <c r="O18" s="73">
        <f t="shared" si="3"/>
        <v>5.9925093632958806</v>
      </c>
      <c r="P18" s="834"/>
      <c r="Q18" s="834">
        <v>2</v>
      </c>
      <c r="R18" s="73">
        <f>IF($A18&lt;&gt;"",Q18/$B18*100,"")</f>
        <v>0.74906367041198507</v>
      </c>
      <c r="S18" s="227"/>
    </row>
    <row r="19" spans="1:19" ht="12" customHeight="1">
      <c r="A19" s="111" t="s">
        <v>165</v>
      </c>
      <c r="B19" s="58">
        <f>SUM(E19+H19+K19+N19+Q19)</f>
        <v>747</v>
      </c>
      <c r="C19" s="204">
        <f t="shared" si="5"/>
        <v>1.754179973699042</v>
      </c>
      <c r="D19" s="14"/>
      <c r="E19" s="833">
        <v>318</v>
      </c>
      <c r="F19" s="204">
        <f t="shared" si="0"/>
        <v>42.570281124497996</v>
      </c>
      <c r="G19" s="833"/>
      <c r="H19" s="834">
        <v>289</v>
      </c>
      <c r="I19" s="73">
        <f t="shared" si="1"/>
        <v>38.688085676037481</v>
      </c>
      <c r="J19" s="834"/>
      <c r="K19" s="834">
        <v>135</v>
      </c>
      <c r="L19" s="73">
        <f t="shared" si="2"/>
        <v>18.072289156626507</v>
      </c>
      <c r="M19" s="834"/>
      <c r="N19" s="834">
        <v>5</v>
      </c>
      <c r="O19" s="73">
        <f t="shared" si="3"/>
        <v>0.66934404283801874</v>
      </c>
      <c r="P19" s="834"/>
      <c r="Q19" s="834">
        <v>0</v>
      </c>
      <c r="R19" s="73">
        <f>IF($A19&lt;&gt;"",Q19/$B19*100,"")</f>
        <v>0</v>
      </c>
      <c r="S19" s="227"/>
    </row>
    <row r="20" spans="1:19" ht="12" customHeight="1">
      <c r="A20" s="111"/>
      <c r="C20" s="204" t="str">
        <f t="shared" si="5"/>
        <v/>
      </c>
      <c r="D20" s="14"/>
      <c r="E20" s="58"/>
      <c r="F20" s="204" t="str">
        <f t="shared" si="0"/>
        <v/>
      </c>
      <c r="G20" s="14"/>
      <c r="H20" s="58"/>
      <c r="I20" s="73" t="str">
        <f t="shared" si="1"/>
        <v/>
      </c>
      <c r="L20" s="73" t="str">
        <f t="shared" si="2"/>
        <v/>
      </c>
      <c r="O20" s="73" t="str">
        <f t="shared" si="3"/>
        <v/>
      </c>
      <c r="R20" s="73" t="str">
        <f t="shared" si="4"/>
        <v/>
      </c>
    </row>
    <row r="21" spans="1:19" ht="12" customHeight="1">
      <c r="A21" s="111" t="s">
        <v>166</v>
      </c>
      <c r="B21" s="58">
        <f>SUM(E21+H21+K21+N21+Q21)</f>
        <v>2015</v>
      </c>
      <c r="C21" s="204">
        <f t="shared" si="5"/>
        <v>4.7318241593086601</v>
      </c>
      <c r="D21" s="14"/>
      <c r="E21" s="58">
        <f>SUM(E22:E24)</f>
        <v>973</v>
      </c>
      <c r="F21" s="204">
        <f t="shared" si="0"/>
        <v>48.287841191067002</v>
      </c>
      <c r="G21" s="14" t="s">
        <v>128</v>
      </c>
      <c r="H21" s="58">
        <f>SUM(H22:H24)</f>
        <v>701</v>
      </c>
      <c r="I21" s="73">
        <f t="shared" si="1"/>
        <v>34.789081885856078</v>
      </c>
      <c r="J21" s="33" t="s">
        <v>128</v>
      </c>
      <c r="K21" s="72">
        <f>SUM(K22:K24)</f>
        <v>327</v>
      </c>
      <c r="L21" s="73">
        <f t="shared" si="2"/>
        <v>16.228287841191065</v>
      </c>
      <c r="M21" s="33" t="s">
        <v>128</v>
      </c>
      <c r="N21" s="33">
        <f>SUM(N22:N24)</f>
        <v>14</v>
      </c>
      <c r="O21" s="73">
        <f t="shared" si="3"/>
        <v>0.69478908188585609</v>
      </c>
      <c r="P21" s="33" t="s">
        <v>128</v>
      </c>
      <c r="Q21" s="33">
        <f>SUM(Q22:Q24)</f>
        <v>0</v>
      </c>
      <c r="R21" s="73">
        <f t="shared" si="4"/>
        <v>0</v>
      </c>
    </row>
    <row r="22" spans="1:19" ht="12" customHeight="1">
      <c r="A22" s="111" t="s">
        <v>167</v>
      </c>
      <c r="B22" s="58">
        <f>SUM(E22+H22+K22+N22+Q22)</f>
        <v>687</v>
      </c>
      <c r="C22" s="204">
        <f t="shared" si="5"/>
        <v>1.6132819838436971</v>
      </c>
      <c r="D22" s="14"/>
      <c r="E22" s="833">
        <v>317</v>
      </c>
      <c r="F22" s="204">
        <f t="shared" si="0"/>
        <v>46.142649199417754</v>
      </c>
      <c r="G22" s="833"/>
      <c r="H22" s="834">
        <v>221</v>
      </c>
      <c r="I22" s="73">
        <f t="shared" si="1"/>
        <v>32.168850072780202</v>
      </c>
      <c r="J22" s="834"/>
      <c r="K22" s="834">
        <v>145</v>
      </c>
      <c r="L22" s="73">
        <f t="shared" si="2"/>
        <v>21.106259097525474</v>
      </c>
      <c r="M22" s="834"/>
      <c r="N22" s="834">
        <v>4</v>
      </c>
      <c r="O22" s="73">
        <f t="shared" si="3"/>
        <v>0.58224163027656484</v>
      </c>
      <c r="P22" s="834"/>
      <c r="Q22" s="834">
        <v>0</v>
      </c>
      <c r="R22" s="73">
        <f t="shared" si="4"/>
        <v>0</v>
      </c>
    </row>
    <row r="23" spans="1:19" ht="12" customHeight="1">
      <c r="A23" s="111" t="s">
        <v>168</v>
      </c>
      <c r="B23" s="58">
        <f>SUM(E23+H23+K23+N23+Q23)</f>
        <v>287</v>
      </c>
      <c r="C23" s="204">
        <f t="shared" si="5"/>
        <v>0.67396205147473232</v>
      </c>
      <c r="D23" s="14"/>
      <c r="E23" s="833">
        <v>167</v>
      </c>
      <c r="F23" s="204">
        <f t="shared" si="0"/>
        <v>58.188153310104532</v>
      </c>
      <c r="G23" s="833"/>
      <c r="H23" s="834">
        <v>85</v>
      </c>
      <c r="I23" s="73">
        <f t="shared" si="1"/>
        <v>29.616724738675959</v>
      </c>
      <c r="J23" s="834"/>
      <c r="K23" s="834">
        <v>30</v>
      </c>
      <c r="L23" s="73">
        <f t="shared" si="2"/>
        <v>10.452961672473867</v>
      </c>
      <c r="M23" s="834"/>
      <c r="N23" s="834">
        <v>5</v>
      </c>
      <c r="O23" s="73">
        <f t="shared" si="3"/>
        <v>1.7421602787456445</v>
      </c>
      <c r="P23" s="834"/>
      <c r="Q23" s="834">
        <v>0</v>
      </c>
      <c r="R23" s="73">
        <f t="shared" si="4"/>
        <v>0</v>
      </c>
    </row>
    <row r="24" spans="1:19" ht="12" customHeight="1">
      <c r="A24" s="111" t="s">
        <v>169</v>
      </c>
      <c r="B24" s="58">
        <f>SUM(E24+H24+K24+N24+Q24)</f>
        <v>1041</v>
      </c>
      <c r="C24" s="204">
        <f t="shared" si="5"/>
        <v>2.4445801239902307</v>
      </c>
      <c r="D24" s="14"/>
      <c r="E24" s="833">
        <v>489</v>
      </c>
      <c r="F24" s="204">
        <f t="shared" si="0"/>
        <v>46.97406340057637</v>
      </c>
      <c r="G24" s="833"/>
      <c r="H24" s="834">
        <v>395</v>
      </c>
      <c r="I24" s="73">
        <f t="shared" si="1"/>
        <v>37.944284341978864</v>
      </c>
      <c r="J24" s="834"/>
      <c r="K24" s="834">
        <v>152</v>
      </c>
      <c r="L24" s="73">
        <f t="shared" si="2"/>
        <v>14.601344860710855</v>
      </c>
      <c r="M24" s="834"/>
      <c r="N24" s="834">
        <v>5</v>
      </c>
      <c r="O24" s="73">
        <f t="shared" si="3"/>
        <v>0.48030739673390976</v>
      </c>
      <c r="P24" s="834"/>
      <c r="Q24" s="834">
        <v>0</v>
      </c>
      <c r="R24" s="73">
        <f t="shared" si="4"/>
        <v>0</v>
      </c>
    </row>
    <row r="25" spans="1:19" ht="12" customHeight="1">
      <c r="A25" s="111"/>
      <c r="C25" s="204" t="str">
        <f t="shared" si="5"/>
        <v/>
      </c>
      <c r="D25" s="14"/>
      <c r="E25" s="58"/>
      <c r="F25" s="204" t="str">
        <f t="shared" si="0"/>
        <v/>
      </c>
      <c r="G25" s="14"/>
      <c r="H25" s="58"/>
      <c r="I25" s="73" t="str">
        <f t="shared" si="1"/>
        <v/>
      </c>
      <c r="L25" s="73" t="str">
        <f t="shared" si="2"/>
        <v/>
      </c>
      <c r="O25" s="73" t="str">
        <f t="shared" si="3"/>
        <v/>
      </c>
      <c r="R25" s="73" t="str">
        <f t="shared" si="4"/>
        <v/>
      </c>
    </row>
    <row r="26" spans="1:19" ht="12" customHeight="1">
      <c r="A26" s="17" t="s">
        <v>464</v>
      </c>
      <c r="B26" s="58">
        <f>SUM(B27)</f>
        <v>2129</v>
      </c>
      <c r="C26" s="204">
        <f t="shared" si="5"/>
        <v>4.9995303400338154</v>
      </c>
      <c r="D26" s="14"/>
      <c r="E26" s="58">
        <f>SUM(E27)</f>
        <v>924</v>
      </c>
      <c r="F26" s="204">
        <f t="shared" si="0"/>
        <v>43.400657585721</v>
      </c>
      <c r="G26" s="14"/>
      <c r="H26" s="58">
        <f>SUM(H27)</f>
        <v>931</v>
      </c>
      <c r="I26" s="73">
        <f t="shared" si="1"/>
        <v>43.729450446218884</v>
      </c>
      <c r="K26" s="72">
        <f>SUM(K27)</f>
        <v>270</v>
      </c>
      <c r="L26" s="73">
        <f t="shared" si="2"/>
        <v>12.682010333489902</v>
      </c>
      <c r="N26" s="33">
        <f>SUM(N27)</f>
        <v>4</v>
      </c>
      <c r="O26" s="73">
        <f t="shared" si="3"/>
        <v>0.18788163457022078</v>
      </c>
      <c r="Q26" s="33">
        <f>SUM(Q27)</f>
        <v>0</v>
      </c>
      <c r="R26" s="73">
        <f t="shared" si="4"/>
        <v>0</v>
      </c>
    </row>
    <row r="27" spans="1:19" ht="12" customHeight="1">
      <c r="A27" s="111" t="s">
        <v>171</v>
      </c>
      <c r="B27" s="58">
        <f t="shared" ref="B27:B32" si="6">SUM(E27+H27+K27+N27+Q27)</f>
        <v>2129</v>
      </c>
      <c r="C27" s="204">
        <f t="shared" si="5"/>
        <v>4.9995303400338154</v>
      </c>
      <c r="D27" s="14"/>
      <c r="E27" s="58">
        <f>SUM(E28:E32)</f>
        <v>924</v>
      </c>
      <c r="F27" s="204">
        <f t="shared" si="0"/>
        <v>43.400657585721</v>
      </c>
      <c r="G27" s="14" t="s">
        <v>128</v>
      </c>
      <c r="H27" s="58">
        <f>SUM(H28:H32)</f>
        <v>931</v>
      </c>
      <c r="I27" s="73">
        <f t="shared" si="1"/>
        <v>43.729450446218884</v>
      </c>
      <c r="J27" s="33" t="s">
        <v>128</v>
      </c>
      <c r="K27" s="72">
        <f>SUM(K28:K32)</f>
        <v>270</v>
      </c>
      <c r="L27" s="73">
        <f t="shared" si="2"/>
        <v>12.682010333489902</v>
      </c>
      <c r="M27" s="33" t="s">
        <v>128</v>
      </c>
      <c r="N27" s="33">
        <f>SUM(N28:N32)</f>
        <v>4</v>
      </c>
      <c r="O27" s="73">
        <f t="shared" si="3"/>
        <v>0.18788163457022078</v>
      </c>
      <c r="P27" s="33" t="s">
        <v>128</v>
      </c>
      <c r="Q27" s="33">
        <f>SUM(Q28:Q32)</f>
        <v>0</v>
      </c>
      <c r="R27" s="73">
        <f t="shared" si="4"/>
        <v>0</v>
      </c>
    </row>
    <row r="28" spans="1:19" ht="12" customHeight="1">
      <c r="A28" s="111" t="s">
        <v>172</v>
      </c>
      <c r="B28" s="58">
        <f t="shared" si="6"/>
        <v>372</v>
      </c>
      <c r="C28" s="204">
        <f t="shared" si="5"/>
        <v>0.87356753710313739</v>
      </c>
      <c r="D28" s="14"/>
      <c r="E28" s="833">
        <v>131</v>
      </c>
      <c r="F28" s="204">
        <f t="shared" si="0"/>
        <v>35.215053763440864</v>
      </c>
      <c r="G28" s="833"/>
      <c r="H28" s="834">
        <v>160</v>
      </c>
      <c r="I28" s="73">
        <f t="shared" si="1"/>
        <v>43.01075268817204</v>
      </c>
      <c r="J28" s="834"/>
      <c r="K28" s="834">
        <v>81</v>
      </c>
      <c r="L28" s="73">
        <f t="shared" si="2"/>
        <v>21.774193548387096</v>
      </c>
      <c r="M28" s="834"/>
      <c r="N28" s="834">
        <v>0</v>
      </c>
      <c r="O28" s="73">
        <f t="shared" si="3"/>
        <v>0</v>
      </c>
      <c r="P28" s="834"/>
      <c r="Q28" s="834">
        <v>0</v>
      </c>
      <c r="R28" s="73">
        <f t="shared" si="4"/>
        <v>0</v>
      </c>
    </row>
    <row r="29" spans="1:19" ht="12" customHeight="1">
      <c r="A29" s="111" t="s">
        <v>173</v>
      </c>
      <c r="B29" s="58">
        <f t="shared" si="6"/>
        <v>533</v>
      </c>
      <c r="C29" s="204">
        <f t="shared" si="5"/>
        <v>1.2516438098816456</v>
      </c>
      <c r="D29" s="14"/>
      <c r="E29" s="833">
        <v>242</v>
      </c>
      <c r="F29" s="204">
        <f t="shared" si="0"/>
        <v>45.40337711069418</v>
      </c>
      <c r="G29" s="833"/>
      <c r="H29" s="834">
        <v>233</v>
      </c>
      <c r="I29" s="73">
        <f t="shared" si="1"/>
        <v>43.714821763602252</v>
      </c>
      <c r="J29" s="834"/>
      <c r="K29" s="834">
        <v>57</v>
      </c>
      <c r="L29" s="73">
        <f t="shared" si="2"/>
        <v>10.694183864915573</v>
      </c>
      <c r="M29" s="834"/>
      <c r="N29" s="834">
        <v>1</v>
      </c>
      <c r="O29" s="73">
        <f t="shared" si="3"/>
        <v>0.18761726078799248</v>
      </c>
      <c r="P29" s="834"/>
      <c r="Q29" s="834">
        <v>0</v>
      </c>
      <c r="R29" s="73">
        <f t="shared" si="4"/>
        <v>0</v>
      </c>
    </row>
    <row r="30" spans="1:19" ht="12" customHeight="1">
      <c r="A30" s="111" t="s">
        <v>174</v>
      </c>
      <c r="B30" s="58">
        <f t="shared" si="6"/>
        <v>290</v>
      </c>
      <c r="C30" s="204">
        <f t="shared" si="5"/>
        <v>0.68100695096749952</v>
      </c>
      <c r="D30" s="14"/>
      <c r="E30" s="833">
        <v>151</v>
      </c>
      <c r="F30" s="204">
        <f t="shared" si="0"/>
        <v>52.068965517241381</v>
      </c>
      <c r="G30" s="833"/>
      <c r="H30" s="834">
        <v>126</v>
      </c>
      <c r="I30" s="73">
        <f t="shared" si="1"/>
        <v>43.448275862068961</v>
      </c>
      <c r="J30" s="834"/>
      <c r="K30" s="834">
        <v>13</v>
      </c>
      <c r="L30" s="73">
        <f t="shared" si="2"/>
        <v>4.4827586206896548</v>
      </c>
      <c r="M30" s="834"/>
      <c r="N30" s="834">
        <v>0</v>
      </c>
      <c r="O30" s="73">
        <f t="shared" si="3"/>
        <v>0</v>
      </c>
      <c r="P30" s="834"/>
      <c r="Q30" s="834">
        <v>0</v>
      </c>
      <c r="R30" s="73">
        <f t="shared" si="4"/>
        <v>0</v>
      </c>
    </row>
    <row r="31" spans="1:19" ht="12" customHeight="1">
      <c r="A31" s="95" t="s">
        <v>175</v>
      </c>
      <c r="B31" s="58">
        <f t="shared" si="6"/>
        <v>476</v>
      </c>
      <c r="C31" s="204">
        <f t="shared" si="5"/>
        <v>1.1177907195190682</v>
      </c>
      <c r="E31" s="833">
        <v>224</v>
      </c>
      <c r="F31" s="204">
        <f t="shared" si="0"/>
        <v>47.058823529411761</v>
      </c>
      <c r="G31" s="833"/>
      <c r="H31" s="834">
        <v>217</v>
      </c>
      <c r="I31" s="73">
        <f t="shared" si="1"/>
        <v>45.588235294117645</v>
      </c>
      <c r="J31" s="834"/>
      <c r="K31" s="834">
        <v>32</v>
      </c>
      <c r="L31" s="73">
        <f t="shared" si="2"/>
        <v>6.7226890756302522</v>
      </c>
      <c r="M31" s="834"/>
      <c r="N31" s="834">
        <v>3</v>
      </c>
      <c r="O31" s="73">
        <f t="shared" si="3"/>
        <v>0.63025210084033612</v>
      </c>
      <c r="P31" s="834"/>
      <c r="Q31" s="834">
        <v>0</v>
      </c>
      <c r="R31" s="73">
        <f t="shared" si="4"/>
        <v>0</v>
      </c>
    </row>
    <row r="32" spans="1:19" ht="12" customHeight="1">
      <c r="A32" s="95" t="s">
        <v>176</v>
      </c>
      <c r="B32" s="58">
        <f t="shared" si="6"/>
        <v>458</v>
      </c>
      <c r="C32" s="204">
        <f t="shared" si="5"/>
        <v>1.0755213225624647</v>
      </c>
      <c r="E32" s="833">
        <v>176</v>
      </c>
      <c r="F32" s="204">
        <f t="shared" si="0"/>
        <v>38.427947598253276</v>
      </c>
      <c r="G32" s="833"/>
      <c r="H32" s="834">
        <v>195</v>
      </c>
      <c r="I32" s="73">
        <f t="shared" si="1"/>
        <v>42.5764192139738</v>
      </c>
      <c r="J32" s="834"/>
      <c r="K32" s="834">
        <v>87</v>
      </c>
      <c r="L32" s="73">
        <f t="shared" si="2"/>
        <v>18.995633187772924</v>
      </c>
      <c r="M32" s="834"/>
      <c r="N32" s="834">
        <v>0</v>
      </c>
      <c r="O32" s="73">
        <f t="shared" si="3"/>
        <v>0</v>
      </c>
      <c r="P32" s="834"/>
      <c r="Q32" s="834">
        <v>0</v>
      </c>
      <c r="R32" s="73">
        <f t="shared" si="4"/>
        <v>0</v>
      </c>
    </row>
    <row r="33" spans="1:19" ht="12" customHeight="1">
      <c r="C33" s="204" t="str">
        <f t="shared" si="5"/>
        <v/>
      </c>
      <c r="F33" s="204" t="str">
        <f t="shared" si="0"/>
        <v/>
      </c>
      <c r="I33" s="73" t="str">
        <f t="shared" si="1"/>
        <v/>
      </c>
      <c r="L33" s="73" t="str">
        <f t="shared" si="2"/>
        <v/>
      </c>
      <c r="O33" s="73" t="str">
        <f t="shared" si="3"/>
        <v/>
      </c>
      <c r="R33" s="73" t="str">
        <f t="shared" si="4"/>
        <v/>
      </c>
    </row>
    <row r="34" spans="1:19" ht="12" customHeight="1">
      <c r="A34" s="55" t="s">
        <v>406</v>
      </c>
      <c r="B34" s="58">
        <f>SUM(B35+B41+B51+B53)</f>
        <v>14164</v>
      </c>
      <c r="C34" s="204">
        <f t="shared" si="5"/>
        <v>33.261318805185049</v>
      </c>
      <c r="E34" s="72">
        <f>SUM(E35+E41+E51+E53)</f>
        <v>5924</v>
      </c>
      <c r="F34" s="204">
        <f t="shared" si="0"/>
        <v>41.824343405817565</v>
      </c>
      <c r="H34" s="72">
        <f>SUM(H35+H41+H51+H53)</f>
        <v>4983</v>
      </c>
      <c r="I34" s="73">
        <f t="shared" si="1"/>
        <v>35.18073990398193</v>
      </c>
      <c r="K34" s="72">
        <f>SUM(K35+K41+K51+K53)</f>
        <v>3022</v>
      </c>
      <c r="L34" s="73">
        <f t="shared" si="2"/>
        <v>21.335780852866421</v>
      </c>
      <c r="N34" s="33">
        <f>SUM(N35+N41+N51+N53)</f>
        <v>231</v>
      </c>
      <c r="O34" s="73">
        <f t="shared" si="3"/>
        <v>1.6308952273369104</v>
      </c>
      <c r="Q34" s="72">
        <f>SUM(Q35+Q41+Q51+Q53)</f>
        <v>4</v>
      </c>
      <c r="R34" s="73">
        <f t="shared" si="4"/>
        <v>2.8240609997175939E-2</v>
      </c>
    </row>
    <row r="35" spans="1:19" ht="12" customHeight="1">
      <c r="A35" s="95" t="s">
        <v>178</v>
      </c>
      <c r="B35" s="58">
        <f>SUM(E35+H35+K35+N35+Q35)</f>
        <v>5225</v>
      </c>
      <c r="C35" s="204">
        <f t="shared" si="5"/>
        <v>12.269866616569605</v>
      </c>
      <c r="E35" s="72">
        <f>SUM(E36:E39)</f>
        <v>2322</v>
      </c>
      <c r="F35" s="204">
        <f t="shared" si="0"/>
        <v>44.440191387559807</v>
      </c>
      <c r="G35" s="33" t="s">
        <v>128</v>
      </c>
      <c r="H35" s="72">
        <f>SUM(H36:H39)</f>
        <v>1904</v>
      </c>
      <c r="I35" s="73">
        <f t="shared" si="1"/>
        <v>36.440191387559807</v>
      </c>
      <c r="J35" s="33" t="s">
        <v>128</v>
      </c>
      <c r="K35" s="72">
        <f>SUM(K36:K39)</f>
        <v>981</v>
      </c>
      <c r="L35" s="73">
        <f t="shared" si="2"/>
        <v>18.775119617224881</v>
      </c>
      <c r="M35" s="33" t="s">
        <v>128</v>
      </c>
      <c r="N35" s="33">
        <f>SUM(N36:N39)</f>
        <v>17</v>
      </c>
      <c r="O35" s="73">
        <f t="shared" si="3"/>
        <v>0.32535885167464118</v>
      </c>
      <c r="P35" s="33" t="s">
        <v>128</v>
      </c>
      <c r="Q35" s="33">
        <f>SUM(Q36:Q39)</f>
        <v>1</v>
      </c>
      <c r="R35" s="73">
        <f t="shared" si="4"/>
        <v>1.9138755980861243E-2</v>
      </c>
    </row>
    <row r="36" spans="1:19" ht="12" customHeight="1">
      <c r="A36" s="95" t="s">
        <v>179</v>
      </c>
      <c r="B36" s="58">
        <f>SUM(E36+H36+K36+N36+Q36)</f>
        <v>3031</v>
      </c>
      <c r="C36" s="204">
        <f t="shared" si="5"/>
        <v>7.1176967875258317</v>
      </c>
      <c r="E36" s="833">
        <v>1472</v>
      </c>
      <c r="F36" s="204">
        <f t="shared" si="0"/>
        <v>48.564830089079514</v>
      </c>
      <c r="G36" s="833"/>
      <c r="H36" s="834">
        <v>1102</v>
      </c>
      <c r="I36" s="73">
        <f t="shared" si="1"/>
        <v>36.357637743319039</v>
      </c>
      <c r="J36" s="834"/>
      <c r="K36" s="834">
        <v>452</v>
      </c>
      <c r="L36" s="73">
        <f t="shared" si="2"/>
        <v>14.912570108874959</v>
      </c>
      <c r="M36" s="834"/>
      <c r="N36" s="834">
        <v>4</v>
      </c>
      <c r="O36" s="73">
        <f t="shared" si="3"/>
        <v>0.13196964698119432</v>
      </c>
      <c r="P36" s="834"/>
      <c r="Q36" s="834">
        <v>1</v>
      </c>
      <c r="R36" s="73">
        <f t="shared" si="4"/>
        <v>3.2992411745298579E-2</v>
      </c>
      <c r="S36" s="33" t="s">
        <v>128</v>
      </c>
    </row>
    <row r="37" spans="1:19" ht="12" customHeight="1">
      <c r="A37" s="95" t="s">
        <v>180</v>
      </c>
      <c r="B37" s="58">
        <f>SUM(E37+H37+K37+N37+Q37)</f>
        <v>1193</v>
      </c>
      <c r="C37" s="204">
        <f t="shared" si="5"/>
        <v>2.8015216982904381</v>
      </c>
      <c r="E37" s="833">
        <v>408</v>
      </c>
      <c r="F37" s="204">
        <f t="shared" si="0"/>
        <v>34.199497066219614</v>
      </c>
      <c r="G37" s="833"/>
      <c r="H37" s="834">
        <v>365</v>
      </c>
      <c r="I37" s="73">
        <f t="shared" si="1"/>
        <v>30.595138306789604</v>
      </c>
      <c r="J37" s="834"/>
      <c r="K37" s="834">
        <v>410</v>
      </c>
      <c r="L37" s="73">
        <f t="shared" si="2"/>
        <v>34.367141659681479</v>
      </c>
      <c r="M37" s="834"/>
      <c r="N37" s="834">
        <v>10</v>
      </c>
      <c r="O37" s="73">
        <f t="shared" si="3"/>
        <v>0.83822296730930423</v>
      </c>
      <c r="P37" s="834"/>
      <c r="Q37" s="834">
        <v>0</v>
      </c>
      <c r="R37" s="73">
        <f t="shared" si="4"/>
        <v>0</v>
      </c>
    </row>
    <row r="38" spans="1:19" ht="12" customHeight="1">
      <c r="A38" s="95" t="s">
        <v>181</v>
      </c>
      <c r="B38" s="58">
        <f>SUM(E38+H38+K38+N38+Q38)</f>
        <v>528</v>
      </c>
      <c r="C38" s="204">
        <f t="shared" si="5"/>
        <v>1.2399023107270337</v>
      </c>
      <c r="E38" s="833">
        <v>214</v>
      </c>
      <c r="F38" s="204">
        <f t="shared" si="0"/>
        <v>40.530303030303031</v>
      </c>
      <c r="G38" s="833"/>
      <c r="H38" s="834">
        <v>217</v>
      </c>
      <c r="I38" s="73">
        <f t="shared" si="1"/>
        <v>41.098484848484851</v>
      </c>
      <c r="J38" s="834"/>
      <c r="K38" s="834">
        <v>94</v>
      </c>
      <c r="L38" s="73">
        <f t="shared" si="2"/>
        <v>17.803030303030305</v>
      </c>
      <c r="M38" s="834"/>
      <c r="N38" s="834">
        <v>3</v>
      </c>
      <c r="O38" s="73">
        <f t="shared" si="3"/>
        <v>0.56818181818181823</v>
      </c>
      <c r="P38" s="834"/>
      <c r="Q38" s="834">
        <v>0</v>
      </c>
      <c r="R38" s="73">
        <f t="shared" si="4"/>
        <v>0</v>
      </c>
    </row>
    <row r="39" spans="1:19" ht="12" customHeight="1">
      <c r="A39" s="95" t="s">
        <v>182</v>
      </c>
      <c r="B39" s="58">
        <f>SUM(E39+H39+K39+N39+Q39)</f>
        <v>473</v>
      </c>
      <c r="C39" s="204">
        <f t="shared" si="5"/>
        <v>1.110745820026301</v>
      </c>
      <c r="E39" s="833">
        <v>228</v>
      </c>
      <c r="F39" s="204">
        <f t="shared" si="0"/>
        <v>48.20295983086681</v>
      </c>
      <c r="G39" s="833"/>
      <c r="H39" s="834">
        <v>220</v>
      </c>
      <c r="I39" s="73">
        <f t="shared" si="1"/>
        <v>46.511627906976742</v>
      </c>
      <c r="J39" s="834"/>
      <c r="K39" s="834">
        <v>25</v>
      </c>
      <c r="L39" s="73">
        <f t="shared" si="2"/>
        <v>5.2854122621564485</v>
      </c>
      <c r="M39" s="834"/>
      <c r="N39" s="834">
        <v>0</v>
      </c>
      <c r="O39" s="73">
        <f t="shared" si="3"/>
        <v>0</v>
      </c>
      <c r="P39" s="834"/>
      <c r="Q39" s="834">
        <v>0</v>
      </c>
      <c r="R39" s="73">
        <f t="shared" si="4"/>
        <v>0</v>
      </c>
    </row>
    <row r="40" spans="1:19" ht="12" customHeight="1">
      <c r="C40" s="204" t="str">
        <f t="shared" si="5"/>
        <v/>
      </c>
      <c r="F40" s="204" t="str">
        <f t="shared" si="0"/>
        <v/>
      </c>
      <c r="I40" s="73" t="str">
        <f t="shared" si="1"/>
        <v/>
      </c>
      <c r="L40" s="73" t="str">
        <f t="shared" si="2"/>
        <v/>
      </c>
      <c r="O40" s="73" t="str">
        <f t="shared" si="3"/>
        <v/>
      </c>
      <c r="R40" s="73" t="str">
        <f t="shared" si="4"/>
        <v/>
      </c>
    </row>
    <row r="41" spans="1:19" ht="12" customHeight="1">
      <c r="A41" s="95" t="s">
        <v>183</v>
      </c>
      <c r="B41" s="58">
        <f t="shared" ref="B41:B49" si="7">SUM(E41+H41+K41+N41+Q41)</f>
        <v>4014</v>
      </c>
      <c r="C41" s="204">
        <f t="shared" si="5"/>
        <v>9.4260755213225611</v>
      </c>
      <c r="E41" s="72">
        <f>SUM(E42:E49)</f>
        <v>1641</v>
      </c>
      <c r="F41" s="204">
        <f t="shared" si="0"/>
        <v>40.881913303437969</v>
      </c>
      <c r="G41" s="33" t="s">
        <v>128</v>
      </c>
      <c r="H41" s="72">
        <f>SUM(H42:H49)</f>
        <v>1516</v>
      </c>
      <c r="I41" s="73">
        <f t="shared" si="1"/>
        <v>37.767812655705029</v>
      </c>
      <c r="J41" s="33" t="s">
        <v>128</v>
      </c>
      <c r="K41" s="72">
        <f>SUM(K42:K49)</f>
        <v>825</v>
      </c>
      <c r="L41" s="73">
        <f t="shared" si="2"/>
        <v>20.553064275037368</v>
      </c>
      <c r="M41" s="33" t="s">
        <v>128</v>
      </c>
      <c r="N41" s="33">
        <f>SUM(N42:N49)</f>
        <v>32</v>
      </c>
      <c r="O41" s="73">
        <f t="shared" si="3"/>
        <v>0.79720976581963121</v>
      </c>
      <c r="P41" s="33" t="s">
        <v>128</v>
      </c>
      <c r="Q41" s="33">
        <f>SUM(Q42:Q49)</f>
        <v>0</v>
      </c>
      <c r="R41" s="73">
        <f t="shared" si="4"/>
        <v>0</v>
      </c>
    </row>
    <row r="42" spans="1:19" ht="12" customHeight="1">
      <c r="A42" s="95" t="s">
        <v>191</v>
      </c>
      <c r="B42" s="58">
        <f t="shared" si="7"/>
        <v>422</v>
      </c>
      <c r="C42" s="204">
        <f t="shared" si="5"/>
        <v>0.99098252864925807</v>
      </c>
      <c r="E42" s="833">
        <v>216</v>
      </c>
      <c r="F42" s="204">
        <f t="shared" si="0"/>
        <v>51.184834123222743</v>
      </c>
      <c r="G42" s="833"/>
      <c r="H42" s="834">
        <v>180</v>
      </c>
      <c r="I42" s="73">
        <f t="shared" si="1"/>
        <v>42.654028436018962</v>
      </c>
      <c r="J42" s="834"/>
      <c r="K42" s="834">
        <v>23</v>
      </c>
      <c r="L42" s="73">
        <f t="shared" si="2"/>
        <v>5.4502369668246446</v>
      </c>
      <c r="M42" s="834"/>
      <c r="N42" s="834">
        <v>3</v>
      </c>
      <c r="O42" s="73">
        <f t="shared" si="3"/>
        <v>0.7109004739336493</v>
      </c>
      <c r="P42" s="834"/>
      <c r="Q42" s="834">
        <v>0</v>
      </c>
      <c r="R42" s="73">
        <f t="shared" si="4"/>
        <v>0</v>
      </c>
    </row>
    <row r="43" spans="1:19" ht="12" customHeight="1">
      <c r="A43" s="95" t="s">
        <v>184</v>
      </c>
      <c r="B43" s="58">
        <f t="shared" si="7"/>
        <v>425</v>
      </c>
      <c r="C43" s="204">
        <f t="shared" si="5"/>
        <v>0.99802742814202527</v>
      </c>
      <c r="E43" s="833">
        <v>210</v>
      </c>
      <c r="F43" s="204">
        <f t="shared" si="0"/>
        <v>49.411764705882355</v>
      </c>
      <c r="G43" s="833"/>
      <c r="H43" s="834">
        <v>158</v>
      </c>
      <c r="I43" s="73">
        <f t="shared" si="1"/>
        <v>37.176470588235297</v>
      </c>
      <c r="J43" s="834"/>
      <c r="K43" s="834">
        <v>49</v>
      </c>
      <c r="L43" s="73">
        <f t="shared" si="2"/>
        <v>11.529411764705882</v>
      </c>
      <c r="M43" s="834"/>
      <c r="N43" s="834">
        <v>8</v>
      </c>
      <c r="O43" s="73">
        <f t="shared" si="3"/>
        <v>1.8823529411764703</v>
      </c>
      <c r="P43" s="834"/>
      <c r="Q43" s="834">
        <v>0</v>
      </c>
      <c r="R43" s="73">
        <f t="shared" si="4"/>
        <v>0</v>
      </c>
    </row>
    <row r="44" spans="1:19" ht="12" customHeight="1">
      <c r="A44" s="33" t="s">
        <v>185</v>
      </c>
      <c r="B44" s="58">
        <f t="shared" si="7"/>
        <v>487</v>
      </c>
      <c r="C44" s="204">
        <f t="shared" si="5"/>
        <v>1.1436220176592147</v>
      </c>
      <c r="E44" s="833">
        <v>160</v>
      </c>
      <c r="F44" s="204">
        <f t="shared" si="0"/>
        <v>32.854209445585212</v>
      </c>
      <c r="G44" s="833"/>
      <c r="H44" s="834">
        <v>145</v>
      </c>
      <c r="I44" s="73">
        <f t="shared" si="1"/>
        <v>29.774127310061605</v>
      </c>
      <c r="J44" s="834"/>
      <c r="K44" s="834">
        <v>179</v>
      </c>
      <c r="L44" s="73">
        <f t="shared" si="2"/>
        <v>36.755646817248461</v>
      </c>
      <c r="M44" s="834"/>
      <c r="N44" s="834">
        <v>3</v>
      </c>
      <c r="O44" s="73">
        <f t="shared" si="3"/>
        <v>0.61601642710472282</v>
      </c>
      <c r="P44" s="834"/>
      <c r="Q44" s="834">
        <v>0</v>
      </c>
      <c r="R44" s="73">
        <f t="shared" si="4"/>
        <v>0</v>
      </c>
    </row>
    <row r="45" spans="1:19" ht="12" customHeight="1">
      <c r="A45" s="95" t="s">
        <v>186</v>
      </c>
      <c r="B45" s="58">
        <f t="shared" si="7"/>
        <v>617</v>
      </c>
      <c r="C45" s="204">
        <f t="shared" si="5"/>
        <v>1.4489009956791283</v>
      </c>
      <c r="E45" s="833">
        <v>209</v>
      </c>
      <c r="F45" s="204">
        <f t="shared" si="0"/>
        <v>33.873581847649916</v>
      </c>
      <c r="G45" s="833"/>
      <c r="H45" s="834">
        <v>246</v>
      </c>
      <c r="I45" s="73">
        <f t="shared" si="1"/>
        <v>39.870340356564022</v>
      </c>
      <c r="J45" s="834"/>
      <c r="K45" s="834">
        <v>152</v>
      </c>
      <c r="L45" s="73">
        <f t="shared" si="2"/>
        <v>24.635332252836303</v>
      </c>
      <c r="M45" s="834"/>
      <c r="N45" s="834">
        <v>10</v>
      </c>
      <c r="O45" s="73">
        <f t="shared" si="3"/>
        <v>1.6207455429497568</v>
      </c>
      <c r="P45" s="834"/>
      <c r="Q45" s="834">
        <v>0</v>
      </c>
      <c r="R45" s="73">
        <f t="shared" si="4"/>
        <v>0</v>
      </c>
    </row>
    <row r="46" spans="1:19" ht="12.75" customHeight="1">
      <c r="A46" s="95" t="s">
        <v>408</v>
      </c>
      <c r="B46" s="58">
        <f t="shared" si="7"/>
        <v>693</v>
      </c>
      <c r="C46" s="204">
        <f t="shared" si="5"/>
        <v>1.6273717828292318</v>
      </c>
      <c r="E46" s="833">
        <v>333</v>
      </c>
      <c r="F46" s="204">
        <f t="shared" si="0"/>
        <v>48.051948051948052</v>
      </c>
      <c r="G46" s="833"/>
      <c r="H46" s="834">
        <v>267</v>
      </c>
      <c r="I46" s="73">
        <f t="shared" si="1"/>
        <v>38.528138528138527</v>
      </c>
      <c r="J46" s="834"/>
      <c r="K46" s="834">
        <v>92</v>
      </c>
      <c r="L46" s="73">
        <f t="shared" si="2"/>
        <v>13.275613275613276</v>
      </c>
      <c r="M46" s="834"/>
      <c r="N46" s="834">
        <v>1</v>
      </c>
      <c r="O46" s="73">
        <f t="shared" si="3"/>
        <v>0.14430014430014429</v>
      </c>
      <c r="P46" s="834"/>
      <c r="Q46" s="834">
        <v>0</v>
      </c>
      <c r="R46" s="73">
        <f t="shared" si="4"/>
        <v>0</v>
      </c>
    </row>
    <row r="47" spans="1:19" ht="12.75" customHeight="1">
      <c r="A47" s="95" t="s">
        <v>190</v>
      </c>
      <c r="B47" s="58">
        <f>SUM(E47+H47+K47+N47+Q47)</f>
        <v>301</v>
      </c>
      <c r="C47" s="204">
        <f t="shared" si="5"/>
        <v>0.70683824910764603</v>
      </c>
      <c r="E47" s="833">
        <v>123</v>
      </c>
      <c r="F47" s="204">
        <f t="shared" si="0"/>
        <v>40.863787375415285</v>
      </c>
      <c r="G47" s="833"/>
      <c r="H47" s="834">
        <v>146</v>
      </c>
      <c r="I47" s="73">
        <f t="shared" si="1"/>
        <v>48.504983388704318</v>
      </c>
      <c r="J47" s="834"/>
      <c r="K47" s="834">
        <v>32</v>
      </c>
      <c r="L47" s="73">
        <f t="shared" si="2"/>
        <v>10.631229235880399</v>
      </c>
      <c r="M47" s="834"/>
      <c r="N47" s="834">
        <v>0</v>
      </c>
      <c r="O47" s="73">
        <f t="shared" si="3"/>
        <v>0</v>
      </c>
      <c r="P47" s="834"/>
      <c r="Q47" s="834">
        <v>0</v>
      </c>
      <c r="R47" s="73">
        <f t="shared" si="4"/>
        <v>0</v>
      </c>
    </row>
    <row r="48" spans="1:19" ht="12" customHeight="1">
      <c r="A48" s="95" t="s">
        <v>189</v>
      </c>
      <c r="B48" s="58">
        <f t="shared" si="7"/>
        <v>560</v>
      </c>
      <c r="C48" s="204">
        <f t="shared" si="5"/>
        <v>1.3150479053165509</v>
      </c>
      <c r="E48" s="833">
        <v>218</v>
      </c>
      <c r="F48" s="204">
        <f t="shared" si="0"/>
        <v>38.928571428571431</v>
      </c>
      <c r="G48" s="833"/>
      <c r="H48" s="834">
        <v>180</v>
      </c>
      <c r="I48" s="73">
        <f t="shared" si="1"/>
        <v>32.142857142857146</v>
      </c>
      <c r="J48" s="834"/>
      <c r="K48" s="834">
        <v>156</v>
      </c>
      <c r="L48" s="73">
        <f t="shared" si="2"/>
        <v>27.857142857142858</v>
      </c>
      <c r="M48" s="834"/>
      <c r="N48" s="834">
        <v>6</v>
      </c>
      <c r="O48" s="73">
        <f t="shared" si="3"/>
        <v>1.0714285714285714</v>
      </c>
      <c r="P48" s="834"/>
      <c r="Q48" s="834">
        <v>0</v>
      </c>
      <c r="R48" s="73">
        <f t="shared" si="4"/>
        <v>0</v>
      </c>
    </row>
    <row r="49" spans="1:19" ht="12" customHeight="1">
      <c r="A49" s="95" t="s">
        <v>188</v>
      </c>
      <c r="B49" s="58">
        <f t="shared" si="7"/>
        <v>509</v>
      </c>
      <c r="C49" s="204">
        <f t="shared" si="5"/>
        <v>1.1952846139395079</v>
      </c>
      <c r="E49" s="833">
        <v>172</v>
      </c>
      <c r="F49" s="204">
        <f t="shared" si="0"/>
        <v>33.791748526522589</v>
      </c>
      <c r="G49" s="833"/>
      <c r="H49" s="834">
        <v>194</v>
      </c>
      <c r="I49" s="73">
        <f t="shared" si="1"/>
        <v>38.113948919449903</v>
      </c>
      <c r="J49" s="834"/>
      <c r="K49" s="834">
        <v>142</v>
      </c>
      <c r="L49" s="73">
        <f t="shared" si="2"/>
        <v>27.897838899803535</v>
      </c>
      <c r="M49" s="834"/>
      <c r="N49" s="834">
        <v>1</v>
      </c>
      <c r="O49" s="73">
        <f t="shared" si="3"/>
        <v>0.19646365422396855</v>
      </c>
      <c r="P49" s="834"/>
      <c r="Q49" s="834">
        <v>0</v>
      </c>
      <c r="R49" s="73">
        <f t="shared" si="4"/>
        <v>0</v>
      </c>
    </row>
    <row r="50" spans="1:19" ht="12" customHeight="1">
      <c r="C50" s="204" t="str">
        <f t="shared" si="5"/>
        <v/>
      </c>
      <c r="E50" s="587"/>
      <c r="F50" s="204" t="str">
        <f t="shared" si="0"/>
        <v/>
      </c>
      <c r="G50" s="587"/>
      <c r="H50" s="587"/>
      <c r="I50" s="73" t="str">
        <f t="shared" si="1"/>
        <v/>
      </c>
      <c r="J50" s="587"/>
      <c r="K50" s="587"/>
      <c r="L50" s="73" t="str">
        <f t="shared" si="2"/>
        <v/>
      </c>
      <c r="M50" s="587"/>
      <c r="N50" s="587"/>
      <c r="O50" s="73" t="str">
        <f t="shared" si="3"/>
        <v/>
      </c>
      <c r="P50" s="587"/>
      <c r="Q50" s="587"/>
      <c r="R50" s="73" t="str">
        <f t="shared" si="4"/>
        <v/>
      </c>
    </row>
    <row r="51" spans="1:19" ht="12" customHeight="1">
      <c r="A51" s="95" t="s">
        <v>192</v>
      </c>
      <c r="B51" s="58">
        <f>SUM(E51+H51+K51+N51+Q51)</f>
        <v>1439</v>
      </c>
      <c r="C51" s="204">
        <f t="shared" si="5"/>
        <v>3.379203456697351</v>
      </c>
      <c r="E51" s="833">
        <v>534</v>
      </c>
      <c r="F51" s="204">
        <f t="shared" si="0"/>
        <v>37.109103544127862</v>
      </c>
      <c r="G51" s="833"/>
      <c r="H51" s="834">
        <v>244</v>
      </c>
      <c r="I51" s="73">
        <f t="shared" si="1"/>
        <v>16.956219596942322</v>
      </c>
      <c r="J51" s="834"/>
      <c r="K51" s="834">
        <v>509</v>
      </c>
      <c r="L51" s="73">
        <f t="shared" si="2"/>
        <v>35.371785962473936</v>
      </c>
      <c r="M51" s="834"/>
      <c r="N51" s="834">
        <v>152</v>
      </c>
      <c r="O51" s="73">
        <f t="shared" si="3"/>
        <v>10.562890896455873</v>
      </c>
      <c r="P51" s="834"/>
      <c r="Q51" s="834">
        <v>0</v>
      </c>
      <c r="R51" s="73">
        <f t="shared" si="4"/>
        <v>0</v>
      </c>
    </row>
    <row r="52" spans="1:19" ht="12" customHeight="1">
      <c r="C52" s="204" t="str">
        <f t="shared" si="5"/>
        <v/>
      </c>
      <c r="E52" s="72">
        <v>0</v>
      </c>
      <c r="F52" s="204" t="str">
        <f t="shared" si="0"/>
        <v/>
      </c>
      <c r="I52" s="73" t="str">
        <f t="shared" si="1"/>
        <v/>
      </c>
      <c r="L52" s="73" t="str">
        <f t="shared" si="2"/>
        <v/>
      </c>
      <c r="O52" s="73" t="str">
        <f t="shared" si="3"/>
        <v/>
      </c>
      <c r="R52" s="73" t="str">
        <f t="shared" si="4"/>
        <v/>
      </c>
    </row>
    <row r="53" spans="1:19" ht="12" customHeight="1">
      <c r="A53" s="95" t="s">
        <v>193</v>
      </c>
      <c r="B53" s="58">
        <f t="shared" ref="B53:B58" si="8">SUM(E53+H53+K53+N53+Q53)</f>
        <v>3486</v>
      </c>
      <c r="C53" s="204">
        <f t="shared" si="5"/>
        <v>8.1861732105955287</v>
      </c>
      <c r="E53" s="72">
        <f>SUM(E54:E58)</f>
        <v>1427</v>
      </c>
      <c r="F53" s="204">
        <f t="shared" si="0"/>
        <v>40.935169248422262</v>
      </c>
      <c r="G53" s="33" t="s">
        <v>128</v>
      </c>
      <c r="H53" s="72">
        <f>SUM(H54:H58)</f>
        <v>1319</v>
      </c>
      <c r="I53" s="73">
        <f t="shared" si="1"/>
        <v>37.837062535857719</v>
      </c>
      <c r="J53" s="33" t="s">
        <v>128</v>
      </c>
      <c r="K53" s="72">
        <f>SUM(K54:K58)</f>
        <v>707</v>
      </c>
      <c r="L53" s="73">
        <f t="shared" si="2"/>
        <v>20.281124497991968</v>
      </c>
      <c r="M53" s="33" t="s">
        <v>128</v>
      </c>
      <c r="N53" s="72">
        <f>SUM(N54:N58)</f>
        <v>30</v>
      </c>
      <c r="O53" s="73">
        <f t="shared" si="3"/>
        <v>0.86058519793459543</v>
      </c>
      <c r="P53" s="33" t="s">
        <v>128</v>
      </c>
      <c r="Q53" s="72">
        <f>SUM(Q54:Q58)</f>
        <v>3</v>
      </c>
      <c r="R53" s="73">
        <f t="shared" si="4"/>
        <v>8.6058519793459562E-2</v>
      </c>
    </row>
    <row r="54" spans="1:19" ht="12" customHeight="1">
      <c r="A54" s="95" t="s">
        <v>194</v>
      </c>
      <c r="B54" s="58">
        <f t="shared" si="8"/>
        <v>181</v>
      </c>
      <c r="C54" s="204">
        <f t="shared" si="5"/>
        <v>0.42504226939695661</v>
      </c>
      <c r="E54" s="833">
        <v>103</v>
      </c>
      <c r="F54" s="204">
        <f t="shared" si="0"/>
        <v>56.906077348066297</v>
      </c>
      <c r="G54" s="833"/>
      <c r="H54" s="834">
        <v>70</v>
      </c>
      <c r="I54" s="73">
        <f t="shared" si="1"/>
        <v>38.674033149171272</v>
      </c>
      <c r="J54" s="834"/>
      <c r="K54" s="834">
        <v>7</v>
      </c>
      <c r="L54" s="73">
        <f t="shared" si="2"/>
        <v>3.867403314917127</v>
      </c>
      <c r="M54" s="834"/>
      <c r="N54" s="834">
        <v>1</v>
      </c>
      <c r="O54" s="73">
        <f t="shared" si="3"/>
        <v>0.55248618784530379</v>
      </c>
      <c r="P54" s="834"/>
      <c r="Q54" s="834">
        <v>0</v>
      </c>
      <c r="R54" s="73">
        <f t="shared" si="4"/>
        <v>0</v>
      </c>
    </row>
    <row r="55" spans="1:19" ht="12" customHeight="1">
      <c r="A55" s="95" t="s">
        <v>195</v>
      </c>
      <c r="B55" s="58">
        <f t="shared" si="8"/>
        <v>2118</v>
      </c>
      <c r="C55" s="204">
        <f t="shared" si="5"/>
        <v>4.9736990418936688</v>
      </c>
      <c r="E55" s="833">
        <v>906</v>
      </c>
      <c r="F55" s="204">
        <f t="shared" si="0"/>
        <v>42.776203966005667</v>
      </c>
      <c r="G55" s="833"/>
      <c r="H55" s="834">
        <v>814</v>
      </c>
      <c r="I55" s="73">
        <f t="shared" si="1"/>
        <v>38.432483474976394</v>
      </c>
      <c r="J55" s="834"/>
      <c r="K55" s="834">
        <v>380</v>
      </c>
      <c r="L55" s="73">
        <f t="shared" si="2"/>
        <v>17.941454202077431</v>
      </c>
      <c r="M55" s="834"/>
      <c r="N55" s="834">
        <v>18</v>
      </c>
      <c r="O55" s="73">
        <f t="shared" si="3"/>
        <v>0.84985835694051004</v>
      </c>
      <c r="P55" s="834"/>
      <c r="Q55" s="834">
        <v>0</v>
      </c>
      <c r="R55" s="73">
        <f t="shared" si="4"/>
        <v>0</v>
      </c>
    </row>
    <row r="56" spans="1:19" ht="12" customHeight="1">
      <c r="A56" s="95" t="s">
        <v>196</v>
      </c>
      <c r="B56" s="58">
        <f t="shared" si="8"/>
        <v>423</v>
      </c>
      <c r="C56" s="204">
        <f t="shared" si="5"/>
        <v>0.99333082848018039</v>
      </c>
      <c r="E56" s="833">
        <v>149</v>
      </c>
      <c r="F56" s="204">
        <f t="shared" si="0"/>
        <v>35.224586288416077</v>
      </c>
      <c r="G56" s="833"/>
      <c r="H56" s="834">
        <v>143</v>
      </c>
      <c r="I56" s="73">
        <f t="shared" si="1"/>
        <v>33.806146572104019</v>
      </c>
      <c r="J56" s="834"/>
      <c r="K56" s="834">
        <v>123</v>
      </c>
      <c r="L56" s="73">
        <f t="shared" si="2"/>
        <v>29.078014184397162</v>
      </c>
      <c r="M56" s="834"/>
      <c r="N56" s="834">
        <v>6</v>
      </c>
      <c r="O56" s="73">
        <f t="shared" si="3"/>
        <v>1.4184397163120568</v>
      </c>
      <c r="P56" s="834"/>
      <c r="Q56" s="834">
        <v>2</v>
      </c>
      <c r="R56" s="73">
        <f t="shared" si="4"/>
        <v>0.4728132387706856</v>
      </c>
    </row>
    <row r="57" spans="1:19" ht="12" customHeight="1">
      <c r="A57" s="95" t="s">
        <v>409</v>
      </c>
      <c r="B57" s="58">
        <f t="shared" si="8"/>
        <v>476</v>
      </c>
      <c r="C57" s="204">
        <f t="shared" si="5"/>
        <v>1.1177907195190682</v>
      </c>
      <c r="E57" s="833">
        <v>183</v>
      </c>
      <c r="F57" s="204">
        <f t="shared" si="0"/>
        <v>38.445378151260506</v>
      </c>
      <c r="G57" s="833"/>
      <c r="H57" s="834">
        <v>178</v>
      </c>
      <c r="I57" s="73">
        <f t="shared" si="1"/>
        <v>37.394957983193279</v>
      </c>
      <c r="J57" s="834"/>
      <c r="K57" s="834">
        <v>114</v>
      </c>
      <c r="L57" s="73">
        <f t="shared" si="2"/>
        <v>23.949579831932773</v>
      </c>
      <c r="M57" s="834"/>
      <c r="N57" s="834">
        <v>1</v>
      </c>
      <c r="O57" s="73">
        <f t="shared" si="3"/>
        <v>0.21008403361344538</v>
      </c>
      <c r="P57" s="834"/>
      <c r="Q57" s="834">
        <v>0</v>
      </c>
      <c r="R57" s="73">
        <f t="shared" si="4"/>
        <v>0</v>
      </c>
    </row>
    <row r="58" spans="1:19" ht="12" customHeight="1">
      <c r="A58" s="95" t="s">
        <v>198</v>
      </c>
      <c r="B58" s="58">
        <f t="shared" si="8"/>
        <v>288</v>
      </c>
      <c r="C58" s="204">
        <f t="shared" si="5"/>
        <v>0.67631035130565476</v>
      </c>
      <c r="E58" s="833">
        <v>86</v>
      </c>
      <c r="F58" s="204">
        <f t="shared" si="0"/>
        <v>29.861111111111111</v>
      </c>
      <c r="G58" s="833"/>
      <c r="H58" s="834">
        <v>114</v>
      </c>
      <c r="I58" s="73">
        <f t="shared" si="1"/>
        <v>39.583333333333329</v>
      </c>
      <c r="J58" s="834"/>
      <c r="K58" s="834">
        <v>83</v>
      </c>
      <c r="L58" s="73">
        <f t="shared" si="2"/>
        <v>28.819444444444443</v>
      </c>
      <c r="M58" s="834"/>
      <c r="N58" s="834">
        <v>4</v>
      </c>
      <c r="O58" s="73">
        <f t="shared" si="3"/>
        <v>1.3888888888888888</v>
      </c>
      <c r="P58" s="834"/>
      <c r="Q58" s="834">
        <v>1</v>
      </c>
      <c r="R58" s="73">
        <f t="shared" si="4"/>
        <v>0.34722222222222221</v>
      </c>
    </row>
    <row r="59" spans="1:19" ht="12" customHeight="1">
      <c r="C59" s="204" t="str">
        <f t="shared" si="5"/>
        <v/>
      </c>
      <c r="F59" s="204" t="str">
        <f t="shared" si="0"/>
        <v/>
      </c>
      <c r="I59" s="73" t="str">
        <f t="shared" si="1"/>
        <v/>
      </c>
      <c r="L59" s="73" t="str">
        <f t="shared" si="2"/>
        <v/>
      </c>
      <c r="O59" s="73" t="str">
        <f t="shared" si="3"/>
        <v/>
      </c>
      <c r="R59" s="73" t="str">
        <f t="shared" si="4"/>
        <v/>
      </c>
    </row>
    <row r="60" spans="1:19" ht="12" customHeight="1">
      <c r="A60" s="55" t="s">
        <v>410</v>
      </c>
      <c r="B60" s="58">
        <f>SUM(B61+B63+B70+B72)</f>
        <v>3940</v>
      </c>
      <c r="C60" s="204">
        <f t="shared" si="5"/>
        <v>9.2523013338343034</v>
      </c>
      <c r="E60" s="72">
        <f>SUM(E61+E63+E70+E72)</f>
        <v>1129</v>
      </c>
      <c r="F60" s="204">
        <f t="shared" si="0"/>
        <v>28.654822335025383</v>
      </c>
      <c r="H60" s="72">
        <f>SUM(H61+H63+H70+H72)</f>
        <v>1413</v>
      </c>
      <c r="I60" s="73">
        <f t="shared" si="1"/>
        <v>35.862944162436548</v>
      </c>
      <c r="K60" s="72">
        <f>SUM(K61+K63+K70+K72)</f>
        <v>1254</v>
      </c>
      <c r="L60" s="73">
        <f t="shared" si="2"/>
        <v>31.827411167512693</v>
      </c>
      <c r="N60" s="33">
        <f>SUM(N61+N63+N70+N72)</f>
        <v>104</v>
      </c>
      <c r="O60" s="73">
        <f t="shared" si="3"/>
        <v>2.6395939086294415</v>
      </c>
      <c r="Q60" s="33">
        <f>SUM(Q61+Q63+Q70+Q72)</f>
        <v>40</v>
      </c>
      <c r="R60" s="73">
        <f t="shared" si="4"/>
        <v>1.015228426395939</v>
      </c>
    </row>
    <row r="61" spans="1:19" ht="12" customHeight="1">
      <c r="A61" s="95" t="s">
        <v>411</v>
      </c>
      <c r="B61" s="58">
        <f>SUM(E61+H61+K61+N61+Q61)</f>
        <v>582</v>
      </c>
      <c r="C61" s="204">
        <f t="shared" si="5"/>
        <v>1.3667105015968439</v>
      </c>
      <c r="E61" s="833">
        <v>191</v>
      </c>
      <c r="F61" s="204">
        <f t="shared" si="0"/>
        <v>32.817869415807557</v>
      </c>
      <c r="G61" s="833"/>
      <c r="H61" s="834">
        <v>210</v>
      </c>
      <c r="I61" s="73">
        <f t="shared" si="1"/>
        <v>36.082474226804123</v>
      </c>
      <c r="J61" s="834"/>
      <c r="K61" s="834">
        <v>174</v>
      </c>
      <c r="L61" s="73">
        <f t="shared" si="2"/>
        <v>29.896907216494846</v>
      </c>
      <c r="M61" s="834"/>
      <c r="N61" s="834">
        <v>7</v>
      </c>
      <c r="O61" s="73">
        <f t="shared" si="3"/>
        <v>1.202749140893471</v>
      </c>
      <c r="P61" s="834"/>
      <c r="Q61" s="834">
        <v>0</v>
      </c>
      <c r="R61" s="73">
        <f t="shared" si="4"/>
        <v>0</v>
      </c>
    </row>
    <row r="62" spans="1:19" ht="12" customHeight="1">
      <c r="C62" s="204" t="str">
        <f t="shared" si="5"/>
        <v/>
      </c>
      <c r="F62" s="204" t="str">
        <f t="shared" si="0"/>
        <v/>
      </c>
      <c r="I62" s="73" t="str">
        <f t="shared" si="1"/>
        <v/>
      </c>
      <c r="L62" s="73" t="str">
        <f t="shared" si="2"/>
        <v/>
      </c>
      <c r="O62" s="73" t="str">
        <f t="shared" si="3"/>
        <v/>
      </c>
      <c r="R62" s="73" t="str">
        <f t="shared" si="4"/>
        <v/>
      </c>
    </row>
    <row r="63" spans="1:19" ht="12" customHeight="1">
      <c r="A63" s="95" t="s">
        <v>202</v>
      </c>
      <c r="B63" s="58">
        <f t="shared" ref="B63:B68" si="9">SUM(E63+H63+K63+N63+Q63)</f>
        <v>2319</v>
      </c>
      <c r="C63" s="204">
        <f t="shared" si="5"/>
        <v>5.4457073079090739</v>
      </c>
      <c r="E63" s="72">
        <f>SUM(E64:E68)</f>
        <v>666</v>
      </c>
      <c r="F63" s="204">
        <f t="shared" si="0"/>
        <v>28.71927554980595</v>
      </c>
      <c r="G63" s="33" t="s">
        <v>128</v>
      </c>
      <c r="H63" s="72">
        <f>SUM(H64:H68)</f>
        <v>847</v>
      </c>
      <c r="I63" s="73">
        <f t="shared" si="1"/>
        <v>36.524363949978436</v>
      </c>
      <c r="J63" s="33" t="s">
        <v>128</v>
      </c>
      <c r="K63" s="72">
        <f>SUM(K64:K68)</f>
        <v>752</v>
      </c>
      <c r="L63" s="73">
        <f t="shared" si="2"/>
        <v>32.427770590771885</v>
      </c>
      <c r="M63" s="33" t="s">
        <v>128</v>
      </c>
      <c r="N63" s="33">
        <f>SUM(N64:N68)</f>
        <v>53</v>
      </c>
      <c r="O63" s="73">
        <f t="shared" si="3"/>
        <v>2.2854678740836567</v>
      </c>
      <c r="P63" s="33" t="s">
        <v>128</v>
      </c>
      <c r="Q63" s="33">
        <f>SUM(Q64:Q68)</f>
        <v>1</v>
      </c>
      <c r="R63" s="73">
        <f t="shared" si="4"/>
        <v>4.3122035360068998E-2</v>
      </c>
    </row>
    <row r="64" spans="1:19" ht="12" customHeight="1">
      <c r="A64" s="95" t="s">
        <v>203</v>
      </c>
      <c r="B64" s="58">
        <f t="shared" si="9"/>
        <v>677</v>
      </c>
      <c r="C64" s="204">
        <f t="shared" si="5"/>
        <v>1.589798985534473</v>
      </c>
      <c r="E64" s="833">
        <v>150</v>
      </c>
      <c r="F64" s="204">
        <f t="shared" si="0"/>
        <v>22.156573116691288</v>
      </c>
      <c r="G64" s="833"/>
      <c r="H64" s="834">
        <v>200</v>
      </c>
      <c r="I64" s="73">
        <f t="shared" si="1"/>
        <v>29.542097488921716</v>
      </c>
      <c r="J64" s="834"/>
      <c r="K64" s="834">
        <v>277</v>
      </c>
      <c r="L64" s="73">
        <f t="shared" si="2"/>
        <v>40.915805022156569</v>
      </c>
      <c r="M64" s="834"/>
      <c r="N64" s="834">
        <v>50</v>
      </c>
      <c r="O64" s="73">
        <f t="shared" si="3"/>
        <v>7.3855243722304289</v>
      </c>
      <c r="P64" s="834"/>
      <c r="Q64" s="834">
        <v>0</v>
      </c>
      <c r="R64" s="73">
        <f t="shared" si="4"/>
        <v>0</v>
      </c>
      <c r="S64" s="33" t="s">
        <v>128</v>
      </c>
    </row>
    <row r="65" spans="1:18" ht="12" customHeight="1">
      <c r="A65" s="95" t="s">
        <v>204</v>
      </c>
      <c r="B65" s="58">
        <f t="shared" si="9"/>
        <v>436</v>
      </c>
      <c r="C65" s="204">
        <f t="shared" si="5"/>
        <v>1.0238587262821719</v>
      </c>
      <c r="E65" s="833">
        <v>122</v>
      </c>
      <c r="F65" s="204">
        <f t="shared" si="0"/>
        <v>27.981651376146786</v>
      </c>
      <c r="G65" s="833"/>
      <c r="H65" s="834">
        <v>218</v>
      </c>
      <c r="I65" s="73">
        <f t="shared" si="1"/>
        <v>50</v>
      </c>
      <c r="J65" s="834"/>
      <c r="K65" s="834">
        <v>95</v>
      </c>
      <c r="L65" s="73">
        <f t="shared" si="2"/>
        <v>21.788990825688074</v>
      </c>
      <c r="M65" s="834"/>
      <c r="N65" s="834">
        <v>1</v>
      </c>
      <c r="O65" s="73">
        <f t="shared" si="3"/>
        <v>0.22935779816513763</v>
      </c>
      <c r="P65" s="834"/>
      <c r="Q65" s="834">
        <v>0</v>
      </c>
      <c r="R65" s="73">
        <f t="shared" si="4"/>
        <v>0</v>
      </c>
    </row>
    <row r="66" spans="1:18" ht="12" customHeight="1">
      <c r="A66" s="95" t="s">
        <v>207</v>
      </c>
      <c r="B66" s="58">
        <f t="shared" si="9"/>
        <v>764</v>
      </c>
      <c r="C66" s="204">
        <f t="shared" si="5"/>
        <v>1.7941010708247229</v>
      </c>
      <c r="E66" s="833">
        <v>216</v>
      </c>
      <c r="F66" s="204">
        <f t="shared" si="0"/>
        <v>28.272251308900525</v>
      </c>
      <c r="G66" s="833"/>
      <c r="H66" s="834">
        <v>251</v>
      </c>
      <c r="I66" s="73">
        <f t="shared" si="1"/>
        <v>32.853403141361262</v>
      </c>
      <c r="J66" s="834"/>
      <c r="K66" s="834">
        <v>296</v>
      </c>
      <c r="L66" s="73">
        <f t="shared" si="2"/>
        <v>38.7434554973822</v>
      </c>
      <c r="M66" s="834"/>
      <c r="N66" s="834">
        <v>1</v>
      </c>
      <c r="O66" s="73">
        <f t="shared" si="3"/>
        <v>0.13089005235602094</v>
      </c>
      <c r="P66" s="834"/>
      <c r="Q66" s="834">
        <v>0</v>
      </c>
      <c r="R66" s="73">
        <f t="shared" si="4"/>
        <v>0</v>
      </c>
    </row>
    <row r="67" spans="1:18" ht="12" customHeight="1">
      <c r="A67" s="95" t="s">
        <v>205</v>
      </c>
      <c r="B67" s="58">
        <f t="shared" si="9"/>
        <v>149</v>
      </c>
      <c r="C67" s="204">
        <f>IF(A67&lt;&gt;0,B67/$B$11*100,"")</f>
        <v>0.34989667480743941</v>
      </c>
      <c r="E67" s="833">
        <v>65</v>
      </c>
      <c r="F67" s="204">
        <f t="shared" si="0"/>
        <v>43.624161073825505</v>
      </c>
      <c r="G67" s="833"/>
      <c r="H67" s="834">
        <v>80</v>
      </c>
      <c r="I67" s="73">
        <f t="shared" si="1"/>
        <v>53.691275167785236</v>
      </c>
      <c r="J67" s="834"/>
      <c r="K67" s="834">
        <v>4</v>
      </c>
      <c r="L67" s="73">
        <f t="shared" si="2"/>
        <v>2.6845637583892619</v>
      </c>
      <c r="M67" s="834"/>
      <c r="N67" s="834">
        <v>0</v>
      </c>
      <c r="O67" s="73">
        <f t="shared" si="3"/>
        <v>0</v>
      </c>
      <c r="P67" s="834"/>
      <c r="Q67" s="834">
        <v>0</v>
      </c>
      <c r="R67" s="73">
        <f t="shared" si="4"/>
        <v>0</v>
      </c>
    </row>
    <row r="68" spans="1:18" ht="12" customHeight="1">
      <c r="A68" s="95" t="s">
        <v>206</v>
      </c>
      <c r="B68" s="58">
        <f t="shared" si="9"/>
        <v>293</v>
      </c>
      <c r="C68" s="204">
        <f t="shared" si="5"/>
        <v>0.68805185046026673</v>
      </c>
      <c r="E68" s="833">
        <v>113</v>
      </c>
      <c r="F68" s="204">
        <f t="shared" si="0"/>
        <v>38.56655290102389</v>
      </c>
      <c r="G68" s="833"/>
      <c r="H68" s="834">
        <v>98</v>
      </c>
      <c r="I68" s="73">
        <f t="shared" si="1"/>
        <v>33.44709897610921</v>
      </c>
      <c r="J68" s="834"/>
      <c r="K68" s="834">
        <v>80</v>
      </c>
      <c r="L68" s="73">
        <f t="shared" si="2"/>
        <v>27.303754266211605</v>
      </c>
      <c r="M68" s="834"/>
      <c r="N68" s="834">
        <v>1</v>
      </c>
      <c r="O68" s="73">
        <f t="shared" si="3"/>
        <v>0.34129692832764508</v>
      </c>
      <c r="P68" s="834"/>
      <c r="Q68" s="834">
        <v>1</v>
      </c>
      <c r="R68" s="73">
        <f t="shared" si="4"/>
        <v>0.34129692832764508</v>
      </c>
    </row>
    <row r="69" spans="1:18" ht="12" customHeight="1">
      <c r="C69" s="204" t="str">
        <f t="shared" si="5"/>
        <v/>
      </c>
      <c r="E69" s="587"/>
      <c r="F69" s="204" t="str">
        <f t="shared" si="0"/>
        <v/>
      </c>
      <c r="G69" s="587"/>
      <c r="H69" s="587"/>
      <c r="I69" s="73" t="str">
        <f t="shared" si="1"/>
        <v/>
      </c>
      <c r="J69" s="587"/>
      <c r="K69" s="587"/>
      <c r="L69" s="73" t="str">
        <f t="shared" si="2"/>
        <v/>
      </c>
      <c r="M69" s="587"/>
      <c r="N69" s="587"/>
      <c r="O69" s="73" t="str">
        <f t="shared" si="3"/>
        <v/>
      </c>
      <c r="P69" s="587"/>
      <c r="Q69" s="587"/>
      <c r="R69" s="73" t="str">
        <f t="shared" si="4"/>
        <v/>
      </c>
    </row>
    <row r="70" spans="1:18" ht="12" customHeight="1">
      <c r="A70" s="95" t="s">
        <v>208</v>
      </c>
      <c r="B70" s="58">
        <f>SUM(E70+H70+K70+N70+Q70)</f>
        <v>481</v>
      </c>
      <c r="C70" s="204">
        <f t="shared" si="5"/>
        <v>1.1295322186736803</v>
      </c>
      <c r="E70" s="833">
        <v>135</v>
      </c>
      <c r="F70" s="204">
        <f t="shared" si="0"/>
        <v>28.066528066528068</v>
      </c>
      <c r="G70" s="833"/>
      <c r="H70" s="834">
        <v>124</v>
      </c>
      <c r="I70" s="73">
        <f t="shared" si="1"/>
        <v>25.779625779625782</v>
      </c>
      <c r="J70" s="834"/>
      <c r="K70" s="834">
        <v>197</v>
      </c>
      <c r="L70" s="73">
        <f t="shared" si="2"/>
        <v>40.956340956340959</v>
      </c>
      <c r="M70" s="834"/>
      <c r="N70" s="834">
        <v>25</v>
      </c>
      <c r="O70" s="73">
        <f t="shared" si="3"/>
        <v>5.1975051975051976</v>
      </c>
      <c r="P70" s="834"/>
      <c r="Q70" s="834">
        <v>0</v>
      </c>
      <c r="R70" s="73">
        <f t="shared" si="4"/>
        <v>0</v>
      </c>
    </row>
    <row r="71" spans="1:18" ht="12" customHeight="1">
      <c r="C71" s="204" t="str">
        <f t="shared" si="5"/>
        <v/>
      </c>
      <c r="E71" s="214"/>
      <c r="F71" s="204" t="str">
        <f t="shared" si="0"/>
        <v/>
      </c>
      <c r="G71" s="214"/>
      <c r="H71" s="214"/>
      <c r="I71" s="73" t="str">
        <f t="shared" si="1"/>
        <v/>
      </c>
      <c r="J71" s="214"/>
      <c r="K71" s="214"/>
      <c r="L71" s="73" t="str">
        <f t="shared" si="2"/>
        <v/>
      </c>
      <c r="M71" s="214"/>
      <c r="N71" s="214"/>
      <c r="O71" s="73" t="str">
        <f t="shared" si="3"/>
        <v/>
      </c>
      <c r="P71" s="214"/>
      <c r="Q71" s="214"/>
      <c r="R71" s="73" t="str">
        <f t="shared" si="4"/>
        <v/>
      </c>
    </row>
    <row r="72" spans="1:18" ht="12" customHeight="1">
      <c r="A72" s="95" t="s">
        <v>209</v>
      </c>
      <c r="B72" s="58">
        <f>SUM(E72+H72+K72+N72+Q72)</f>
        <v>558</v>
      </c>
      <c r="C72" s="204">
        <f t="shared" si="5"/>
        <v>1.310351305654706</v>
      </c>
      <c r="E72" s="833">
        <v>137</v>
      </c>
      <c r="F72" s="204">
        <f t="shared" si="0"/>
        <v>24.551971326164875</v>
      </c>
      <c r="G72" s="833"/>
      <c r="H72" s="834">
        <v>232</v>
      </c>
      <c r="I72" s="73">
        <f t="shared" si="1"/>
        <v>41.577060931899638</v>
      </c>
      <c r="J72" s="834"/>
      <c r="K72" s="834">
        <v>131</v>
      </c>
      <c r="L72" s="73">
        <f t="shared" si="2"/>
        <v>23.476702508960575</v>
      </c>
      <c r="M72" s="834"/>
      <c r="N72" s="834">
        <v>19</v>
      </c>
      <c r="O72" s="73">
        <f t="shared" si="3"/>
        <v>3.4050179211469538</v>
      </c>
      <c r="P72" s="834"/>
      <c r="Q72" s="834">
        <v>39</v>
      </c>
      <c r="R72" s="73">
        <f t="shared" si="4"/>
        <v>6.9892473118279561</v>
      </c>
    </row>
    <row r="73" spans="1:18" ht="12" customHeight="1">
      <c r="C73" s="204" t="str">
        <f t="shared" si="5"/>
        <v/>
      </c>
      <c r="F73" s="204" t="str">
        <f t="shared" si="0"/>
        <v/>
      </c>
      <c r="I73" s="73" t="str">
        <f t="shared" si="1"/>
        <v/>
      </c>
      <c r="L73" s="73" t="str">
        <f t="shared" si="2"/>
        <v/>
      </c>
      <c r="O73" s="73" t="str">
        <f t="shared" si="3"/>
        <v/>
      </c>
      <c r="R73" s="73" t="str">
        <f t="shared" si="4"/>
        <v/>
      </c>
    </row>
    <row r="74" spans="1:18" ht="12" customHeight="1">
      <c r="A74" s="55" t="s">
        <v>413</v>
      </c>
      <c r="B74" s="58">
        <f>SUM(B75)</f>
        <v>1478</v>
      </c>
      <c r="C74" s="204">
        <f t="shared" si="5"/>
        <v>3.4707871501033249</v>
      </c>
      <c r="E74" s="72">
        <f>SUM(E75)</f>
        <v>595</v>
      </c>
      <c r="F74" s="204">
        <f t="shared" si="0"/>
        <v>40.257104194857916</v>
      </c>
      <c r="H74" s="72">
        <f>SUM(H75)</f>
        <v>658</v>
      </c>
      <c r="I74" s="73">
        <f t="shared" si="1"/>
        <v>44.519621109607577</v>
      </c>
      <c r="K74" s="72">
        <f>SUM(K75)</f>
        <v>221</v>
      </c>
      <c r="L74" s="73">
        <f t="shared" si="2"/>
        <v>14.952638700947226</v>
      </c>
      <c r="N74" s="72">
        <f>SUM(N75)</f>
        <v>4</v>
      </c>
      <c r="O74" s="73">
        <f t="shared" si="3"/>
        <v>0.2706359945872801</v>
      </c>
      <c r="Q74" s="72">
        <f>SUM(Q75)</f>
        <v>0</v>
      </c>
      <c r="R74" s="73">
        <f t="shared" si="4"/>
        <v>0</v>
      </c>
    </row>
    <row r="75" spans="1:18" ht="12" customHeight="1">
      <c r="A75" s="95" t="s">
        <v>211</v>
      </c>
      <c r="B75" s="58">
        <f>SUM(E75+H75+K75+N75+Q75)</f>
        <v>1478</v>
      </c>
      <c r="C75" s="204">
        <f t="shared" si="5"/>
        <v>3.4707871501033249</v>
      </c>
      <c r="E75" s="72">
        <f>SUM(E76:E79)</f>
        <v>595</v>
      </c>
      <c r="F75" s="204">
        <f t="shared" ref="F75:F105" si="10">IF($A75&lt;&gt;"",E75/$B75*100,"")</f>
        <v>40.257104194857916</v>
      </c>
      <c r="G75" s="33" t="s">
        <v>128</v>
      </c>
      <c r="H75" s="72">
        <f>SUM(H76:H79)</f>
        <v>658</v>
      </c>
      <c r="I75" s="73">
        <f t="shared" ref="I75:I105" si="11">IF($A75&lt;&gt;"",H75/$B75*100,"")</f>
        <v>44.519621109607577</v>
      </c>
      <c r="J75" s="33" t="s">
        <v>128</v>
      </c>
      <c r="K75" s="72">
        <f>SUM(K76:K79)</f>
        <v>221</v>
      </c>
      <c r="L75" s="73">
        <f t="shared" ref="L75:L105" si="12">IF($A75&lt;&gt;"",K75/$B75*100,"")</f>
        <v>14.952638700947226</v>
      </c>
      <c r="M75" s="33" t="s">
        <v>128</v>
      </c>
      <c r="N75" s="33">
        <f>SUM(N76:N79)</f>
        <v>4</v>
      </c>
      <c r="O75" s="73">
        <f t="shared" si="3"/>
        <v>0.2706359945872801</v>
      </c>
      <c r="P75" s="33" t="s">
        <v>128</v>
      </c>
      <c r="Q75" s="33">
        <f>SUM(Q76:Q79)</f>
        <v>0</v>
      </c>
      <c r="R75" s="73">
        <f t="shared" si="4"/>
        <v>0</v>
      </c>
    </row>
    <row r="76" spans="1:18" ht="12" customHeight="1">
      <c r="A76" s="95" t="s">
        <v>212</v>
      </c>
      <c r="B76" s="58">
        <f>SUM(E76+H76+K76+N76+Q76)</f>
        <v>372</v>
      </c>
      <c r="C76" s="204">
        <f t="shared" si="5"/>
        <v>0.87356753710313739</v>
      </c>
      <c r="E76" s="833">
        <v>153</v>
      </c>
      <c r="F76" s="204">
        <f t="shared" si="10"/>
        <v>41.12903225806452</v>
      </c>
      <c r="G76" s="833"/>
      <c r="H76" s="834">
        <v>138</v>
      </c>
      <c r="I76" s="73">
        <f t="shared" si="11"/>
        <v>37.096774193548384</v>
      </c>
      <c r="J76" s="834"/>
      <c r="K76" s="834">
        <v>79</v>
      </c>
      <c r="L76" s="73">
        <f t="shared" si="12"/>
        <v>21.236559139784948</v>
      </c>
      <c r="M76" s="834"/>
      <c r="N76" s="834">
        <v>2</v>
      </c>
      <c r="O76" s="73">
        <f t="shared" ref="O76:O105" si="13">IF($A76&lt;&gt;"",N76/$B76*100,"")</f>
        <v>0.53763440860215062</v>
      </c>
      <c r="P76" s="834"/>
      <c r="Q76" s="834">
        <v>0</v>
      </c>
      <c r="R76" s="73">
        <f t="shared" si="4"/>
        <v>0</v>
      </c>
    </row>
    <row r="77" spans="1:18" ht="12" customHeight="1">
      <c r="A77" s="95" t="s">
        <v>213</v>
      </c>
      <c r="B77" s="58">
        <f>SUM(E77+H77+K77+N77+Q77)</f>
        <v>461</v>
      </c>
      <c r="C77" s="204">
        <f t="shared" si="5"/>
        <v>1.0825662220552321</v>
      </c>
      <c r="E77" s="833">
        <v>211</v>
      </c>
      <c r="F77" s="204">
        <f t="shared" si="10"/>
        <v>45.770065075921906</v>
      </c>
      <c r="G77" s="833"/>
      <c r="H77" s="834">
        <v>228</v>
      </c>
      <c r="I77" s="73">
        <f t="shared" si="11"/>
        <v>49.457700650759215</v>
      </c>
      <c r="J77" s="834"/>
      <c r="K77" s="834">
        <v>22</v>
      </c>
      <c r="L77" s="73">
        <f t="shared" si="12"/>
        <v>4.7722342733188716</v>
      </c>
      <c r="M77" s="834"/>
      <c r="N77" s="834">
        <v>0</v>
      </c>
      <c r="O77" s="73">
        <f t="shared" si="13"/>
        <v>0</v>
      </c>
      <c r="P77" s="834"/>
      <c r="Q77" s="834">
        <v>0</v>
      </c>
      <c r="R77" s="73">
        <f t="shared" si="4"/>
        <v>0</v>
      </c>
    </row>
    <row r="78" spans="1:18" ht="12" customHeight="1">
      <c r="A78" s="95" t="s">
        <v>214</v>
      </c>
      <c r="B78" s="58">
        <f>SUM(E78+H78+K78+N78+Q78)</f>
        <v>395</v>
      </c>
      <c r="C78" s="204">
        <f t="shared" si="5"/>
        <v>0.92757843321435285</v>
      </c>
      <c r="E78" s="833">
        <v>167</v>
      </c>
      <c r="F78" s="204">
        <f t="shared" si="10"/>
        <v>42.278481012658226</v>
      </c>
      <c r="G78" s="833"/>
      <c r="H78" s="834">
        <v>197</v>
      </c>
      <c r="I78" s="73">
        <f t="shared" si="11"/>
        <v>49.87341772151899</v>
      </c>
      <c r="J78" s="834"/>
      <c r="K78" s="834">
        <v>31</v>
      </c>
      <c r="L78" s="73">
        <f t="shared" si="12"/>
        <v>7.8481012658227849</v>
      </c>
      <c r="M78" s="834"/>
      <c r="N78" s="834">
        <v>0</v>
      </c>
      <c r="O78" s="73">
        <f t="shared" si="13"/>
        <v>0</v>
      </c>
      <c r="P78" s="834"/>
      <c r="Q78" s="834">
        <v>0</v>
      </c>
      <c r="R78" s="73">
        <f t="shared" ref="R78:R105" si="14">IF($A78&lt;&gt;"",Q78/$B78*100,"")</f>
        <v>0</v>
      </c>
    </row>
    <row r="79" spans="1:18" ht="12" customHeight="1">
      <c r="A79" s="95" t="s">
        <v>215</v>
      </c>
      <c r="B79" s="58">
        <f>SUM(E79+H79+K79+N79+Q79)</f>
        <v>250</v>
      </c>
      <c r="C79" s="204">
        <f t="shared" si="5"/>
        <v>0.58707495773060314</v>
      </c>
      <c r="E79" s="833">
        <v>64</v>
      </c>
      <c r="F79" s="204">
        <f t="shared" si="10"/>
        <v>25.6</v>
      </c>
      <c r="G79" s="833"/>
      <c r="H79" s="834">
        <v>95</v>
      </c>
      <c r="I79" s="73">
        <f t="shared" si="11"/>
        <v>38</v>
      </c>
      <c r="J79" s="834"/>
      <c r="K79" s="834">
        <v>89</v>
      </c>
      <c r="L79" s="73">
        <f t="shared" si="12"/>
        <v>35.6</v>
      </c>
      <c r="M79" s="834"/>
      <c r="N79" s="834">
        <v>2</v>
      </c>
      <c r="O79" s="73">
        <f t="shared" si="13"/>
        <v>0.8</v>
      </c>
      <c r="P79" s="834"/>
      <c r="Q79" s="834">
        <v>0</v>
      </c>
      <c r="R79" s="73">
        <f t="shared" si="14"/>
        <v>0</v>
      </c>
    </row>
    <row r="80" spans="1:18" ht="12" customHeight="1">
      <c r="F80" s="204" t="str">
        <f t="shared" si="10"/>
        <v/>
      </c>
      <c r="I80" s="73" t="str">
        <f t="shared" si="11"/>
        <v/>
      </c>
      <c r="L80" s="73" t="str">
        <f t="shared" si="12"/>
        <v/>
      </c>
      <c r="O80" s="73" t="str">
        <f t="shared" si="13"/>
        <v/>
      </c>
      <c r="R80" s="73" t="str">
        <f t="shared" si="14"/>
        <v/>
      </c>
    </row>
    <row r="81" spans="1:19" ht="12" customHeight="1">
      <c r="A81" s="55" t="s">
        <v>216</v>
      </c>
      <c r="B81" s="58">
        <f>SUM(B82)</f>
        <v>6522</v>
      </c>
      <c r="C81" s="204">
        <f t="shared" si="5"/>
        <v>15.315611497275972</v>
      </c>
      <c r="E81" s="72">
        <f>SUM(E82)</f>
        <v>2531</v>
      </c>
      <c r="F81" s="204">
        <f t="shared" si="10"/>
        <v>38.807114382091385</v>
      </c>
      <c r="H81" s="72">
        <f>SUM(H82)</f>
        <v>2824</v>
      </c>
      <c r="I81" s="73">
        <f t="shared" si="11"/>
        <v>43.299601349279357</v>
      </c>
      <c r="K81" s="72">
        <f>SUM(K82)</f>
        <v>1163</v>
      </c>
      <c r="L81" s="73">
        <f t="shared" si="12"/>
        <v>17.831953388531126</v>
      </c>
      <c r="N81" s="72">
        <f>SUM(N82)</f>
        <v>4</v>
      </c>
      <c r="O81" s="73">
        <f t="shared" si="13"/>
        <v>6.1330880098129412E-2</v>
      </c>
      <c r="Q81" s="72">
        <f>SUM(Q82)</f>
        <v>0</v>
      </c>
      <c r="R81" s="73">
        <f t="shared" si="14"/>
        <v>0</v>
      </c>
    </row>
    <row r="82" spans="1:19" ht="12" customHeight="1">
      <c r="A82" s="95" t="s">
        <v>217</v>
      </c>
      <c r="B82" s="58">
        <f t="shared" ref="B82:B92" si="15">SUM(E82+H82+K82+N82+Q82)</f>
        <v>6522</v>
      </c>
      <c r="C82" s="204">
        <f t="shared" ref="C82:C105" si="16">IF(A82&lt;&gt;0,B82/$B$11*100,"")</f>
        <v>15.315611497275972</v>
      </c>
      <c r="E82" s="72">
        <f>SUM(E83:E91)</f>
        <v>2531</v>
      </c>
      <c r="F82" s="204">
        <f t="shared" si="10"/>
        <v>38.807114382091385</v>
      </c>
      <c r="G82" s="33" t="s">
        <v>128</v>
      </c>
      <c r="H82" s="72">
        <f>SUM(H83:H91)</f>
        <v>2824</v>
      </c>
      <c r="I82" s="73">
        <f t="shared" si="11"/>
        <v>43.299601349279357</v>
      </c>
      <c r="J82" s="33" t="s">
        <v>128</v>
      </c>
      <c r="K82" s="72">
        <f>SUM(K83:K91)</f>
        <v>1163</v>
      </c>
      <c r="L82" s="73">
        <f t="shared" si="12"/>
        <v>17.831953388531126</v>
      </c>
      <c r="M82" s="33" t="s">
        <v>128</v>
      </c>
      <c r="N82" s="33">
        <f>SUM(N83:N91)</f>
        <v>4</v>
      </c>
      <c r="O82" s="73">
        <f t="shared" si="13"/>
        <v>6.1330880098129412E-2</v>
      </c>
      <c r="P82" s="33" t="s">
        <v>128</v>
      </c>
      <c r="Q82" s="33">
        <f>SUM(Q83:Q91)</f>
        <v>0</v>
      </c>
      <c r="R82" s="73">
        <f t="shared" si="14"/>
        <v>0</v>
      </c>
    </row>
    <row r="83" spans="1:19" ht="12" customHeight="1">
      <c r="A83" s="95" t="s">
        <v>415</v>
      </c>
      <c r="B83" s="58">
        <f t="shared" si="15"/>
        <v>533</v>
      </c>
      <c r="C83" s="204">
        <f t="shared" si="16"/>
        <v>1.2516438098816456</v>
      </c>
      <c r="E83" s="833">
        <v>242</v>
      </c>
      <c r="F83" s="204">
        <f t="shared" si="10"/>
        <v>45.40337711069418</v>
      </c>
      <c r="G83" s="833"/>
      <c r="H83" s="834">
        <v>244</v>
      </c>
      <c r="I83" s="73">
        <f t="shared" si="11"/>
        <v>45.778611632270163</v>
      </c>
      <c r="J83" s="834"/>
      <c r="K83" s="834">
        <v>47</v>
      </c>
      <c r="L83" s="73">
        <f t="shared" si="12"/>
        <v>8.8180112570356481</v>
      </c>
      <c r="M83" s="834"/>
      <c r="N83" s="834">
        <v>0</v>
      </c>
      <c r="O83" s="73">
        <f t="shared" si="13"/>
        <v>0</v>
      </c>
      <c r="P83" s="834"/>
      <c r="Q83" s="834">
        <v>0</v>
      </c>
      <c r="R83" s="73">
        <f t="shared" si="14"/>
        <v>0</v>
      </c>
    </row>
    <row r="84" spans="1:19" ht="12" customHeight="1">
      <c r="A84" s="95" t="s">
        <v>218</v>
      </c>
      <c r="B84" s="58">
        <f t="shared" si="15"/>
        <v>942</v>
      </c>
      <c r="C84" s="204">
        <f t="shared" si="16"/>
        <v>2.2120984407289122</v>
      </c>
      <c r="E84" s="833">
        <v>344</v>
      </c>
      <c r="F84" s="204">
        <f t="shared" si="10"/>
        <v>36.518046709129507</v>
      </c>
      <c r="G84" s="833"/>
      <c r="H84" s="834">
        <v>404</v>
      </c>
      <c r="I84" s="73">
        <f t="shared" si="11"/>
        <v>42.887473460721871</v>
      </c>
      <c r="J84" s="834"/>
      <c r="K84" s="834">
        <v>192</v>
      </c>
      <c r="L84" s="73">
        <f t="shared" si="12"/>
        <v>20.382165605095544</v>
      </c>
      <c r="M84" s="834"/>
      <c r="N84" s="834">
        <v>2</v>
      </c>
      <c r="O84" s="73">
        <f t="shared" si="13"/>
        <v>0.21231422505307856</v>
      </c>
      <c r="P84" s="834"/>
      <c r="Q84" s="834">
        <v>0</v>
      </c>
      <c r="R84" s="73">
        <f t="shared" si="14"/>
        <v>0</v>
      </c>
    </row>
    <row r="85" spans="1:19" ht="12" customHeight="1">
      <c r="A85" s="95" t="s">
        <v>220</v>
      </c>
      <c r="B85" s="58">
        <f t="shared" si="15"/>
        <v>1200</v>
      </c>
      <c r="C85" s="204">
        <f t="shared" si="16"/>
        <v>2.8179597971068944</v>
      </c>
      <c r="E85" s="833">
        <v>509</v>
      </c>
      <c r="F85" s="204">
        <f t="shared" si="10"/>
        <v>42.416666666666671</v>
      </c>
      <c r="G85" s="833"/>
      <c r="H85" s="834">
        <v>530</v>
      </c>
      <c r="I85" s="73">
        <f t="shared" si="11"/>
        <v>44.166666666666664</v>
      </c>
      <c r="J85" s="834"/>
      <c r="K85" s="834">
        <v>161</v>
      </c>
      <c r="L85" s="73">
        <f t="shared" si="12"/>
        <v>13.416666666666666</v>
      </c>
      <c r="M85" s="834"/>
      <c r="N85" s="834">
        <v>0</v>
      </c>
      <c r="O85" s="73">
        <f t="shared" si="13"/>
        <v>0</v>
      </c>
      <c r="P85" s="834"/>
      <c r="Q85" s="834">
        <v>0</v>
      </c>
      <c r="R85" s="73">
        <f t="shared" si="14"/>
        <v>0</v>
      </c>
    </row>
    <row r="86" spans="1:19" ht="12" customHeight="1">
      <c r="A86" s="95" t="s">
        <v>222</v>
      </c>
      <c r="B86" s="58">
        <f t="shared" si="15"/>
        <v>552</v>
      </c>
      <c r="C86" s="204">
        <f t="shared" si="16"/>
        <v>1.2962615066691714</v>
      </c>
      <c r="E86" s="833">
        <v>153</v>
      </c>
      <c r="F86" s="204">
        <f t="shared" si="10"/>
        <v>27.717391304347828</v>
      </c>
      <c r="G86" s="833"/>
      <c r="H86" s="834">
        <v>186</v>
      </c>
      <c r="I86" s="73">
        <f t="shared" si="11"/>
        <v>33.695652173913047</v>
      </c>
      <c r="J86" s="834"/>
      <c r="K86" s="834">
        <v>211</v>
      </c>
      <c r="L86" s="73">
        <f t="shared" si="12"/>
        <v>38.224637681159415</v>
      </c>
      <c r="M86" s="834"/>
      <c r="N86" s="834">
        <v>2</v>
      </c>
      <c r="O86" s="73">
        <f t="shared" si="13"/>
        <v>0.36231884057971014</v>
      </c>
      <c r="P86" s="834"/>
      <c r="Q86" s="834">
        <v>0</v>
      </c>
      <c r="R86" s="73">
        <f t="shared" si="14"/>
        <v>0</v>
      </c>
    </row>
    <row r="87" spans="1:19" ht="12" customHeight="1">
      <c r="A87" s="95" t="s">
        <v>221</v>
      </c>
      <c r="B87" s="58">
        <f t="shared" si="15"/>
        <v>592</v>
      </c>
      <c r="C87" s="204">
        <f t="shared" si="16"/>
        <v>1.3901934999060681</v>
      </c>
      <c r="E87" s="833">
        <v>209</v>
      </c>
      <c r="F87" s="204">
        <f t="shared" si="10"/>
        <v>35.304054054054049</v>
      </c>
      <c r="G87" s="833"/>
      <c r="H87" s="834">
        <v>238</v>
      </c>
      <c r="I87" s="73">
        <f t="shared" si="11"/>
        <v>40.202702702702702</v>
      </c>
      <c r="J87" s="834"/>
      <c r="K87" s="834">
        <v>145</v>
      </c>
      <c r="L87" s="73">
        <f t="shared" si="12"/>
        <v>24.493243243243242</v>
      </c>
      <c r="M87" s="834"/>
      <c r="N87" s="834">
        <v>0</v>
      </c>
      <c r="O87" s="73">
        <f t="shared" si="13"/>
        <v>0</v>
      </c>
      <c r="P87" s="834"/>
      <c r="Q87" s="834">
        <v>0</v>
      </c>
      <c r="R87" s="73">
        <f t="shared" si="14"/>
        <v>0</v>
      </c>
    </row>
    <row r="88" spans="1:19" ht="12" customHeight="1">
      <c r="A88" s="95" t="s">
        <v>219</v>
      </c>
      <c r="B88" s="58">
        <f t="shared" si="15"/>
        <v>808</v>
      </c>
      <c r="C88" s="204">
        <f t="shared" si="16"/>
        <v>1.897426263385309</v>
      </c>
      <c r="E88" s="833">
        <v>284</v>
      </c>
      <c r="F88" s="204">
        <f t="shared" si="10"/>
        <v>35.148514851485146</v>
      </c>
      <c r="G88" s="833"/>
      <c r="H88" s="834">
        <v>336</v>
      </c>
      <c r="I88" s="73">
        <f t="shared" si="11"/>
        <v>41.584158415841586</v>
      </c>
      <c r="J88" s="834"/>
      <c r="K88" s="834">
        <v>188</v>
      </c>
      <c r="L88" s="73">
        <f t="shared" si="12"/>
        <v>23.267326732673268</v>
      </c>
      <c r="M88" s="834"/>
      <c r="N88" s="834">
        <v>0</v>
      </c>
      <c r="O88" s="73">
        <f t="shared" si="13"/>
        <v>0</v>
      </c>
      <c r="P88" s="834"/>
      <c r="Q88" s="834">
        <v>0</v>
      </c>
      <c r="R88" s="73">
        <f t="shared" si="14"/>
        <v>0</v>
      </c>
    </row>
    <row r="89" spans="1:19" ht="12" customHeight="1">
      <c r="A89" s="95" t="s">
        <v>223</v>
      </c>
      <c r="B89" s="58">
        <f t="shared" si="15"/>
        <v>735</v>
      </c>
      <c r="C89" s="204">
        <f t="shared" si="16"/>
        <v>1.7260003757279727</v>
      </c>
      <c r="E89" s="833">
        <v>316</v>
      </c>
      <c r="F89" s="204">
        <f t="shared" si="10"/>
        <v>42.993197278911566</v>
      </c>
      <c r="G89" s="833"/>
      <c r="H89" s="834">
        <v>348</v>
      </c>
      <c r="I89" s="73">
        <f t="shared" si="11"/>
        <v>47.346938775510203</v>
      </c>
      <c r="J89" s="834"/>
      <c r="K89" s="834">
        <v>71</v>
      </c>
      <c r="L89" s="73">
        <f t="shared" si="12"/>
        <v>9.6598639455782322</v>
      </c>
      <c r="M89" s="834"/>
      <c r="N89" s="834">
        <v>0</v>
      </c>
      <c r="O89" s="73">
        <f t="shared" si="13"/>
        <v>0</v>
      </c>
      <c r="P89" s="834"/>
      <c r="Q89" s="834">
        <v>0</v>
      </c>
      <c r="R89" s="73">
        <f t="shared" si="14"/>
        <v>0</v>
      </c>
    </row>
    <row r="90" spans="1:19" ht="12" customHeight="1">
      <c r="A90" s="95" t="s">
        <v>226</v>
      </c>
      <c r="B90" s="58">
        <f t="shared" si="15"/>
        <v>436</v>
      </c>
      <c r="C90" s="204">
        <f t="shared" si="16"/>
        <v>1.0238587262821719</v>
      </c>
      <c r="E90" s="833">
        <v>187</v>
      </c>
      <c r="F90" s="204">
        <f t="shared" si="10"/>
        <v>42.88990825688073</v>
      </c>
      <c r="G90" s="833"/>
      <c r="H90" s="834">
        <v>202</v>
      </c>
      <c r="I90" s="73">
        <f t="shared" si="11"/>
        <v>46.330275229357795</v>
      </c>
      <c r="J90" s="834"/>
      <c r="K90" s="834">
        <v>47</v>
      </c>
      <c r="L90" s="73">
        <f t="shared" si="12"/>
        <v>10.779816513761469</v>
      </c>
      <c r="M90" s="834"/>
      <c r="N90" s="834">
        <v>0</v>
      </c>
      <c r="O90" s="73">
        <f t="shared" si="13"/>
        <v>0</v>
      </c>
      <c r="P90" s="834"/>
      <c r="Q90" s="834">
        <v>0</v>
      </c>
      <c r="R90" s="73">
        <f t="shared" si="14"/>
        <v>0</v>
      </c>
    </row>
    <row r="91" spans="1:19" ht="12" customHeight="1">
      <c r="A91" s="95" t="s">
        <v>416</v>
      </c>
      <c r="B91" s="58">
        <f t="shared" si="15"/>
        <v>724</v>
      </c>
      <c r="C91" s="204">
        <f t="shared" si="16"/>
        <v>1.7001690775878264</v>
      </c>
      <c r="E91" s="833">
        <v>287</v>
      </c>
      <c r="F91" s="204">
        <f t="shared" si="10"/>
        <v>39.640883977900558</v>
      </c>
      <c r="G91" s="833"/>
      <c r="H91" s="834">
        <v>336</v>
      </c>
      <c r="I91" s="73">
        <f t="shared" si="11"/>
        <v>46.408839779005525</v>
      </c>
      <c r="J91" s="834"/>
      <c r="K91" s="834">
        <v>101</v>
      </c>
      <c r="L91" s="73">
        <f t="shared" si="12"/>
        <v>13.950276243093922</v>
      </c>
      <c r="M91" s="834"/>
      <c r="N91" s="834">
        <v>0</v>
      </c>
      <c r="O91" s="73">
        <f t="shared" si="13"/>
        <v>0</v>
      </c>
      <c r="P91" s="834"/>
      <c r="Q91" s="834">
        <v>0</v>
      </c>
      <c r="R91" s="73">
        <f t="shared" si="14"/>
        <v>0</v>
      </c>
    </row>
    <row r="92" spans="1:19" ht="12" customHeight="1">
      <c r="B92" s="58">
        <f t="shared" si="15"/>
        <v>0</v>
      </c>
      <c r="C92" s="204" t="str">
        <f t="shared" si="16"/>
        <v/>
      </c>
      <c r="E92" s="587"/>
      <c r="F92" s="204" t="str">
        <f t="shared" si="10"/>
        <v/>
      </c>
      <c r="G92" s="587"/>
      <c r="H92" s="587"/>
      <c r="I92" s="73" t="str">
        <f t="shared" si="11"/>
        <v/>
      </c>
      <c r="J92" s="587"/>
      <c r="K92" s="587"/>
      <c r="L92" s="73" t="str">
        <f t="shared" si="12"/>
        <v/>
      </c>
      <c r="M92" s="587"/>
      <c r="N92" s="587"/>
      <c r="O92" s="73" t="str">
        <f t="shared" si="13"/>
        <v/>
      </c>
      <c r="P92" s="587"/>
      <c r="Q92" s="587"/>
      <c r="R92" s="73" t="str">
        <f t="shared" si="14"/>
        <v/>
      </c>
    </row>
    <row r="93" spans="1:19" ht="12" customHeight="1">
      <c r="A93" s="95" t="s">
        <v>534</v>
      </c>
      <c r="B93" s="58">
        <f>SUM(E93+H93+K93+N93+Q93)</f>
        <v>10</v>
      </c>
      <c r="C93" s="204">
        <f t="shared" si="16"/>
        <v>2.3482998309224123E-2</v>
      </c>
      <c r="E93" s="835">
        <v>10</v>
      </c>
      <c r="F93" s="204">
        <f t="shared" si="10"/>
        <v>100</v>
      </c>
      <c r="G93" s="835"/>
      <c r="H93" s="835">
        <v>0</v>
      </c>
      <c r="I93" s="73">
        <f t="shared" si="11"/>
        <v>0</v>
      </c>
      <c r="J93" s="835"/>
      <c r="K93" s="835">
        <v>0</v>
      </c>
      <c r="L93" s="73">
        <f t="shared" si="12"/>
        <v>0</v>
      </c>
      <c r="M93" s="835"/>
      <c r="N93" s="835">
        <v>0</v>
      </c>
      <c r="O93" s="73">
        <f t="shared" si="13"/>
        <v>0</v>
      </c>
      <c r="P93" s="835"/>
      <c r="Q93" s="835">
        <v>0</v>
      </c>
      <c r="R93" s="73">
        <f t="shared" si="14"/>
        <v>0</v>
      </c>
    </row>
    <row r="94" spans="1:19" ht="12" customHeight="1">
      <c r="B94" s="58">
        <f>SUM(E94+H94+K94+N94+Q94)</f>
        <v>0</v>
      </c>
      <c r="C94" s="204" t="str">
        <f t="shared" si="16"/>
        <v/>
      </c>
      <c r="E94" s="214"/>
      <c r="F94" s="204" t="str">
        <f t="shared" si="10"/>
        <v/>
      </c>
      <c r="G94" s="214"/>
      <c r="H94" s="214"/>
      <c r="I94" s="73" t="str">
        <f t="shared" si="11"/>
        <v/>
      </c>
      <c r="J94" s="214"/>
      <c r="K94" s="214"/>
      <c r="L94" s="73" t="str">
        <f t="shared" si="12"/>
        <v/>
      </c>
      <c r="M94" s="214"/>
      <c r="N94" s="214"/>
      <c r="O94" s="73" t="str">
        <f t="shared" si="13"/>
        <v/>
      </c>
      <c r="P94" s="214"/>
      <c r="Q94" s="214"/>
      <c r="R94" s="73" t="str">
        <f t="shared" si="14"/>
        <v/>
      </c>
    </row>
    <row r="95" spans="1:19" ht="12" customHeight="1">
      <c r="A95" s="33" t="s">
        <v>789</v>
      </c>
      <c r="B95" s="58">
        <f>SUM(E95+H95+K95+N95+Q95)</f>
        <v>438</v>
      </c>
      <c r="C95" s="204">
        <f t="shared" si="16"/>
        <v>1.0285553259440166</v>
      </c>
      <c r="E95" s="833">
        <v>128</v>
      </c>
      <c r="F95" s="204">
        <f t="shared" si="10"/>
        <v>29.223744292237441</v>
      </c>
      <c r="G95" s="833"/>
      <c r="H95" s="834">
        <v>205</v>
      </c>
      <c r="I95" s="73">
        <f t="shared" si="11"/>
        <v>46.803652968036531</v>
      </c>
      <c r="J95" s="834"/>
      <c r="K95" s="834">
        <v>105</v>
      </c>
      <c r="L95" s="73">
        <f t="shared" si="12"/>
        <v>23.972602739726025</v>
      </c>
      <c r="M95" s="834"/>
      <c r="N95" s="834">
        <v>0</v>
      </c>
      <c r="O95" s="73">
        <f t="shared" si="13"/>
        <v>0</v>
      </c>
      <c r="P95" s="834"/>
      <c r="Q95" s="834">
        <v>0</v>
      </c>
      <c r="R95" s="73">
        <f t="shared" si="14"/>
        <v>0</v>
      </c>
      <c r="S95" s="228"/>
    </row>
    <row r="96" spans="1:19" ht="12" customHeight="1">
      <c r="A96" s="33" t="s">
        <v>2224</v>
      </c>
      <c r="B96" s="58">
        <f>SUM(E96+H96+K96+N96+Q96)</f>
        <v>755</v>
      </c>
      <c r="C96" s="204">
        <f t="shared" si="16"/>
        <v>1.7729663723464211</v>
      </c>
      <c r="E96" s="833">
        <v>255</v>
      </c>
      <c r="F96" s="204">
        <f t="shared" si="10"/>
        <v>33.774834437086092</v>
      </c>
      <c r="G96" s="833"/>
      <c r="H96" s="834">
        <v>278</v>
      </c>
      <c r="I96" s="73">
        <f t="shared" si="11"/>
        <v>36.821192052980138</v>
      </c>
      <c r="J96" s="834"/>
      <c r="K96" s="834">
        <v>219</v>
      </c>
      <c r="L96" s="73">
        <f t="shared" si="12"/>
        <v>29.006622516556291</v>
      </c>
      <c r="M96" s="834"/>
      <c r="N96" s="834">
        <v>3</v>
      </c>
      <c r="O96" s="73">
        <f t="shared" si="13"/>
        <v>0.39735099337748342</v>
      </c>
      <c r="P96" s="834"/>
      <c r="Q96" s="834">
        <v>0</v>
      </c>
      <c r="R96" s="73">
        <f t="shared" si="14"/>
        <v>0</v>
      </c>
      <c r="S96" s="228"/>
    </row>
    <row r="97" spans="1:19" ht="12" customHeight="1">
      <c r="A97" s="140"/>
      <c r="B97" s="58">
        <f>SUM(E97+H97+K97+N97+Q97)</f>
        <v>0</v>
      </c>
      <c r="C97" s="204" t="str">
        <f t="shared" si="16"/>
        <v/>
      </c>
      <c r="E97" s="95"/>
      <c r="F97" s="204" t="str">
        <f t="shared" si="10"/>
        <v/>
      </c>
      <c r="G97" s="95"/>
      <c r="H97" s="95"/>
      <c r="I97" s="73" t="str">
        <f t="shared" si="11"/>
        <v/>
      </c>
      <c r="J97" s="95"/>
      <c r="K97" s="95"/>
      <c r="L97" s="73" t="str">
        <f t="shared" si="12"/>
        <v/>
      </c>
      <c r="M97" s="95"/>
      <c r="N97" s="95"/>
      <c r="O97" s="73" t="str">
        <f t="shared" si="13"/>
        <v/>
      </c>
      <c r="P97" s="95"/>
      <c r="Q97" s="95"/>
      <c r="R97" s="73" t="str">
        <f t="shared" si="14"/>
        <v/>
      </c>
      <c r="S97" s="95"/>
    </row>
    <row r="98" spans="1:19" ht="12" customHeight="1">
      <c r="A98" s="55" t="s">
        <v>423</v>
      </c>
      <c r="B98" s="58">
        <f t="shared" ref="B98:B103" si="17">SUM(E98+H98+K98+N98+Q98)</f>
        <v>9780</v>
      </c>
      <c r="C98" s="204">
        <f t="shared" si="16"/>
        <v>22.966372346421192</v>
      </c>
      <c r="E98" s="72">
        <f>SUM(E99:E103)</f>
        <v>3320</v>
      </c>
      <c r="F98" s="204">
        <f t="shared" si="10"/>
        <v>33.946830265848668</v>
      </c>
      <c r="G98" s="33" t="s">
        <v>128</v>
      </c>
      <c r="H98" s="72">
        <f>SUM(H99:H103)</f>
        <v>4292</v>
      </c>
      <c r="I98" s="73">
        <f t="shared" si="11"/>
        <v>43.885480572597132</v>
      </c>
      <c r="J98" s="33" t="s">
        <v>128</v>
      </c>
      <c r="K98" s="72">
        <f>SUM(K99:K103)</f>
        <v>2075</v>
      </c>
      <c r="L98" s="73">
        <f t="shared" si="12"/>
        <v>21.216768916155416</v>
      </c>
      <c r="M98" s="33" t="s">
        <v>128</v>
      </c>
      <c r="N98" s="33">
        <f>SUM(N99:N103)</f>
        <v>91</v>
      </c>
      <c r="O98" s="73">
        <f t="shared" si="13"/>
        <v>0.93047034764826186</v>
      </c>
      <c r="P98" s="33" t="s">
        <v>128</v>
      </c>
      <c r="Q98" s="33">
        <f>SUM(Q99:Q103)</f>
        <v>2</v>
      </c>
      <c r="R98" s="73">
        <f t="shared" si="14"/>
        <v>2.0449897750511249E-2</v>
      </c>
    </row>
    <row r="99" spans="1:19" ht="12" customHeight="1">
      <c r="A99" s="95" t="s">
        <v>424</v>
      </c>
      <c r="B99" s="58">
        <f t="shared" si="17"/>
        <v>3003</v>
      </c>
      <c r="C99" s="204">
        <f t="shared" si="16"/>
        <v>7.0519443922600038</v>
      </c>
      <c r="E99" s="834">
        <v>981</v>
      </c>
      <c r="F99" s="204">
        <f t="shared" si="10"/>
        <v>32.667332667332666</v>
      </c>
      <c r="G99" s="834"/>
      <c r="H99" s="834">
        <v>1163</v>
      </c>
      <c r="I99" s="73">
        <f t="shared" si="11"/>
        <v>38.727938727938728</v>
      </c>
      <c r="J99" s="834"/>
      <c r="K99" s="834">
        <v>802</v>
      </c>
      <c r="L99" s="73">
        <f t="shared" si="12"/>
        <v>26.706626706626707</v>
      </c>
      <c r="M99" s="834"/>
      <c r="N99" s="834">
        <v>56</v>
      </c>
      <c r="O99" s="73">
        <f t="shared" si="13"/>
        <v>1.8648018648018647</v>
      </c>
      <c r="P99" s="834"/>
      <c r="Q99" s="834">
        <v>1</v>
      </c>
      <c r="R99" s="73">
        <f t="shared" si="14"/>
        <v>3.3300033300033297E-2</v>
      </c>
      <c r="S99" s="228"/>
    </row>
    <row r="100" spans="1:19" ht="12" customHeight="1">
      <c r="A100" s="95" t="s">
        <v>425</v>
      </c>
      <c r="B100" s="58">
        <f t="shared" si="17"/>
        <v>1995</v>
      </c>
      <c r="C100" s="204">
        <f t="shared" si="16"/>
        <v>4.6848581626902117</v>
      </c>
      <c r="E100" s="834">
        <v>736</v>
      </c>
      <c r="F100" s="204">
        <f t="shared" si="10"/>
        <v>36.892230576441101</v>
      </c>
      <c r="G100" s="834"/>
      <c r="H100" s="834">
        <v>877</v>
      </c>
      <c r="I100" s="73">
        <f t="shared" si="11"/>
        <v>43.959899749373434</v>
      </c>
      <c r="J100" s="834"/>
      <c r="K100" s="834">
        <v>363</v>
      </c>
      <c r="L100" s="73">
        <f t="shared" si="12"/>
        <v>18.195488721804512</v>
      </c>
      <c r="M100" s="834"/>
      <c r="N100" s="834">
        <v>18</v>
      </c>
      <c r="O100" s="73">
        <f t="shared" si="13"/>
        <v>0.90225563909774442</v>
      </c>
      <c r="P100" s="834"/>
      <c r="Q100" s="834">
        <v>1</v>
      </c>
      <c r="R100" s="73">
        <f t="shared" si="14"/>
        <v>5.0125313283208017E-2</v>
      </c>
      <c r="S100" s="228"/>
    </row>
    <row r="101" spans="1:19" ht="12" customHeight="1">
      <c r="A101" s="95" t="s">
        <v>426</v>
      </c>
      <c r="B101" s="58">
        <f t="shared" si="17"/>
        <v>2122</v>
      </c>
      <c r="C101" s="204">
        <f t="shared" si="16"/>
        <v>4.9830922412173591</v>
      </c>
      <c r="E101" s="834">
        <v>751</v>
      </c>
      <c r="F101" s="204">
        <f t="shared" si="10"/>
        <v>35.391140433553254</v>
      </c>
      <c r="G101" s="834"/>
      <c r="H101" s="834">
        <v>940</v>
      </c>
      <c r="I101" s="73">
        <f t="shared" si="11"/>
        <v>44.297832233741751</v>
      </c>
      <c r="J101" s="834"/>
      <c r="K101" s="834">
        <v>426</v>
      </c>
      <c r="L101" s="73">
        <f t="shared" si="12"/>
        <v>20.075400565504243</v>
      </c>
      <c r="M101" s="834"/>
      <c r="N101" s="834">
        <v>5</v>
      </c>
      <c r="O101" s="73">
        <f t="shared" si="13"/>
        <v>0.23562676720075398</v>
      </c>
      <c r="P101" s="834"/>
      <c r="Q101" s="834">
        <v>0</v>
      </c>
      <c r="R101" s="73">
        <f t="shared" si="14"/>
        <v>0</v>
      </c>
      <c r="S101" s="228"/>
    </row>
    <row r="102" spans="1:19" ht="12" customHeight="1">
      <c r="A102" s="95" t="s">
        <v>790</v>
      </c>
      <c r="B102" s="58">
        <f t="shared" si="17"/>
        <v>1324</v>
      </c>
      <c r="C102" s="204">
        <f t="shared" si="16"/>
        <v>3.1091489761412738</v>
      </c>
      <c r="E102" s="834">
        <v>505</v>
      </c>
      <c r="F102" s="204">
        <f t="shared" si="10"/>
        <v>38.141993957703932</v>
      </c>
      <c r="G102" s="834"/>
      <c r="H102" s="834">
        <v>619</v>
      </c>
      <c r="I102" s="73">
        <f t="shared" si="11"/>
        <v>46.75226586102719</v>
      </c>
      <c r="J102" s="834"/>
      <c r="K102" s="834">
        <v>199</v>
      </c>
      <c r="L102" s="73">
        <f t="shared" si="12"/>
        <v>15.030211480362537</v>
      </c>
      <c r="M102" s="834"/>
      <c r="N102" s="834">
        <v>1</v>
      </c>
      <c r="O102" s="73">
        <f t="shared" si="13"/>
        <v>7.5528700906344406E-2</v>
      </c>
      <c r="P102" s="834"/>
      <c r="Q102" s="834">
        <v>0</v>
      </c>
      <c r="R102" s="73">
        <f t="shared" si="14"/>
        <v>0</v>
      </c>
      <c r="S102" s="228"/>
    </row>
    <row r="103" spans="1:19" ht="12" customHeight="1">
      <c r="A103" s="95" t="s">
        <v>587</v>
      </c>
      <c r="B103" s="58">
        <f t="shared" si="17"/>
        <v>1336</v>
      </c>
      <c r="C103" s="204">
        <f t="shared" si="16"/>
        <v>3.1373285741123427</v>
      </c>
      <c r="E103" s="833">
        <v>347</v>
      </c>
      <c r="F103" s="204">
        <f t="shared" si="10"/>
        <v>25.973053892215571</v>
      </c>
      <c r="G103" s="833"/>
      <c r="H103" s="834">
        <v>693</v>
      </c>
      <c r="I103" s="73">
        <f t="shared" si="11"/>
        <v>51.871257485029943</v>
      </c>
      <c r="J103" s="834"/>
      <c r="K103" s="834">
        <v>285</v>
      </c>
      <c r="L103" s="73">
        <f t="shared" si="12"/>
        <v>21.332335329341319</v>
      </c>
      <c r="M103" s="834"/>
      <c r="N103" s="834">
        <v>11</v>
      </c>
      <c r="O103" s="73">
        <f t="shared" si="13"/>
        <v>0.82335329341317376</v>
      </c>
      <c r="P103" s="834"/>
      <c r="Q103" s="834">
        <v>0</v>
      </c>
      <c r="R103" s="73">
        <f t="shared" si="14"/>
        <v>0</v>
      </c>
      <c r="S103" s="228"/>
    </row>
    <row r="104" spans="1:19" ht="12" customHeight="1">
      <c r="C104" s="204" t="str">
        <f t="shared" si="16"/>
        <v/>
      </c>
      <c r="E104" s="214"/>
      <c r="F104" s="204" t="str">
        <f t="shared" si="10"/>
        <v/>
      </c>
      <c r="G104" s="214"/>
      <c r="H104" s="214"/>
      <c r="I104" s="73" t="str">
        <f t="shared" si="11"/>
        <v/>
      </c>
      <c r="J104" s="214"/>
      <c r="K104" s="214"/>
      <c r="L104" s="73" t="str">
        <f t="shared" si="12"/>
        <v/>
      </c>
      <c r="M104" s="214"/>
      <c r="N104" s="214"/>
      <c r="O104" s="73" t="str">
        <f t="shared" si="13"/>
        <v/>
      </c>
      <c r="P104" s="214"/>
      <c r="Q104" s="214"/>
      <c r="R104" s="73" t="str">
        <f t="shared" si="14"/>
        <v/>
      </c>
    </row>
    <row r="105" spans="1:19" ht="12" customHeight="1">
      <c r="A105" s="95" t="s">
        <v>700</v>
      </c>
      <c r="B105" s="58">
        <f>SUM(E105+H105+K105+N105+Q105)</f>
        <v>164</v>
      </c>
      <c r="C105" s="204">
        <f t="shared" si="16"/>
        <v>0.38512117227127562</v>
      </c>
      <c r="E105" s="202">
        <v>117</v>
      </c>
      <c r="F105" s="204">
        <f t="shared" si="10"/>
        <v>71.341463414634148</v>
      </c>
      <c r="G105" s="202"/>
      <c r="H105" s="202">
        <v>47</v>
      </c>
      <c r="I105" s="73">
        <f t="shared" si="11"/>
        <v>28.658536585365852</v>
      </c>
      <c r="J105" s="202"/>
      <c r="K105" s="202">
        <v>0</v>
      </c>
      <c r="L105" s="73">
        <f t="shared" si="12"/>
        <v>0</v>
      </c>
      <c r="M105" s="202"/>
      <c r="N105" s="202">
        <v>0</v>
      </c>
      <c r="O105" s="73">
        <f t="shared" si="13"/>
        <v>0</v>
      </c>
      <c r="P105" s="202"/>
      <c r="Q105" s="202">
        <v>0</v>
      </c>
      <c r="R105" s="73">
        <f t="shared" si="14"/>
        <v>0</v>
      </c>
    </row>
    <row r="106" spans="1:19" ht="9.75" customHeight="1" thickBot="1">
      <c r="A106" s="102"/>
      <c r="B106" s="197"/>
      <c r="C106" s="226"/>
      <c r="D106" s="199"/>
      <c r="E106" s="200"/>
      <c r="F106" s="198"/>
      <c r="G106" s="199"/>
      <c r="H106" s="200"/>
      <c r="I106" s="198"/>
      <c r="J106" s="199"/>
      <c r="K106" s="200"/>
      <c r="L106" s="198"/>
      <c r="M106" s="199"/>
      <c r="N106" s="199"/>
      <c r="O106" s="198"/>
      <c r="P106" s="199"/>
      <c r="Q106" s="199"/>
      <c r="R106" s="198"/>
      <c r="S106" s="198"/>
    </row>
    <row r="107" spans="1:19" ht="5.25" customHeight="1">
      <c r="A107" s="116"/>
      <c r="B107" s="190"/>
      <c r="C107" s="223"/>
      <c r="D107" s="57"/>
      <c r="E107" s="201"/>
      <c r="F107" s="191"/>
      <c r="G107" s="57"/>
      <c r="H107" s="201"/>
      <c r="I107" s="191"/>
      <c r="J107" s="57"/>
      <c r="K107" s="201"/>
      <c r="L107" s="191"/>
      <c r="M107" s="57"/>
      <c r="N107" s="57"/>
      <c r="O107" s="191"/>
      <c r="P107" s="57"/>
      <c r="Q107" s="57"/>
      <c r="R107" s="191"/>
    </row>
    <row r="108" spans="1:19" ht="11.25" customHeight="1">
      <c r="A108" s="116" t="s">
        <v>1925</v>
      </c>
      <c r="B108" s="190"/>
      <c r="C108" s="223"/>
      <c r="D108" s="57"/>
      <c r="E108" s="201"/>
      <c r="F108" s="191"/>
      <c r="G108" s="57"/>
      <c r="H108" s="201"/>
      <c r="I108" s="191"/>
      <c r="J108" s="57"/>
      <c r="K108" s="201"/>
      <c r="L108" s="191"/>
      <c r="M108" s="57"/>
      <c r="N108" s="57"/>
      <c r="O108" s="191"/>
      <c r="P108" s="57"/>
      <c r="Q108" s="57"/>
      <c r="R108" s="191"/>
    </row>
    <row r="109" spans="1:19" ht="15">
      <c r="A109" s="203" t="s">
        <v>791</v>
      </c>
      <c r="N109" s="72"/>
      <c r="Q109" s="72"/>
    </row>
    <row r="110" spans="1:19" ht="9" customHeight="1">
      <c r="A110" s="95" t="s">
        <v>128</v>
      </c>
    </row>
    <row r="111" spans="1:19">
      <c r="A111" s="14" t="s">
        <v>1922</v>
      </c>
    </row>
    <row r="112" spans="1:19">
      <c r="A112" s="111" t="s">
        <v>452</v>
      </c>
    </row>
    <row r="119" spans="1:19">
      <c r="A119" s="105"/>
    </row>
    <row r="125" spans="1:19" s="234" customFormat="1">
      <c r="B125" s="229"/>
      <c r="C125" s="230"/>
      <c r="D125" s="231"/>
      <c r="E125" s="232"/>
      <c r="F125" s="233"/>
      <c r="G125" s="231"/>
      <c r="H125" s="232"/>
      <c r="I125" s="233"/>
      <c r="J125" s="231"/>
      <c r="K125" s="232"/>
      <c r="L125" s="233"/>
      <c r="M125" s="231"/>
      <c r="N125" s="231"/>
      <c r="O125" s="233"/>
      <c r="P125" s="231"/>
      <c r="Q125" s="231"/>
      <c r="R125" s="233"/>
      <c r="S125" s="231"/>
    </row>
    <row r="126" spans="1:19" s="234" customFormat="1">
      <c r="B126" s="229"/>
      <c r="C126" s="230"/>
      <c r="D126" s="231"/>
      <c r="E126" s="232"/>
      <c r="F126" s="233"/>
      <c r="G126" s="231"/>
      <c r="H126" s="232"/>
      <c r="I126" s="233"/>
      <c r="J126" s="231"/>
      <c r="K126" s="232"/>
      <c r="L126" s="233"/>
      <c r="M126" s="231"/>
      <c r="N126" s="231"/>
      <c r="O126" s="233"/>
      <c r="P126" s="231"/>
      <c r="Q126" s="231"/>
      <c r="R126" s="233"/>
      <c r="S126" s="231"/>
    </row>
    <row r="127" spans="1:19" s="234" customFormat="1">
      <c r="B127" s="229"/>
      <c r="C127" s="230"/>
      <c r="D127" s="231"/>
      <c r="E127" s="232"/>
      <c r="F127" s="233"/>
      <c r="G127" s="231"/>
      <c r="H127" s="232"/>
      <c r="I127" s="233"/>
      <c r="J127" s="231"/>
      <c r="K127" s="232"/>
      <c r="L127" s="233"/>
      <c r="M127" s="231"/>
      <c r="N127" s="231"/>
      <c r="O127" s="233"/>
      <c r="P127" s="231"/>
      <c r="Q127" s="231"/>
      <c r="R127" s="233"/>
      <c r="S127" s="231"/>
    </row>
  </sheetData>
  <conditionalFormatting sqref="B11:R105">
    <cfRule type="cellIs" dxfId="67" priority="1" operator="equal">
      <formula>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107"/>
  <sheetViews>
    <sheetView workbookViewId="0">
      <selection activeCell="A2" sqref="A2"/>
    </sheetView>
  </sheetViews>
  <sheetFormatPr baseColWidth="10" defaultColWidth="8.83203125" defaultRowHeight="13"/>
  <cols>
    <col min="1" max="1" width="35.6640625" style="95" customWidth="1"/>
    <col min="2" max="2" width="8.33203125" style="58" customWidth="1"/>
    <col min="3" max="3" width="2.5" style="72" customWidth="1"/>
    <col min="4" max="4" width="8.33203125" style="73" customWidth="1"/>
    <col min="5" max="5" width="2.6640625" style="33" customWidth="1"/>
    <col min="6" max="6" width="8.5" style="72" customWidth="1"/>
    <col min="7" max="7" width="8.33203125" style="73" customWidth="1"/>
    <col min="8" max="8" width="2.6640625" style="33" customWidth="1"/>
    <col min="9" max="9" width="8.33203125" style="72" customWidth="1"/>
    <col min="10" max="10" width="8.3320312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105" customWidth="1"/>
    <col min="17" max="17" width="2.6640625" style="95" customWidth="1"/>
    <col min="18"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6" width="8.3320312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2" width="8.3320312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8" width="8.3320312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4" width="8.3320312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90" width="8.3320312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6" width="8.3320312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2" width="8.3320312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8" width="8.3320312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4" width="8.3320312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70" width="8.3320312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6" width="8.3320312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2" width="8.3320312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8" width="8.3320312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4" width="8.3320312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50" width="8.3320312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6" width="8.3320312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2" width="8.3320312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8" width="8.3320312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4" width="8.3320312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30" width="8.3320312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6" width="8.3320312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2" width="8.3320312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8" width="8.3320312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4" width="8.3320312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10" width="8.3320312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6" width="8.3320312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2" width="8.3320312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8" width="8.3320312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4" width="8.3320312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90" width="8.3320312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6" width="8.3320312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2" width="8.3320312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8" width="8.3320312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4" width="8.3320312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70" width="8.3320312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6" width="8.3320312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2" width="8.3320312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8" width="8.3320312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4" width="8.3320312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50" width="8.3320312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6" width="8.3320312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2" width="8.3320312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8" width="8.3320312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4" width="8.3320312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30" width="8.3320312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6" width="8.3320312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2" width="8.3320312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8" width="8.3320312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4" width="8.3320312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10" width="8.3320312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6" width="8.3320312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2" width="8.3320312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8" width="8.3320312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4" width="8.3320312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90" width="8.3320312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6" width="8.3320312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2" width="8.3320312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8" width="8.3320312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4" width="8.3320312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70" width="8.3320312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6" width="8.3320312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2" width="8.3320312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8" width="8.3320312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384" width="8.83203125" style="95"/>
  </cols>
  <sheetData>
    <row r="1" spans="1:17">
      <c r="A1" s="95" t="s">
        <v>388</v>
      </c>
      <c r="G1" s="33"/>
      <c r="I1" s="33"/>
    </row>
    <row r="2" spans="1:17">
      <c r="A2" s="95" t="s">
        <v>389</v>
      </c>
    </row>
    <row r="3" spans="1:17" ht="6" customHeight="1"/>
    <row r="4" spans="1:17">
      <c r="A4" s="33" t="s">
        <v>2226</v>
      </c>
    </row>
    <row r="5" spans="1:17" ht="9.75" customHeight="1" thickBot="1"/>
    <row r="6" spans="1:17" ht="8.25" customHeight="1">
      <c r="A6" s="97"/>
      <c r="B6" s="186"/>
      <c r="C6" s="189"/>
      <c r="D6" s="187"/>
      <c r="E6" s="188"/>
      <c r="F6" s="189"/>
      <c r="G6" s="187"/>
      <c r="H6" s="188"/>
      <c r="I6" s="189"/>
      <c r="J6" s="187"/>
      <c r="K6" s="188"/>
      <c r="L6" s="189"/>
      <c r="M6" s="187"/>
      <c r="N6" s="188"/>
      <c r="O6" s="189"/>
      <c r="P6" s="99"/>
      <c r="Q6" s="97"/>
    </row>
    <row r="7" spans="1:17" ht="15">
      <c r="A7" s="116" t="s">
        <v>792</v>
      </c>
      <c r="B7" s="1021" t="s">
        <v>497</v>
      </c>
      <c r="C7" s="1021"/>
      <c r="D7" s="1021"/>
      <c r="E7" s="57"/>
      <c r="F7" s="201" t="s">
        <v>703</v>
      </c>
      <c r="G7" s="191"/>
      <c r="H7" s="57"/>
      <c r="I7" s="201" t="s">
        <v>704</v>
      </c>
      <c r="J7" s="191"/>
      <c r="K7" s="57"/>
      <c r="L7" s="201" t="s">
        <v>793</v>
      </c>
      <c r="M7" s="191"/>
      <c r="N7" s="57"/>
      <c r="O7" s="201" t="s">
        <v>794</v>
      </c>
      <c r="P7" s="135"/>
      <c r="Q7" s="116"/>
    </row>
    <row r="8" spans="1:17">
      <c r="A8" s="116" t="s">
        <v>795</v>
      </c>
      <c r="B8" s="194" t="s">
        <v>400</v>
      </c>
      <c r="C8" s="196"/>
      <c r="D8" s="195" t="s">
        <v>401</v>
      </c>
      <c r="E8" s="57"/>
      <c r="F8" s="196" t="s">
        <v>400</v>
      </c>
      <c r="G8" s="195" t="s">
        <v>401</v>
      </c>
      <c r="H8" s="57"/>
      <c r="I8" s="196" t="s">
        <v>400</v>
      </c>
      <c r="J8" s="195" t="s">
        <v>401</v>
      </c>
      <c r="K8" s="57"/>
      <c r="L8" s="196" t="s">
        <v>400</v>
      </c>
      <c r="M8" s="195" t="s">
        <v>401</v>
      </c>
      <c r="N8" s="57"/>
      <c r="O8" s="196" t="s">
        <v>400</v>
      </c>
      <c r="P8" s="101" t="s">
        <v>401</v>
      </c>
      <c r="Q8" s="116"/>
    </row>
    <row r="9" spans="1:17" ht="9.75" customHeight="1" thickBot="1">
      <c r="A9" s="102"/>
      <c r="B9" s="197"/>
      <c r="C9" s="200"/>
      <c r="D9" s="198"/>
      <c r="E9" s="199"/>
      <c r="F9" s="200"/>
      <c r="G9" s="198"/>
      <c r="H9" s="199"/>
      <c r="I9" s="200"/>
      <c r="J9" s="198"/>
      <c r="K9" s="199"/>
      <c r="L9" s="200"/>
      <c r="M9" s="198"/>
      <c r="N9" s="199"/>
      <c r="O9" s="200"/>
      <c r="P9" s="96"/>
      <c r="Q9" s="102"/>
    </row>
    <row r="10" spans="1:17" ht="10" customHeight="1">
      <c r="A10" s="116"/>
      <c r="B10" s="235"/>
      <c r="C10" s="201"/>
      <c r="D10" s="191"/>
      <c r="E10" s="57"/>
      <c r="F10" s="201"/>
      <c r="G10" s="191"/>
      <c r="H10" s="57"/>
      <c r="I10" s="201"/>
      <c r="J10" s="191"/>
      <c r="K10" s="57"/>
      <c r="L10" s="201"/>
      <c r="M10" s="191"/>
      <c r="N10" s="57"/>
      <c r="O10" s="201"/>
      <c r="P10" s="135"/>
      <c r="Q10" s="116"/>
    </row>
    <row r="11" spans="1:17" ht="13.25" customHeight="1">
      <c r="A11" s="55" t="s">
        <v>290</v>
      </c>
      <c r="B11" s="306">
        <f>IF($A11&lt;&gt;0,F11+I11+L11+O11,"")</f>
        <v>2907</v>
      </c>
      <c r="C11" s="307"/>
      <c r="D11" s="310">
        <f>IF($A11&lt;&gt;0,D13+D86,"")</f>
        <v>100.00000000000001</v>
      </c>
      <c r="E11" s="55" t="s">
        <v>128</v>
      </c>
      <c r="F11" s="307">
        <f>IF($A11&lt;&gt;0,F13+F86,"")</f>
        <v>2220</v>
      </c>
      <c r="G11" s="308">
        <f t="shared" ref="G11:G74" si="0">IF($A11&lt;&gt;0,F11/$B11*100,"")</f>
        <v>76.367389060887518</v>
      </c>
      <c r="H11" s="55"/>
      <c r="I11" s="307">
        <f>IF($A11&lt;&gt;0,I13+I86,"")</f>
        <v>603</v>
      </c>
      <c r="J11" s="308">
        <f t="shared" ref="J11:J74" si="1">IF($A11&lt;&gt;0,I11/$B11*100,"")</f>
        <v>20.743034055727556</v>
      </c>
      <c r="K11" s="55"/>
      <c r="L11" s="307">
        <f>IF($A11&lt;&gt;0,L13+L86,"")</f>
        <v>79</v>
      </c>
      <c r="M11" s="308">
        <f t="shared" ref="M11:M74" si="2">IF($A11&lt;&gt;0,L11/$B11*100,"")</f>
        <v>2.7175782593739251</v>
      </c>
      <c r="N11" s="55"/>
      <c r="O11" s="307">
        <f>IF($A11&lt;&gt;0,O13+O86,"")</f>
        <v>5</v>
      </c>
      <c r="P11" s="308">
        <f>IF($A11&lt;&gt;0,O11/$B11*100,"")</f>
        <v>0.17199862401100791</v>
      </c>
    </row>
    <row r="12" spans="1:17" ht="10" customHeight="1">
      <c r="A12" s="55"/>
      <c r="B12" s="306" t="str">
        <f t="shared" ref="B12:B75" si="3">IF($A12&lt;&gt;0,F12+I12+L12+O12,"")</f>
        <v/>
      </c>
      <c r="C12" s="307"/>
      <c r="D12" s="308"/>
      <c r="E12" s="55"/>
      <c r="F12" s="307"/>
      <c r="G12" s="308" t="str">
        <f t="shared" si="0"/>
        <v/>
      </c>
      <c r="H12" s="55"/>
      <c r="I12" s="307"/>
      <c r="J12" s="308" t="str">
        <f t="shared" si="1"/>
        <v/>
      </c>
      <c r="K12" s="55"/>
      <c r="L12" s="307"/>
      <c r="M12" s="308" t="str">
        <f t="shared" si="2"/>
        <v/>
      </c>
      <c r="N12" s="55"/>
      <c r="O12" s="307"/>
      <c r="P12" s="308" t="str">
        <f t="shared" ref="P12:P75" si="4">IF($A12&lt;&gt;0,O12/$B12*100,"")</f>
        <v/>
      </c>
    </row>
    <row r="13" spans="1:17" ht="13.25" customHeight="1">
      <c r="A13" s="55" t="s">
        <v>403</v>
      </c>
      <c r="B13" s="306">
        <f t="shared" si="3"/>
        <v>2747</v>
      </c>
      <c r="C13" s="307"/>
      <c r="D13" s="308">
        <f t="shared" ref="D13:D19" si="5">IF(A13&lt;&gt;0,B13/$B$11*100,"")</f>
        <v>94.496044031647756</v>
      </c>
      <c r="E13" s="55"/>
      <c r="F13" s="307">
        <f>F15+F21+F81</f>
        <v>2089</v>
      </c>
      <c r="G13" s="308">
        <f t="shared" si="0"/>
        <v>76.046596286858389</v>
      </c>
      <c r="H13" s="55"/>
      <c r="I13" s="307">
        <f>I15+I21+I81</f>
        <v>581</v>
      </c>
      <c r="J13" s="308">
        <f t="shared" si="1"/>
        <v>21.150345831816526</v>
      </c>
      <c r="K13" s="55"/>
      <c r="L13" s="307">
        <f>L15+L21+L81</f>
        <v>72</v>
      </c>
      <c r="M13" s="308">
        <f t="shared" si="2"/>
        <v>2.6210411357844925</v>
      </c>
      <c r="N13" s="55"/>
      <c r="O13" s="307">
        <f>O15+O21+O81</f>
        <v>5</v>
      </c>
      <c r="P13" s="308">
        <f t="shared" si="4"/>
        <v>0.18201674554058975</v>
      </c>
    </row>
    <row r="14" spans="1:17" ht="6" customHeight="1">
      <c r="B14" s="58" t="str">
        <f t="shared" si="3"/>
        <v/>
      </c>
      <c r="D14" s="73" t="str">
        <f t="shared" si="5"/>
        <v/>
      </c>
      <c r="G14" s="73" t="str">
        <f t="shared" si="0"/>
        <v/>
      </c>
      <c r="J14" s="73" t="str">
        <f t="shared" si="1"/>
        <v/>
      </c>
      <c r="M14" s="73" t="str">
        <f t="shared" si="2"/>
        <v/>
      </c>
      <c r="P14" s="105" t="str">
        <f t="shared" si="4"/>
        <v/>
      </c>
    </row>
    <row r="15" spans="1:17" ht="13.25" customHeight="1">
      <c r="A15" s="55" t="s">
        <v>709</v>
      </c>
      <c r="B15" s="58">
        <f t="shared" si="3"/>
        <v>94</v>
      </c>
      <c r="D15" s="73">
        <f t="shared" si="5"/>
        <v>3.2335741314069488</v>
      </c>
      <c r="F15" s="72">
        <f>SUM(F16:F19)</f>
        <v>73</v>
      </c>
      <c r="G15" s="73">
        <f t="shared" si="0"/>
        <v>77.659574468085097</v>
      </c>
      <c r="I15" s="72">
        <f>SUM(I16:I19)</f>
        <v>20</v>
      </c>
      <c r="J15" s="73">
        <f t="shared" si="1"/>
        <v>21.276595744680851</v>
      </c>
      <c r="L15" s="72">
        <f>SUM(L16:L19)</f>
        <v>1</v>
      </c>
      <c r="M15" s="73">
        <f t="shared" si="2"/>
        <v>1.0638297872340425</v>
      </c>
      <c r="O15" s="72">
        <f>SUM(O16:O19)</f>
        <v>0</v>
      </c>
      <c r="P15" s="105">
        <f t="shared" si="4"/>
        <v>0</v>
      </c>
    </row>
    <row r="16" spans="1:17" ht="13.25" customHeight="1">
      <c r="A16" s="95" t="s">
        <v>710</v>
      </c>
      <c r="B16" s="58">
        <f t="shared" si="3"/>
        <v>25</v>
      </c>
      <c r="D16" s="73">
        <f t="shared" si="5"/>
        <v>0.85999312005503958</v>
      </c>
      <c r="F16" s="835">
        <v>25</v>
      </c>
      <c r="G16" s="73">
        <f t="shared" si="0"/>
        <v>100</v>
      </c>
      <c r="H16" s="835"/>
      <c r="I16" s="838">
        <v>0</v>
      </c>
      <c r="J16" s="73">
        <f t="shared" si="1"/>
        <v>0</v>
      </c>
      <c r="K16" s="838"/>
      <c r="L16" s="838">
        <v>0</v>
      </c>
      <c r="M16" s="73">
        <f t="shared" si="2"/>
        <v>0</v>
      </c>
      <c r="N16" s="838"/>
      <c r="O16" s="835">
        <v>0</v>
      </c>
      <c r="P16" s="105">
        <f t="shared" si="4"/>
        <v>0</v>
      </c>
      <c r="Q16" s="228"/>
    </row>
    <row r="17" spans="1:17" ht="13.25" customHeight="1">
      <c r="A17" s="95" t="s">
        <v>711</v>
      </c>
      <c r="B17" s="58">
        <f t="shared" si="3"/>
        <v>11</v>
      </c>
      <c r="D17" s="73">
        <f t="shared" si="5"/>
        <v>0.37839697282421741</v>
      </c>
      <c r="F17" s="835">
        <v>3</v>
      </c>
      <c r="G17" s="73">
        <f t="shared" si="0"/>
        <v>27.27272727272727</v>
      </c>
      <c r="H17" s="835"/>
      <c r="I17" s="838">
        <v>7</v>
      </c>
      <c r="J17" s="73">
        <f t="shared" si="1"/>
        <v>63.636363636363633</v>
      </c>
      <c r="K17" s="838"/>
      <c r="L17" s="838">
        <v>1</v>
      </c>
      <c r="M17" s="73">
        <f t="shared" si="2"/>
        <v>9.0909090909090917</v>
      </c>
      <c r="N17" s="838"/>
      <c r="O17" s="835">
        <v>0</v>
      </c>
      <c r="P17" s="105">
        <f t="shared" si="4"/>
        <v>0</v>
      </c>
      <c r="Q17" s="228"/>
    </row>
    <row r="18" spans="1:17" ht="12.75" customHeight="1">
      <c r="A18" s="95" t="s">
        <v>712</v>
      </c>
      <c r="B18" s="58">
        <f t="shared" si="3"/>
        <v>50</v>
      </c>
      <c r="D18" s="73">
        <f t="shared" si="5"/>
        <v>1.7199862401100792</v>
      </c>
      <c r="F18" s="835">
        <v>38</v>
      </c>
      <c r="G18" s="73">
        <f t="shared" si="0"/>
        <v>76</v>
      </c>
      <c r="H18" s="835"/>
      <c r="I18" s="838">
        <v>12</v>
      </c>
      <c r="J18" s="73">
        <f t="shared" si="1"/>
        <v>24</v>
      </c>
      <c r="K18" s="838"/>
      <c r="L18" s="838">
        <v>0</v>
      </c>
      <c r="M18" s="73">
        <f t="shared" si="2"/>
        <v>0</v>
      </c>
      <c r="N18" s="838"/>
      <c r="O18" s="835">
        <v>0</v>
      </c>
      <c r="P18" s="105">
        <f t="shared" si="4"/>
        <v>0</v>
      </c>
      <c r="Q18" s="228"/>
    </row>
    <row r="19" spans="1:17" ht="12.75" customHeight="1">
      <c r="A19" s="95" t="s">
        <v>713</v>
      </c>
      <c r="B19" s="58">
        <f t="shared" si="3"/>
        <v>8</v>
      </c>
      <c r="D19" s="73">
        <f t="shared" si="5"/>
        <v>0.27519779841761266</v>
      </c>
      <c r="F19" s="835">
        <v>7</v>
      </c>
      <c r="G19" s="73">
        <f t="shared" si="0"/>
        <v>87.5</v>
      </c>
      <c r="H19" s="835"/>
      <c r="I19" s="838">
        <v>1</v>
      </c>
      <c r="J19" s="73">
        <f t="shared" si="1"/>
        <v>12.5</v>
      </c>
      <c r="K19" s="838"/>
      <c r="L19" s="838">
        <v>0</v>
      </c>
      <c r="M19" s="73">
        <f t="shared" si="2"/>
        <v>0</v>
      </c>
      <c r="N19" s="838"/>
      <c r="O19" s="835">
        <v>0</v>
      </c>
      <c r="Q19" s="228"/>
    </row>
    <row r="20" spans="1:17" ht="7.5" customHeight="1">
      <c r="B20" s="58" t="str">
        <f t="shared" si="3"/>
        <v/>
      </c>
      <c r="G20" s="73" t="str">
        <f t="shared" si="0"/>
        <v/>
      </c>
      <c r="J20" s="73" t="str">
        <f t="shared" si="1"/>
        <v/>
      </c>
      <c r="M20" s="73" t="str">
        <f t="shared" si="2"/>
        <v/>
      </c>
      <c r="P20" s="105" t="str">
        <f t="shared" si="4"/>
        <v/>
      </c>
    </row>
    <row r="21" spans="1:17" ht="12.75" customHeight="1">
      <c r="A21" s="55" t="s">
        <v>714</v>
      </c>
      <c r="B21" s="306">
        <f t="shared" si="3"/>
        <v>2067</v>
      </c>
      <c r="C21" s="307"/>
      <c r="D21" s="308">
        <f t="shared" ref="D21:D84" si="6">IF(A21&lt;&gt;0,B21/$B$11*100,"")</f>
        <v>71.104231166150669</v>
      </c>
      <c r="E21" s="55"/>
      <c r="F21" s="315">
        <f>SUM(F22:F79)</f>
        <v>1594</v>
      </c>
      <c r="G21" s="308">
        <f t="shared" si="0"/>
        <v>77.116594097726178</v>
      </c>
      <c r="H21" s="68"/>
      <c r="I21" s="315">
        <f>SUM(I22:I79)</f>
        <v>413</v>
      </c>
      <c r="J21" s="308">
        <f t="shared" si="1"/>
        <v>19.980648282535075</v>
      </c>
      <c r="K21" s="315">
        <f>SUM(K22:K77)</f>
        <v>0</v>
      </c>
      <c r="L21" s="315">
        <f>SUM(L22:L79)</f>
        <v>55</v>
      </c>
      <c r="M21" s="308">
        <f t="shared" si="2"/>
        <v>2.6608611514271892</v>
      </c>
      <c r="N21" s="315">
        <f>SUM(N22:N77)</f>
        <v>0</v>
      </c>
      <c r="O21" s="315">
        <f>SUM(O22:O79)</f>
        <v>5</v>
      </c>
      <c r="P21" s="308">
        <f t="shared" si="4"/>
        <v>0.24189646831156267</v>
      </c>
      <c r="Q21" s="116"/>
    </row>
    <row r="22" spans="1:17" ht="13.25" customHeight="1">
      <c r="A22" s="95" t="s">
        <v>715</v>
      </c>
      <c r="B22" s="58">
        <f t="shared" si="3"/>
        <v>74</v>
      </c>
      <c r="D22" s="73">
        <f t="shared" si="6"/>
        <v>2.545579635362917</v>
      </c>
      <c r="F22" s="835">
        <v>49</v>
      </c>
      <c r="G22" s="73">
        <f t="shared" si="0"/>
        <v>66.21621621621621</v>
      </c>
      <c r="H22" s="835"/>
      <c r="I22" s="838">
        <v>24</v>
      </c>
      <c r="J22" s="73">
        <f t="shared" si="1"/>
        <v>32.432432432432435</v>
      </c>
      <c r="K22" s="838"/>
      <c r="L22" s="838">
        <v>1</v>
      </c>
      <c r="M22" s="73">
        <f t="shared" si="2"/>
        <v>1.3513513513513513</v>
      </c>
      <c r="N22" s="838"/>
      <c r="O22" s="835">
        <v>0</v>
      </c>
      <c r="P22" s="105">
        <f t="shared" si="4"/>
        <v>0</v>
      </c>
      <c r="Q22" s="228"/>
    </row>
    <row r="23" spans="1:17" ht="13.25" customHeight="1">
      <c r="A23" s="95" t="s">
        <v>716</v>
      </c>
      <c r="B23" s="58">
        <f t="shared" si="3"/>
        <v>13</v>
      </c>
      <c r="D23" s="73">
        <f t="shared" si="6"/>
        <v>0.44719642242862062</v>
      </c>
      <c r="F23" s="835">
        <v>6</v>
      </c>
      <c r="G23" s="73">
        <f t="shared" si="0"/>
        <v>46.153846153846153</v>
      </c>
      <c r="H23" s="835"/>
      <c r="I23" s="838">
        <v>7</v>
      </c>
      <c r="J23" s="73">
        <f t="shared" si="1"/>
        <v>53.846153846153847</v>
      </c>
      <c r="K23" s="838"/>
      <c r="L23" s="838">
        <v>0</v>
      </c>
      <c r="M23" s="73">
        <f t="shared" si="2"/>
        <v>0</v>
      </c>
      <c r="N23" s="838"/>
      <c r="O23" s="835">
        <v>0</v>
      </c>
      <c r="P23" s="105">
        <f t="shared" si="4"/>
        <v>0</v>
      </c>
      <c r="Q23" s="228"/>
    </row>
    <row r="24" spans="1:17" ht="13.25" customHeight="1">
      <c r="A24" s="95" t="s">
        <v>717</v>
      </c>
      <c r="B24" s="58">
        <f t="shared" si="3"/>
        <v>102</v>
      </c>
      <c r="D24" s="73">
        <f t="shared" si="6"/>
        <v>3.5087719298245612</v>
      </c>
      <c r="F24" s="835">
        <v>94</v>
      </c>
      <c r="G24" s="73">
        <f t="shared" si="0"/>
        <v>92.156862745098039</v>
      </c>
      <c r="H24" s="835"/>
      <c r="I24" s="838">
        <v>8</v>
      </c>
      <c r="J24" s="73">
        <f t="shared" si="1"/>
        <v>7.8431372549019605</v>
      </c>
      <c r="K24" s="838"/>
      <c r="L24" s="838">
        <v>0</v>
      </c>
      <c r="M24" s="73">
        <f t="shared" si="2"/>
        <v>0</v>
      </c>
      <c r="N24" s="838"/>
      <c r="O24" s="835">
        <v>0</v>
      </c>
      <c r="P24" s="105">
        <f t="shared" si="4"/>
        <v>0</v>
      </c>
      <c r="Q24" s="228"/>
    </row>
    <row r="25" spans="1:17" ht="13.25" customHeight="1">
      <c r="A25" s="95" t="s">
        <v>718</v>
      </c>
      <c r="B25" s="58">
        <f t="shared" si="3"/>
        <v>29</v>
      </c>
      <c r="D25" s="73">
        <f t="shared" si="6"/>
        <v>0.99759201926384578</v>
      </c>
      <c r="F25" s="835">
        <v>17</v>
      </c>
      <c r="G25" s="73">
        <f t="shared" si="0"/>
        <v>58.620689655172406</v>
      </c>
      <c r="H25" s="835"/>
      <c r="I25" s="838">
        <v>12</v>
      </c>
      <c r="J25" s="73">
        <f t="shared" si="1"/>
        <v>41.379310344827587</v>
      </c>
      <c r="K25" s="838"/>
      <c r="L25" s="838">
        <v>0</v>
      </c>
      <c r="M25" s="73">
        <f t="shared" si="2"/>
        <v>0</v>
      </c>
      <c r="N25" s="838"/>
      <c r="O25" s="835">
        <v>0</v>
      </c>
      <c r="P25" s="105">
        <f t="shared" si="4"/>
        <v>0</v>
      </c>
      <c r="Q25" s="228"/>
    </row>
    <row r="26" spans="1:17" ht="13.25" customHeight="1">
      <c r="A26" s="95" t="s">
        <v>719</v>
      </c>
      <c r="B26" s="58">
        <f t="shared" si="3"/>
        <v>55</v>
      </c>
      <c r="D26" s="73">
        <f t="shared" si="6"/>
        <v>1.8919848641210868</v>
      </c>
      <c r="F26" s="835">
        <v>37</v>
      </c>
      <c r="G26" s="73">
        <f t="shared" si="0"/>
        <v>67.272727272727266</v>
      </c>
      <c r="H26" s="835"/>
      <c r="I26" s="838">
        <v>18</v>
      </c>
      <c r="J26" s="73">
        <f t="shared" si="1"/>
        <v>32.727272727272727</v>
      </c>
      <c r="K26" s="838"/>
      <c r="L26" s="838">
        <v>0</v>
      </c>
      <c r="M26" s="73">
        <f t="shared" si="2"/>
        <v>0</v>
      </c>
      <c r="N26" s="838"/>
      <c r="O26" s="835">
        <v>0</v>
      </c>
      <c r="P26" s="105">
        <f t="shared" si="4"/>
        <v>0</v>
      </c>
      <c r="Q26" s="228"/>
    </row>
    <row r="27" spans="1:17" ht="13.25" customHeight="1">
      <c r="A27" s="95" t="s">
        <v>720</v>
      </c>
      <c r="B27" s="58">
        <f t="shared" si="3"/>
        <v>53</v>
      </c>
      <c r="D27" s="73">
        <f t="shared" si="6"/>
        <v>1.8231854145166839</v>
      </c>
      <c r="F27" s="835">
        <v>34</v>
      </c>
      <c r="G27" s="73">
        <f t="shared" si="0"/>
        <v>64.15094339622641</v>
      </c>
      <c r="H27" s="835"/>
      <c r="I27" s="838">
        <v>19</v>
      </c>
      <c r="J27" s="73">
        <f t="shared" si="1"/>
        <v>35.849056603773583</v>
      </c>
      <c r="K27" s="838"/>
      <c r="L27" s="838">
        <v>0</v>
      </c>
      <c r="M27" s="73">
        <f t="shared" si="2"/>
        <v>0</v>
      </c>
      <c r="N27" s="838"/>
      <c r="O27" s="835">
        <v>0</v>
      </c>
      <c r="P27" s="105">
        <f t="shared" si="4"/>
        <v>0</v>
      </c>
      <c r="Q27" s="228"/>
    </row>
    <row r="28" spans="1:17" ht="13.25" customHeight="1">
      <c r="A28" s="95" t="s">
        <v>721</v>
      </c>
      <c r="B28" s="58">
        <f t="shared" si="3"/>
        <v>1</v>
      </c>
      <c r="D28" s="73">
        <f t="shared" si="6"/>
        <v>3.4399724802201583E-2</v>
      </c>
      <c r="F28" s="835">
        <v>1</v>
      </c>
      <c r="G28" s="73">
        <f t="shared" si="0"/>
        <v>100</v>
      </c>
      <c r="H28" s="835"/>
      <c r="I28" s="838">
        <v>0</v>
      </c>
      <c r="J28" s="73">
        <f t="shared" si="1"/>
        <v>0</v>
      </c>
      <c r="K28" s="838"/>
      <c r="L28" s="838">
        <v>0</v>
      </c>
      <c r="M28" s="73">
        <f t="shared" si="2"/>
        <v>0</v>
      </c>
      <c r="N28" s="838"/>
      <c r="O28" s="835">
        <v>0</v>
      </c>
      <c r="P28" s="105">
        <f t="shared" si="4"/>
        <v>0</v>
      </c>
      <c r="Q28" s="228"/>
    </row>
    <row r="29" spans="1:17" ht="13.25" customHeight="1">
      <c r="A29" s="95" t="s">
        <v>722</v>
      </c>
      <c r="B29" s="58">
        <f t="shared" si="3"/>
        <v>67</v>
      </c>
      <c r="D29" s="73">
        <f t="shared" si="6"/>
        <v>2.304781561747506</v>
      </c>
      <c r="F29" s="835">
        <v>44</v>
      </c>
      <c r="G29" s="73">
        <f t="shared" si="0"/>
        <v>65.671641791044777</v>
      </c>
      <c r="H29" s="835"/>
      <c r="I29" s="838">
        <v>22</v>
      </c>
      <c r="J29" s="73">
        <f t="shared" si="1"/>
        <v>32.835820895522389</v>
      </c>
      <c r="K29" s="838"/>
      <c r="L29" s="838">
        <v>1</v>
      </c>
      <c r="M29" s="73">
        <f t="shared" si="2"/>
        <v>1.4925373134328357</v>
      </c>
      <c r="N29" s="838"/>
      <c r="O29" s="835">
        <v>0</v>
      </c>
      <c r="P29" s="105">
        <f t="shared" si="4"/>
        <v>0</v>
      </c>
      <c r="Q29" s="228"/>
    </row>
    <row r="30" spans="1:17" ht="13.25" customHeight="1">
      <c r="A30" s="95" t="s">
        <v>723</v>
      </c>
      <c r="B30" s="58">
        <f t="shared" si="3"/>
        <v>5</v>
      </c>
      <c r="D30" s="73">
        <f t="shared" si="6"/>
        <v>0.17199862401100791</v>
      </c>
      <c r="F30" s="835">
        <v>1</v>
      </c>
      <c r="G30" s="73">
        <f t="shared" si="0"/>
        <v>20</v>
      </c>
      <c r="H30" s="835"/>
      <c r="I30" s="838">
        <v>4</v>
      </c>
      <c r="J30" s="73">
        <f t="shared" si="1"/>
        <v>80</v>
      </c>
      <c r="K30" s="838"/>
      <c r="L30" s="838">
        <v>0</v>
      </c>
      <c r="M30" s="73">
        <f t="shared" si="2"/>
        <v>0</v>
      </c>
      <c r="N30" s="838"/>
      <c r="O30" s="835">
        <v>0</v>
      </c>
      <c r="P30" s="105">
        <f t="shared" si="4"/>
        <v>0</v>
      </c>
      <c r="Q30" s="228"/>
    </row>
    <row r="31" spans="1:17" ht="13.25" customHeight="1">
      <c r="A31" s="95" t="s">
        <v>724</v>
      </c>
      <c r="B31" s="58">
        <f t="shared" si="3"/>
        <v>28</v>
      </c>
      <c r="D31" s="73">
        <f t="shared" si="6"/>
        <v>0.96319229446164434</v>
      </c>
      <c r="F31" s="835">
        <v>25</v>
      </c>
      <c r="G31" s="73">
        <f t="shared" si="0"/>
        <v>89.285714285714292</v>
      </c>
      <c r="H31" s="835"/>
      <c r="I31" s="838">
        <v>3</v>
      </c>
      <c r="J31" s="73">
        <f t="shared" si="1"/>
        <v>10.714285714285714</v>
      </c>
      <c r="K31" s="838"/>
      <c r="L31" s="838">
        <v>0</v>
      </c>
      <c r="M31" s="73">
        <f t="shared" si="2"/>
        <v>0</v>
      </c>
      <c r="N31" s="838"/>
      <c r="O31" s="835">
        <v>0</v>
      </c>
      <c r="P31" s="105">
        <f t="shared" si="4"/>
        <v>0</v>
      </c>
      <c r="Q31" s="228"/>
    </row>
    <row r="32" spans="1:17" ht="13.25" customHeight="1">
      <c r="A32" s="95" t="s">
        <v>725</v>
      </c>
      <c r="B32" s="58">
        <f t="shared" si="3"/>
        <v>26</v>
      </c>
      <c r="D32" s="73">
        <f t="shared" si="6"/>
        <v>0.89439284485724124</v>
      </c>
      <c r="F32" s="835">
        <v>25</v>
      </c>
      <c r="G32" s="73">
        <f t="shared" si="0"/>
        <v>96.15384615384616</v>
      </c>
      <c r="H32" s="835"/>
      <c r="I32" s="838">
        <v>1</v>
      </c>
      <c r="J32" s="73">
        <f t="shared" si="1"/>
        <v>3.8461538461538463</v>
      </c>
      <c r="K32" s="838"/>
      <c r="L32" s="838">
        <v>0</v>
      </c>
      <c r="M32" s="73">
        <f t="shared" si="2"/>
        <v>0</v>
      </c>
      <c r="N32" s="838"/>
      <c r="O32" s="835">
        <v>0</v>
      </c>
      <c r="P32" s="105">
        <f t="shared" si="4"/>
        <v>0</v>
      </c>
      <c r="Q32" s="228"/>
    </row>
    <row r="33" spans="1:17" ht="13.25" customHeight="1">
      <c r="A33" s="95" t="s">
        <v>726</v>
      </c>
      <c r="B33" s="58">
        <f t="shared" si="3"/>
        <v>21</v>
      </c>
      <c r="D33" s="73">
        <f t="shared" si="6"/>
        <v>0.72239422084623317</v>
      </c>
      <c r="F33" s="835">
        <v>21</v>
      </c>
      <c r="G33" s="73">
        <f t="shared" si="0"/>
        <v>100</v>
      </c>
      <c r="H33" s="835"/>
      <c r="I33" s="838">
        <v>0</v>
      </c>
      <c r="J33" s="73">
        <f t="shared" si="1"/>
        <v>0</v>
      </c>
      <c r="K33" s="838"/>
      <c r="L33" s="838">
        <v>0</v>
      </c>
      <c r="M33" s="73">
        <f t="shared" si="2"/>
        <v>0</v>
      </c>
      <c r="N33" s="838"/>
      <c r="O33" s="835">
        <v>0</v>
      </c>
      <c r="P33" s="105">
        <f t="shared" si="4"/>
        <v>0</v>
      </c>
      <c r="Q33" s="228"/>
    </row>
    <row r="34" spans="1:17" ht="13.25" customHeight="1">
      <c r="A34" s="127" t="s">
        <v>727</v>
      </c>
      <c r="B34" s="58">
        <f t="shared" si="3"/>
        <v>3</v>
      </c>
      <c r="D34" s="73">
        <f t="shared" si="6"/>
        <v>0.10319917440660474</v>
      </c>
      <c r="F34" s="835">
        <v>3</v>
      </c>
      <c r="G34" s="73">
        <f t="shared" si="0"/>
        <v>100</v>
      </c>
      <c r="H34" s="835"/>
      <c r="I34" s="838">
        <v>0</v>
      </c>
      <c r="J34" s="73">
        <f t="shared" si="1"/>
        <v>0</v>
      </c>
      <c r="K34" s="838"/>
      <c r="L34" s="838">
        <v>0</v>
      </c>
      <c r="M34" s="73">
        <f t="shared" si="2"/>
        <v>0</v>
      </c>
      <c r="N34" s="838"/>
      <c r="O34" s="835">
        <v>0</v>
      </c>
      <c r="P34" s="105">
        <f t="shared" si="4"/>
        <v>0</v>
      </c>
      <c r="Q34" s="228"/>
    </row>
    <row r="35" spans="1:17" ht="13.25" customHeight="1">
      <c r="A35" s="127" t="s">
        <v>728</v>
      </c>
      <c r="B35" s="58">
        <f>IF($A35&lt;&gt;0,F35+I35+L35+O35,"")</f>
        <v>46</v>
      </c>
      <c r="D35" s="73">
        <f>IF(A35&lt;&gt;0,B35/$B$11*100,"")</f>
        <v>1.5823873409012728</v>
      </c>
      <c r="F35" s="835">
        <v>33</v>
      </c>
      <c r="G35" s="73">
        <f t="shared" si="0"/>
        <v>71.739130434782609</v>
      </c>
      <c r="H35" s="835"/>
      <c r="I35" s="838">
        <v>12</v>
      </c>
      <c r="J35" s="73">
        <f t="shared" si="1"/>
        <v>26.086956521739129</v>
      </c>
      <c r="K35" s="838"/>
      <c r="L35" s="838">
        <v>1</v>
      </c>
      <c r="M35" s="73">
        <f t="shared" si="2"/>
        <v>2.1739130434782608</v>
      </c>
      <c r="N35" s="838"/>
      <c r="O35" s="835">
        <v>0</v>
      </c>
      <c r="Q35" s="228"/>
    </row>
    <row r="36" spans="1:17" ht="13.25" customHeight="1">
      <c r="A36" s="127" t="s">
        <v>729</v>
      </c>
      <c r="B36" s="58">
        <f t="shared" si="3"/>
        <v>31</v>
      </c>
      <c r="D36" s="73">
        <f t="shared" si="6"/>
        <v>1.0663914688682492</v>
      </c>
      <c r="F36" s="835">
        <v>27</v>
      </c>
      <c r="G36" s="73">
        <f t="shared" si="0"/>
        <v>87.096774193548384</v>
      </c>
      <c r="H36" s="835"/>
      <c r="I36" s="838">
        <v>4</v>
      </c>
      <c r="J36" s="73">
        <f t="shared" si="1"/>
        <v>12.903225806451612</v>
      </c>
      <c r="K36" s="838"/>
      <c r="L36" s="838">
        <v>0</v>
      </c>
      <c r="M36" s="73">
        <f t="shared" si="2"/>
        <v>0</v>
      </c>
      <c r="N36" s="838"/>
      <c r="O36" s="835">
        <v>0</v>
      </c>
      <c r="P36" s="105">
        <f t="shared" si="4"/>
        <v>0</v>
      </c>
      <c r="Q36" s="228"/>
    </row>
    <row r="37" spans="1:17" ht="13.25" customHeight="1">
      <c r="A37" s="95" t="s">
        <v>730</v>
      </c>
      <c r="B37" s="58">
        <f t="shared" si="3"/>
        <v>13</v>
      </c>
      <c r="D37" s="73">
        <f t="shared" si="6"/>
        <v>0.44719642242862062</v>
      </c>
      <c r="F37" s="835">
        <v>6</v>
      </c>
      <c r="G37" s="73">
        <f t="shared" si="0"/>
        <v>46.153846153846153</v>
      </c>
      <c r="H37" s="835"/>
      <c r="I37" s="838">
        <v>6</v>
      </c>
      <c r="J37" s="73">
        <f t="shared" si="1"/>
        <v>46.153846153846153</v>
      </c>
      <c r="K37" s="838"/>
      <c r="L37" s="838">
        <v>0</v>
      </c>
      <c r="M37" s="73">
        <f t="shared" si="2"/>
        <v>0</v>
      </c>
      <c r="N37" s="838"/>
      <c r="O37" s="835">
        <v>1</v>
      </c>
      <c r="P37" s="105">
        <f t="shared" si="4"/>
        <v>7.6923076923076925</v>
      </c>
      <c r="Q37" s="228"/>
    </row>
    <row r="38" spans="1:17" ht="13.25" customHeight="1">
      <c r="A38" s="95" t="s">
        <v>731</v>
      </c>
      <c r="B38" s="58">
        <f t="shared" si="3"/>
        <v>71</v>
      </c>
      <c r="D38" s="73">
        <f t="shared" si="6"/>
        <v>2.4423804609563122</v>
      </c>
      <c r="F38" s="835">
        <v>53</v>
      </c>
      <c r="G38" s="73">
        <f t="shared" si="0"/>
        <v>74.647887323943664</v>
      </c>
      <c r="H38" s="835"/>
      <c r="I38" s="838">
        <v>18</v>
      </c>
      <c r="J38" s="73">
        <f t="shared" si="1"/>
        <v>25.352112676056336</v>
      </c>
      <c r="K38" s="838"/>
      <c r="L38" s="838">
        <v>0</v>
      </c>
      <c r="M38" s="73">
        <f t="shared" si="2"/>
        <v>0</v>
      </c>
      <c r="N38" s="838"/>
      <c r="O38" s="835">
        <v>0</v>
      </c>
      <c r="P38" s="105">
        <f t="shared" si="4"/>
        <v>0</v>
      </c>
      <c r="Q38" s="228"/>
    </row>
    <row r="39" spans="1:17" ht="13.25" customHeight="1">
      <c r="A39" s="95" t="s">
        <v>732</v>
      </c>
      <c r="B39" s="58">
        <f t="shared" si="3"/>
        <v>59</v>
      </c>
      <c r="D39" s="73">
        <f t="shared" si="6"/>
        <v>2.0295837633298937</v>
      </c>
      <c r="F39" s="835">
        <v>53</v>
      </c>
      <c r="G39" s="73">
        <f t="shared" si="0"/>
        <v>89.830508474576277</v>
      </c>
      <c r="H39" s="835"/>
      <c r="I39" s="838">
        <v>5</v>
      </c>
      <c r="J39" s="73">
        <f t="shared" si="1"/>
        <v>8.4745762711864394</v>
      </c>
      <c r="K39" s="838"/>
      <c r="L39" s="838">
        <v>1</v>
      </c>
      <c r="M39" s="73">
        <f t="shared" si="2"/>
        <v>1.6949152542372881</v>
      </c>
      <c r="N39" s="838"/>
      <c r="O39" s="835">
        <v>0</v>
      </c>
      <c r="P39" s="105">
        <f t="shared" si="4"/>
        <v>0</v>
      </c>
      <c r="Q39" s="228"/>
    </row>
    <row r="40" spans="1:17" ht="13.25" customHeight="1">
      <c r="A40" s="95" t="s">
        <v>733</v>
      </c>
      <c r="B40" s="58">
        <f t="shared" si="3"/>
        <v>34</v>
      </c>
      <c r="D40" s="73">
        <f t="shared" si="6"/>
        <v>1.1695906432748537</v>
      </c>
      <c r="F40" s="835">
        <v>32</v>
      </c>
      <c r="G40" s="73">
        <f t="shared" si="0"/>
        <v>94.117647058823522</v>
      </c>
      <c r="H40" s="835"/>
      <c r="I40" s="838">
        <v>2</v>
      </c>
      <c r="J40" s="73">
        <f t="shared" si="1"/>
        <v>5.8823529411764701</v>
      </c>
      <c r="K40" s="838"/>
      <c r="L40" s="838">
        <v>0</v>
      </c>
      <c r="M40" s="73">
        <f t="shared" si="2"/>
        <v>0</v>
      </c>
      <c r="N40" s="838"/>
      <c r="O40" s="835">
        <v>0</v>
      </c>
      <c r="P40" s="105">
        <f t="shared" si="4"/>
        <v>0</v>
      </c>
      <c r="Q40" s="228"/>
    </row>
    <row r="41" spans="1:17" ht="13.25" customHeight="1">
      <c r="A41" s="95" t="s">
        <v>734</v>
      </c>
      <c r="B41" s="58">
        <f t="shared" si="3"/>
        <v>42</v>
      </c>
      <c r="D41" s="73">
        <f t="shared" si="6"/>
        <v>1.4447884416924663</v>
      </c>
      <c r="F41" s="835">
        <v>32</v>
      </c>
      <c r="G41" s="73">
        <f t="shared" si="0"/>
        <v>76.19047619047619</v>
      </c>
      <c r="H41" s="835"/>
      <c r="I41" s="838">
        <v>10</v>
      </c>
      <c r="J41" s="73">
        <f t="shared" si="1"/>
        <v>23.809523809523807</v>
      </c>
      <c r="K41" s="838"/>
      <c r="L41" s="838">
        <v>0</v>
      </c>
      <c r="M41" s="73">
        <f t="shared" si="2"/>
        <v>0</v>
      </c>
      <c r="N41" s="838"/>
      <c r="O41" s="835">
        <v>0</v>
      </c>
      <c r="P41" s="105">
        <f t="shared" si="4"/>
        <v>0</v>
      </c>
      <c r="Q41" s="228"/>
    </row>
    <row r="42" spans="1:17" ht="13.25" customHeight="1">
      <c r="A42" s="95" t="s">
        <v>735</v>
      </c>
      <c r="B42" s="58">
        <f t="shared" si="3"/>
        <v>66</v>
      </c>
      <c r="D42" s="73">
        <f t="shared" si="6"/>
        <v>2.2703818369453046</v>
      </c>
      <c r="F42" s="835">
        <v>61</v>
      </c>
      <c r="G42" s="73">
        <f t="shared" si="0"/>
        <v>92.424242424242422</v>
      </c>
      <c r="H42" s="835"/>
      <c r="I42" s="838">
        <v>5</v>
      </c>
      <c r="J42" s="73">
        <f t="shared" si="1"/>
        <v>7.5757575757575761</v>
      </c>
      <c r="K42" s="838"/>
      <c r="L42" s="838">
        <v>0</v>
      </c>
      <c r="M42" s="73">
        <f t="shared" si="2"/>
        <v>0</v>
      </c>
      <c r="N42" s="838"/>
      <c r="O42" s="835">
        <v>0</v>
      </c>
      <c r="P42" s="105">
        <f t="shared" si="4"/>
        <v>0</v>
      </c>
      <c r="Q42" s="228"/>
    </row>
    <row r="43" spans="1:17" ht="13.25" customHeight="1">
      <c r="A43" s="95" t="s">
        <v>736</v>
      </c>
      <c r="B43" s="58">
        <f t="shared" si="3"/>
        <v>21</v>
      </c>
      <c r="D43" s="73">
        <f t="shared" si="6"/>
        <v>0.72239422084623317</v>
      </c>
      <c r="F43" s="835">
        <v>20</v>
      </c>
      <c r="G43" s="73">
        <f t="shared" si="0"/>
        <v>95.238095238095227</v>
      </c>
      <c r="H43" s="835"/>
      <c r="I43" s="838">
        <v>1</v>
      </c>
      <c r="J43" s="73">
        <f t="shared" si="1"/>
        <v>4.7619047619047619</v>
      </c>
      <c r="K43" s="838"/>
      <c r="L43" s="838">
        <v>0</v>
      </c>
      <c r="M43" s="73">
        <f t="shared" si="2"/>
        <v>0</v>
      </c>
      <c r="N43" s="838"/>
      <c r="O43" s="835">
        <v>0</v>
      </c>
      <c r="P43" s="105">
        <f t="shared" si="4"/>
        <v>0</v>
      </c>
      <c r="Q43" s="228"/>
    </row>
    <row r="44" spans="1:17" ht="13.25" customHeight="1">
      <c r="A44" s="95" t="s">
        <v>737</v>
      </c>
      <c r="B44" s="58">
        <f t="shared" si="3"/>
        <v>125</v>
      </c>
      <c r="D44" s="73">
        <f t="shared" si="6"/>
        <v>4.2999656002751978</v>
      </c>
      <c r="F44" s="835">
        <v>69</v>
      </c>
      <c r="G44" s="73">
        <f t="shared" si="0"/>
        <v>55.2</v>
      </c>
      <c r="H44" s="835"/>
      <c r="I44" s="838">
        <v>47</v>
      </c>
      <c r="J44" s="73">
        <f t="shared" si="1"/>
        <v>37.6</v>
      </c>
      <c r="K44" s="838"/>
      <c r="L44" s="838">
        <v>9</v>
      </c>
      <c r="M44" s="73">
        <f t="shared" si="2"/>
        <v>7.1999999999999993</v>
      </c>
      <c r="N44" s="838"/>
      <c r="O44" s="835">
        <v>0</v>
      </c>
      <c r="P44" s="105">
        <f t="shared" si="4"/>
        <v>0</v>
      </c>
      <c r="Q44" s="228"/>
    </row>
    <row r="45" spans="1:17" ht="13.25" customHeight="1">
      <c r="A45" s="95" t="s">
        <v>738</v>
      </c>
      <c r="B45" s="58">
        <f t="shared" si="3"/>
        <v>50</v>
      </c>
      <c r="D45" s="73">
        <f t="shared" si="6"/>
        <v>1.7199862401100792</v>
      </c>
      <c r="F45" s="835">
        <v>45</v>
      </c>
      <c r="G45" s="73">
        <f t="shared" si="0"/>
        <v>90</v>
      </c>
      <c r="H45" s="835"/>
      <c r="I45" s="838">
        <v>5</v>
      </c>
      <c r="J45" s="73">
        <f t="shared" si="1"/>
        <v>10</v>
      </c>
      <c r="K45" s="838"/>
      <c r="L45" s="838">
        <v>0</v>
      </c>
      <c r="M45" s="73">
        <f t="shared" si="2"/>
        <v>0</v>
      </c>
      <c r="N45" s="838"/>
      <c r="O45" s="835">
        <v>0</v>
      </c>
      <c r="P45" s="105">
        <f t="shared" si="4"/>
        <v>0</v>
      </c>
      <c r="Q45" s="228"/>
    </row>
    <row r="46" spans="1:17" ht="13.25" customHeight="1">
      <c r="A46" s="95" t="s">
        <v>739</v>
      </c>
      <c r="B46" s="58">
        <f t="shared" si="3"/>
        <v>4</v>
      </c>
      <c r="D46" s="73">
        <f t="shared" si="6"/>
        <v>0.13759889920880633</v>
      </c>
      <c r="F46" s="835">
        <v>2</v>
      </c>
      <c r="G46" s="73">
        <f t="shared" si="0"/>
        <v>50</v>
      </c>
      <c r="H46" s="835"/>
      <c r="I46" s="838">
        <v>2</v>
      </c>
      <c r="J46" s="73">
        <f t="shared" si="1"/>
        <v>50</v>
      </c>
      <c r="K46" s="838"/>
      <c r="L46" s="838">
        <v>0</v>
      </c>
      <c r="M46" s="73">
        <f t="shared" si="2"/>
        <v>0</v>
      </c>
      <c r="N46" s="838"/>
      <c r="O46" s="835">
        <v>0</v>
      </c>
      <c r="P46" s="105">
        <f t="shared" si="4"/>
        <v>0</v>
      </c>
      <c r="Q46" s="228"/>
    </row>
    <row r="47" spans="1:17" ht="13.25" customHeight="1">
      <c r="A47" s="95" t="s">
        <v>740</v>
      </c>
      <c r="B47" s="58">
        <f>IF($A47&lt;&gt;0,F47+I47+L47+O47,"")</f>
        <v>71</v>
      </c>
      <c r="D47" s="73">
        <f>IF(A47&lt;&gt;0,B47/$B$11*100,"")</f>
        <v>2.4423804609563122</v>
      </c>
      <c r="F47" s="835">
        <v>70</v>
      </c>
      <c r="G47" s="73">
        <f t="shared" si="0"/>
        <v>98.591549295774655</v>
      </c>
      <c r="H47" s="835"/>
      <c r="I47" s="838">
        <v>1</v>
      </c>
      <c r="J47" s="73">
        <f t="shared" si="1"/>
        <v>1.4084507042253522</v>
      </c>
      <c r="K47" s="838"/>
      <c r="L47" s="838">
        <v>0</v>
      </c>
      <c r="M47" s="73">
        <f t="shared" si="2"/>
        <v>0</v>
      </c>
      <c r="N47" s="838"/>
      <c r="O47" s="835">
        <v>0</v>
      </c>
      <c r="Q47" s="228"/>
    </row>
    <row r="48" spans="1:17" ht="13.25" customHeight="1">
      <c r="A48" s="95" t="s">
        <v>741</v>
      </c>
      <c r="B48" s="58">
        <f t="shared" si="3"/>
        <v>27</v>
      </c>
      <c r="D48" s="73">
        <f t="shared" si="6"/>
        <v>0.92879256965944268</v>
      </c>
      <c r="F48" s="835">
        <v>22</v>
      </c>
      <c r="G48" s="73">
        <f t="shared" si="0"/>
        <v>81.481481481481481</v>
      </c>
      <c r="H48" s="835"/>
      <c r="I48" s="838">
        <v>4</v>
      </c>
      <c r="J48" s="73">
        <f t="shared" si="1"/>
        <v>14.814814814814813</v>
      </c>
      <c r="K48" s="838"/>
      <c r="L48" s="838">
        <v>1</v>
      </c>
      <c r="M48" s="73">
        <f t="shared" si="2"/>
        <v>3.7037037037037033</v>
      </c>
      <c r="N48" s="838"/>
      <c r="O48" s="835">
        <v>0</v>
      </c>
      <c r="P48" s="105">
        <f t="shared" si="4"/>
        <v>0</v>
      </c>
      <c r="Q48" s="228"/>
    </row>
    <row r="49" spans="1:17" ht="13.25" customHeight="1">
      <c r="A49" s="95" t="s">
        <v>742</v>
      </c>
      <c r="B49" s="58">
        <f t="shared" si="3"/>
        <v>14</v>
      </c>
      <c r="D49" s="73">
        <f t="shared" si="6"/>
        <v>0.48159614723082217</v>
      </c>
      <c r="F49" s="835">
        <v>5</v>
      </c>
      <c r="G49" s="73">
        <f t="shared" si="0"/>
        <v>35.714285714285715</v>
      </c>
      <c r="H49" s="835"/>
      <c r="I49" s="838">
        <v>9</v>
      </c>
      <c r="J49" s="73">
        <f t="shared" si="1"/>
        <v>64.285714285714292</v>
      </c>
      <c r="K49" s="838"/>
      <c r="L49" s="838">
        <v>0</v>
      </c>
      <c r="M49" s="73">
        <f t="shared" si="2"/>
        <v>0</v>
      </c>
      <c r="N49" s="838"/>
      <c r="O49" s="835">
        <v>0</v>
      </c>
      <c r="P49" s="105">
        <f t="shared" si="4"/>
        <v>0</v>
      </c>
      <c r="Q49" s="228"/>
    </row>
    <row r="50" spans="1:17" ht="13.25" customHeight="1">
      <c r="A50" s="95" t="s">
        <v>743</v>
      </c>
      <c r="B50" s="58">
        <f t="shared" si="3"/>
        <v>24</v>
      </c>
      <c r="D50" s="73">
        <f t="shared" si="6"/>
        <v>0.82559339525283792</v>
      </c>
      <c r="F50" s="835">
        <v>24</v>
      </c>
      <c r="G50" s="73">
        <f t="shared" si="0"/>
        <v>100</v>
      </c>
      <c r="H50" s="835"/>
      <c r="I50" s="835">
        <v>0</v>
      </c>
      <c r="J50" s="73">
        <f t="shared" si="1"/>
        <v>0</v>
      </c>
      <c r="K50" s="835"/>
      <c r="L50" s="835">
        <v>0</v>
      </c>
      <c r="M50" s="73">
        <f t="shared" si="2"/>
        <v>0</v>
      </c>
      <c r="N50" s="835"/>
      <c r="O50" s="835">
        <v>0</v>
      </c>
      <c r="P50" s="105">
        <f t="shared" si="4"/>
        <v>0</v>
      </c>
      <c r="Q50" s="228"/>
    </row>
    <row r="51" spans="1:17" ht="13.25" customHeight="1">
      <c r="A51" s="95" t="s">
        <v>744</v>
      </c>
      <c r="B51" s="58">
        <f t="shared" si="3"/>
        <v>43</v>
      </c>
      <c r="D51" s="73">
        <f t="shared" si="6"/>
        <v>1.479188166494668</v>
      </c>
      <c r="F51" s="835">
        <v>27</v>
      </c>
      <c r="G51" s="73">
        <f t="shared" si="0"/>
        <v>62.790697674418603</v>
      </c>
      <c r="H51" s="835"/>
      <c r="I51" s="838">
        <v>16</v>
      </c>
      <c r="J51" s="73">
        <f t="shared" si="1"/>
        <v>37.209302325581397</v>
      </c>
      <c r="K51" s="838"/>
      <c r="L51" s="838">
        <v>0</v>
      </c>
      <c r="M51" s="73">
        <f t="shared" si="2"/>
        <v>0</v>
      </c>
      <c r="N51" s="838"/>
      <c r="O51" s="835">
        <v>0</v>
      </c>
      <c r="P51" s="105">
        <f t="shared" si="4"/>
        <v>0</v>
      </c>
      <c r="Q51" s="228"/>
    </row>
    <row r="52" spans="1:17" ht="13.25" customHeight="1">
      <c r="A52" s="95" t="s">
        <v>746</v>
      </c>
      <c r="B52" s="58">
        <f t="shared" si="3"/>
        <v>52</v>
      </c>
      <c r="D52" s="73">
        <f t="shared" si="6"/>
        <v>1.7887856897144825</v>
      </c>
      <c r="F52" s="835">
        <v>35</v>
      </c>
      <c r="G52" s="73">
        <f t="shared" si="0"/>
        <v>67.307692307692307</v>
      </c>
      <c r="H52" s="835"/>
      <c r="I52" s="838">
        <v>15</v>
      </c>
      <c r="J52" s="73">
        <f t="shared" si="1"/>
        <v>28.846153846153843</v>
      </c>
      <c r="K52" s="838"/>
      <c r="L52" s="838">
        <v>2</v>
      </c>
      <c r="M52" s="73">
        <f t="shared" si="2"/>
        <v>3.8461538461538463</v>
      </c>
      <c r="N52" s="838"/>
      <c r="O52" s="835">
        <v>0</v>
      </c>
      <c r="P52" s="105">
        <f t="shared" si="4"/>
        <v>0</v>
      </c>
      <c r="Q52" s="228"/>
    </row>
    <row r="53" spans="1:17" ht="13.25" customHeight="1">
      <c r="A53" s="95" t="s">
        <v>747</v>
      </c>
      <c r="B53" s="58">
        <f t="shared" si="3"/>
        <v>14</v>
      </c>
      <c r="D53" s="73">
        <f t="shared" si="6"/>
        <v>0.48159614723082217</v>
      </c>
      <c r="F53" s="835">
        <v>12</v>
      </c>
      <c r="G53" s="73">
        <f t="shared" si="0"/>
        <v>85.714285714285708</v>
      </c>
      <c r="H53" s="835"/>
      <c r="I53" s="838">
        <v>2</v>
      </c>
      <c r="J53" s="73">
        <f t="shared" si="1"/>
        <v>14.285714285714285</v>
      </c>
      <c r="K53" s="838"/>
      <c r="L53" s="838">
        <v>0</v>
      </c>
      <c r="M53" s="73">
        <f t="shared" si="2"/>
        <v>0</v>
      </c>
      <c r="N53" s="838"/>
      <c r="O53" s="835">
        <v>0</v>
      </c>
      <c r="P53" s="105">
        <f t="shared" si="4"/>
        <v>0</v>
      </c>
      <c r="Q53" s="228"/>
    </row>
    <row r="54" spans="1:17" ht="13.25" customHeight="1">
      <c r="A54" s="95" t="s">
        <v>748</v>
      </c>
      <c r="B54" s="58">
        <f t="shared" si="3"/>
        <v>25</v>
      </c>
      <c r="D54" s="73">
        <f t="shared" si="6"/>
        <v>0.85999312005503958</v>
      </c>
      <c r="F54" s="835">
        <v>12</v>
      </c>
      <c r="G54" s="73">
        <f t="shared" si="0"/>
        <v>48</v>
      </c>
      <c r="H54" s="835"/>
      <c r="I54" s="838">
        <v>13</v>
      </c>
      <c r="J54" s="73">
        <f t="shared" si="1"/>
        <v>52</v>
      </c>
      <c r="K54" s="838"/>
      <c r="L54" s="838">
        <v>0</v>
      </c>
      <c r="M54" s="73">
        <f t="shared" si="2"/>
        <v>0</v>
      </c>
      <c r="N54" s="838"/>
      <c r="O54" s="835">
        <v>0</v>
      </c>
      <c r="P54" s="105">
        <f t="shared" si="4"/>
        <v>0</v>
      </c>
      <c r="Q54" s="228"/>
    </row>
    <row r="55" spans="1:17" ht="13.25" customHeight="1">
      <c r="A55" s="95" t="s">
        <v>749</v>
      </c>
      <c r="B55" s="58">
        <f t="shared" si="3"/>
        <v>20</v>
      </c>
      <c r="D55" s="73">
        <f t="shared" si="6"/>
        <v>0.68799449604403162</v>
      </c>
      <c r="F55" s="835">
        <v>8</v>
      </c>
      <c r="G55" s="73">
        <f t="shared" si="0"/>
        <v>40</v>
      </c>
      <c r="H55" s="835"/>
      <c r="I55" s="838">
        <v>11</v>
      </c>
      <c r="J55" s="73">
        <f t="shared" si="1"/>
        <v>55.000000000000007</v>
      </c>
      <c r="K55" s="838"/>
      <c r="L55" s="838">
        <v>1</v>
      </c>
      <c r="M55" s="73">
        <f t="shared" si="2"/>
        <v>5</v>
      </c>
      <c r="N55" s="838"/>
      <c r="O55" s="835">
        <v>0</v>
      </c>
      <c r="P55" s="105">
        <f t="shared" si="4"/>
        <v>0</v>
      </c>
      <c r="Q55" s="228"/>
    </row>
    <row r="56" spans="1:17" ht="13.25" customHeight="1">
      <c r="A56" s="95" t="s">
        <v>750</v>
      </c>
      <c r="B56" s="58">
        <f t="shared" si="3"/>
        <v>13</v>
      </c>
      <c r="D56" s="73">
        <f t="shared" si="6"/>
        <v>0.44719642242862062</v>
      </c>
      <c r="F56" s="835">
        <v>7</v>
      </c>
      <c r="G56" s="73">
        <f t="shared" si="0"/>
        <v>53.846153846153847</v>
      </c>
      <c r="H56" s="835"/>
      <c r="I56" s="838">
        <v>6</v>
      </c>
      <c r="J56" s="73">
        <f t="shared" si="1"/>
        <v>46.153846153846153</v>
      </c>
      <c r="K56" s="838"/>
      <c r="L56" s="838">
        <v>0</v>
      </c>
      <c r="M56" s="73">
        <f t="shared" si="2"/>
        <v>0</v>
      </c>
      <c r="N56" s="838"/>
      <c r="O56" s="835">
        <v>0</v>
      </c>
      <c r="P56" s="105">
        <f t="shared" si="4"/>
        <v>0</v>
      </c>
      <c r="Q56" s="228"/>
    </row>
    <row r="57" spans="1:17" ht="13.25" customHeight="1">
      <c r="A57" s="95" t="s">
        <v>751</v>
      </c>
      <c r="B57" s="58">
        <f t="shared" si="3"/>
        <v>35</v>
      </c>
      <c r="D57" s="73">
        <f t="shared" si="6"/>
        <v>1.2039903680770554</v>
      </c>
      <c r="F57" s="835">
        <v>27</v>
      </c>
      <c r="G57" s="73">
        <f t="shared" si="0"/>
        <v>77.142857142857153</v>
      </c>
      <c r="H57" s="835"/>
      <c r="I57" s="838">
        <v>8</v>
      </c>
      <c r="J57" s="73">
        <f t="shared" si="1"/>
        <v>22.857142857142858</v>
      </c>
      <c r="K57" s="838"/>
      <c r="L57" s="838">
        <v>0</v>
      </c>
      <c r="M57" s="73">
        <f t="shared" si="2"/>
        <v>0</v>
      </c>
      <c r="N57" s="838"/>
      <c r="O57" s="835">
        <v>0</v>
      </c>
      <c r="P57" s="105">
        <f t="shared" si="4"/>
        <v>0</v>
      </c>
      <c r="Q57" s="228"/>
    </row>
    <row r="58" spans="1:17" ht="13.25" customHeight="1">
      <c r="A58" s="95" t="s">
        <v>752</v>
      </c>
      <c r="B58" s="58">
        <f t="shared" si="3"/>
        <v>13</v>
      </c>
      <c r="D58" s="73">
        <f t="shared" si="6"/>
        <v>0.44719642242862062</v>
      </c>
      <c r="F58" s="835">
        <v>5</v>
      </c>
      <c r="G58" s="73">
        <f t="shared" si="0"/>
        <v>38.461538461538467</v>
      </c>
      <c r="H58" s="835"/>
      <c r="I58" s="838">
        <v>5</v>
      </c>
      <c r="J58" s="73">
        <f t="shared" si="1"/>
        <v>38.461538461538467</v>
      </c>
      <c r="K58" s="838"/>
      <c r="L58" s="838">
        <v>3</v>
      </c>
      <c r="M58" s="73">
        <f t="shared" si="2"/>
        <v>23.076923076923077</v>
      </c>
      <c r="N58" s="838"/>
      <c r="O58" s="835">
        <v>0</v>
      </c>
      <c r="P58" s="105">
        <f t="shared" si="4"/>
        <v>0</v>
      </c>
      <c r="Q58" s="228"/>
    </row>
    <row r="59" spans="1:17" ht="13.25" customHeight="1">
      <c r="A59" s="111" t="s">
        <v>753</v>
      </c>
      <c r="B59" s="58">
        <f t="shared" si="3"/>
        <v>2</v>
      </c>
      <c r="D59" s="73">
        <f t="shared" si="6"/>
        <v>6.8799449604403165E-2</v>
      </c>
      <c r="F59" s="835">
        <v>2</v>
      </c>
      <c r="G59" s="73">
        <f t="shared" si="0"/>
        <v>100</v>
      </c>
      <c r="H59" s="835"/>
      <c r="I59" s="838">
        <v>0</v>
      </c>
      <c r="J59" s="73">
        <f t="shared" si="1"/>
        <v>0</v>
      </c>
      <c r="K59" s="838"/>
      <c r="L59" s="838">
        <v>0</v>
      </c>
      <c r="M59" s="73">
        <f t="shared" si="2"/>
        <v>0</v>
      </c>
      <c r="N59" s="838"/>
      <c r="O59" s="835">
        <v>0</v>
      </c>
      <c r="P59" s="105">
        <f t="shared" si="4"/>
        <v>0</v>
      </c>
      <c r="Q59" s="228"/>
    </row>
    <row r="60" spans="1:17" ht="13.25" customHeight="1">
      <c r="A60" s="106" t="s">
        <v>754</v>
      </c>
      <c r="B60" s="58">
        <f t="shared" si="3"/>
        <v>22</v>
      </c>
      <c r="D60" s="73">
        <f t="shared" si="6"/>
        <v>0.75679394564843483</v>
      </c>
      <c r="F60" s="835">
        <v>22</v>
      </c>
      <c r="G60" s="73">
        <f t="shared" si="0"/>
        <v>100</v>
      </c>
      <c r="H60" s="835"/>
      <c r="I60" s="838">
        <v>0</v>
      </c>
      <c r="J60" s="73">
        <f t="shared" si="1"/>
        <v>0</v>
      </c>
      <c r="K60" s="838"/>
      <c r="L60" s="838">
        <v>0</v>
      </c>
      <c r="M60" s="73">
        <f t="shared" si="2"/>
        <v>0</v>
      </c>
      <c r="N60" s="838"/>
      <c r="O60" s="835">
        <v>0</v>
      </c>
      <c r="P60" s="105">
        <f t="shared" si="4"/>
        <v>0</v>
      </c>
      <c r="Q60" s="228"/>
    </row>
    <row r="61" spans="1:17" ht="13.25" customHeight="1">
      <c r="A61" s="95" t="s">
        <v>755</v>
      </c>
      <c r="B61" s="58">
        <f t="shared" si="3"/>
        <v>59</v>
      </c>
      <c r="D61" s="73">
        <f t="shared" si="6"/>
        <v>2.0295837633298937</v>
      </c>
      <c r="F61" s="835">
        <v>52</v>
      </c>
      <c r="G61" s="73">
        <f t="shared" si="0"/>
        <v>88.135593220338976</v>
      </c>
      <c r="H61" s="835"/>
      <c r="I61" s="838">
        <v>7</v>
      </c>
      <c r="J61" s="73">
        <f t="shared" si="1"/>
        <v>11.864406779661017</v>
      </c>
      <c r="K61" s="838"/>
      <c r="L61" s="838">
        <v>0</v>
      </c>
      <c r="M61" s="73">
        <f t="shared" si="2"/>
        <v>0</v>
      </c>
      <c r="N61" s="838"/>
      <c r="O61" s="835">
        <v>0</v>
      </c>
      <c r="P61" s="105">
        <f t="shared" si="4"/>
        <v>0</v>
      </c>
      <c r="Q61" s="228"/>
    </row>
    <row r="62" spans="1:17" ht="13.25" customHeight="1">
      <c r="A62" s="95" t="s">
        <v>756</v>
      </c>
      <c r="B62" s="58">
        <f t="shared" si="3"/>
        <v>70</v>
      </c>
      <c r="D62" s="73">
        <f t="shared" si="6"/>
        <v>2.4079807361541108</v>
      </c>
      <c r="F62" s="835">
        <v>65</v>
      </c>
      <c r="G62" s="73">
        <f t="shared" si="0"/>
        <v>92.857142857142861</v>
      </c>
      <c r="H62" s="835"/>
      <c r="I62" s="838">
        <v>5</v>
      </c>
      <c r="J62" s="73">
        <f t="shared" si="1"/>
        <v>7.1428571428571423</v>
      </c>
      <c r="K62" s="838"/>
      <c r="L62" s="838">
        <v>0</v>
      </c>
      <c r="M62" s="73">
        <f t="shared" si="2"/>
        <v>0</v>
      </c>
      <c r="N62" s="838"/>
      <c r="O62" s="835">
        <v>0</v>
      </c>
      <c r="P62" s="105">
        <f t="shared" si="4"/>
        <v>0</v>
      </c>
      <c r="Q62" s="228"/>
    </row>
    <row r="63" spans="1:17" ht="13.25" customHeight="1">
      <c r="A63" s="95" t="s">
        <v>757</v>
      </c>
      <c r="B63" s="58">
        <f t="shared" si="3"/>
        <v>22</v>
      </c>
      <c r="D63" s="73">
        <f t="shared" si="6"/>
        <v>0.75679394564843483</v>
      </c>
      <c r="F63" s="835">
        <v>5</v>
      </c>
      <c r="G63" s="73">
        <f t="shared" si="0"/>
        <v>22.727272727272727</v>
      </c>
      <c r="H63" s="835"/>
      <c r="I63" s="838">
        <v>4</v>
      </c>
      <c r="J63" s="73">
        <f t="shared" si="1"/>
        <v>18.181818181818183</v>
      </c>
      <c r="K63" s="838"/>
      <c r="L63" s="838">
        <v>13</v>
      </c>
      <c r="M63" s="73">
        <f t="shared" si="2"/>
        <v>59.090909090909093</v>
      </c>
      <c r="N63" s="838"/>
      <c r="O63" s="835">
        <v>0</v>
      </c>
      <c r="P63" s="105">
        <f t="shared" si="4"/>
        <v>0</v>
      </c>
      <c r="Q63" s="228"/>
    </row>
    <row r="64" spans="1:17" ht="12" customHeight="1">
      <c r="A64" s="95" t="s">
        <v>758</v>
      </c>
      <c r="B64" s="58">
        <f t="shared" si="3"/>
        <v>38</v>
      </c>
      <c r="D64" s="73">
        <f t="shared" si="6"/>
        <v>1.3071895424836601</v>
      </c>
      <c r="F64" s="835">
        <v>35</v>
      </c>
      <c r="G64" s="73">
        <f t="shared" si="0"/>
        <v>92.10526315789474</v>
      </c>
      <c r="H64" s="835"/>
      <c r="I64" s="838">
        <v>3</v>
      </c>
      <c r="J64" s="73">
        <f t="shared" si="1"/>
        <v>7.8947368421052628</v>
      </c>
      <c r="K64" s="838"/>
      <c r="L64" s="838">
        <v>0</v>
      </c>
      <c r="M64" s="73">
        <f t="shared" si="2"/>
        <v>0</v>
      </c>
      <c r="N64" s="838"/>
      <c r="O64" s="835">
        <v>0</v>
      </c>
      <c r="P64" s="105">
        <f t="shared" si="4"/>
        <v>0</v>
      </c>
      <c r="Q64" s="228"/>
    </row>
    <row r="65" spans="1:17" ht="13.25" customHeight="1">
      <c r="A65" s="33" t="s">
        <v>759</v>
      </c>
      <c r="B65" s="58">
        <f t="shared" si="3"/>
        <v>22</v>
      </c>
      <c r="D65" s="73">
        <f t="shared" si="6"/>
        <v>0.75679394564843483</v>
      </c>
      <c r="F65" s="835">
        <v>19</v>
      </c>
      <c r="G65" s="73">
        <f t="shared" si="0"/>
        <v>86.36363636363636</v>
      </c>
      <c r="H65" s="835"/>
      <c r="I65" s="838">
        <v>3</v>
      </c>
      <c r="J65" s="73">
        <f t="shared" si="1"/>
        <v>13.636363636363635</v>
      </c>
      <c r="K65" s="838"/>
      <c r="L65" s="838">
        <v>0</v>
      </c>
      <c r="M65" s="73">
        <f t="shared" si="2"/>
        <v>0</v>
      </c>
      <c r="N65" s="838"/>
      <c r="O65" s="835">
        <v>0</v>
      </c>
      <c r="P65" s="105">
        <f t="shared" si="4"/>
        <v>0</v>
      </c>
      <c r="Q65" s="228"/>
    </row>
    <row r="66" spans="1:17" ht="13.25" customHeight="1">
      <c r="A66" s="95" t="s">
        <v>760</v>
      </c>
      <c r="B66" s="58">
        <f t="shared" si="3"/>
        <v>6</v>
      </c>
      <c r="D66" s="73">
        <f t="shared" si="6"/>
        <v>0.20639834881320948</v>
      </c>
      <c r="F66" s="835">
        <v>6</v>
      </c>
      <c r="G66" s="73">
        <f t="shared" si="0"/>
        <v>100</v>
      </c>
      <c r="H66" s="835"/>
      <c r="I66" s="838">
        <v>0</v>
      </c>
      <c r="J66" s="73">
        <f t="shared" si="1"/>
        <v>0</v>
      </c>
      <c r="K66" s="838"/>
      <c r="L66" s="838">
        <v>0</v>
      </c>
      <c r="M66" s="73">
        <f t="shared" si="2"/>
        <v>0</v>
      </c>
      <c r="N66" s="838"/>
      <c r="O66" s="835">
        <v>0</v>
      </c>
      <c r="P66" s="105">
        <f t="shared" si="4"/>
        <v>0</v>
      </c>
      <c r="Q66" s="228"/>
    </row>
    <row r="67" spans="1:17" ht="13.25" customHeight="1">
      <c r="A67" s="95" t="s">
        <v>761</v>
      </c>
      <c r="B67" s="58">
        <f t="shared" si="3"/>
        <v>44</v>
      </c>
      <c r="D67" s="73">
        <f t="shared" si="6"/>
        <v>1.5135878912968697</v>
      </c>
      <c r="F67" s="835">
        <v>31</v>
      </c>
      <c r="G67" s="73">
        <f t="shared" si="0"/>
        <v>70.454545454545453</v>
      </c>
      <c r="H67" s="835"/>
      <c r="I67" s="838">
        <v>12</v>
      </c>
      <c r="J67" s="73">
        <f t="shared" si="1"/>
        <v>27.27272727272727</v>
      </c>
      <c r="K67" s="838"/>
      <c r="L67" s="838">
        <v>1</v>
      </c>
      <c r="M67" s="73">
        <f t="shared" si="2"/>
        <v>2.2727272727272729</v>
      </c>
      <c r="N67" s="838"/>
      <c r="O67" s="835">
        <v>0</v>
      </c>
      <c r="P67" s="105">
        <f t="shared" si="4"/>
        <v>0</v>
      </c>
      <c r="Q67" s="228"/>
    </row>
    <row r="68" spans="1:17" ht="13.25" customHeight="1">
      <c r="A68" s="95" t="s">
        <v>762</v>
      </c>
      <c r="B68" s="58">
        <f t="shared" si="3"/>
        <v>81</v>
      </c>
      <c r="D68" s="73">
        <f t="shared" si="6"/>
        <v>2.7863777089783279</v>
      </c>
      <c r="F68" s="835">
        <v>68</v>
      </c>
      <c r="G68" s="73">
        <f t="shared" si="0"/>
        <v>83.950617283950606</v>
      </c>
      <c r="H68" s="835"/>
      <c r="I68" s="838">
        <v>10</v>
      </c>
      <c r="J68" s="73">
        <f t="shared" si="1"/>
        <v>12.345679012345679</v>
      </c>
      <c r="K68" s="838"/>
      <c r="L68" s="838">
        <v>3</v>
      </c>
      <c r="M68" s="73">
        <f t="shared" si="2"/>
        <v>3.7037037037037033</v>
      </c>
      <c r="N68" s="838"/>
      <c r="O68" s="835">
        <v>0</v>
      </c>
      <c r="P68" s="105">
        <f t="shared" si="4"/>
        <v>0</v>
      </c>
      <c r="Q68" s="228"/>
    </row>
    <row r="69" spans="1:17" ht="13.25" customHeight="1">
      <c r="A69" s="95" t="s">
        <v>763</v>
      </c>
      <c r="B69" s="58">
        <f t="shared" si="3"/>
        <v>52</v>
      </c>
      <c r="D69" s="73">
        <f t="shared" si="6"/>
        <v>1.7887856897144825</v>
      </c>
      <c r="F69" s="835">
        <v>50</v>
      </c>
      <c r="G69" s="73">
        <f t="shared" si="0"/>
        <v>96.15384615384616</v>
      </c>
      <c r="H69" s="835"/>
      <c r="I69" s="838">
        <v>2</v>
      </c>
      <c r="J69" s="73">
        <f t="shared" si="1"/>
        <v>3.8461538461538463</v>
      </c>
      <c r="K69" s="838"/>
      <c r="L69" s="838">
        <v>0</v>
      </c>
      <c r="M69" s="73">
        <f t="shared" si="2"/>
        <v>0</v>
      </c>
      <c r="N69" s="838"/>
      <c r="O69" s="835">
        <v>0</v>
      </c>
      <c r="P69" s="105">
        <f t="shared" si="4"/>
        <v>0</v>
      </c>
      <c r="Q69" s="228"/>
    </row>
    <row r="70" spans="1:17" ht="13.25" customHeight="1">
      <c r="A70" s="95" t="s">
        <v>764</v>
      </c>
      <c r="B70" s="58">
        <f t="shared" si="3"/>
        <v>40</v>
      </c>
      <c r="D70" s="73">
        <f t="shared" si="6"/>
        <v>1.3759889920880632</v>
      </c>
      <c r="F70" s="835">
        <v>30</v>
      </c>
      <c r="G70" s="73">
        <f t="shared" si="0"/>
        <v>75</v>
      </c>
      <c r="H70" s="835"/>
      <c r="I70" s="838">
        <v>10</v>
      </c>
      <c r="J70" s="73">
        <f t="shared" si="1"/>
        <v>25</v>
      </c>
      <c r="K70" s="838"/>
      <c r="L70" s="838">
        <v>0</v>
      </c>
      <c r="M70" s="73">
        <f t="shared" si="2"/>
        <v>0</v>
      </c>
      <c r="N70" s="838"/>
      <c r="O70" s="835">
        <v>0</v>
      </c>
      <c r="P70" s="105">
        <f t="shared" si="4"/>
        <v>0</v>
      </c>
      <c r="Q70" s="228"/>
    </row>
    <row r="71" spans="1:17" ht="13.25" customHeight="1">
      <c r="A71" s="95" t="s">
        <v>765</v>
      </c>
      <c r="B71" s="58">
        <f t="shared" si="3"/>
        <v>20</v>
      </c>
      <c r="D71" s="73">
        <f t="shared" si="6"/>
        <v>0.68799449604403162</v>
      </c>
      <c r="F71" s="835">
        <v>13</v>
      </c>
      <c r="G71" s="73">
        <f t="shared" si="0"/>
        <v>65</v>
      </c>
      <c r="H71" s="835"/>
      <c r="I71" s="838">
        <v>7</v>
      </c>
      <c r="J71" s="73">
        <f t="shared" si="1"/>
        <v>35</v>
      </c>
      <c r="K71" s="838"/>
      <c r="L71" s="838">
        <v>0</v>
      </c>
      <c r="M71" s="73">
        <f t="shared" si="2"/>
        <v>0</v>
      </c>
      <c r="N71" s="838"/>
      <c r="O71" s="835">
        <v>0</v>
      </c>
      <c r="P71" s="105">
        <f t="shared" si="4"/>
        <v>0</v>
      </c>
      <c r="Q71" s="228"/>
    </row>
    <row r="72" spans="1:17" ht="13.25" customHeight="1">
      <c r="A72" s="95" t="s">
        <v>766</v>
      </c>
      <c r="B72" s="58">
        <f t="shared" si="3"/>
        <v>19</v>
      </c>
      <c r="D72" s="73">
        <f t="shared" si="6"/>
        <v>0.65359477124183007</v>
      </c>
      <c r="F72" s="835">
        <v>0</v>
      </c>
      <c r="G72" s="73">
        <f t="shared" si="0"/>
        <v>0</v>
      </c>
      <c r="H72" s="835"/>
      <c r="I72" s="838">
        <v>0</v>
      </c>
      <c r="J72" s="73">
        <f t="shared" si="1"/>
        <v>0</v>
      </c>
      <c r="K72" s="838"/>
      <c r="L72" s="838">
        <v>15</v>
      </c>
      <c r="M72" s="73">
        <f t="shared" si="2"/>
        <v>78.94736842105263</v>
      </c>
      <c r="N72" s="838"/>
      <c r="O72" s="835">
        <v>4</v>
      </c>
      <c r="P72" s="105">
        <f t="shared" si="4"/>
        <v>21.052631578947366</v>
      </c>
      <c r="Q72" s="228"/>
    </row>
    <row r="73" spans="1:17" ht="13.25" customHeight="1">
      <c r="A73" s="95" t="s">
        <v>767</v>
      </c>
      <c r="B73" s="58">
        <f t="shared" si="3"/>
        <v>10</v>
      </c>
      <c r="D73" s="73">
        <f t="shared" si="6"/>
        <v>0.34399724802201581</v>
      </c>
      <c r="F73" s="835">
        <v>1</v>
      </c>
      <c r="G73" s="73">
        <f t="shared" si="0"/>
        <v>10</v>
      </c>
      <c r="H73" s="835"/>
      <c r="I73" s="838">
        <v>9</v>
      </c>
      <c r="J73" s="73">
        <f t="shared" si="1"/>
        <v>90</v>
      </c>
      <c r="K73" s="838"/>
      <c r="L73" s="838">
        <v>0</v>
      </c>
      <c r="M73" s="73">
        <f t="shared" si="2"/>
        <v>0</v>
      </c>
      <c r="N73" s="838"/>
      <c r="O73" s="835">
        <v>0</v>
      </c>
      <c r="P73" s="105">
        <f t="shared" si="4"/>
        <v>0</v>
      </c>
      <c r="Q73" s="228"/>
    </row>
    <row r="74" spans="1:17" ht="13.25" customHeight="1">
      <c r="A74" s="95" t="s">
        <v>768</v>
      </c>
      <c r="B74" s="58">
        <f t="shared" si="3"/>
        <v>52</v>
      </c>
      <c r="D74" s="73">
        <f t="shared" si="6"/>
        <v>1.7887856897144825</v>
      </c>
      <c r="F74" s="835">
        <v>40</v>
      </c>
      <c r="G74" s="73">
        <f t="shared" si="0"/>
        <v>76.923076923076934</v>
      </c>
      <c r="H74" s="835"/>
      <c r="I74" s="838">
        <v>10</v>
      </c>
      <c r="J74" s="73">
        <f t="shared" si="1"/>
        <v>19.230769230769234</v>
      </c>
      <c r="K74" s="838"/>
      <c r="L74" s="838">
        <v>2</v>
      </c>
      <c r="M74" s="73">
        <f t="shared" si="2"/>
        <v>3.8461538461538463</v>
      </c>
      <c r="N74" s="838"/>
      <c r="O74" s="835">
        <v>0</v>
      </c>
      <c r="P74" s="105">
        <f t="shared" si="4"/>
        <v>0</v>
      </c>
      <c r="Q74" s="228"/>
    </row>
    <row r="75" spans="1:17" ht="13.25" customHeight="1">
      <c r="A75" s="95" t="s">
        <v>769</v>
      </c>
      <c r="B75" s="58">
        <f t="shared" si="3"/>
        <v>30</v>
      </c>
      <c r="D75" s="73">
        <f t="shared" si="6"/>
        <v>1.0319917440660475</v>
      </c>
      <c r="F75" s="835">
        <v>25</v>
      </c>
      <c r="G75" s="73">
        <f t="shared" ref="G75:G100" si="7">IF($A75&lt;&gt;0,F75/$B75*100,"")</f>
        <v>83.333333333333343</v>
      </c>
      <c r="H75" s="835"/>
      <c r="I75" s="838">
        <v>5</v>
      </c>
      <c r="J75" s="73">
        <f t="shared" ref="J75:J100" si="8">IF($A75&lt;&gt;0,I75/$B75*100,"")</f>
        <v>16.666666666666664</v>
      </c>
      <c r="K75" s="838"/>
      <c r="L75" s="838">
        <v>0</v>
      </c>
      <c r="M75" s="73">
        <f t="shared" ref="M75:M100" si="9">IF($A75&lt;&gt;0,L75/$B75*100,"")</f>
        <v>0</v>
      </c>
      <c r="N75" s="838"/>
      <c r="O75" s="835">
        <v>0</v>
      </c>
      <c r="P75" s="105">
        <f t="shared" si="4"/>
        <v>0</v>
      </c>
      <c r="Q75" s="228"/>
    </row>
    <row r="76" spans="1:17">
      <c r="A76" s="95" t="s">
        <v>770</v>
      </c>
      <c r="B76" s="58">
        <f t="shared" ref="B76:B100" si="10">IF($A76&lt;&gt;0,F76+I76+L76+O76,"")</f>
        <v>30</v>
      </c>
      <c r="D76" s="73">
        <f t="shared" si="6"/>
        <v>1.0319917440660475</v>
      </c>
      <c r="F76" s="835">
        <v>29</v>
      </c>
      <c r="G76" s="73">
        <f t="shared" si="7"/>
        <v>96.666666666666671</v>
      </c>
      <c r="H76" s="835"/>
      <c r="I76" s="838">
        <v>0</v>
      </c>
      <c r="J76" s="73">
        <f t="shared" si="8"/>
        <v>0</v>
      </c>
      <c r="K76" s="838"/>
      <c r="L76" s="838">
        <v>1</v>
      </c>
      <c r="M76" s="73">
        <f t="shared" si="9"/>
        <v>3.3333333333333335</v>
      </c>
      <c r="N76" s="838"/>
      <c r="O76" s="835">
        <v>0</v>
      </c>
      <c r="P76" s="105">
        <f t="shared" ref="P76:P97" si="11">IF($A76&lt;&gt;0,O76/$B76*100,"")</f>
        <v>0</v>
      </c>
      <c r="Q76" s="228"/>
    </row>
    <row r="77" spans="1:17">
      <c r="A77" s="95" t="s">
        <v>771</v>
      </c>
      <c r="B77" s="58">
        <f t="shared" si="10"/>
        <v>26</v>
      </c>
      <c r="D77" s="73">
        <f t="shared" si="6"/>
        <v>0.89439284485724124</v>
      </c>
      <c r="F77" s="835">
        <v>25</v>
      </c>
      <c r="G77" s="73">
        <f t="shared" si="7"/>
        <v>96.15384615384616</v>
      </c>
      <c r="H77" s="835"/>
      <c r="I77" s="838">
        <v>1</v>
      </c>
      <c r="J77" s="73">
        <f t="shared" si="8"/>
        <v>3.8461538461538463</v>
      </c>
      <c r="K77" s="838"/>
      <c r="L77" s="838">
        <v>0</v>
      </c>
      <c r="M77" s="73">
        <f t="shared" si="9"/>
        <v>0</v>
      </c>
      <c r="N77" s="838"/>
      <c r="O77" s="835">
        <v>0</v>
      </c>
      <c r="P77" s="105">
        <f t="shared" si="11"/>
        <v>0</v>
      </c>
      <c r="Q77" s="228"/>
    </row>
    <row r="78" spans="1:17">
      <c r="A78" s="95" t="s">
        <v>772</v>
      </c>
      <c r="B78" s="58">
        <f t="shared" si="10"/>
        <v>31</v>
      </c>
      <c r="D78" s="73">
        <f t="shared" si="6"/>
        <v>1.0663914688682492</v>
      </c>
      <c r="F78" s="835">
        <v>31</v>
      </c>
      <c r="G78" s="73">
        <f t="shared" si="7"/>
        <v>100</v>
      </c>
      <c r="H78" s="835"/>
      <c r="I78" s="838">
        <v>0</v>
      </c>
      <c r="J78" s="73">
        <f t="shared" si="8"/>
        <v>0</v>
      </c>
      <c r="K78" s="838"/>
      <c r="L78" s="838">
        <v>0</v>
      </c>
      <c r="M78" s="73">
        <f t="shared" si="9"/>
        <v>0</v>
      </c>
      <c r="N78" s="838"/>
      <c r="O78" s="835">
        <v>0</v>
      </c>
      <c r="P78" s="105">
        <f t="shared" si="11"/>
        <v>0</v>
      </c>
    </row>
    <row r="79" spans="1:17">
      <c r="A79" s="95" t="s">
        <v>773</v>
      </c>
      <c r="B79" s="58">
        <f t="shared" si="10"/>
        <v>1</v>
      </c>
      <c r="D79" s="73">
        <f t="shared" si="6"/>
        <v>3.4399724802201583E-2</v>
      </c>
      <c r="F79" s="835">
        <v>1</v>
      </c>
      <c r="G79" s="73">
        <f t="shared" si="7"/>
        <v>100</v>
      </c>
      <c r="H79" s="835"/>
      <c r="I79" s="838">
        <v>0</v>
      </c>
      <c r="J79" s="73">
        <f t="shared" si="8"/>
        <v>0</v>
      </c>
      <c r="K79" s="838"/>
      <c r="L79" s="838">
        <v>0</v>
      </c>
      <c r="M79" s="73">
        <f t="shared" si="9"/>
        <v>0</v>
      </c>
      <c r="N79" s="838"/>
      <c r="O79" s="835">
        <v>0</v>
      </c>
    </row>
    <row r="80" spans="1:17" ht="6.5" customHeight="1">
      <c r="F80" s="219"/>
      <c r="G80" s="73" t="str">
        <f t="shared" si="7"/>
        <v/>
      </c>
      <c r="H80" s="219"/>
      <c r="I80" s="219"/>
      <c r="J80" s="73" t="str">
        <f t="shared" si="8"/>
        <v/>
      </c>
      <c r="K80" s="219"/>
      <c r="L80" s="219"/>
      <c r="M80" s="73" t="str">
        <f t="shared" si="9"/>
        <v/>
      </c>
      <c r="N80" s="219"/>
      <c r="O80" s="228"/>
    </row>
    <row r="81" spans="1:17" ht="13.25" customHeight="1">
      <c r="A81" s="55" t="s">
        <v>774</v>
      </c>
      <c r="B81" s="306">
        <f t="shared" si="10"/>
        <v>586</v>
      </c>
      <c r="C81" s="307"/>
      <c r="D81" s="308">
        <f t="shared" si="6"/>
        <v>20.158238734090126</v>
      </c>
      <c r="E81" s="55"/>
      <c r="F81" s="839">
        <f>SUM(F82:F84)</f>
        <v>422</v>
      </c>
      <c r="G81" s="308">
        <f t="shared" si="7"/>
        <v>72.013651877133114</v>
      </c>
      <c r="H81" s="605"/>
      <c r="I81" s="839">
        <f>SUM(I82:I84)</f>
        <v>148</v>
      </c>
      <c r="J81" s="308">
        <f t="shared" si="8"/>
        <v>25.255972696245731</v>
      </c>
      <c r="K81" s="605"/>
      <c r="L81" s="839">
        <f>SUM(L82:L84)</f>
        <v>16</v>
      </c>
      <c r="M81" s="308">
        <f t="shared" si="9"/>
        <v>2.7303754266211606</v>
      </c>
      <c r="N81" s="351"/>
      <c r="O81" s="839">
        <f>SUM(O82:O84)</f>
        <v>0</v>
      </c>
      <c r="P81" s="308">
        <f t="shared" si="11"/>
        <v>0</v>
      </c>
    </row>
    <row r="82" spans="1:17" ht="13.25" customHeight="1">
      <c r="A82" s="95" t="s">
        <v>775</v>
      </c>
      <c r="B82" s="58">
        <f t="shared" si="10"/>
        <v>170</v>
      </c>
      <c r="D82" s="73">
        <f t="shared" si="6"/>
        <v>5.8479532163742682</v>
      </c>
      <c r="F82" s="835">
        <v>90</v>
      </c>
      <c r="G82" s="73">
        <f t="shared" si="7"/>
        <v>52.941176470588239</v>
      </c>
      <c r="H82" s="835"/>
      <c r="I82" s="838">
        <v>64</v>
      </c>
      <c r="J82" s="73">
        <f t="shared" si="8"/>
        <v>37.647058823529413</v>
      </c>
      <c r="K82" s="838"/>
      <c r="L82" s="838">
        <v>16</v>
      </c>
      <c r="M82" s="73">
        <f t="shared" si="9"/>
        <v>9.4117647058823533</v>
      </c>
      <c r="N82" s="838"/>
      <c r="O82" s="835">
        <v>0</v>
      </c>
      <c r="P82" s="105">
        <f t="shared" si="11"/>
        <v>0</v>
      </c>
      <c r="Q82" s="228"/>
    </row>
    <row r="83" spans="1:17" ht="12" customHeight="1">
      <c r="A83" s="95" t="s">
        <v>776</v>
      </c>
      <c r="B83" s="58">
        <f t="shared" si="10"/>
        <v>330</v>
      </c>
      <c r="D83" s="73">
        <f t="shared" si="6"/>
        <v>11.351909184726521</v>
      </c>
      <c r="F83" s="835">
        <v>329</v>
      </c>
      <c r="G83" s="73">
        <f t="shared" si="7"/>
        <v>99.696969696969688</v>
      </c>
      <c r="H83" s="835"/>
      <c r="I83" s="838">
        <v>1</v>
      </c>
      <c r="J83" s="73">
        <f t="shared" si="8"/>
        <v>0.30303030303030304</v>
      </c>
      <c r="K83" s="838"/>
      <c r="L83" s="838">
        <v>0</v>
      </c>
      <c r="M83" s="73">
        <f t="shared" si="9"/>
        <v>0</v>
      </c>
      <c r="N83" s="838"/>
      <c r="O83" s="835">
        <v>0</v>
      </c>
      <c r="P83" s="105">
        <f t="shared" si="11"/>
        <v>0</v>
      </c>
      <c r="Q83" s="228"/>
    </row>
    <row r="84" spans="1:17" ht="13.25" customHeight="1">
      <c r="A84" s="95" t="s">
        <v>778</v>
      </c>
      <c r="B84" s="58">
        <f t="shared" si="10"/>
        <v>86</v>
      </c>
      <c r="D84" s="73">
        <f t="shared" si="6"/>
        <v>2.958376332989336</v>
      </c>
      <c r="F84" s="835">
        <v>3</v>
      </c>
      <c r="G84" s="73">
        <f t="shared" si="7"/>
        <v>3.4883720930232558</v>
      </c>
      <c r="H84" s="835"/>
      <c r="I84" s="838">
        <v>83</v>
      </c>
      <c r="J84" s="73">
        <f t="shared" si="8"/>
        <v>96.511627906976756</v>
      </c>
      <c r="K84" s="838"/>
      <c r="L84" s="838">
        <v>0</v>
      </c>
      <c r="M84" s="73">
        <f t="shared" si="9"/>
        <v>0</v>
      </c>
      <c r="N84" s="838"/>
      <c r="O84" s="835">
        <v>0</v>
      </c>
      <c r="Q84" s="228"/>
    </row>
    <row r="85" spans="1:17" ht="7.5" customHeight="1">
      <c r="A85" s="116"/>
      <c r="B85" s="58" t="str">
        <f t="shared" si="10"/>
        <v/>
      </c>
      <c r="D85" s="73" t="str">
        <f t="shared" ref="D85:D100" si="12">IF(A85&lt;&gt;0,B85/$B$11*100,"")</f>
        <v/>
      </c>
      <c r="G85" s="73" t="str">
        <f t="shared" si="7"/>
        <v/>
      </c>
      <c r="J85" s="73" t="str">
        <f t="shared" si="8"/>
        <v/>
      </c>
      <c r="L85" s="236"/>
      <c r="M85" s="73" t="str">
        <f t="shared" si="9"/>
        <v/>
      </c>
      <c r="P85" s="105" t="str">
        <f t="shared" si="11"/>
        <v/>
      </c>
    </row>
    <row r="86" spans="1:17" ht="13.25" customHeight="1">
      <c r="A86" s="68" t="s">
        <v>423</v>
      </c>
      <c r="B86" s="306">
        <f t="shared" si="10"/>
        <v>160</v>
      </c>
      <c r="C86" s="307"/>
      <c r="D86" s="308">
        <f t="shared" si="12"/>
        <v>5.503955968352253</v>
      </c>
      <c r="E86" s="55"/>
      <c r="F86" s="307">
        <f>SUM(F88+F92)</f>
        <v>131</v>
      </c>
      <c r="G86" s="308">
        <f t="shared" si="7"/>
        <v>81.875</v>
      </c>
      <c r="H86" s="55"/>
      <c r="I86" s="307">
        <f>SUM(I88+I92)</f>
        <v>22</v>
      </c>
      <c r="J86" s="308">
        <f t="shared" si="8"/>
        <v>13.750000000000002</v>
      </c>
      <c r="K86" s="55"/>
      <c r="L86" s="307">
        <f>SUM(L88+L92)</f>
        <v>7</v>
      </c>
      <c r="M86" s="308">
        <f t="shared" si="9"/>
        <v>4.375</v>
      </c>
      <c r="N86" s="55"/>
      <c r="O86" s="307">
        <f>SUM(O88+O92)</f>
        <v>0</v>
      </c>
      <c r="P86" s="307">
        <f>SUM(P88+P92)</f>
        <v>0</v>
      </c>
    </row>
    <row r="87" spans="1:17" s="116" customFormat="1" ht="7.5" customHeight="1">
      <c r="A87" s="68"/>
      <c r="B87" s="58" t="str">
        <f t="shared" si="10"/>
        <v/>
      </c>
      <c r="C87" s="201"/>
      <c r="D87" s="73" t="str">
        <f t="shared" si="12"/>
        <v/>
      </c>
      <c r="E87" s="57"/>
      <c r="F87" s="201"/>
      <c r="G87" s="73" t="str">
        <f t="shared" si="7"/>
        <v/>
      </c>
      <c r="H87" s="57"/>
      <c r="I87" s="201"/>
      <c r="J87" s="73" t="str">
        <f t="shared" si="8"/>
        <v/>
      </c>
      <c r="K87" s="57"/>
      <c r="L87" s="201"/>
      <c r="M87" s="73" t="str">
        <f t="shared" si="9"/>
        <v/>
      </c>
      <c r="N87" s="57"/>
      <c r="O87" s="201">
        <f>SUM(O88:O97)</f>
        <v>0</v>
      </c>
      <c r="P87" s="105" t="str">
        <f t="shared" si="11"/>
        <v/>
      </c>
    </row>
    <row r="88" spans="1:17" s="116" customFormat="1" ht="12.75" customHeight="1">
      <c r="A88" s="68" t="s">
        <v>678</v>
      </c>
      <c r="B88" s="306">
        <f t="shared" si="10"/>
        <v>2</v>
      </c>
      <c r="C88" s="315"/>
      <c r="D88" s="308">
        <f t="shared" si="12"/>
        <v>6.8799449604403165E-2</v>
      </c>
      <c r="E88" s="68"/>
      <c r="F88" s="840">
        <f>SUM(F90)</f>
        <v>2</v>
      </c>
      <c r="G88" s="308">
        <f t="shared" si="7"/>
        <v>100</v>
      </c>
      <c r="H88" s="840"/>
      <c r="I88" s="840">
        <f>SUM(I90)</f>
        <v>0</v>
      </c>
      <c r="J88" s="308">
        <f t="shared" si="8"/>
        <v>0</v>
      </c>
      <c r="K88" s="841"/>
      <c r="L88" s="840">
        <f>SUM(L90)</f>
        <v>0</v>
      </c>
      <c r="M88" s="308">
        <f t="shared" si="9"/>
        <v>0</v>
      </c>
      <c r="N88" s="241"/>
      <c r="O88" s="237">
        <f>SUM(O90)</f>
        <v>0</v>
      </c>
      <c r="P88" s="237">
        <f>SUM(P90)</f>
        <v>0</v>
      </c>
    </row>
    <row r="89" spans="1:17" s="116" customFormat="1" ht="5" customHeight="1">
      <c r="A89" s="68"/>
      <c r="B89" s="58" t="str">
        <f t="shared" si="10"/>
        <v/>
      </c>
      <c r="C89" s="201"/>
      <c r="D89" s="73" t="str">
        <f t="shared" si="12"/>
        <v/>
      </c>
      <c r="E89" s="57"/>
      <c r="F89" s="237"/>
      <c r="G89" s="73" t="str">
        <f t="shared" si="7"/>
        <v/>
      </c>
      <c r="H89" s="237"/>
      <c r="I89" s="238"/>
      <c r="J89" s="73" t="str">
        <f t="shared" si="8"/>
        <v/>
      </c>
      <c r="K89" s="238"/>
      <c r="L89" s="241"/>
      <c r="M89" s="73" t="str">
        <f t="shared" si="9"/>
        <v/>
      </c>
      <c r="N89" s="241"/>
      <c r="O89" s="239">
        <v>0</v>
      </c>
      <c r="P89" s="105" t="str">
        <f t="shared" si="11"/>
        <v/>
      </c>
    </row>
    <row r="90" spans="1:17" s="116" customFormat="1" ht="12.75" customHeight="1">
      <c r="A90" s="95" t="s">
        <v>712</v>
      </c>
      <c r="B90" s="58">
        <f t="shared" si="10"/>
        <v>2</v>
      </c>
      <c r="C90" s="201"/>
      <c r="D90" s="73">
        <f t="shared" si="12"/>
        <v>6.8799449604403165E-2</v>
      </c>
      <c r="E90" s="57"/>
      <c r="F90" s="237">
        <v>2</v>
      </c>
      <c r="G90" s="73">
        <f t="shared" si="7"/>
        <v>100</v>
      </c>
      <c r="H90" s="237"/>
      <c r="I90" s="238">
        <v>0</v>
      </c>
      <c r="J90" s="73">
        <f t="shared" si="8"/>
        <v>0</v>
      </c>
      <c r="K90" s="238"/>
      <c r="L90" s="241"/>
      <c r="M90" s="73">
        <f t="shared" si="9"/>
        <v>0</v>
      </c>
      <c r="N90" s="241"/>
      <c r="O90" s="239">
        <v>0</v>
      </c>
      <c r="P90" s="105">
        <f t="shared" si="11"/>
        <v>0</v>
      </c>
    </row>
    <row r="91" spans="1:17" s="116" customFormat="1" ht="5" customHeight="1">
      <c r="A91" s="68"/>
      <c r="B91" s="58" t="str">
        <f t="shared" si="10"/>
        <v/>
      </c>
      <c r="C91" s="201"/>
      <c r="D91" s="73" t="str">
        <f t="shared" si="12"/>
        <v/>
      </c>
      <c r="E91" s="57"/>
      <c r="F91" s="237"/>
      <c r="G91" s="73" t="str">
        <f t="shared" si="7"/>
        <v/>
      </c>
      <c r="H91" s="237"/>
      <c r="I91" s="238"/>
      <c r="J91" s="73" t="str">
        <f t="shared" si="8"/>
        <v/>
      </c>
      <c r="K91" s="238"/>
      <c r="L91" s="241"/>
      <c r="M91" s="73" t="str">
        <f t="shared" si="9"/>
        <v/>
      </c>
      <c r="N91" s="241"/>
      <c r="O91" s="239">
        <v>0</v>
      </c>
      <c r="P91" s="105" t="str">
        <f t="shared" si="11"/>
        <v/>
      </c>
    </row>
    <row r="92" spans="1:17" s="116" customFormat="1" ht="12.75" customHeight="1">
      <c r="A92" s="68" t="s">
        <v>714</v>
      </c>
      <c r="B92" s="306">
        <f t="shared" si="10"/>
        <v>158</v>
      </c>
      <c r="C92" s="315"/>
      <c r="D92" s="308">
        <f t="shared" si="12"/>
        <v>5.4351565187478501</v>
      </c>
      <c r="E92" s="68"/>
      <c r="F92" s="840">
        <f>SUM(F93:F100)</f>
        <v>129</v>
      </c>
      <c r="G92" s="308">
        <f t="shared" si="7"/>
        <v>81.64556962025317</v>
      </c>
      <c r="H92" s="840"/>
      <c r="I92" s="840">
        <f>SUM(I93:I100)</f>
        <v>22</v>
      </c>
      <c r="J92" s="308">
        <f t="shared" si="8"/>
        <v>13.924050632911392</v>
      </c>
      <c r="K92" s="841"/>
      <c r="L92" s="840">
        <f>SUM(L93:L100)</f>
        <v>7</v>
      </c>
      <c r="M92" s="308">
        <f t="shared" si="9"/>
        <v>4.4303797468354427</v>
      </c>
      <c r="N92" s="241"/>
      <c r="O92" s="237">
        <f>SUM(O93:O100)</f>
        <v>0</v>
      </c>
      <c r="P92" s="237">
        <f>SUM(P93:P100)</f>
        <v>0</v>
      </c>
    </row>
    <row r="93" spans="1:17" s="116" customFormat="1" ht="12.75" customHeight="1">
      <c r="A93" s="95" t="s">
        <v>715</v>
      </c>
      <c r="B93" s="58">
        <f>IF($A93&lt;&gt;0,F93+I93+L93+O93,"")</f>
        <v>1</v>
      </c>
      <c r="C93" s="201"/>
      <c r="D93" s="73">
        <f>IF(A93&lt;&gt;0,B93/$B$11*100,"")</f>
        <v>3.4399724802201583E-2</v>
      </c>
      <c r="E93" s="57"/>
      <c r="F93" s="838">
        <v>1</v>
      </c>
      <c r="G93" s="73">
        <f t="shared" si="7"/>
        <v>100</v>
      </c>
      <c r="H93" s="838"/>
      <c r="I93" s="838">
        <v>0</v>
      </c>
      <c r="J93" s="73">
        <f t="shared" si="8"/>
        <v>0</v>
      </c>
      <c r="K93" s="838"/>
      <c r="L93" s="838">
        <v>0</v>
      </c>
      <c r="M93" s="73">
        <f t="shared" si="9"/>
        <v>0</v>
      </c>
      <c r="N93" s="838"/>
      <c r="O93" s="794"/>
      <c r="P93" s="105"/>
    </row>
    <row r="94" spans="1:17" s="116" customFormat="1" ht="12.75" customHeight="1">
      <c r="A94" s="33" t="s">
        <v>779</v>
      </c>
      <c r="B94" s="58">
        <f t="shared" si="10"/>
        <v>28</v>
      </c>
      <c r="C94" s="201"/>
      <c r="D94" s="73">
        <f t="shared" si="12"/>
        <v>0.96319229446164434</v>
      </c>
      <c r="E94" s="57"/>
      <c r="F94" s="838">
        <v>22</v>
      </c>
      <c r="G94" s="73">
        <f t="shared" si="7"/>
        <v>78.571428571428569</v>
      </c>
      <c r="H94" s="838"/>
      <c r="I94" s="838">
        <v>4</v>
      </c>
      <c r="J94" s="73">
        <f t="shared" si="8"/>
        <v>14.285714285714285</v>
      </c>
      <c r="K94" s="838"/>
      <c r="L94" s="838">
        <v>2</v>
      </c>
      <c r="M94" s="73">
        <f t="shared" si="9"/>
        <v>7.1428571428571423</v>
      </c>
      <c r="N94" s="838"/>
      <c r="O94" s="794"/>
      <c r="P94" s="105">
        <f t="shared" si="11"/>
        <v>0</v>
      </c>
    </row>
    <row r="95" spans="1:17" s="116" customFormat="1" ht="12.75" customHeight="1">
      <c r="A95" s="75" t="s">
        <v>780</v>
      </c>
      <c r="B95" s="58">
        <f t="shared" si="10"/>
        <v>11</v>
      </c>
      <c r="C95" s="201"/>
      <c r="D95" s="73">
        <f t="shared" si="12"/>
        <v>0.37839697282421741</v>
      </c>
      <c r="E95" s="57"/>
      <c r="F95" s="838">
        <v>3</v>
      </c>
      <c r="G95" s="73">
        <f t="shared" si="7"/>
        <v>27.27272727272727</v>
      </c>
      <c r="H95" s="838"/>
      <c r="I95" s="838">
        <v>8</v>
      </c>
      <c r="J95" s="73">
        <f t="shared" si="8"/>
        <v>72.727272727272734</v>
      </c>
      <c r="K95" s="838"/>
      <c r="L95" s="838">
        <v>0</v>
      </c>
      <c r="M95" s="73">
        <f t="shared" si="9"/>
        <v>0</v>
      </c>
      <c r="N95" s="838"/>
      <c r="O95" s="794"/>
      <c r="P95" s="105">
        <f t="shared" si="11"/>
        <v>0</v>
      </c>
    </row>
    <row r="96" spans="1:17" s="116" customFormat="1" ht="12.75" customHeight="1">
      <c r="A96" s="33" t="s">
        <v>781</v>
      </c>
      <c r="B96" s="58">
        <f>IF($A96&lt;&gt;0,F96+I96+L96+O96,"")</f>
        <v>12</v>
      </c>
      <c r="C96" s="201"/>
      <c r="D96" s="73">
        <f>IF(A96&lt;&gt;0,B96/$B$11*100,"")</f>
        <v>0.41279669762641896</v>
      </c>
      <c r="E96" s="57"/>
      <c r="F96" s="838">
        <v>12</v>
      </c>
      <c r="G96" s="73">
        <f t="shared" si="7"/>
        <v>100</v>
      </c>
      <c r="H96" s="838"/>
      <c r="I96" s="838">
        <v>0</v>
      </c>
      <c r="J96" s="73">
        <f t="shared" si="8"/>
        <v>0</v>
      </c>
      <c r="K96" s="838"/>
      <c r="L96" s="838">
        <v>0</v>
      </c>
      <c r="M96" s="73">
        <f t="shared" si="9"/>
        <v>0</v>
      </c>
      <c r="N96" s="838"/>
      <c r="O96" s="794"/>
      <c r="P96" s="105"/>
    </row>
    <row r="97" spans="1:17" s="116" customFormat="1" ht="12.75" customHeight="1">
      <c r="A97" s="95" t="s">
        <v>782</v>
      </c>
      <c r="B97" s="58">
        <f t="shared" si="10"/>
        <v>19</v>
      </c>
      <c r="C97" s="201"/>
      <c r="D97" s="73">
        <f t="shared" si="12"/>
        <v>0.65359477124183007</v>
      </c>
      <c r="E97" s="57"/>
      <c r="F97" s="838">
        <v>14</v>
      </c>
      <c r="G97" s="73">
        <f t="shared" si="7"/>
        <v>73.68421052631578</v>
      </c>
      <c r="H97" s="838"/>
      <c r="I97" s="838">
        <v>4</v>
      </c>
      <c r="J97" s="73">
        <f t="shared" si="8"/>
        <v>21.052631578947366</v>
      </c>
      <c r="K97" s="838"/>
      <c r="L97" s="838">
        <v>1</v>
      </c>
      <c r="M97" s="73">
        <f t="shared" si="9"/>
        <v>5.2631578947368416</v>
      </c>
      <c r="N97" s="838"/>
      <c r="O97" s="794"/>
      <c r="P97" s="105">
        <f t="shared" si="11"/>
        <v>0</v>
      </c>
    </row>
    <row r="98" spans="1:17" s="116" customFormat="1" ht="12.75" customHeight="1">
      <c r="A98" s="95" t="s">
        <v>783</v>
      </c>
      <c r="B98" s="58">
        <f t="shared" si="10"/>
        <v>27</v>
      </c>
      <c r="C98" s="201"/>
      <c r="D98" s="73">
        <f t="shared" si="12"/>
        <v>0.92879256965944268</v>
      </c>
      <c r="E98" s="57"/>
      <c r="F98" s="838">
        <v>17</v>
      </c>
      <c r="G98" s="73">
        <f t="shared" si="7"/>
        <v>62.962962962962962</v>
      </c>
      <c r="H98" s="838"/>
      <c r="I98" s="838">
        <v>6</v>
      </c>
      <c r="J98" s="73">
        <f t="shared" si="8"/>
        <v>22.222222222222221</v>
      </c>
      <c r="K98" s="838"/>
      <c r="L98" s="838">
        <v>4</v>
      </c>
      <c r="M98" s="73">
        <f t="shared" si="9"/>
        <v>14.814814814814813</v>
      </c>
      <c r="N98" s="838"/>
      <c r="O98" s="794"/>
      <c r="P98" s="105"/>
    </row>
    <row r="99" spans="1:17" s="116" customFormat="1" ht="12.75" customHeight="1">
      <c r="A99" s="75" t="s">
        <v>168</v>
      </c>
      <c r="B99" s="58">
        <f t="shared" si="10"/>
        <v>2</v>
      </c>
      <c r="C99" s="201"/>
      <c r="D99" s="73">
        <f t="shared" si="12"/>
        <v>6.8799449604403165E-2</v>
      </c>
      <c r="E99" s="57"/>
      <c r="F99" s="835">
        <v>2</v>
      </c>
      <c r="G99" s="73">
        <f t="shared" si="7"/>
        <v>100</v>
      </c>
      <c r="H99" s="835"/>
      <c r="I99" s="835">
        <v>0</v>
      </c>
      <c r="J99" s="73">
        <f t="shared" si="8"/>
        <v>0</v>
      </c>
      <c r="K99" s="835"/>
      <c r="L99" s="835">
        <v>0</v>
      </c>
      <c r="M99" s="73">
        <f t="shared" si="9"/>
        <v>0</v>
      </c>
      <c r="N99" s="835"/>
      <c r="O99" s="794"/>
      <c r="P99" s="105"/>
    </row>
    <row r="100" spans="1:17" s="116" customFormat="1" ht="12.75" customHeight="1">
      <c r="A100" s="75" t="s">
        <v>785</v>
      </c>
      <c r="B100" s="58">
        <f t="shared" si="10"/>
        <v>58</v>
      </c>
      <c r="C100" s="201"/>
      <c r="D100" s="73">
        <f t="shared" si="12"/>
        <v>1.9951840385276916</v>
      </c>
      <c r="E100" s="57"/>
      <c r="F100" s="838">
        <v>58</v>
      </c>
      <c r="G100" s="73">
        <f t="shared" si="7"/>
        <v>100</v>
      </c>
      <c r="H100" s="838"/>
      <c r="I100" s="838">
        <v>0</v>
      </c>
      <c r="J100" s="73">
        <f t="shared" si="8"/>
        <v>0</v>
      </c>
      <c r="K100" s="838"/>
      <c r="L100" s="838">
        <v>0</v>
      </c>
      <c r="M100" s="73">
        <f t="shared" si="9"/>
        <v>0</v>
      </c>
      <c r="N100" s="838"/>
      <c r="O100" s="794"/>
      <c r="P100" s="105"/>
    </row>
    <row r="101" spans="1:17" ht="7.5" customHeight="1" thickBot="1">
      <c r="A101" s="102"/>
      <c r="B101" s="197"/>
      <c r="C101" s="200"/>
      <c r="D101" s="198"/>
      <c r="E101" s="199"/>
      <c r="F101" s="200"/>
      <c r="G101" s="198"/>
      <c r="H101" s="199"/>
      <c r="I101" s="200"/>
      <c r="J101" s="198"/>
      <c r="K101" s="199"/>
      <c r="L101" s="200"/>
      <c r="M101" s="198"/>
      <c r="N101" s="199"/>
      <c r="O101" s="200"/>
      <c r="P101" s="96"/>
      <c r="Q101" s="102"/>
    </row>
    <row r="102" spans="1:17" ht="9" customHeight="1"/>
    <row r="103" spans="1:17" ht="15">
      <c r="A103" s="203" t="s">
        <v>701</v>
      </c>
      <c r="C103" s="73"/>
      <c r="D103" s="33"/>
      <c r="E103" s="72"/>
      <c r="F103" s="73"/>
      <c r="G103" s="33"/>
      <c r="H103" s="72"/>
      <c r="I103" s="73"/>
      <c r="J103" s="33"/>
      <c r="K103" s="72"/>
      <c r="L103" s="73"/>
      <c r="M103" s="33"/>
      <c r="N103" s="72"/>
      <c r="O103" s="73"/>
      <c r="P103" s="95"/>
      <c r="Q103" s="140"/>
    </row>
    <row r="104" spans="1:17" ht="7.5" customHeight="1"/>
    <row r="105" spans="1:17">
      <c r="A105" s="14" t="s">
        <v>1926</v>
      </c>
    </row>
    <row r="106" spans="1:17">
      <c r="A106" s="95" t="s">
        <v>452</v>
      </c>
    </row>
    <row r="107" spans="1:17">
      <c r="A107" s="116"/>
      <c r="B107" s="190"/>
      <c r="C107" s="201"/>
      <c r="D107" s="191"/>
      <c r="E107" s="57"/>
      <c r="F107" s="201"/>
      <c r="G107" s="191"/>
      <c r="H107" s="57"/>
      <c r="I107" s="201"/>
      <c r="J107" s="191"/>
      <c r="K107" s="57"/>
      <c r="L107" s="201"/>
      <c r="M107" s="191"/>
    </row>
  </sheetData>
  <mergeCells count="1">
    <mergeCell ref="B7:D7"/>
  </mergeCells>
  <conditionalFormatting sqref="A1:XFD1048576">
    <cfRule type="cellIs" dxfId="66" priority="1" operator="equal">
      <formula>0</formula>
    </cfRule>
  </conditionalFormatting>
  <printOptions horizontalCentered="1" verticalCentered="1"/>
  <pageMargins left="0" right="0" top="0" bottom="0" header="0.31496062992125984" footer="0.31496062992125984"/>
  <pageSetup scale="6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249977111117893"/>
  </sheetPr>
  <dimension ref="B2:M55"/>
  <sheetViews>
    <sheetView workbookViewId="0">
      <selection activeCell="I7" sqref="I7"/>
    </sheetView>
  </sheetViews>
  <sheetFormatPr baseColWidth="10" defaultRowHeight="15"/>
  <cols>
    <col min="7" max="8" width="11.6640625" bestFit="1" customWidth="1"/>
    <col min="263" max="264" width="11.6640625" bestFit="1" customWidth="1"/>
    <col min="519" max="520" width="11.6640625" bestFit="1" customWidth="1"/>
    <col min="775" max="776" width="11.6640625" bestFit="1" customWidth="1"/>
    <col min="1031" max="1032" width="11.6640625" bestFit="1" customWidth="1"/>
    <col min="1287" max="1288" width="11.6640625" bestFit="1" customWidth="1"/>
    <col min="1543" max="1544" width="11.6640625" bestFit="1" customWidth="1"/>
    <col min="1799" max="1800" width="11.6640625" bestFit="1" customWidth="1"/>
    <col min="2055" max="2056" width="11.6640625" bestFit="1" customWidth="1"/>
    <col min="2311" max="2312" width="11.6640625" bestFit="1" customWidth="1"/>
    <col min="2567" max="2568" width="11.6640625" bestFit="1" customWidth="1"/>
    <col min="2823" max="2824" width="11.6640625" bestFit="1" customWidth="1"/>
    <col min="3079" max="3080" width="11.6640625" bestFit="1" customWidth="1"/>
    <col min="3335" max="3336" width="11.6640625" bestFit="1" customWidth="1"/>
    <col min="3591" max="3592" width="11.6640625" bestFit="1" customWidth="1"/>
    <col min="3847" max="3848" width="11.6640625" bestFit="1" customWidth="1"/>
    <col min="4103" max="4104" width="11.6640625" bestFit="1" customWidth="1"/>
    <col min="4359" max="4360" width="11.6640625" bestFit="1" customWidth="1"/>
    <col min="4615" max="4616" width="11.6640625" bestFit="1" customWidth="1"/>
    <col min="4871" max="4872" width="11.6640625" bestFit="1" customWidth="1"/>
    <col min="5127" max="5128" width="11.6640625" bestFit="1" customWidth="1"/>
    <col min="5383" max="5384" width="11.6640625" bestFit="1" customWidth="1"/>
    <col min="5639" max="5640" width="11.6640625" bestFit="1" customWidth="1"/>
    <col min="5895" max="5896" width="11.6640625" bestFit="1" customWidth="1"/>
    <col min="6151" max="6152" width="11.6640625" bestFit="1" customWidth="1"/>
    <col min="6407" max="6408" width="11.6640625" bestFit="1" customWidth="1"/>
    <col min="6663" max="6664" width="11.6640625" bestFit="1" customWidth="1"/>
    <col min="6919" max="6920" width="11.6640625" bestFit="1" customWidth="1"/>
    <col min="7175" max="7176" width="11.6640625" bestFit="1" customWidth="1"/>
    <col min="7431" max="7432" width="11.6640625" bestFit="1" customWidth="1"/>
    <col min="7687" max="7688" width="11.6640625" bestFit="1" customWidth="1"/>
    <col min="7943" max="7944" width="11.6640625" bestFit="1" customWidth="1"/>
    <col min="8199" max="8200" width="11.6640625" bestFit="1" customWidth="1"/>
    <col min="8455" max="8456" width="11.6640625" bestFit="1" customWidth="1"/>
    <col min="8711" max="8712" width="11.6640625" bestFit="1" customWidth="1"/>
    <col min="8967" max="8968" width="11.6640625" bestFit="1" customWidth="1"/>
    <col min="9223" max="9224" width="11.6640625" bestFit="1" customWidth="1"/>
    <col min="9479" max="9480" width="11.6640625" bestFit="1" customWidth="1"/>
    <col min="9735" max="9736" width="11.6640625" bestFit="1" customWidth="1"/>
    <col min="9991" max="9992" width="11.6640625" bestFit="1" customWidth="1"/>
    <col min="10247" max="10248" width="11.6640625" bestFit="1" customWidth="1"/>
    <col min="10503" max="10504" width="11.6640625" bestFit="1" customWidth="1"/>
    <col min="10759" max="10760" width="11.6640625" bestFit="1" customWidth="1"/>
    <col min="11015" max="11016" width="11.6640625" bestFit="1" customWidth="1"/>
    <col min="11271" max="11272" width="11.6640625" bestFit="1" customWidth="1"/>
    <col min="11527" max="11528" width="11.6640625" bestFit="1" customWidth="1"/>
    <col min="11783" max="11784" width="11.6640625" bestFit="1" customWidth="1"/>
    <col min="12039" max="12040" width="11.6640625" bestFit="1" customWidth="1"/>
    <col min="12295" max="12296" width="11.6640625" bestFit="1" customWidth="1"/>
    <col min="12551" max="12552" width="11.6640625" bestFit="1" customWidth="1"/>
    <col min="12807" max="12808" width="11.6640625" bestFit="1" customWidth="1"/>
    <col min="13063" max="13064" width="11.6640625" bestFit="1" customWidth="1"/>
    <col min="13319" max="13320" width="11.6640625" bestFit="1" customWidth="1"/>
    <col min="13575" max="13576" width="11.6640625" bestFit="1" customWidth="1"/>
    <col min="13831" max="13832" width="11.6640625" bestFit="1" customWidth="1"/>
    <col min="14087" max="14088" width="11.6640625" bestFit="1" customWidth="1"/>
    <col min="14343" max="14344" width="11.6640625" bestFit="1" customWidth="1"/>
    <col min="14599" max="14600" width="11.6640625" bestFit="1" customWidth="1"/>
    <col min="14855" max="14856" width="11.6640625" bestFit="1" customWidth="1"/>
    <col min="15111" max="15112" width="11.6640625" bestFit="1" customWidth="1"/>
    <col min="15367" max="15368" width="11.6640625" bestFit="1" customWidth="1"/>
    <col min="15623" max="15624" width="11.6640625" bestFit="1" customWidth="1"/>
    <col min="15879" max="15880" width="11.6640625" bestFit="1" customWidth="1"/>
    <col min="16135" max="16136" width="11.6640625" bestFit="1" customWidth="1"/>
  </cols>
  <sheetData>
    <row r="2" spans="2:13">
      <c r="M2" s="33"/>
    </row>
    <row r="3" spans="2:13">
      <c r="C3" t="s">
        <v>1136</v>
      </c>
      <c r="D3" t="s">
        <v>1137</v>
      </c>
      <c r="F3" s="72"/>
      <c r="G3" s="72"/>
      <c r="H3" s="72"/>
      <c r="I3" s="33"/>
      <c r="J3" s="33"/>
      <c r="K3" s="33"/>
      <c r="M3" s="33"/>
    </row>
    <row r="4" spans="2:13">
      <c r="B4" t="s">
        <v>693</v>
      </c>
      <c r="C4" s="35">
        <v>15136</v>
      </c>
      <c r="D4" s="35">
        <v>18596</v>
      </c>
      <c r="E4" s="3"/>
      <c r="F4" s="307"/>
      <c r="G4" s="307"/>
      <c r="H4" s="307"/>
      <c r="I4" s="307"/>
      <c r="J4" s="428"/>
    </row>
    <row r="5" spans="2:13">
      <c r="B5" t="s">
        <v>694</v>
      </c>
      <c r="C5" s="35">
        <v>16046</v>
      </c>
      <c r="D5" s="35">
        <v>17372</v>
      </c>
      <c r="E5" s="3"/>
      <c r="F5" s="428"/>
      <c r="G5" s="428"/>
      <c r="H5" s="428"/>
      <c r="I5" s="428"/>
      <c r="J5" s="428"/>
    </row>
    <row r="6" spans="2:13">
      <c r="B6" t="s">
        <v>695</v>
      </c>
      <c r="C6" s="35">
        <v>13463</v>
      </c>
      <c r="D6" s="35">
        <v>8993</v>
      </c>
      <c r="E6" s="63"/>
      <c r="F6" s="35"/>
      <c r="I6" s="35"/>
      <c r="M6" s="33"/>
    </row>
    <row r="7" spans="2:13">
      <c r="B7" t="s">
        <v>696</v>
      </c>
      <c r="C7" s="35">
        <v>778</v>
      </c>
      <c r="D7" s="35">
        <v>482</v>
      </c>
      <c r="E7" s="3"/>
      <c r="I7" s="35"/>
      <c r="M7" s="33"/>
    </row>
    <row r="8" spans="2:13">
      <c r="B8" t="s">
        <v>697</v>
      </c>
      <c r="C8" s="35">
        <v>68</v>
      </c>
      <c r="D8" s="35">
        <v>48</v>
      </c>
      <c r="E8" s="3"/>
      <c r="H8" s="35"/>
      <c r="I8" s="35"/>
      <c r="J8" s="35"/>
    </row>
    <row r="9" spans="2:13">
      <c r="B9" s="28"/>
      <c r="C9" s="28"/>
      <c r="D9" s="28"/>
      <c r="E9" s="28"/>
      <c r="F9" s="35"/>
      <c r="G9" s="35"/>
      <c r="H9" s="35"/>
      <c r="I9" s="35"/>
      <c r="J9" s="35"/>
      <c r="K9" s="35"/>
    </row>
    <row r="15" spans="2:13">
      <c r="K15" s="33"/>
    </row>
    <row r="16" spans="2:13">
      <c r="K16" s="35"/>
    </row>
    <row r="17" spans="2:11">
      <c r="K17" s="35"/>
    </row>
    <row r="18" spans="2:11">
      <c r="K18" s="35"/>
    </row>
    <row r="19" spans="2:11">
      <c r="K19" s="35"/>
    </row>
    <row r="20" spans="2:11">
      <c r="K20" s="35"/>
    </row>
    <row r="24" spans="2:11">
      <c r="B24" s="35"/>
    </row>
    <row r="25" spans="2:11">
      <c r="B25" s="35"/>
    </row>
    <row r="26" spans="2:11">
      <c r="B26" s="35"/>
    </row>
    <row r="27" spans="2:11">
      <c r="B27" s="35"/>
    </row>
    <row r="28" spans="2:11">
      <c r="B28" s="35"/>
    </row>
    <row r="35" spans="2:8">
      <c r="B35" s="391"/>
      <c r="C35" s="391"/>
      <c r="D35" s="391"/>
      <c r="E35" s="61"/>
      <c r="F35" s="61"/>
    </row>
    <row r="36" spans="2:8">
      <c r="B36" s="72"/>
      <c r="C36" s="72"/>
      <c r="D36" s="72"/>
      <c r="E36" s="72"/>
      <c r="F36" s="72"/>
    </row>
    <row r="37" spans="2:8">
      <c r="B37" s="428"/>
      <c r="C37" s="428"/>
      <c r="D37" s="428"/>
      <c r="E37" s="428"/>
      <c r="F37" s="428"/>
    </row>
    <row r="38" spans="2:8">
      <c r="B38" s="35"/>
      <c r="C38" s="35"/>
      <c r="D38" s="35"/>
      <c r="E38" s="35"/>
      <c r="F38" s="35"/>
    </row>
    <row r="39" spans="2:8">
      <c r="B39" s="35"/>
      <c r="C39" s="35"/>
      <c r="D39" s="35"/>
      <c r="E39" s="35"/>
      <c r="F39" s="35"/>
    </row>
    <row r="40" spans="2:8">
      <c r="B40" s="35"/>
      <c r="C40" s="35"/>
      <c r="D40" s="35"/>
      <c r="E40" s="35"/>
      <c r="F40" s="35"/>
    </row>
    <row r="42" spans="2:8">
      <c r="B42" s="72"/>
      <c r="C42" s="72"/>
      <c r="D42" s="72"/>
      <c r="E42" s="33"/>
      <c r="F42" s="33"/>
    </row>
    <row r="43" spans="2:8">
      <c r="B43" s="72"/>
      <c r="C43" s="72"/>
      <c r="D43" s="72"/>
      <c r="E43" s="72"/>
      <c r="F43" s="428"/>
    </row>
    <row r="44" spans="2:8">
      <c r="B44" s="35"/>
      <c r="C44" s="35"/>
      <c r="D44" s="35"/>
      <c r="E44" s="35"/>
      <c r="F44" s="35"/>
    </row>
    <row r="45" spans="2:8">
      <c r="B45" s="35"/>
    </row>
    <row r="47" spans="2:8">
      <c r="G47" s="28"/>
      <c r="H47" s="28"/>
    </row>
    <row r="48" spans="2:8">
      <c r="G48" s="84"/>
      <c r="H48" s="28"/>
    </row>
    <row r="49" spans="7:11">
      <c r="G49" s="28"/>
      <c r="H49" s="28"/>
      <c r="J49" s="28"/>
      <c r="K49" s="33"/>
    </row>
    <row r="50" spans="7:11">
      <c r="G50" s="28"/>
      <c r="H50" s="28"/>
      <c r="J50" s="28"/>
      <c r="K50" s="33"/>
    </row>
    <row r="51" spans="7:11">
      <c r="J51" s="28"/>
      <c r="K51" s="33"/>
    </row>
    <row r="52" spans="7:11">
      <c r="J52" s="28"/>
      <c r="K52" s="33"/>
    </row>
    <row r="53" spans="7:11">
      <c r="J53" s="28"/>
      <c r="K53" s="33"/>
    </row>
    <row r="54" spans="7:11">
      <c r="J54" s="28"/>
    </row>
    <row r="55" spans="7:11">
      <c r="J55" s="28"/>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S113"/>
  <sheetViews>
    <sheetView workbookViewId="0">
      <selection activeCell="A3" sqref="A3"/>
    </sheetView>
  </sheetViews>
  <sheetFormatPr baseColWidth="10" defaultColWidth="8.83203125" defaultRowHeight="13"/>
  <cols>
    <col min="1" max="1" width="34.6640625" style="95" customWidth="1"/>
    <col min="2" max="2" width="8.33203125" style="58" customWidth="1"/>
    <col min="3" max="3" width="8" style="204" customWidth="1"/>
    <col min="4" max="4" width="2.5" style="33" customWidth="1"/>
    <col min="5" max="5" width="8.33203125" style="58" customWidth="1"/>
    <col min="6" max="6" width="7.5" style="73" customWidth="1"/>
    <col min="7" max="7" width="2.6640625" style="33" customWidth="1"/>
    <col min="8" max="8" width="8.33203125" style="72" customWidth="1"/>
    <col min="9" max="9" width="8.33203125" style="73" customWidth="1"/>
    <col min="10" max="10" width="2.6640625" style="33" customWidth="1"/>
    <col min="11" max="11" width="8.33203125" style="72" customWidth="1"/>
    <col min="12" max="12" width="8.5" style="73" customWidth="1"/>
    <col min="13" max="13" width="2.6640625" style="33" customWidth="1"/>
    <col min="14" max="14" width="8.33203125" style="72" customWidth="1"/>
    <col min="15" max="15" width="8.33203125" style="73" customWidth="1"/>
    <col min="16" max="16" width="2.6640625" style="33" customWidth="1"/>
    <col min="17" max="17" width="8.33203125" style="72" customWidth="1"/>
    <col min="18" max="18" width="8.33203125" style="105" customWidth="1"/>
    <col min="19" max="19" width="2.6640625" style="95" customWidth="1"/>
    <col min="20" max="256" width="8.83203125" style="95"/>
    <col min="257" max="257" width="34.6640625" style="95" customWidth="1"/>
    <col min="258" max="258" width="8.33203125" style="95" customWidth="1"/>
    <col min="259" max="259" width="8" style="95" customWidth="1"/>
    <col min="260" max="260" width="2.5" style="95" customWidth="1"/>
    <col min="261" max="261" width="8.33203125" style="95" customWidth="1"/>
    <col min="262" max="262" width="7.5" style="95" customWidth="1"/>
    <col min="263" max="263" width="2.6640625" style="95" customWidth="1"/>
    <col min="264" max="265" width="8.33203125" style="95" customWidth="1"/>
    <col min="266" max="266" width="2.6640625" style="95" customWidth="1"/>
    <col min="267" max="267" width="8.33203125" style="95" customWidth="1"/>
    <col min="268" max="268" width="8.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4.6640625" style="95" customWidth="1"/>
    <col min="514" max="514" width="8.33203125" style="95" customWidth="1"/>
    <col min="515" max="515" width="8" style="95" customWidth="1"/>
    <col min="516" max="516" width="2.5" style="95" customWidth="1"/>
    <col min="517" max="517" width="8.33203125" style="95" customWidth="1"/>
    <col min="518" max="518" width="7.5" style="95" customWidth="1"/>
    <col min="519" max="519" width="2.6640625" style="95" customWidth="1"/>
    <col min="520" max="521" width="8.33203125" style="95" customWidth="1"/>
    <col min="522" max="522" width="2.6640625" style="95" customWidth="1"/>
    <col min="523" max="523" width="8.33203125" style="95" customWidth="1"/>
    <col min="524" max="524" width="8.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4.6640625" style="95" customWidth="1"/>
    <col min="770" max="770" width="8.33203125" style="95" customWidth="1"/>
    <col min="771" max="771" width="8" style="95" customWidth="1"/>
    <col min="772" max="772" width="2.5" style="95" customWidth="1"/>
    <col min="773" max="773" width="8.33203125" style="95" customWidth="1"/>
    <col min="774" max="774" width="7.5" style="95" customWidth="1"/>
    <col min="775" max="775" width="2.6640625" style="95" customWidth="1"/>
    <col min="776" max="777" width="8.33203125" style="95" customWidth="1"/>
    <col min="778" max="778" width="2.6640625" style="95" customWidth="1"/>
    <col min="779" max="779" width="8.33203125" style="95" customWidth="1"/>
    <col min="780" max="780" width="8.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4.6640625" style="95" customWidth="1"/>
    <col min="1026" max="1026" width="8.33203125" style="95" customWidth="1"/>
    <col min="1027" max="1027" width="8" style="95" customWidth="1"/>
    <col min="1028" max="1028" width="2.5" style="95" customWidth="1"/>
    <col min="1029" max="1029" width="8.33203125" style="95" customWidth="1"/>
    <col min="1030" max="1030" width="7.5" style="95" customWidth="1"/>
    <col min="1031" max="1031" width="2.6640625" style="95" customWidth="1"/>
    <col min="1032" max="1033" width="8.33203125" style="95" customWidth="1"/>
    <col min="1034" max="1034" width="2.6640625" style="95" customWidth="1"/>
    <col min="1035" max="1035" width="8.33203125" style="95" customWidth="1"/>
    <col min="1036" max="1036" width="8.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4.6640625" style="95" customWidth="1"/>
    <col min="1282" max="1282" width="8.33203125" style="95" customWidth="1"/>
    <col min="1283" max="1283" width="8" style="95" customWidth="1"/>
    <col min="1284" max="1284" width="2.5" style="95" customWidth="1"/>
    <col min="1285" max="1285" width="8.33203125" style="95" customWidth="1"/>
    <col min="1286" max="1286" width="7.5" style="95" customWidth="1"/>
    <col min="1287" max="1287" width="2.6640625" style="95" customWidth="1"/>
    <col min="1288" max="1289" width="8.33203125" style="95" customWidth="1"/>
    <col min="1290" max="1290" width="2.6640625" style="95" customWidth="1"/>
    <col min="1291" max="1291" width="8.33203125" style="95" customWidth="1"/>
    <col min="1292" max="1292" width="8.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4.6640625" style="95" customWidth="1"/>
    <col min="1538" max="1538" width="8.33203125" style="95" customWidth="1"/>
    <col min="1539" max="1539" width="8" style="95" customWidth="1"/>
    <col min="1540" max="1540" width="2.5" style="95" customWidth="1"/>
    <col min="1541" max="1541" width="8.33203125" style="95" customWidth="1"/>
    <col min="1542" max="1542" width="7.5" style="95" customWidth="1"/>
    <col min="1543" max="1543" width="2.6640625" style="95" customWidth="1"/>
    <col min="1544" max="1545" width="8.33203125" style="95" customWidth="1"/>
    <col min="1546" max="1546" width="2.6640625" style="95" customWidth="1"/>
    <col min="1547" max="1547" width="8.33203125" style="95" customWidth="1"/>
    <col min="1548" max="1548" width="8.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4.6640625" style="95" customWidth="1"/>
    <col min="1794" max="1794" width="8.33203125" style="95" customWidth="1"/>
    <col min="1795" max="1795" width="8" style="95" customWidth="1"/>
    <col min="1796" max="1796" width="2.5" style="95" customWidth="1"/>
    <col min="1797" max="1797" width="8.33203125" style="95" customWidth="1"/>
    <col min="1798" max="1798" width="7.5" style="95" customWidth="1"/>
    <col min="1799" max="1799" width="2.6640625" style="95" customWidth="1"/>
    <col min="1800" max="1801" width="8.33203125" style="95" customWidth="1"/>
    <col min="1802" max="1802" width="2.6640625" style="95" customWidth="1"/>
    <col min="1803" max="1803" width="8.33203125" style="95" customWidth="1"/>
    <col min="1804" max="1804" width="8.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4.6640625" style="95" customWidth="1"/>
    <col min="2050" max="2050" width="8.33203125" style="95" customWidth="1"/>
    <col min="2051" max="2051" width="8" style="95" customWidth="1"/>
    <col min="2052" max="2052" width="2.5" style="95" customWidth="1"/>
    <col min="2053" max="2053" width="8.33203125" style="95" customWidth="1"/>
    <col min="2054" max="2054" width="7.5" style="95" customWidth="1"/>
    <col min="2055" max="2055" width="2.6640625" style="95" customWidth="1"/>
    <col min="2056" max="2057" width="8.33203125" style="95" customWidth="1"/>
    <col min="2058" max="2058" width="2.6640625" style="95" customWidth="1"/>
    <col min="2059" max="2059" width="8.33203125" style="95" customWidth="1"/>
    <col min="2060" max="2060" width="8.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4.6640625" style="95" customWidth="1"/>
    <col min="2306" max="2306" width="8.33203125" style="95" customWidth="1"/>
    <col min="2307" max="2307" width="8" style="95" customWidth="1"/>
    <col min="2308" max="2308" width="2.5" style="95" customWidth="1"/>
    <col min="2309" max="2309" width="8.33203125" style="95" customWidth="1"/>
    <col min="2310" max="2310" width="7.5" style="95" customWidth="1"/>
    <col min="2311" max="2311" width="2.6640625" style="95" customWidth="1"/>
    <col min="2312" max="2313" width="8.33203125" style="95" customWidth="1"/>
    <col min="2314" max="2314" width="2.6640625" style="95" customWidth="1"/>
    <col min="2315" max="2315" width="8.33203125" style="95" customWidth="1"/>
    <col min="2316" max="2316" width="8.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4.6640625" style="95" customWidth="1"/>
    <col min="2562" max="2562" width="8.33203125" style="95" customWidth="1"/>
    <col min="2563" max="2563" width="8" style="95" customWidth="1"/>
    <col min="2564" max="2564" width="2.5" style="95" customWidth="1"/>
    <col min="2565" max="2565" width="8.33203125" style="95" customWidth="1"/>
    <col min="2566" max="2566" width="7.5" style="95" customWidth="1"/>
    <col min="2567" max="2567" width="2.6640625" style="95" customWidth="1"/>
    <col min="2568" max="2569" width="8.33203125" style="95" customWidth="1"/>
    <col min="2570" max="2570" width="2.6640625" style="95" customWidth="1"/>
    <col min="2571" max="2571" width="8.33203125" style="95" customWidth="1"/>
    <col min="2572" max="2572" width="8.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4.6640625" style="95" customWidth="1"/>
    <col min="2818" max="2818" width="8.33203125" style="95" customWidth="1"/>
    <col min="2819" max="2819" width="8" style="95" customWidth="1"/>
    <col min="2820" max="2820" width="2.5" style="95" customWidth="1"/>
    <col min="2821" max="2821" width="8.33203125" style="95" customWidth="1"/>
    <col min="2822" max="2822" width="7.5" style="95" customWidth="1"/>
    <col min="2823" max="2823" width="2.6640625" style="95" customWidth="1"/>
    <col min="2824" max="2825" width="8.33203125" style="95" customWidth="1"/>
    <col min="2826" max="2826" width="2.6640625" style="95" customWidth="1"/>
    <col min="2827" max="2827" width="8.33203125" style="95" customWidth="1"/>
    <col min="2828" max="2828" width="8.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4.6640625" style="95" customWidth="1"/>
    <col min="3074" max="3074" width="8.33203125" style="95" customWidth="1"/>
    <col min="3075" max="3075" width="8" style="95" customWidth="1"/>
    <col min="3076" max="3076" width="2.5" style="95" customWidth="1"/>
    <col min="3077" max="3077" width="8.33203125" style="95" customWidth="1"/>
    <col min="3078" max="3078" width="7.5" style="95" customWidth="1"/>
    <col min="3079" max="3079" width="2.6640625" style="95" customWidth="1"/>
    <col min="3080" max="3081" width="8.33203125" style="95" customWidth="1"/>
    <col min="3082" max="3082" width="2.6640625" style="95" customWidth="1"/>
    <col min="3083" max="3083" width="8.33203125" style="95" customWidth="1"/>
    <col min="3084" max="3084" width="8.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4.6640625" style="95" customWidth="1"/>
    <col min="3330" max="3330" width="8.33203125" style="95" customWidth="1"/>
    <col min="3331" max="3331" width="8" style="95" customWidth="1"/>
    <col min="3332" max="3332" width="2.5" style="95" customWidth="1"/>
    <col min="3333" max="3333" width="8.33203125" style="95" customWidth="1"/>
    <col min="3334" max="3334" width="7.5" style="95" customWidth="1"/>
    <col min="3335" max="3335" width="2.6640625" style="95" customWidth="1"/>
    <col min="3336" max="3337" width="8.33203125" style="95" customWidth="1"/>
    <col min="3338" max="3338" width="2.6640625" style="95" customWidth="1"/>
    <col min="3339" max="3339" width="8.33203125" style="95" customWidth="1"/>
    <col min="3340" max="3340" width="8.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4.6640625" style="95" customWidth="1"/>
    <col min="3586" max="3586" width="8.33203125" style="95" customWidth="1"/>
    <col min="3587" max="3587" width="8" style="95" customWidth="1"/>
    <col min="3588" max="3588" width="2.5" style="95" customWidth="1"/>
    <col min="3589" max="3589" width="8.33203125" style="95" customWidth="1"/>
    <col min="3590" max="3590" width="7.5" style="95" customWidth="1"/>
    <col min="3591" max="3591" width="2.6640625" style="95" customWidth="1"/>
    <col min="3592" max="3593" width="8.33203125" style="95" customWidth="1"/>
    <col min="3594" max="3594" width="2.6640625" style="95" customWidth="1"/>
    <col min="3595" max="3595" width="8.33203125" style="95" customWidth="1"/>
    <col min="3596" max="3596" width="8.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4.6640625" style="95" customWidth="1"/>
    <col min="3842" max="3842" width="8.33203125" style="95" customWidth="1"/>
    <col min="3843" max="3843" width="8" style="95" customWidth="1"/>
    <col min="3844" max="3844" width="2.5" style="95" customWidth="1"/>
    <col min="3845" max="3845" width="8.33203125" style="95" customWidth="1"/>
    <col min="3846" max="3846" width="7.5" style="95" customWidth="1"/>
    <col min="3847" max="3847" width="2.6640625" style="95" customWidth="1"/>
    <col min="3848" max="3849" width="8.33203125" style="95" customWidth="1"/>
    <col min="3850" max="3850" width="2.6640625" style="95" customWidth="1"/>
    <col min="3851" max="3851" width="8.33203125" style="95" customWidth="1"/>
    <col min="3852" max="3852" width="8.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4.6640625" style="95" customWidth="1"/>
    <col min="4098" max="4098" width="8.33203125" style="95" customWidth="1"/>
    <col min="4099" max="4099" width="8" style="95" customWidth="1"/>
    <col min="4100" max="4100" width="2.5" style="95" customWidth="1"/>
    <col min="4101" max="4101" width="8.33203125" style="95" customWidth="1"/>
    <col min="4102" max="4102" width="7.5" style="95" customWidth="1"/>
    <col min="4103" max="4103" width="2.6640625" style="95" customWidth="1"/>
    <col min="4104" max="4105" width="8.33203125" style="95" customWidth="1"/>
    <col min="4106" max="4106" width="2.6640625" style="95" customWidth="1"/>
    <col min="4107" max="4107" width="8.33203125" style="95" customWidth="1"/>
    <col min="4108" max="4108" width="8.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4.6640625" style="95" customWidth="1"/>
    <col min="4354" max="4354" width="8.33203125" style="95" customWidth="1"/>
    <col min="4355" max="4355" width="8" style="95" customWidth="1"/>
    <col min="4356" max="4356" width="2.5" style="95" customWidth="1"/>
    <col min="4357" max="4357" width="8.33203125" style="95" customWidth="1"/>
    <col min="4358" max="4358" width="7.5" style="95" customWidth="1"/>
    <col min="4359" max="4359" width="2.6640625" style="95" customWidth="1"/>
    <col min="4360" max="4361" width="8.33203125" style="95" customWidth="1"/>
    <col min="4362" max="4362" width="2.6640625" style="95" customWidth="1"/>
    <col min="4363" max="4363" width="8.33203125" style="95" customWidth="1"/>
    <col min="4364" max="4364" width="8.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4.6640625" style="95" customWidth="1"/>
    <col min="4610" max="4610" width="8.33203125" style="95" customWidth="1"/>
    <col min="4611" max="4611" width="8" style="95" customWidth="1"/>
    <col min="4612" max="4612" width="2.5" style="95" customWidth="1"/>
    <col min="4613" max="4613" width="8.33203125" style="95" customWidth="1"/>
    <col min="4614" max="4614" width="7.5" style="95" customWidth="1"/>
    <col min="4615" max="4615" width="2.6640625" style="95" customWidth="1"/>
    <col min="4616" max="4617" width="8.33203125" style="95" customWidth="1"/>
    <col min="4618" max="4618" width="2.6640625" style="95" customWidth="1"/>
    <col min="4619" max="4619" width="8.33203125" style="95" customWidth="1"/>
    <col min="4620" max="4620" width="8.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4.6640625" style="95" customWidth="1"/>
    <col min="4866" max="4866" width="8.33203125" style="95" customWidth="1"/>
    <col min="4867" max="4867" width="8" style="95" customWidth="1"/>
    <col min="4868" max="4868" width="2.5" style="95" customWidth="1"/>
    <col min="4869" max="4869" width="8.33203125" style="95" customWidth="1"/>
    <col min="4870" max="4870" width="7.5" style="95" customWidth="1"/>
    <col min="4871" max="4871" width="2.6640625" style="95" customWidth="1"/>
    <col min="4872" max="4873" width="8.33203125" style="95" customWidth="1"/>
    <col min="4874" max="4874" width="2.6640625" style="95" customWidth="1"/>
    <col min="4875" max="4875" width="8.33203125" style="95" customWidth="1"/>
    <col min="4876" max="4876" width="8.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4.6640625" style="95" customWidth="1"/>
    <col min="5122" max="5122" width="8.33203125" style="95" customWidth="1"/>
    <col min="5123" max="5123" width="8" style="95" customWidth="1"/>
    <col min="5124" max="5124" width="2.5" style="95" customWidth="1"/>
    <col min="5125" max="5125" width="8.33203125" style="95" customWidth="1"/>
    <col min="5126" max="5126" width="7.5" style="95" customWidth="1"/>
    <col min="5127" max="5127" width="2.6640625" style="95" customWidth="1"/>
    <col min="5128" max="5129" width="8.33203125" style="95" customWidth="1"/>
    <col min="5130" max="5130" width="2.6640625" style="95" customWidth="1"/>
    <col min="5131" max="5131" width="8.33203125" style="95" customWidth="1"/>
    <col min="5132" max="5132" width="8.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4.6640625" style="95" customWidth="1"/>
    <col min="5378" max="5378" width="8.33203125" style="95" customWidth="1"/>
    <col min="5379" max="5379" width="8" style="95" customWidth="1"/>
    <col min="5380" max="5380" width="2.5" style="95" customWidth="1"/>
    <col min="5381" max="5381" width="8.33203125" style="95" customWidth="1"/>
    <col min="5382" max="5382" width="7.5" style="95" customWidth="1"/>
    <col min="5383" max="5383" width="2.6640625" style="95" customWidth="1"/>
    <col min="5384" max="5385" width="8.33203125" style="95" customWidth="1"/>
    <col min="5386" max="5386" width="2.6640625" style="95" customWidth="1"/>
    <col min="5387" max="5387" width="8.33203125" style="95" customWidth="1"/>
    <col min="5388" max="5388" width="8.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4.6640625" style="95" customWidth="1"/>
    <col min="5634" max="5634" width="8.33203125" style="95" customWidth="1"/>
    <col min="5635" max="5635" width="8" style="95" customWidth="1"/>
    <col min="5636" max="5636" width="2.5" style="95" customWidth="1"/>
    <col min="5637" max="5637" width="8.33203125" style="95" customWidth="1"/>
    <col min="5638" max="5638" width="7.5" style="95" customWidth="1"/>
    <col min="5639" max="5639" width="2.6640625" style="95" customWidth="1"/>
    <col min="5640" max="5641" width="8.33203125" style="95" customWidth="1"/>
    <col min="5642" max="5642" width="2.6640625" style="95" customWidth="1"/>
    <col min="5643" max="5643" width="8.33203125" style="95" customWidth="1"/>
    <col min="5644" max="5644" width="8.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4.6640625" style="95" customWidth="1"/>
    <col min="5890" max="5890" width="8.33203125" style="95" customWidth="1"/>
    <col min="5891" max="5891" width="8" style="95" customWidth="1"/>
    <col min="5892" max="5892" width="2.5" style="95" customWidth="1"/>
    <col min="5893" max="5893" width="8.33203125" style="95" customWidth="1"/>
    <col min="5894" max="5894" width="7.5" style="95" customWidth="1"/>
    <col min="5895" max="5895" width="2.6640625" style="95" customWidth="1"/>
    <col min="5896" max="5897" width="8.33203125" style="95" customWidth="1"/>
    <col min="5898" max="5898" width="2.6640625" style="95" customWidth="1"/>
    <col min="5899" max="5899" width="8.33203125" style="95" customWidth="1"/>
    <col min="5900" max="5900" width="8.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4.6640625" style="95" customWidth="1"/>
    <col min="6146" max="6146" width="8.33203125" style="95" customWidth="1"/>
    <col min="6147" max="6147" width="8" style="95" customWidth="1"/>
    <col min="6148" max="6148" width="2.5" style="95" customWidth="1"/>
    <col min="6149" max="6149" width="8.33203125" style="95" customWidth="1"/>
    <col min="6150" max="6150" width="7.5" style="95" customWidth="1"/>
    <col min="6151" max="6151" width="2.6640625" style="95" customWidth="1"/>
    <col min="6152" max="6153" width="8.33203125" style="95" customWidth="1"/>
    <col min="6154" max="6154" width="2.6640625" style="95" customWidth="1"/>
    <col min="6155" max="6155" width="8.33203125" style="95" customWidth="1"/>
    <col min="6156" max="6156" width="8.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4.6640625" style="95" customWidth="1"/>
    <col min="6402" max="6402" width="8.33203125" style="95" customWidth="1"/>
    <col min="6403" max="6403" width="8" style="95" customWidth="1"/>
    <col min="6404" max="6404" width="2.5" style="95" customWidth="1"/>
    <col min="6405" max="6405" width="8.33203125" style="95" customWidth="1"/>
    <col min="6406" max="6406" width="7.5" style="95" customWidth="1"/>
    <col min="6407" max="6407" width="2.6640625" style="95" customWidth="1"/>
    <col min="6408" max="6409" width="8.33203125" style="95" customWidth="1"/>
    <col min="6410" max="6410" width="2.6640625" style="95" customWidth="1"/>
    <col min="6411" max="6411" width="8.33203125" style="95" customWidth="1"/>
    <col min="6412" max="6412" width="8.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4.6640625" style="95" customWidth="1"/>
    <col min="6658" max="6658" width="8.33203125" style="95" customWidth="1"/>
    <col min="6659" max="6659" width="8" style="95" customWidth="1"/>
    <col min="6660" max="6660" width="2.5" style="95" customWidth="1"/>
    <col min="6661" max="6661" width="8.33203125" style="95" customWidth="1"/>
    <col min="6662" max="6662" width="7.5" style="95" customWidth="1"/>
    <col min="6663" max="6663" width="2.6640625" style="95" customWidth="1"/>
    <col min="6664" max="6665" width="8.33203125" style="95" customWidth="1"/>
    <col min="6666" max="6666" width="2.6640625" style="95" customWidth="1"/>
    <col min="6667" max="6667" width="8.33203125" style="95" customWidth="1"/>
    <col min="6668" max="6668" width="8.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4.6640625" style="95" customWidth="1"/>
    <col min="6914" max="6914" width="8.33203125" style="95" customWidth="1"/>
    <col min="6915" max="6915" width="8" style="95" customWidth="1"/>
    <col min="6916" max="6916" width="2.5" style="95" customWidth="1"/>
    <col min="6917" max="6917" width="8.33203125" style="95" customWidth="1"/>
    <col min="6918" max="6918" width="7.5" style="95" customWidth="1"/>
    <col min="6919" max="6919" width="2.6640625" style="95" customWidth="1"/>
    <col min="6920" max="6921" width="8.33203125" style="95" customWidth="1"/>
    <col min="6922" max="6922" width="2.6640625" style="95" customWidth="1"/>
    <col min="6923" max="6923" width="8.33203125" style="95" customWidth="1"/>
    <col min="6924" max="6924" width="8.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4.6640625" style="95" customWidth="1"/>
    <col min="7170" max="7170" width="8.33203125" style="95" customWidth="1"/>
    <col min="7171" max="7171" width="8" style="95" customWidth="1"/>
    <col min="7172" max="7172" width="2.5" style="95" customWidth="1"/>
    <col min="7173" max="7173" width="8.33203125" style="95" customWidth="1"/>
    <col min="7174" max="7174" width="7.5" style="95" customWidth="1"/>
    <col min="7175" max="7175" width="2.6640625" style="95" customWidth="1"/>
    <col min="7176" max="7177" width="8.33203125" style="95" customWidth="1"/>
    <col min="7178" max="7178" width="2.6640625" style="95" customWidth="1"/>
    <col min="7179" max="7179" width="8.33203125" style="95" customWidth="1"/>
    <col min="7180" max="7180" width="8.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4.6640625" style="95" customWidth="1"/>
    <col min="7426" max="7426" width="8.33203125" style="95" customWidth="1"/>
    <col min="7427" max="7427" width="8" style="95" customWidth="1"/>
    <col min="7428" max="7428" width="2.5" style="95" customWidth="1"/>
    <col min="7429" max="7429" width="8.33203125" style="95" customWidth="1"/>
    <col min="7430" max="7430" width="7.5" style="95" customWidth="1"/>
    <col min="7431" max="7431" width="2.6640625" style="95" customWidth="1"/>
    <col min="7432" max="7433" width="8.33203125" style="95" customWidth="1"/>
    <col min="7434" max="7434" width="2.6640625" style="95" customWidth="1"/>
    <col min="7435" max="7435" width="8.33203125" style="95" customWidth="1"/>
    <col min="7436" max="7436" width="8.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4.6640625" style="95" customWidth="1"/>
    <col min="7682" max="7682" width="8.33203125" style="95" customWidth="1"/>
    <col min="7683" max="7683" width="8" style="95" customWidth="1"/>
    <col min="7684" max="7684" width="2.5" style="95" customWidth="1"/>
    <col min="7685" max="7685" width="8.33203125" style="95" customWidth="1"/>
    <col min="7686" max="7686" width="7.5" style="95" customWidth="1"/>
    <col min="7687" max="7687" width="2.6640625" style="95" customWidth="1"/>
    <col min="7688" max="7689" width="8.33203125" style="95" customWidth="1"/>
    <col min="7690" max="7690" width="2.6640625" style="95" customWidth="1"/>
    <col min="7691" max="7691" width="8.33203125" style="95" customWidth="1"/>
    <col min="7692" max="7692" width="8.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4.6640625" style="95" customWidth="1"/>
    <col min="7938" max="7938" width="8.33203125" style="95" customWidth="1"/>
    <col min="7939" max="7939" width="8" style="95" customWidth="1"/>
    <col min="7940" max="7940" width="2.5" style="95" customWidth="1"/>
    <col min="7941" max="7941" width="8.33203125" style="95" customWidth="1"/>
    <col min="7942" max="7942" width="7.5" style="95" customWidth="1"/>
    <col min="7943" max="7943" width="2.6640625" style="95" customWidth="1"/>
    <col min="7944" max="7945" width="8.33203125" style="95" customWidth="1"/>
    <col min="7946" max="7946" width="2.6640625" style="95" customWidth="1"/>
    <col min="7947" max="7947" width="8.33203125" style="95" customWidth="1"/>
    <col min="7948" max="7948" width="8.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4.6640625" style="95" customWidth="1"/>
    <col min="8194" max="8194" width="8.33203125" style="95" customWidth="1"/>
    <col min="8195" max="8195" width="8" style="95" customWidth="1"/>
    <col min="8196" max="8196" width="2.5" style="95" customWidth="1"/>
    <col min="8197" max="8197" width="8.33203125" style="95" customWidth="1"/>
    <col min="8198" max="8198" width="7.5" style="95" customWidth="1"/>
    <col min="8199" max="8199" width="2.6640625" style="95" customWidth="1"/>
    <col min="8200" max="8201" width="8.33203125" style="95" customWidth="1"/>
    <col min="8202" max="8202" width="2.6640625" style="95" customWidth="1"/>
    <col min="8203" max="8203" width="8.33203125" style="95" customWidth="1"/>
    <col min="8204" max="8204" width="8.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4.6640625" style="95" customWidth="1"/>
    <col min="8450" max="8450" width="8.33203125" style="95" customWidth="1"/>
    <col min="8451" max="8451" width="8" style="95" customWidth="1"/>
    <col min="8452" max="8452" width="2.5" style="95" customWidth="1"/>
    <col min="8453" max="8453" width="8.33203125" style="95" customWidth="1"/>
    <col min="8454" max="8454" width="7.5" style="95" customWidth="1"/>
    <col min="8455" max="8455" width="2.6640625" style="95" customWidth="1"/>
    <col min="8456" max="8457" width="8.33203125" style="95" customWidth="1"/>
    <col min="8458" max="8458" width="2.6640625" style="95" customWidth="1"/>
    <col min="8459" max="8459" width="8.33203125" style="95" customWidth="1"/>
    <col min="8460" max="8460" width="8.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4.6640625" style="95" customWidth="1"/>
    <col min="8706" max="8706" width="8.33203125" style="95" customWidth="1"/>
    <col min="8707" max="8707" width="8" style="95" customWidth="1"/>
    <col min="8708" max="8708" width="2.5" style="95" customWidth="1"/>
    <col min="8709" max="8709" width="8.33203125" style="95" customWidth="1"/>
    <col min="8710" max="8710" width="7.5" style="95" customWidth="1"/>
    <col min="8711" max="8711" width="2.6640625" style="95" customWidth="1"/>
    <col min="8712" max="8713" width="8.33203125" style="95" customWidth="1"/>
    <col min="8714" max="8714" width="2.6640625" style="95" customWidth="1"/>
    <col min="8715" max="8715" width="8.33203125" style="95" customWidth="1"/>
    <col min="8716" max="8716" width="8.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4.6640625" style="95" customWidth="1"/>
    <col min="8962" max="8962" width="8.33203125" style="95" customWidth="1"/>
    <col min="8963" max="8963" width="8" style="95" customWidth="1"/>
    <col min="8964" max="8964" width="2.5" style="95" customWidth="1"/>
    <col min="8965" max="8965" width="8.33203125" style="95" customWidth="1"/>
    <col min="8966" max="8966" width="7.5" style="95" customWidth="1"/>
    <col min="8967" max="8967" width="2.6640625" style="95" customWidth="1"/>
    <col min="8968" max="8969" width="8.33203125" style="95" customWidth="1"/>
    <col min="8970" max="8970" width="2.6640625" style="95" customWidth="1"/>
    <col min="8971" max="8971" width="8.33203125" style="95" customWidth="1"/>
    <col min="8972" max="8972" width="8.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4.6640625" style="95" customWidth="1"/>
    <col min="9218" max="9218" width="8.33203125" style="95" customWidth="1"/>
    <col min="9219" max="9219" width="8" style="95" customWidth="1"/>
    <col min="9220" max="9220" width="2.5" style="95" customWidth="1"/>
    <col min="9221" max="9221" width="8.33203125" style="95" customWidth="1"/>
    <col min="9222" max="9222" width="7.5" style="95" customWidth="1"/>
    <col min="9223" max="9223" width="2.6640625" style="95" customWidth="1"/>
    <col min="9224" max="9225" width="8.33203125" style="95" customWidth="1"/>
    <col min="9226" max="9226" width="2.6640625" style="95" customWidth="1"/>
    <col min="9227" max="9227" width="8.33203125" style="95" customWidth="1"/>
    <col min="9228" max="9228" width="8.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4.6640625" style="95" customWidth="1"/>
    <col min="9474" max="9474" width="8.33203125" style="95" customWidth="1"/>
    <col min="9475" max="9475" width="8" style="95" customWidth="1"/>
    <col min="9476" max="9476" width="2.5" style="95" customWidth="1"/>
    <col min="9477" max="9477" width="8.33203125" style="95" customWidth="1"/>
    <col min="9478" max="9478" width="7.5" style="95" customWidth="1"/>
    <col min="9479" max="9479" width="2.6640625" style="95" customWidth="1"/>
    <col min="9480" max="9481" width="8.33203125" style="95" customWidth="1"/>
    <col min="9482" max="9482" width="2.6640625" style="95" customWidth="1"/>
    <col min="9483" max="9483" width="8.33203125" style="95" customWidth="1"/>
    <col min="9484" max="9484" width="8.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4.6640625" style="95" customWidth="1"/>
    <col min="9730" max="9730" width="8.33203125" style="95" customWidth="1"/>
    <col min="9731" max="9731" width="8" style="95" customWidth="1"/>
    <col min="9732" max="9732" width="2.5" style="95" customWidth="1"/>
    <col min="9733" max="9733" width="8.33203125" style="95" customWidth="1"/>
    <col min="9734" max="9734" width="7.5" style="95" customWidth="1"/>
    <col min="9735" max="9735" width="2.6640625" style="95" customWidth="1"/>
    <col min="9736" max="9737" width="8.33203125" style="95" customWidth="1"/>
    <col min="9738" max="9738" width="2.6640625" style="95" customWidth="1"/>
    <col min="9739" max="9739" width="8.33203125" style="95" customWidth="1"/>
    <col min="9740" max="9740" width="8.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4.6640625" style="95" customWidth="1"/>
    <col min="9986" max="9986" width="8.33203125" style="95" customWidth="1"/>
    <col min="9987" max="9987" width="8" style="95" customWidth="1"/>
    <col min="9988" max="9988" width="2.5" style="95" customWidth="1"/>
    <col min="9989" max="9989" width="8.33203125" style="95" customWidth="1"/>
    <col min="9990" max="9990" width="7.5" style="95" customWidth="1"/>
    <col min="9991" max="9991" width="2.6640625" style="95" customWidth="1"/>
    <col min="9992" max="9993" width="8.33203125" style="95" customWidth="1"/>
    <col min="9994" max="9994" width="2.6640625" style="95" customWidth="1"/>
    <col min="9995" max="9995" width="8.33203125" style="95" customWidth="1"/>
    <col min="9996" max="9996" width="8.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4.6640625" style="95" customWidth="1"/>
    <col min="10242" max="10242" width="8.33203125" style="95" customWidth="1"/>
    <col min="10243" max="10243" width="8" style="95" customWidth="1"/>
    <col min="10244" max="10244" width="2.5" style="95" customWidth="1"/>
    <col min="10245" max="10245" width="8.33203125" style="95" customWidth="1"/>
    <col min="10246" max="10246" width="7.5" style="95" customWidth="1"/>
    <col min="10247" max="10247" width="2.6640625" style="95" customWidth="1"/>
    <col min="10248" max="10249" width="8.33203125" style="95" customWidth="1"/>
    <col min="10250" max="10250" width="2.6640625" style="95" customWidth="1"/>
    <col min="10251" max="10251" width="8.33203125" style="95" customWidth="1"/>
    <col min="10252" max="10252" width="8.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4.6640625" style="95" customWidth="1"/>
    <col min="10498" max="10498" width="8.33203125" style="95" customWidth="1"/>
    <col min="10499" max="10499" width="8" style="95" customWidth="1"/>
    <col min="10500" max="10500" width="2.5" style="95" customWidth="1"/>
    <col min="10501" max="10501" width="8.33203125" style="95" customWidth="1"/>
    <col min="10502" max="10502" width="7.5" style="95" customWidth="1"/>
    <col min="10503" max="10503" width="2.6640625" style="95" customWidth="1"/>
    <col min="10504" max="10505" width="8.33203125" style="95" customWidth="1"/>
    <col min="10506" max="10506" width="2.6640625" style="95" customWidth="1"/>
    <col min="10507" max="10507" width="8.33203125" style="95" customWidth="1"/>
    <col min="10508" max="10508" width="8.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4.6640625" style="95" customWidth="1"/>
    <col min="10754" max="10754" width="8.33203125" style="95" customWidth="1"/>
    <col min="10755" max="10755" width="8" style="95" customWidth="1"/>
    <col min="10756" max="10756" width="2.5" style="95" customWidth="1"/>
    <col min="10757" max="10757" width="8.33203125" style="95" customWidth="1"/>
    <col min="10758" max="10758" width="7.5" style="95" customWidth="1"/>
    <col min="10759" max="10759" width="2.6640625" style="95" customWidth="1"/>
    <col min="10760" max="10761" width="8.33203125" style="95" customWidth="1"/>
    <col min="10762" max="10762" width="2.6640625" style="95" customWidth="1"/>
    <col min="10763" max="10763" width="8.33203125" style="95" customWidth="1"/>
    <col min="10764" max="10764" width="8.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4.6640625" style="95" customWidth="1"/>
    <col min="11010" max="11010" width="8.33203125" style="95" customWidth="1"/>
    <col min="11011" max="11011" width="8" style="95" customWidth="1"/>
    <col min="11012" max="11012" width="2.5" style="95" customWidth="1"/>
    <col min="11013" max="11013" width="8.33203125" style="95" customWidth="1"/>
    <col min="11014" max="11014" width="7.5" style="95" customWidth="1"/>
    <col min="11015" max="11015" width="2.6640625" style="95" customWidth="1"/>
    <col min="11016" max="11017" width="8.33203125" style="95" customWidth="1"/>
    <col min="11018" max="11018" width="2.6640625" style="95" customWidth="1"/>
    <col min="11019" max="11019" width="8.33203125" style="95" customWidth="1"/>
    <col min="11020" max="11020" width="8.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4.6640625" style="95" customWidth="1"/>
    <col min="11266" max="11266" width="8.33203125" style="95" customWidth="1"/>
    <col min="11267" max="11267" width="8" style="95" customWidth="1"/>
    <col min="11268" max="11268" width="2.5" style="95" customWidth="1"/>
    <col min="11269" max="11269" width="8.33203125" style="95" customWidth="1"/>
    <col min="11270" max="11270" width="7.5" style="95" customWidth="1"/>
    <col min="11271" max="11271" width="2.6640625" style="95" customWidth="1"/>
    <col min="11272" max="11273" width="8.33203125" style="95" customWidth="1"/>
    <col min="11274" max="11274" width="2.6640625" style="95" customWidth="1"/>
    <col min="11275" max="11275" width="8.33203125" style="95" customWidth="1"/>
    <col min="11276" max="11276" width="8.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4.6640625" style="95" customWidth="1"/>
    <col min="11522" max="11522" width="8.33203125" style="95" customWidth="1"/>
    <col min="11523" max="11523" width="8" style="95" customWidth="1"/>
    <col min="11524" max="11524" width="2.5" style="95" customWidth="1"/>
    <col min="11525" max="11525" width="8.33203125" style="95" customWidth="1"/>
    <col min="11526" max="11526" width="7.5" style="95" customWidth="1"/>
    <col min="11527" max="11527" width="2.6640625" style="95" customWidth="1"/>
    <col min="11528" max="11529" width="8.33203125" style="95" customWidth="1"/>
    <col min="11530" max="11530" width="2.6640625" style="95" customWidth="1"/>
    <col min="11531" max="11531" width="8.33203125" style="95" customWidth="1"/>
    <col min="11532" max="11532" width="8.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4.6640625" style="95" customWidth="1"/>
    <col min="11778" max="11778" width="8.33203125" style="95" customWidth="1"/>
    <col min="11779" max="11779" width="8" style="95" customWidth="1"/>
    <col min="11780" max="11780" width="2.5" style="95" customWidth="1"/>
    <col min="11781" max="11781" width="8.33203125" style="95" customWidth="1"/>
    <col min="11782" max="11782" width="7.5" style="95" customWidth="1"/>
    <col min="11783" max="11783" width="2.6640625" style="95" customWidth="1"/>
    <col min="11784" max="11785" width="8.33203125" style="95" customWidth="1"/>
    <col min="11786" max="11786" width="2.6640625" style="95" customWidth="1"/>
    <col min="11787" max="11787" width="8.33203125" style="95" customWidth="1"/>
    <col min="11788" max="11788" width="8.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4.6640625" style="95" customWidth="1"/>
    <col min="12034" max="12034" width="8.33203125" style="95" customWidth="1"/>
    <col min="12035" max="12035" width="8" style="95" customWidth="1"/>
    <col min="12036" max="12036" width="2.5" style="95" customWidth="1"/>
    <col min="12037" max="12037" width="8.33203125" style="95" customWidth="1"/>
    <col min="12038" max="12038" width="7.5" style="95" customWidth="1"/>
    <col min="12039" max="12039" width="2.6640625" style="95" customWidth="1"/>
    <col min="12040" max="12041" width="8.33203125" style="95" customWidth="1"/>
    <col min="12042" max="12042" width="2.6640625" style="95" customWidth="1"/>
    <col min="12043" max="12043" width="8.33203125" style="95" customWidth="1"/>
    <col min="12044" max="12044" width="8.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4.6640625" style="95" customWidth="1"/>
    <col min="12290" max="12290" width="8.33203125" style="95" customWidth="1"/>
    <col min="12291" max="12291" width="8" style="95" customWidth="1"/>
    <col min="12292" max="12292" width="2.5" style="95" customWidth="1"/>
    <col min="12293" max="12293" width="8.33203125" style="95" customWidth="1"/>
    <col min="12294" max="12294" width="7.5" style="95" customWidth="1"/>
    <col min="12295" max="12295" width="2.6640625" style="95" customWidth="1"/>
    <col min="12296" max="12297" width="8.33203125" style="95" customWidth="1"/>
    <col min="12298" max="12298" width="2.6640625" style="95" customWidth="1"/>
    <col min="12299" max="12299" width="8.33203125" style="95" customWidth="1"/>
    <col min="12300" max="12300" width="8.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4.6640625" style="95" customWidth="1"/>
    <col min="12546" max="12546" width="8.33203125" style="95" customWidth="1"/>
    <col min="12547" max="12547" width="8" style="95" customWidth="1"/>
    <col min="12548" max="12548" width="2.5" style="95" customWidth="1"/>
    <col min="12549" max="12549" width="8.33203125" style="95" customWidth="1"/>
    <col min="12550" max="12550" width="7.5" style="95" customWidth="1"/>
    <col min="12551" max="12551" width="2.6640625" style="95" customWidth="1"/>
    <col min="12552" max="12553" width="8.33203125" style="95" customWidth="1"/>
    <col min="12554" max="12554" width="2.6640625" style="95" customWidth="1"/>
    <col min="12555" max="12555" width="8.33203125" style="95" customWidth="1"/>
    <col min="12556" max="12556" width="8.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4.6640625" style="95" customWidth="1"/>
    <col min="12802" max="12802" width="8.33203125" style="95" customWidth="1"/>
    <col min="12803" max="12803" width="8" style="95" customWidth="1"/>
    <col min="12804" max="12804" width="2.5" style="95" customWidth="1"/>
    <col min="12805" max="12805" width="8.33203125" style="95" customWidth="1"/>
    <col min="12806" max="12806" width="7.5" style="95" customWidth="1"/>
    <col min="12807" max="12807" width="2.6640625" style="95" customWidth="1"/>
    <col min="12808" max="12809" width="8.33203125" style="95" customWidth="1"/>
    <col min="12810" max="12810" width="2.6640625" style="95" customWidth="1"/>
    <col min="12811" max="12811" width="8.33203125" style="95" customWidth="1"/>
    <col min="12812" max="12812" width="8.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4.6640625" style="95" customWidth="1"/>
    <col min="13058" max="13058" width="8.33203125" style="95" customWidth="1"/>
    <col min="13059" max="13059" width="8" style="95" customWidth="1"/>
    <col min="13060" max="13060" width="2.5" style="95" customWidth="1"/>
    <col min="13061" max="13061" width="8.33203125" style="95" customWidth="1"/>
    <col min="13062" max="13062" width="7.5" style="95" customWidth="1"/>
    <col min="13063" max="13063" width="2.6640625" style="95" customWidth="1"/>
    <col min="13064" max="13065" width="8.33203125" style="95" customWidth="1"/>
    <col min="13066" max="13066" width="2.6640625" style="95" customWidth="1"/>
    <col min="13067" max="13067" width="8.33203125" style="95" customWidth="1"/>
    <col min="13068" max="13068" width="8.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4.6640625" style="95" customWidth="1"/>
    <col min="13314" max="13314" width="8.33203125" style="95" customWidth="1"/>
    <col min="13315" max="13315" width="8" style="95" customWidth="1"/>
    <col min="13316" max="13316" width="2.5" style="95" customWidth="1"/>
    <col min="13317" max="13317" width="8.33203125" style="95" customWidth="1"/>
    <col min="13318" max="13318" width="7.5" style="95" customWidth="1"/>
    <col min="13319" max="13319" width="2.6640625" style="95" customWidth="1"/>
    <col min="13320" max="13321" width="8.33203125" style="95" customWidth="1"/>
    <col min="13322" max="13322" width="2.6640625" style="95" customWidth="1"/>
    <col min="13323" max="13323" width="8.33203125" style="95" customWidth="1"/>
    <col min="13324" max="13324" width="8.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4.6640625" style="95" customWidth="1"/>
    <col min="13570" max="13570" width="8.33203125" style="95" customWidth="1"/>
    <col min="13571" max="13571" width="8" style="95" customWidth="1"/>
    <col min="13572" max="13572" width="2.5" style="95" customWidth="1"/>
    <col min="13573" max="13573" width="8.33203125" style="95" customWidth="1"/>
    <col min="13574" max="13574" width="7.5" style="95" customWidth="1"/>
    <col min="13575" max="13575" width="2.6640625" style="95" customWidth="1"/>
    <col min="13576" max="13577" width="8.33203125" style="95" customWidth="1"/>
    <col min="13578" max="13578" width="2.6640625" style="95" customWidth="1"/>
    <col min="13579" max="13579" width="8.33203125" style="95" customWidth="1"/>
    <col min="13580" max="13580" width="8.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4.6640625" style="95" customWidth="1"/>
    <col min="13826" max="13826" width="8.33203125" style="95" customWidth="1"/>
    <col min="13827" max="13827" width="8" style="95" customWidth="1"/>
    <col min="13828" max="13828" width="2.5" style="95" customWidth="1"/>
    <col min="13829" max="13829" width="8.33203125" style="95" customWidth="1"/>
    <col min="13830" max="13830" width="7.5" style="95" customWidth="1"/>
    <col min="13831" max="13831" width="2.6640625" style="95" customWidth="1"/>
    <col min="13832" max="13833" width="8.33203125" style="95" customWidth="1"/>
    <col min="13834" max="13834" width="2.6640625" style="95" customWidth="1"/>
    <col min="13835" max="13835" width="8.33203125" style="95" customWidth="1"/>
    <col min="13836" max="13836" width="8.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4.6640625" style="95" customWidth="1"/>
    <col min="14082" max="14082" width="8.33203125" style="95" customWidth="1"/>
    <col min="14083" max="14083" width="8" style="95" customWidth="1"/>
    <col min="14084" max="14084" width="2.5" style="95" customWidth="1"/>
    <col min="14085" max="14085" width="8.33203125" style="95" customWidth="1"/>
    <col min="14086" max="14086" width="7.5" style="95" customWidth="1"/>
    <col min="14087" max="14087" width="2.6640625" style="95" customWidth="1"/>
    <col min="14088" max="14089" width="8.33203125" style="95" customWidth="1"/>
    <col min="14090" max="14090" width="2.6640625" style="95" customWidth="1"/>
    <col min="14091" max="14091" width="8.33203125" style="95" customWidth="1"/>
    <col min="14092" max="14092" width="8.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4.6640625" style="95" customWidth="1"/>
    <col min="14338" max="14338" width="8.33203125" style="95" customWidth="1"/>
    <col min="14339" max="14339" width="8" style="95" customWidth="1"/>
    <col min="14340" max="14340" width="2.5" style="95" customWidth="1"/>
    <col min="14341" max="14341" width="8.33203125" style="95" customWidth="1"/>
    <col min="14342" max="14342" width="7.5" style="95" customWidth="1"/>
    <col min="14343" max="14343" width="2.6640625" style="95" customWidth="1"/>
    <col min="14344" max="14345" width="8.33203125" style="95" customWidth="1"/>
    <col min="14346" max="14346" width="2.6640625" style="95" customWidth="1"/>
    <col min="14347" max="14347" width="8.33203125" style="95" customWidth="1"/>
    <col min="14348" max="14348" width="8.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4.6640625" style="95" customWidth="1"/>
    <col min="14594" max="14594" width="8.33203125" style="95" customWidth="1"/>
    <col min="14595" max="14595" width="8" style="95" customWidth="1"/>
    <col min="14596" max="14596" width="2.5" style="95" customWidth="1"/>
    <col min="14597" max="14597" width="8.33203125" style="95" customWidth="1"/>
    <col min="14598" max="14598" width="7.5" style="95" customWidth="1"/>
    <col min="14599" max="14599" width="2.6640625" style="95" customWidth="1"/>
    <col min="14600" max="14601" width="8.33203125" style="95" customWidth="1"/>
    <col min="14602" max="14602" width="2.6640625" style="95" customWidth="1"/>
    <col min="14603" max="14603" width="8.33203125" style="95" customWidth="1"/>
    <col min="14604" max="14604" width="8.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4.6640625" style="95" customWidth="1"/>
    <col min="14850" max="14850" width="8.33203125" style="95" customWidth="1"/>
    <col min="14851" max="14851" width="8" style="95" customWidth="1"/>
    <col min="14852" max="14852" width="2.5" style="95" customWidth="1"/>
    <col min="14853" max="14853" width="8.33203125" style="95" customWidth="1"/>
    <col min="14854" max="14854" width="7.5" style="95" customWidth="1"/>
    <col min="14855" max="14855" width="2.6640625" style="95" customWidth="1"/>
    <col min="14856" max="14857" width="8.33203125" style="95" customWidth="1"/>
    <col min="14858" max="14858" width="2.6640625" style="95" customWidth="1"/>
    <col min="14859" max="14859" width="8.33203125" style="95" customWidth="1"/>
    <col min="14860" max="14860" width="8.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4.6640625" style="95" customWidth="1"/>
    <col min="15106" max="15106" width="8.33203125" style="95" customWidth="1"/>
    <col min="15107" max="15107" width="8" style="95" customWidth="1"/>
    <col min="15108" max="15108" width="2.5" style="95" customWidth="1"/>
    <col min="15109" max="15109" width="8.33203125" style="95" customWidth="1"/>
    <col min="15110" max="15110" width="7.5" style="95" customWidth="1"/>
    <col min="15111" max="15111" width="2.6640625" style="95" customWidth="1"/>
    <col min="15112" max="15113" width="8.33203125" style="95" customWidth="1"/>
    <col min="15114" max="15114" width="2.6640625" style="95" customWidth="1"/>
    <col min="15115" max="15115" width="8.33203125" style="95" customWidth="1"/>
    <col min="15116" max="15116" width="8.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4.6640625" style="95" customWidth="1"/>
    <col min="15362" max="15362" width="8.33203125" style="95" customWidth="1"/>
    <col min="15363" max="15363" width="8" style="95" customWidth="1"/>
    <col min="15364" max="15364" width="2.5" style="95" customWidth="1"/>
    <col min="15365" max="15365" width="8.33203125" style="95" customWidth="1"/>
    <col min="15366" max="15366" width="7.5" style="95" customWidth="1"/>
    <col min="15367" max="15367" width="2.6640625" style="95" customWidth="1"/>
    <col min="15368" max="15369" width="8.33203125" style="95" customWidth="1"/>
    <col min="15370" max="15370" width="2.6640625" style="95" customWidth="1"/>
    <col min="15371" max="15371" width="8.33203125" style="95" customWidth="1"/>
    <col min="15372" max="15372" width="8.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4.6640625" style="95" customWidth="1"/>
    <col min="15618" max="15618" width="8.33203125" style="95" customWidth="1"/>
    <col min="15619" max="15619" width="8" style="95" customWidth="1"/>
    <col min="15620" max="15620" width="2.5" style="95" customWidth="1"/>
    <col min="15621" max="15621" width="8.33203125" style="95" customWidth="1"/>
    <col min="15622" max="15622" width="7.5" style="95" customWidth="1"/>
    <col min="15623" max="15623" width="2.6640625" style="95" customWidth="1"/>
    <col min="15624" max="15625" width="8.33203125" style="95" customWidth="1"/>
    <col min="15626" max="15626" width="2.6640625" style="95" customWidth="1"/>
    <col min="15627" max="15627" width="8.33203125" style="95" customWidth="1"/>
    <col min="15628" max="15628" width="8.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4.6640625" style="95" customWidth="1"/>
    <col min="15874" max="15874" width="8.33203125" style="95" customWidth="1"/>
    <col min="15875" max="15875" width="8" style="95" customWidth="1"/>
    <col min="15876" max="15876" width="2.5" style="95" customWidth="1"/>
    <col min="15877" max="15877" width="8.33203125" style="95" customWidth="1"/>
    <col min="15878" max="15878" width="7.5" style="95" customWidth="1"/>
    <col min="15879" max="15879" width="2.6640625" style="95" customWidth="1"/>
    <col min="15880" max="15881" width="8.33203125" style="95" customWidth="1"/>
    <col min="15882" max="15882" width="2.6640625" style="95" customWidth="1"/>
    <col min="15883" max="15883" width="8.33203125" style="95" customWidth="1"/>
    <col min="15884" max="15884" width="8.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4.6640625" style="95" customWidth="1"/>
    <col min="16130" max="16130" width="8.33203125" style="95" customWidth="1"/>
    <col min="16131" max="16131" width="8" style="95" customWidth="1"/>
    <col min="16132" max="16132" width="2.5" style="95" customWidth="1"/>
    <col min="16133" max="16133" width="8.33203125" style="95" customWidth="1"/>
    <col min="16134" max="16134" width="7.5" style="95" customWidth="1"/>
    <col min="16135" max="16135" width="2.6640625" style="95" customWidth="1"/>
    <col min="16136" max="16137" width="8.33203125" style="95" customWidth="1"/>
    <col min="16138" max="16138" width="2.6640625" style="95" customWidth="1"/>
    <col min="16139" max="16139" width="8.33203125" style="95" customWidth="1"/>
    <col min="16140" max="16140" width="8.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589</v>
      </c>
    </row>
    <row r="2" spans="1:19">
      <c r="A2" s="95" t="s">
        <v>980</v>
      </c>
    </row>
    <row r="3" spans="1:19" ht="9" customHeight="1"/>
    <row r="4" spans="1:19">
      <c r="A4" s="14" t="s">
        <v>1927</v>
      </c>
    </row>
    <row r="5" spans="1:19" ht="9" customHeight="1" thickBot="1">
      <c r="S5" s="105"/>
    </row>
    <row r="6" spans="1:19" ht="12" customHeight="1">
      <c r="A6" s="97"/>
      <c r="B6" s="186"/>
      <c r="C6" s="222"/>
      <c r="D6" s="188"/>
      <c r="E6" s="186"/>
      <c r="F6" s="187"/>
      <c r="G6" s="188"/>
      <c r="H6" s="189"/>
      <c r="I6" s="187"/>
      <c r="J6" s="188"/>
      <c r="K6" s="189"/>
      <c r="L6" s="187"/>
      <c r="M6" s="188"/>
      <c r="N6" s="189"/>
      <c r="O6" s="187"/>
      <c r="P6" s="188"/>
      <c r="Q6" s="189"/>
      <c r="R6" s="99"/>
      <c r="S6" s="99"/>
    </row>
    <row r="7" spans="1:19" ht="14" customHeight="1">
      <c r="A7" s="95" t="s">
        <v>147</v>
      </c>
      <c r="B7" s="190"/>
      <c r="C7" s="223"/>
      <c r="D7" s="57"/>
      <c r="E7" s="190"/>
      <c r="F7" s="191"/>
      <c r="G7" s="57"/>
      <c r="H7" s="1039" t="s">
        <v>981</v>
      </c>
      <c r="I7" s="1039"/>
      <c r="J7" s="57"/>
      <c r="K7" s="1039" t="s">
        <v>982</v>
      </c>
      <c r="L7" s="1039"/>
      <c r="M7" s="57"/>
      <c r="N7" s="1039" t="s">
        <v>983</v>
      </c>
      <c r="O7" s="1039"/>
      <c r="P7" s="57"/>
      <c r="Q7" s="201"/>
      <c r="R7" s="135"/>
    </row>
    <row r="8" spans="1:19" ht="14" customHeight="1">
      <c r="A8" s="116" t="s">
        <v>984</v>
      </c>
      <c r="B8" s="1040" t="s">
        <v>985</v>
      </c>
      <c r="C8" s="1040"/>
      <c r="D8" s="57"/>
      <c r="E8" s="1021" t="s">
        <v>986</v>
      </c>
      <c r="F8" s="1021"/>
      <c r="G8" s="57"/>
      <c r="H8" s="1021" t="s">
        <v>987</v>
      </c>
      <c r="I8" s="1021"/>
      <c r="J8" s="57"/>
      <c r="K8" s="1021" t="s">
        <v>988</v>
      </c>
      <c r="L8" s="1021"/>
      <c r="M8" s="57"/>
      <c r="N8" s="1021" t="s">
        <v>989</v>
      </c>
      <c r="O8" s="1021"/>
      <c r="P8" s="57"/>
      <c r="Q8" s="1019" t="s">
        <v>990</v>
      </c>
      <c r="R8" s="1019"/>
    </row>
    <row r="9" spans="1:19" ht="14" customHeight="1">
      <c r="A9" s="116" t="s">
        <v>991</v>
      </c>
      <c r="B9" s="194" t="s">
        <v>400</v>
      </c>
      <c r="C9" s="224" t="s">
        <v>401</v>
      </c>
      <c r="D9" s="57"/>
      <c r="E9" s="194" t="s">
        <v>400</v>
      </c>
      <c r="F9" s="195" t="s">
        <v>401</v>
      </c>
      <c r="G9" s="57"/>
      <c r="H9" s="196" t="s">
        <v>400</v>
      </c>
      <c r="I9" s="195" t="s">
        <v>401</v>
      </c>
      <c r="J9" s="57"/>
      <c r="K9" s="196" t="s">
        <v>400</v>
      </c>
      <c r="L9" s="195" t="s">
        <v>401</v>
      </c>
      <c r="M9" s="57"/>
      <c r="N9" s="196" t="s">
        <v>400</v>
      </c>
      <c r="O9" s="195" t="s">
        <v>401</v>
      </c>
      <c r="P9" s="57"/>
      <c r="Q9" s="196" t="s">
        <v>400</v>
      </c>
      <c r="R9" s="101" t="s">
        <v>401</v>
      </c>
    </row>
    <row r="10" spans="1:19" ht="10.5" customHeight="1" thickBot="1">
      <c r="A10" s="102"/>
      <c r="B10" s="197"/>
      <c r="C10" s="226"/>
      <c r="D10" s="199"/>
      <c r="E10" s="197"/>
      <c r="F10" s="198"/>
      <c r="G10" s="199"/>
      <c r="H10" s="200"/>
      <c r="I10" s="198"/>
      <c r="J10" s="199"/>
      <c r="K10" s="200"/>
      <c r="L10" s="198"/>
      <c r="M10" s="199"/>
      <c r="N10" s="200"/>
      <c r="O10" s="198"/>
      <c r="P10" s="199"/>
      <c r="Q10" s="200"/>
      <c r="R10" s="96"/>
    </row>
    <row r="11" spans="1:19" ht="11.25" customHeight="1">
      <c r="A11" s="116"/>
      <c r="B11" s="190"/>
      <c r="C11" s="223"/>
      <c r="D11" s="57"/>
      <c r="E11" s="190"/>
      <c r="F11" s="191"/>
      <c r="G11" s="57"/>
      <c r="H11" s="201"/>
      <c r="I11" s="191"/>
      <c r="J11" s="57"/>
      <c r="K11" s="201"/>
      <c r="L11" s="191"/>
      <c r="M11" s="57"/>
      <c r="N11" s="201"/>
      <c r="O11" s="191"/>
      <c r="P11" s="57"/>
      <c r="Q11" s="201"/>
      <c r="R11" s="135"/>
      <c r="S11" s="99"/>
    </row>
    <row r="12" spans="1:19" ht="14" customHeight="1">
      <c r="A12" s="55" t="s">
        <v>402</v>
      </c>
      <c r="B12" s="58">
        <f>B14+B99</f>
        <v>42584</v>
      </c>
      <c r="C12" s="204">
        <f>C14+C99</f>
        <v>100</v>
      </c>
      <c r="E12" s="58">
        <f>E14+E99</f>
        <v>2305</v>
      </c>
      <c r="F12" s="73">
        <f t="shared" ref="F12:F75" si="0">IF($A12&lt;&gt;"",E12/$B12*100,"")</f>
        <v>5.4128311102761604</v>
      </c>
      <c r="H12" s="72">
        <f>H14+H99</f>
        <v>7494</v>
      </c>
      <c r="I12" s="73">
        <f t="shared" ref="I12:I75" si="1">IF($A12&lt;&gt;"",H12/$B12*100,"")</f>
        <v>17.598158932932556</v>
      </c>
      <c r="K12" s="72">
        <f>K14+K99</f>
        <v>10901</v>
      </c>
      <c r="L12" s="73">
        <f t="shared" ref="L12:L75" si="2">IF($A12&lt;&gt;"",K12/$B12*100,"")</f>
        <v>25.598816456885213</v>
      </c>
      <c r="N12" s="72">
        <f>N14+N99</f>
        <v>19271</v>
      </c>
      <c r="O12" s="73">
        <f t="shared" ref="O12:O75" si="3">IF($A12&lt;&gt;"",N12/$B12*100,"")</f>
        <v>45.254086041705804</v>
      </c>
      <c r="Q12" s="72">
        <f>Q14+Q99</f>
        <v>2613</v>
      </c>
      <c r="R12" s="105">
        <f>IF($A12&lt;&gt;"",Q12/$B12*100,"")</f>
        <v>6.1361074582002626</v>
      </c>
    </row>
    <row r="13" spans="1:19" ht="9.75" customHeight="1">
      <c r="F13" s="73" t="str">
        <f t="shared" si="0"/>
        <v/>
      </c>
      <c r="I13" s="73" t="str">
        <f t="shared" si="1"/>
        <v/>
      </c>
      <c r="L13" s="73" t="str">
        <f t="shared" si="2"/>
        <v/>
      </c>
      <c r="O13" s="73" t="str">
        <f t="shared" si="3"/>
        <v/>
      </c>
      <c r="R13" s="105" t="str">
        <f t="shared" ref="R13:R78" si="4">IF($A13&lt;&gt;"",Q13/$B13*100,"")</f>
        <v/>
      </c>
    </row>
    <row r="14" spans="1:19" ht="14" customHeight="1">
      <c r="A14" s="55" t="s">
        <v>403</v>
      </c>
      <c r="B14" s="58">
        <f>B94+B16+B27+B35+B75+B61+B82+B96+B97+B106</f>
        <v>32804</v>
      </c>
      <c r="C14" s="204">
        <f>IF(A14&lt;&gt;0,B14/$B$12*100,"")</f>
        <v>77.033627653578804</v>
      </c>
      <c r="D14" s="33" t="s">
        <v>128</v>
      </c>
      <c r="E14" s="58">
        <f>E94+E16+E27+E35+E75+E61+E82+E96+E97+E106</f>
        <v>1978</v>
      </c>
      <c r="F14" s="73">
        <f t="shared" si="0"/>
        <v>6.029752469211072</v>
      </c>
      <c r="G14" s="33" t="s">
        <v>128</v>
      </c>
      <c r="H14" s="72">
        <f>H94+H16+H27+H35+H75+H61+H82+H96+H97+H106</f>
        <v>6170</v>
      </c>
      <c r="I14" s="73">
        <f t="shared" si="1"/>
        <v>18.80868186806487</v>
      </c>
      <c r="J14" s="33" t="s">
        <v>128</v>
      </c>
      <c r="K14" s="72">
        <f>K94+K16+K27+K35+K75+K61+K82+K96+K97+K106</f>
        <v>8105</v>
      </c>
      <c r="L14" s="73">
        <f t="shared" si="2"/>
        <v>24.70735276185831</v>
      </c>
      <c r="M14" s="33" t="s">
        <v>128</v>
      </c>
      <c r="N14" s="72">
        <f>N94+N16+N27+N35+N75+N61+N82+N96+N97+N106</f>
        <v>14346</v>
      </c>
      <c r="O14" s="73">
        <f t="shared" si="3"/>
        <v>43.732471649798804</v>
      </c>
      <c r="P14" s="33" t="s">
        <v>128</v>
      </c>
      <c r="Q14" s="72">
        <f>Q94+Q16+Q27+Q35+Q75+Q61+Q82+Q96+Q97+Q106</f>
        <v>2205</v>
      </c>
      <c r="R14" s="105">
        <f t="shared" si="4"/>
        <v>6.721741251066943</v>
      </c>
    </row>
    <row r="15" spans="1:19" ht="9.75" customHeight="1">
      <c r="C15" s="204" t="str">
        <f t="shared" ref="C15:C80" si="5">IF(A15&lt;&gt;0,B15/$B$12*100,"")</f>
        <v/>
      </c>
      <c r="F15" s="73" t="str">
        <f t="shared" si="0"/>
        <v/>
      </c>
      <c r="I15" s="73" t="str">
        <f t="shared" si="1"/>
        <v/>
      </c>
      <c r="L15" s="73" t="str">
        <f t="shared" si="2"/>
        <v/>
      </c>
      <c r="O15" s="73" t="str">
        <f t="shared" si="3"/>
        <v/>
      </c>
      <c r="R15" s="105" t="str">
        <f t="shared" si="4"/>
        <v/>
      </c>
    </row>
    <row r="16" spans="1:19" ht="14" customHeight="1">
      <c r="A16" s="55" t="s">
        <v>404</v>
      </c>
      <c r="B16" s="58">
        <f>SUM(B17+B22)</f>
        <v>3204</v>
      </c>
      <c r="C16" s="204">
        <f t="shared" si="5"/>
        <v>7.5239526582754079</v>
      </c>
      <c r="E16" s="58">
        <f>SUM(E17+E22)</f>
        <v>118</v>
      </c>
      <c r="F16" s="73">
        <f t="shared" si="0"/>
        <v>3.6828963795255931</v>
      </c>
      <c r="H16" s="72">
        <f>SUM(H17+H22)</f>
        <v>865</v>
      </c>
      <c r="I16" s="73">
        <f t="shared" si="1"/>
        <v>26.997503121098624</v>
      </c>
      <c r="K16" s="72">
        <f>SUM(K17+K22)</f>
        <v>856</v>
      </c>
      <c r="L16" s="73">
        <f t="shared" si="2"/>
        <v>26.716604244694132</v>
      </c>
      <c r="N16" s="72">
        <f>SUM(N17+N22)</f>
        <v>1223</v>
      </c>
      <c r="O16" s="73">
        <f t="shared" si="3"/>
        <v>38.17103620474407</v>
      </c>
      <c r="Q16" s="72">
        <f>SUM(Q17+Q22)</f>
        <v>142</v>
      </c>
      <c r="R16" s="105">
        <f t="shared" si="4"/>
        <v>4.4319600499375778</v>
      </c>
    </row>
    <row r="17" spans="1:19" ht="14" customHeight="1">
      <c r="A17" s="95" t="s">
        <v>162</v>
      </c>
      <c r="B17" s="58">
        <f>SUM(E17+H17+K17+N17+Q17)</f>
        <v>1189</v>
      </c>
      <c r="C17" s="204">
        <f t="shared" si="5"/>
        <v>2.7921284989667483</v>
      </c>
      <c r="E17" s="58">
        <f>SUM(E18:E20)</f>
        <v>55</v>
      </c>
      <c r="F17" s="73">
        <f t="shared" si="0"/>
        <v>4.6257359125315389</v>
      </c>
      <c r="G17" s="33" t="s">
        <v>128</v>
      </c>
      <c r="H17" s="72">
        <f>SUM(H18:H20)</f>
        <v>291</v>
      </c>
      <c r="I17" s="73">
        <f t="shared" si="1"/>
        <v>24.47434819175778</v>
      </c>
      <c r="J17" s="33" t="s">
        <v>128</v>
      </c>
      <c r="K17" s="72">
        <f>SUM(K18:K20)</f>
        <v>338</v>
      </c>
      <c r="L17" s="73">
        <f t="shared" si="2"/>
        <v>28.427249789739278</v>
      </c>
      <c r="M17" s="33" t="s">
        <v>128</v>
      </c>
      <c r="N17" s="72">
        <f>SUM(N18:N20)</f>
        <v>451</v>
      </c>
      <c r="O17" s="73">
        <f t="shared" si="3"/>
        <v>37.931034482758619</v>
      </c>
      <c r="P17" s="33" t="s">
        <v>128</v>
      </c>
      <c r="Q17" s="72">
        <f>SUM(Q18:Q20)</f>
        <v>54</v>
      </c>
      <c r="R17" s="105">
        <f t="shared" si="4"/>
        <v>4.5416316232127834</v>
      </c>
    </row>
    <row r="18" spans="1:19" ht="14" customHeight="1">
      <c r="A18" s="95" t="s">
        <v>163</v>
      </c>
      <c r="B18" s="58">
        <f>SUM(E18+H18+K18+N18+Q18)</f>
        <v>175</v>
      </c>
      <c r="C18" s="204">
        <f t="shared" si="5"/>
        <v>0.41095247041142213</v>
      </c>
      <c r="E18" s="824">
        <v>11</v>
      </c>
      <c r="F18" s="73">
        <f t="shared" si="0"/>
        <v>6.2857142857142865</v>
      </c>
      <c r="G18" s="824"/>
      <c r="H18" s="824">
        <v>46</v>
      </c>
      <c r="I18" s="73">
        <f t="shared" si="1"/>
        <v>26.285714285714285</v>
      </c>
      <c r="J18" s="824"/>
      <c r="K18" s="824">
        <v>46</v>
      </c>
      <c r="L18" s="73">
        <f t="shared" si="2"/>
        <v>26.285714285714285</v>
      </c>
      <c r="M18" s="824"/>
      <c r="N18" s="824">
        <v>63</v>
      </c>
      <c r="O18" s="73">
        <f t="shared" si="3"/>
        <v>36</v>
      </c>
      <c r="P18" s="824"/>
      <c r="Q18" s="824">
        <v>9</v>
      </c>
      <c r="R18" s="105">
        <f t="shared" si="4"/>
        <v>5.1428571428571423</v>
      </c>
      <c r="S18" s="228"/>
    </row>
    <row r="19" spans="1:19" ht="14" customHeight="1">
      <c r="A19" s="95" t="s">
        <v>164</v>
      </c>
      <c r="B19" s="58">
        <f>SUM(E19+H19+K19+N19+Q19)</f>
        <v>267</v>
      </c>
      <c r="C19" s="204">
        <f t="shared" si="5"/>
        <v>0.62699605485628407</v>
      </c>
      <c r="E19" s="824">
        <v>6</v>
      </c>
      <c r="F19" s="73">
        <f t="shared" si="0"/>
        <v>2.2471910112359552</v>
      </c>
      <c r="G19" s="824"/>
      <c r="H19" s="824">
        <v>52</v>
      </c>
      <c r="I19" s="73">
        <f t="shared" si="1"/>
        <v>19.475655430711612</v>
      </c>
      <c r="J19" s="824"/>
      <c r="K19" s="824">
        <v>77</v>
      </c>
      <c r="L19" s="73">
        <f t="shared" si="2"/>
        <v>28.838951310861422</v>
      </c>
      <c r="M19" s="824"/>
      <c r="N19" s="824">
        <v>113</v>
      </c>
      <c r="O19" s="73">
        <f t="shared" si="3"/>
        <v>42.322097378277149</v>
      </c>
      <c r="P19" s="824"/>
      <c r="Q19" s="824">
        <v>19</v>
      </c>
      <c r="R19" s="105">
        <f t="shared" si="4"/>
        <v>7.1161048689138573</v>
      </c>
      <c r="S19" s="228"/>
    </row>
    <row r="20" spans="1:19" ht="14" customHeight="1">
      <c r="A20" s="95" t="s">
        <v>165</v>
      </c>
      <c r="B20" s="58">
        <f>SUM(E20+H20+K20+N20+Q20)</f>
        <v>747</v>
      </c>
      <c r="C20" s="204">
        <f t="shared" si="5"/>
        <v>1.754179973699042</v>
      </c>
      <c r="E20" s="824">
        <v>38</v>
      </c>
      <c r="F20" s="73">
        <f t="shared" si="0"/>
        <v>5.0870147255689426</v>
      </c>
      <c r="G20" s="824"/>
      <c r="H20" s="824">
        <v>193</v>
      </c>
      <c r="I20" s="73">
        <f t="shared" si="1"/>
        <v>25.836680053547521</v>
      </c>
      <c r="J20" s="824"/>
      <c r="K20" s="824">
        <v>215</v>
      </c>
      <c r="L20" s="73">
        <f t="shared" si="2"/>
        <v>28.781793842034809</v>
      </c>
      <c r="M20" s="824"/>
      <c r="N20" s="824">
        <v>275</v>
      </c>
      <c r="O20" s="73">
        <f t="shared" si="3"/>
        <v>36.813922356091034</v>
      </c>
      <c r="P20" s="824"/>
      <c r="Q20" s="824">
        <v>26</v>
      </c>
      <c r="R20" s="105">
        <f t="shared" si="4"/>
        <v>3.4805890227576977</v>
      </c>
      <c r="S20" s="228"/>
    </row>
    <row r="21" spans="1:19" ht="11.25" customHeight="1">
      <c r="C21" s="204" t="str">
        <f t="shared" si="5"/>
        <v/>
      </c>
      <c r="F21" s="73" t="str">
        <f t="shared" si="0"/>
        <v/>
      </c>
      <c r="I21" s="73" t="str">
        <f t="shared" si="1"/>
        <v/>
      </c>
      <c r="L21" s="73" t="str">
        <f t="shared" si="2"/>
        <v/>
      </c>
      <c r="O21" s="73" t="str">
        <f t="shared" si="3"/>
        <v/>
      </c>
      <c r="R21" s="105" t="str">
        <f t="shared" si="4"/>
        <v/>
      </c>
    </row>
    <row r="22" spans="1:19" ht="14" customHeight="1">
      <c r="A22" s="95" t="s">
        <v>166</v>
      </c>
      <c r="B22" s="58">
        <f>SUM(E22+H22+K22+N22+Q22)</f>
        <v>2015</v>
      </c>
      <c r="C22" s="204">
        <f t="shared" si="5"/>
        <v>4.7318241593086601</v>
      </c>
      <c r="E22" s="58">
        <f>SUM(E23:E25)</f>
        <v>63</v>
      </c>
      <c r="F22" s="73">
        <f t="shared" si="0"/>
        <v>3.1265508684863526</v>
      </c>
      <c r="G22" s="33" t="s">
        <v>128</v>
      </c>
      <c r="H22" s="72">
        <f>SUM(H23:H25)</f>
        <v>574</v>
      </c>
      <c r="I22" s="73">
        <f t="shared" si="1"/>
        <v>28.486352357320101</v>
      </c>
      <c r="J22" s="33" t="s">
        <v>128</v>
      </c>
      <c r="K22" s="72">
        <f>SUM(K23:K25)</f>
        <v>518</v>
      </c>
      <c r="L22" s="73">
        <f t="shared" si="2"/>
        <v>25.707196029776675</v>
      </c>
      <c r="M22" s="33" t="s">
        <v>128</v>
      </c>
      <c r="N22" s="72">
        <f>SUM(N23:N25)</f>
        <v>772</v>
      </c>
      <c r="O22" s="73">
        <f t="shared" si="3"/>
        <v>38.312655086848636</v>
      </c>
      <c r="P22" s="33" t="s">
        <v>128</v>
      </c>
      <c r="Q22" s="72">
        <f>SUM(Q23:Q25)</f>
        <v>88</v>
      </c>
      <c r="R22" s="105">
        <f t="shared" si="4"/>
        <v>4.3672456575682386</v>
      </c>
    </row>
    <row r="23" spans="1:19" ht="14" customHeight="1">
      <c r="A23" s="95" t="s">
        <v>167</v>
      </c>
      <c r="B23" s="58">
        <f>SUM(E23+H23+K23+N23+Q23)</f>
        <v>687</v>
      </c>
      <c r="C23" s="204">
        <f t="shared" si="5"/>
        <v>1.6132819838436971</v>
      </c>
      <c r="E23" s="824">
        <v>15</v>
      </c>
      <c r="F23" s="73">
        <f t="shared" si="0"/>
        <v>2.1834061135371177</v>
      </c>
      <c r="G23" s="824"/>
      <c r="H23" s="824">
        <v>196</v>
      </c>
      <c r="I23" s="73">
        <f t="shared" si="1"/>
        <v>28.529839883551674</v>
      </c>
      <c r="J23" s="824"/>
      <c r="K23" s="824">
        <v>216</v>
      </c>
      <c r="L23" s="73">
        <f t="shared" si="2"/>
        <v>31.4410480349345</v>
      </c>
      <c r="M23" s="824"/>
      <c r="N23" s="824">
        <v>239</v>
      </c>
      <c r="O23" s="73">
        <f t="shared" si="3"/>
        <v>34.788937409024747</v>
      </c>
      <c r="P23" s="824"/>
      <c r="Q23" s="824">
        <v>21</v>
      </c>
      <c r="R23" s="105">
        <f t="shared" si="4"/>
        <v>3.0567685589519651</v>
      </c>
    </row>
    <row r="24" spans="1:19" ht="14" customHeight="1">
      <c r="A24" s="95" t="s">
        <v>168</v>
      </c>
      <c r="B24" s="58">
        <f>SUM(E24+H24+K24+N24+Q24)</f>
        <v>287</v>
      </c>
      <c r="C24" s="204">
        <f t="shared" si="5"/>
        <v>0.67396205147473232</v>
      </c>
      <c r="E24" s="824">
        <v>15</v>
      </c>
      <c r="F24" s="73">
        <f t="shared" si="0"/>
        <v>5.2264808362369335</v>
      </c>
      <c r="G24" s="824"/>
      <c r="H24" s="824">
        <v>103</v>
      </c>
      <c r="I24" s="73">
        <f t="shared" si="1"/>
        <v>35.88850174216028</v>
      </c>
      <c r="J24" s="824"/>
      <c r="K24" s="824">
        <v>62</v>
      </c>
      <c r="L24" s="73">
        <f t="shared" si="2"/>
        <v>21.602787456445995</v>
      </c>
      <c r="M24" s="824"/>
      <c r="N24" s="824">
        <v>91</v>
      </c>
      <c r="O24" s="73">
        <f t="shared" si="3"/>
        <v>31.707317073170731</v>
      </c>
      <c r="P24" s="824"/>
      <c r="Q24" s="824">
        <v>16</v>
      </c>
      <c r="R24" s="105">
        <f t="shared" si="4"/>
        <v>5.5749128919860631</v>
      </c>
    </row>
    <row r="25" spans="1:19" ht="14" customHeight="1">
      <c r="A25" s="95" t="s">
        <v>169</v>
      </c>
      <c r="B25" s="58">
        <f>SUM(E25+H25+K25+N25+Q25)</f>
        <v>1041</v>
      </c>
      <c r="C25" s="204">
        <f t="shared" si="5"/>
        <v>2.4445801239902307</v>
      </c>
      <c r="E25" s="824">
        <v>33</v>
      </c>
      <c r="F25" s="73">
        <f t="shared" si="0"/>
        <v>3.1700288184438041</v>
      </c>
      <c r="G25" s="824"/>
      <c r="H25" s="824">
        <v>275</v>
      </c>
      <c r="I25" s="73">
        <f t="shared" si="1"/>
        <v>26.416906820365032</v>
      </c>
      <c r="J25" s="824"/>
      <c r="K25" s="824">
        <v>240</v>
      </c>
      <c r="L25" s="73">
        <f t="shared" si="2"/>
        <v>23.054755043227665</v>
      </c>
      <c r="M25" s="824"/>
      <c r="N25" s="824">
        <v>442</v>
      </c>
      <c r="O25" s="73">
        <f t="shared" si="3"/>
        <v>42.459173871277613</v>
      </c>
      <c r="P25" s="824"/>
      <c r="Q25" s="824">
        <v>51</v>
      </c>
      <c r="R25" s="105">
        <f t="shared" si="4"/>
        <v>4.8991354466858787</v>
      </c>
    </row>
    <row r="26" spans="1:19" ht="11.25" customHeight="1">
      <c r="C26" s="204" t="str">
        <f t="shared" si="5"/>
        <v/>
      </c>
      <c r="F26" s="73" t="str">
        <f t="shared" si="0"/>
        <v/>
      </c>
      <c r="I26" s="73" t="str">
        <f t="shared" si="1"/>
        <v/>
      </c>
      <c r="L26" s="73" t="str">
        <f t="shared" si="2"/>
        <v/>
      </c>
      <c r="O26" s="73" t="str">
        <f t="shared" si="3"/>
        <v/>
      </c>
      <c r="R26" s="105" t="str">
        <f t="shared" si="4"/>
        <v/>
      </c>
    </row>
    <row r="27" spans="1:19" ht="14" customHeight="1">
      <c r="A27" s="55" t="s">
        <v>464</v>
      </c>
      <c r="B27" s="58">
        <f>SUM(B28)</f>
        <v>2129</v>
      </c>
      <c r="C27" s="204">
        <f t="shared" si="5"/>
        <v>4.9995303400338154</v>
      </c>
      <c r="E27" s="58">
        <f>SUM(E28)</f>
        <v>56</v>
      </c>
      <c r="F27" s="73">
        <f t="shared" si="0"/>
        <v>2.6303428839830905</v>
      </c>
      <c r="H27" s="72">
        <f>SUM(H28)</f>
        <v>407</v>
      </c>
      <c r="I27" s="73">
        <f t="shared" si="1"/>
        <v>19.116956317519961</v>
      </c>
      <c r="K27" s="72">
        <f>SUM(K28)</f>
        <v>657</v>
      </c>
      <c r="L27" s="73">
        <f t="shared" si="2"/>
        <v>30.85955847815876</v>
      </c>
      <c r="N27" s="72">
        <f>SUM(N28)</f>
        <v>924</v>
      </c>
      <c r="O27" s="73">
        <f t="shared" si="3"/>
        <v>43.400657585721</v>
      </c>
      <c r="Q27" s="72">
        <f>SUM(Q28)</f>
        <v>85</v>
      </c>
      <c r="R27" s="105">
        <f t="shared" si="4"/>
        <v>3.9924847346171912</v>
      </c>
    </row>
    <row r="28" spans="1:19" ht="14" customHeight="1">
      <c r="A28" s="95" t="s">
        <v>171</v>
      </c>
      <c r="B28" s="58">
        <f t="shared" ref="B28:B33" si="6">SUM(E28+H28+K28+N28+Q28)</f>
        <v>2129</v>
      </c>
      <c r="C28" s="204">
        <f t="shared" si="5"/>
        <v>4.9995303400338154</v>
      </c>
      <c r="E28" s="58">
        <f>SUM(E29:E33)</f>
        <v>56</v>
      </c>
      <c r="F28" s="73">
        <f t="shared" si="0"/>
        <v>2.6303428839830905</v>
      </c>
      <c r="G28" s="33" t="s">
        <v>128</v>
      </c>
      <c r="H28" s="72">
        <f>SUM(H29:H33)</f>
        <v>407</v>
      </c>
      <c r="I28" s="73">
        <f t="shared" si="1"/>
        <v>19.116956317519961</v>
      </c>
      <c r="J28" s="33" t="s">
        <v>128</v>
      </c>
      <c r="K28" s="72">
        <f>SUM(K29:K33)</f>
        <v>657</v>
      </c>
      <c r="L28" s="73">
        <f t="shared" si="2"/>
        <v>30.85955847815876</v>
      </c>
      <c r="M28" s="33" t="s">
        <v>128</v>
      </c>
      <c r="N28" s="72">
        <f>SUM(N29:N33)</f>
        <v>924</v>
      </c>
      <c r="O28" s="73">
        <f t="shared" si="3"/>
        <v>43.400657585721</v>
      </c>
      <c r="P28" s="33" t="s">
        <v>128</v>
      </c>
      <c r="Q28" s="72">
        <f>SUM(Q29:Q33)</f>
        <v>85</v>
      </c>
      <c r="R28" s="105">
        <f t="shared" si="4"/>
        <v>3.9924847346171912</v>
      </c>
    </row>
    <row r="29" spans="1:19" ht="14" customHeight="1">
      <c r="A29" s="95" t="s">
        <v>172</v>
      </c>
      <c r="B29" s="58">
        <f t="shared" si="6"/>
        <v>372</v>
      </c>
      <c r="C29" s="204">
        <f t="shared" si="5"/>
        <v>0.87356753710313739</v>
      </c>
      <c r="E29" s="824">
        <v>16</v>
      </c>
      <c r="F29" s="73">
        <f t="shared" si="0"/>
        <v>4.3010752688172049</v>
      </c>
      <c r="G29" s="824"/>
      <c r="H29" s="824">
        <v>61</v>
      </c>
      <c r="I29" s="73">
        <f t="shared" si="1"/>
        <v>16.397849462365592</v>
      </c>
      <c r="J29" s="824"/>
      <c r="K29" s="824">
        <v>103</v>
      </c>
      <c r="L29" s="73">
        <f t="shared" si="2"/>
        <v>27.688172043010752</v>
      </c>
      <c r="M29" s="824"/>
      <c r="N29" s="824">
        <v>183</v>
      </c>
      <c r="O29" s="73">
        <f t="shared" si="3"/>
        <v>49.193548387096776</v>
      </c>
      <c r="P29" s="824"/>
      <c r="Q29" s="824">
        <v>9</v>
      </c>
      <c r="R29" s="105">
        <f t="shared" si="4"/>
        <v>2.4193548387096775</v>
      </c>
    </row>
    <row r="30" spans="1:19" ht="14" customHeight="1">
      <c r="A30" s="95" t="s">
        <v>173</v>
      </c>
      <c r="B30" s="58">
        <f t="shared" si="6"/>
        <v>533</v>
      </c>
      <c r="C30" s="204">
        <f t="shared" si="5"/>
        <v>1.2516438098816456</v>
      </c>
      <c r="E30" s="824">
        <v>6</v>
      </c>
      <c r="F30" s="73">
        <f t="shared" si="0"/>
        <v>1.125703564727955</v>
      </c>
      <c r="G30" s="824"/>
      <c r="H30" s="824">
        <v>119</v>
      </c>
      <c r="I30" s="73">
        <f t="shared" si="1"/>
        <v>22.326454033771107</v>
      </c>
      <c r="J30" s="824"/>
      <c r="K30" s="824">
        <v>168</v>
      </c>
      <c r="L30" s="73">
        <f t="shared" si="2"/>
        <v>31.51969981238274</v>
      </c>
      <c r="M30" s="824"/>
      <c r="N30" s="824">
        <v>221</v>
      </c>
      <c r="O30" s="73">
        <f t="shared" si="3"/>
        <v>41.463414634146339</v>
      </c>
      <c r="P30" s="824"/>
      <c r="Q30" s="824">
        <v>19</v>
      </c>
      <c r="R30" s="105">
        <f t="shared" si="4"/>
        <v>3.5647279549718571</v>
      </c>
    </row>
    <row r="31" spans="1:19" ht="14" customHeight="1">
      <c r="A31" s="95" t="s">
        <v>174</v>
      </c>
      <c r="B31" s="58">
        <f t="shared" si="6"/>
        <v>290</v>
      </c>
      <c r="C31" s="204">
        <f t="shared" si="5"/>
        <v>0.68100695096749952</v>
      </c>
      <c r="E31" s="824">
        <v>13</v>
      </c>
      <c r="F31" s="73">
        <f t="shared" si="0"/>
        <v>4.4827586206896548</v>
      </c>
      <c r="G31" s="824"/>
      <c r="H31" s="824">
        <v>55</v>
      </c>
      <c r="I31" s="73">
        <f t="shared" si="1"/>
        <v>18.96551724137931</v>
      </c>
      <c r="J31" s="824"/>
      <c r="K31" s="824">
        <v>106</v>
      </c>
      <c r="L31" s="73">
        <f t="shared" si="2"/>
        <v>36.551724137931032</v>
      </c>
      <c r="M31" s="824"/>
      <c r="N31" s="824">
        <v>113</v>
      </c>
      <c r="O31" s="73">
        <f t="shared" si="3"/>
        <v>38.96551724137931</v>
      </c>
      <c r="P31" s="824"/>
      <c r="Q31" s="824">
        <v>3</v>
      </c>
      <c r="R31" s="105">
        <f t="shared" si="4"/>
        <v>1.0344827586206897</v>
      </c>
    </row>
    <row r="32" spans="1:19" ht="14" customHeight="1">
      <c r="A32" s="95" t="s">
        <v>175</v>
      </c>
      <c r="B32" s="58">
        <f t="shared" si="6"/>
        <v>476</v>
      </c>
      <c r="C32" s="204">
        <f t="shared" si="5"/>
        <v>1.1177907195190682</v>
      </c>
      <c r="E32" s="824">
        <v>7</v>
      </c>
      <c r="F32" s="73">
        <f t="shared" si="0"/>
        <v>1.4705882352941175</v>
      </c>
      <c r="G32" s="824"/>
      <c r="H32" s="824">
        <v>88</v>
      </c>
      <c r="I32" s="73">
        <f t="shared" si="1"/>
        <v>18.487394957983195</v>
      </c>
      <c r="J32" s="824"/>
      <c r="K32" s="824">
        <v>127</v>
      </c>
      <c r="L32" s="73">
        <f t="shared" si="2"/>
        <v>26.680672268907564</v>
      </c>
      <c r="M32" s="824"/>
      <c r="N32" s="824">
        <v>215</v>
      </c>
      <c r="O32" s="73">
        <f t="shared" si="3"/>
        <v>45.168067226890756</v>
      </c>
      <c r="P32" s="824"/>
      <c r="Q32" s="824">
        <v>39</v>
      </c>
      <c r="R32" s="105">
        <f t="shared" si="4"/>
        <v>8.1932773109243691</v>
      </c>
    </row>
    <row r="33" spans="1:18" ht="14" customHeight="1">
      <c r="A33" s="95" t="s">
        <v>176</v>
      </c>
      <c r="B33" s="58">
        <f t="shared" si="6"/>
        <v>458</v>
      </c>
      <c r="C33" s="204">
        <f t="shared" si="5"/>
        <v>1.0755213225624647</v>
      </c>
      <c r="E33" s="824">
        <v>14</v>
      </c>
      <c r="F33" s="73">
        <f t="shared" si="0"/>
        <v>3.0567685589519651</v>
      </c>
      <c r="G33" s="824"/>
      <c r="H33" s="824">
        <v>84</v>
      </c>
      <c r="I33" s="73">
        <f t="shared" si="1"/>
        <v>18.340611353711793</v>
      </c>
      <c r="J33" s="824"/>
      <c r="K33" s="824">
        <v>153</v>
      </c>
      <c r="L33" s="73">
        <f t="shared" si="2"/>
        <v>33.406113537117903</v>
      </c>
      <c r="M33" s="824"/>
      <c r="N33" s="824">
        <v>192</v>
      </c>
      <c r="O33" s="73">
        <f t="shared" si="3"/>
        <v>41.921397379912662</v>
      </c>
      <c r="P33" s="824"/>
      <c r="Q33" s="824">
        <v>15</v>
      </c>
      <c r="R33" s="105">
        <f t="shared" si="4"/>
        <v>3.2751091703056767</v>
      </c>
    </row>
    <row r="34" spans="1:18" ht="11.25" customHeight="1">
      <c r="C34" s="204" t="str">
        <f t="shared" si="5"/>
        <v/>
      </c>
      <c r="F34" s="73" t="str">
        <f t="shared" si="0"/>
        <v/>
      </c>
      <c r="I34" s="73" t="str">
        <f t="shared" si="1"/>
        <v/>
      </c>
      <c r="L34" s="73" t="str">
        <f t="shared" si="2"/>
        <v/>
      </c>
      <c r="O34" s="73" t="str">
        <f t="shared" si="3"/>
        <v/>
      </c>
      <c r="R34" s="105" t="str">
        <f t="shared" si="4"/>
        <v/>
      </c>
    </row>
    <row r="35" spans="1:18" ht="14" customHeight="1">
      <c r="A35" s="55" t="s">
        <v>406</v>
      </c>
      <c r="B35" s="58">
        <f>SUM(B36+B42+B52+B54)</f>
        <v>14164</v>
      </c>
      <c r="C35" s="204">
        <f t="shared" si="5"/>
        <v>33.261318805185049</v>
      </c>
      <c r="E35" s="58">
        <f>SUM(E36+E42+E52+E54)</f>
        <v>1041</v>
      </c>
      <c r="F35" s="73">
        <f t="shared" si="0"/>
        <v>7.3496187517650382</v>
      </c>
      <c r="H35" s="72">
        <f>SUM(H36+H42+H52+H54)</f>
        <v>2949</v>
      </c>
      <c r="I35" s="73">
        <f t="shared" si="1"/>
        <v>20.82038972041796</v>
      </c>
      <c r="K35" s="72">
        <f>SUM(K36+K42+K52+K54)</f>
        <v>3143</v>
      </c>
      <c r="L35" s="73">
        <f t="shared" si="2"/>
        <v>22.190059305280993</v>
      </c>
      <c r="N35" s="72">
        <f>SUM(N36+N42+N52+N54)</f>
        <v>6035</v>
      </c>
      <c r="O35" s="73">
        <f t="shared" si="3"/>
        <v>42.608020333239196</v>
      </c>
      <c r="Q35" s="72">
        <f>SUM(Q36+Q42+Q52+Q54)</f>
        <v>996</v>
      </c>
      <c r="R35" s="105">
        <f t="shared" si="4"/>
        <v>7.0319118892968087</v>
      </c>
    </row>
    <row r="36" spans="1:18" ht="14" customHeight="1">
      <c r="A36" s="95" t="s">
        <v>178</v>
      </c>
      <c r="B36" s="58">
        <f>SUM(E36+H36+K36+N36+Q36)</f>
        <v>5225</v>
      </c>
      <c r="C36" s="204">
        <f t="shared" si="5"/>
        <v>12.269866616569605</v>
      </c>
      <c r="E36" s="58">
        <f>SUM(E37:E40)</f>
        <v>379</v>
      </c>
      <c r="F36" s="73">
        <f t="shared" si="0"/>
        <v>7.2535885167464116</v>
      </c>
      <c r="G36" s="33" t="s">
        <v>128</v>
      </c>
      <c r="H36" s="72">
        <f>SUM(H37:H40)</f>
        <v>1163</v>
      </c>
      <c r="I36" s="73">
        <f t="shared" si="1"/>
        <v>22.258373205741627</v>
      </c>
      <c r="J36" s="33" t="s">
        <v>128</v>
      </c>
      <c r="K36" s="72">
        <f>SUM(K37:K40)</f>
        <v>1175</v>
      </c>
      <c r="L36" s="73">
        <f t="shared" si="2"/>
        <v>22.488038277511961</v>
      </c>
      <c r="M36" s="33" t="s">
        <v>128</v>
      </c>
      <c r="N36" s="72">
        <f>SUM(N37:N40)</f>
        <v>2189</v>
      </c>
      <c r="O36" s="73">
        <f t="shared" si="3"/>
        <v>41.89473684210526</v>
      </c>
      <c r="P36" s="33" t="s">
        <v>128</v>
      </c>
      <c r="Q36" s="72">
        <f>SUM(Q37:Q40)</f>
        <v>319</v>
      </c>
      <c r="R36" s="105">
        <f t="shared" si="4"/>
        <v>6.1052631578947363</v>
      </c>
    </row>
    <row r="37" spans="1:18" ht="14" customHeight="1">
      <c r="A37" s="95" t="s">
        <v>179</v>
      </c>
      <c r="B37" s="58">
        <f>SUM(E37+H37+K37+N37+Q37)</f>
        <v>3031</v>
      </c>
      <c r="C37" s="204">
        <f t="shared" si="5"/>
        <v>7.1176967875258317</v>
      </c>
      <c r="E37" s="824">
        <v>234</v>
      </c>
      <c r="F37" s="73">
        <f t="shared" si="0"/>
        <v>7.720224348399868</v>
      </c>
      <c r="G37" s="824"/>
      <c r="H37" s="824">
        <v>781</v>
      </c>
      <c r="I37" s="73">
        <f t="shared" si="1"/>
        <v>25.767073573078193</v>
      </c>
      <c r="J37" s="824"/>
      <c r="K37" s="824">
        <v>737</v>
      </c>
      <c r="L37" s="73">
        <f t="shared" si="2"/>
        <v>24.315407456285055</v>
      </c>
      <c r="M37" s="824"/>
      <c r="N37" s="824">
        <v>1177</v>
      </c>
      <c r="O37" s="73">
        <f t="shared" si="3"/>
        <v>38.832068624216433</v>
      </c>
      <c r="P37" s="824"/>
      <c r="Q37" s="824">
        <v>102</v>
      </c>
      <c r="R37" s="105">
        <f t="shared" si="4"/>
        <v>3.3652259980204553</v>
      </c>
    </row>
    <row r="38" spans="1:18" ht="14" customHeight="1">
      <c r="A38" s="95" t="s">
        <v>180</v>
      </c>
      <c r="B38" s="58">
        <f>SUM(E38+H38+K38+N38+Q38)</f>
        <v>1193</v>
      </c>
      <c r="C38" s="204">
        <f t="shared" si="5"/>
        <v>2.8015216982904381</v>
      </c>
      <c r="E38" s="824">
        <v>110</v>
      </c>
      <c r="F38" s="73">
        <f t="shared" si="0"/>
        <v>9.2204526404023479</v>
      </c>
      <c r="G38" s="824"/>
      <c r="H38" s="824">
        <v>188</v>
      </c>
      <c r="I38" s="73">
        <f t="shared" si="1"/>
        <v>15.758591785414922</v>
      </c>
      <c r="J38" s="824"/>
      <c r="K38" s="824">
        <v>181</v>
      </c>
      <c r="L38" s="73">
        <f t="shared" si="2"/>
        <v>15.171835708298406</v>
      </c>
      <c r="M38" s="824"/>
      <c r="N38" s="824">
        <v>565</v>
      </c>
      <c r="O38" s="73">
        <f t="shared" si="3"/>
        <v>47.359597652975694</v>
      </c>
      <c r="P38" s="824"/>
      <c r="Q38" s="824">
        <v>149</v>
      </c>
      <c r="R38" s="105">
        <f t="shared" si="4"/>
        <v>12.489522212908634</v>
      </c>
    </row>
    <row r="39" spans="1:18" ht="14" customHeight="1">
      <c r="A39" s="95" t="s">
        <v>181</v>
      </c>
      <c r="B39" s="58">
        <f>SUM(E39+H39+K39+N39+Q39)</f>
        <v>528</v>
      </c>
      <c r="C39" s="204">
        <f t="shared" si="5"/>
        <v>1.2399023107270337</v>
      </c>
      <c r="E39" s="824">
        <v>29</v>
      </c>
      <c r="F39" s="73">
        <f t="shared" si="0"/>
        <v>5.4924242424242422</v>
      </c>
      <c r="G39" s="824"/>
      <c r="H39" s="824">
        <v>85</v>
      </c>
      <c r="I39" s="73">
        <f t="shared" si="1"/>
        <v>16.098484848484848</v>
      </c>
      <c r="J39" s="824"/>
      <c r="K39" s="824">
        <v>108</v>
      </c>
      <c r="L39" s="73">
        <f t="shared" si="2"/>
        <v>20.454545454545457</v>
      </c>
      <c r="M39" s="824"/>
      <c r="N39" s="824">
        <v>260</v>
      </c>
      <c r="O39" s="73">
        <f t="shared" si="3"/>
        <v>49.242424242424242</v>
      </c>
      <c r="P39" s="824"/>
      <c r="Q39" s="824">
        <v>46</v>
      </c>
      <c r="R39" s="105">
        <f t="shared" si="4"/>
        <v>8.7121212121212128</v>
      </c>
    </row>
    <row r="40" spans="1:18" ht="14" customHeight="1">
      <c r="A40" s="95" t="s">
        <v>182</v>
      </c>
      <c r="B40" s="58">
        <f>SUM(E40+H40+K40+N40+Q40)</f>
        <v>473</v>
      </c>
      <c r="C40" s="204">
        <f t="shared" si="5"/>
        <v>1.110745820026301</v>
      </c>
      <c r="E40" s="824">
        <v>6</v>
      </c>
      <c r="F40" s="73">
        <f t="shared" si="0"/>
        <v>1.2684989429175475</v>
      </c>
      <c r="G40" s="824"/>
      <c r="H40" s="824">
        <v>109</v>
      </c>
      <c r="I40" s="73">
        <f t="shared" si="1"/>
        <v>23.044397463002113</v>
      </c>
      <c r="J40" s="824"/>
      <c r="K40" s="824">
        <v>149</v>
      </c>
      <c r="L40" s="73">
        <f t="shared" si="2"/>
        <v>31.501057082452434</v>
      </c>
      <c r="M40" s="824"/>
      <c r="N40" s="824">
        <v>187</v>
      </c>
      <c r="O40" s="73">
        <f t="shared" si="3"/>
        <v>39.534883720930232</v>
      </c>
      <c r="P40" s="824"/>
      <c r="Q40" s="824">
        <v>22</v>
      </c>
      <c r="R40" s="105">
        <f t="shared" si="4"/>
        <v>4.6511627906976747</v>
      </c>
    </row>
    <row r="41" spans="1:18" ht="11.25" customHeight="1">
      <c r="C41" s="204" t="str">
        <f t="shared" si="5"/>
        <v/>
      </c>
      <c r="F41" s="73" t="str">
        <f t="shared" si="0"/>
        <v/>
      </c>
      <c r="I41" s="73" t="str">
        <f t="shared" si="1"/>
        <v/>
      </c>
      <c r="L41" s="73" t="str">
        <f t="shared" si="2"/>
        <v/>
      </c>
      <c r="O41" s="73" t="str">
        <f t="shared" si="3"/>
        <v/>
      </c>
      <c r="R41" s="105" t="str">
        <f t="shared" si="4"/>
        <v/>
      </c>
    </row>
    <row r="42" spans="1:18" ht="14" customHeight="1">
      <c r="A42" s="95" t="s">
        <v>183</v>
      </c>
      <c r="B42" s="58">
        <f t="shared" ref="B42:B50" si="7">SUM(E42+H42+K42+N42+Q42)</f>
        <v>4014</v>
      </c>
      <c r="C42" s="204">
        <f t="shared" si="5"/>
        <v>9.4260755213225611</v>
      </c>
      <c r="E42" s="58">
        <f>SUM(E43:E50)</f>
        <v>248</v>
      </c>
      <c r="F42" s="73">
        <f t="shared" si="0"/>
        <v>6.1783756851021421</v>
      </c>
      <c r="G42" s="33" t="s">
        <v>128</v>
      </c>
      <c r="H42" s="72">
        <f>SUM(H43:H50)</f>
        <v>796</v>
      </c>
      <c r="I42" s="73">
        <f t="shared" si="1"/>
        <v>19.83059292476333</v>
      </c>
      <c r="J42" s="33" t="s">
        <v>128</v>
      </c>
      <c r="K42" s="72">
        <f>SUM(K43:K50)</f>
        <v>915</v>
      </c>
      <c r="L42" s="73">
        <f t="shared" si="2"/>
        <v>22.795216741405085</v>
      </c>
      <c r="M42" s="33" t="s">
        <v>128</v>
      </c>
      <c r="N42" s="72">
        <f>SUM(N43:N50)</f>
        <v>1732</v>
      </c>
      <c r="O42" s="73">
        <f t="shared" si="3"/>
        <v>43.148978574987545</v>
      </c>
      <c r="P42" s="33" t="s">
        <v>128</v>
      </c>
      <c r="Q42" s="72">
        <f>SUM(Q43:Q50)</f>
        <v>323</v>
      </c>
      <c r="R42" s="105">
        <f t="shared" si="4"/>
        <v>8.046836073741904</v>
      </c>
    </row>
    <row r="43" spans="1:18" ht="14" customHeight="1">
      <c r="A43" s="95" t="s">
        <v>191</v>
      </c>
      <c r="B43" s="58">
        <f t="shared" si="7"/>
        <v>422</v>
      </c>
      <c r="C43" s="204">
        <f t="shared" si="5"/>
        <v>0.99098252864925807</v>
      </c>
      <c r="E43" s="824">
        <v>17</v>
      </c>
      <c r="F43" s="73">
        <f t="shared" si="0"/>
        <v>4.028436018957346</v>
      </c>
      <c r="G43" s="824"/>
      <c r="H43" s="824">
        <v>119</v>
      </c>
      <c r="I43" s="73">
        <f t="shared" si="1"/>
        <v>28.199052132701425</v>
      </c>
      <c r="J43" s="824"/>
      <c r="K43" s="824">
        <v>96</v>
      </c>
      <c r="L43" s="73">
        <f t="shared" si="2"/>
        <v>22.748815165876778</v>
      </c>
      <c r="M43" s="824"/>
      <c r="N43" s="824">
        <v>177</v>
      </c>
      <c r="O43" s="73">
        <f t="shared" si="3"/>
        <v>41.943127962085306</v>
      </c>
      <c r="P43" s="824"/>
      <c r="Q43" s="824">
        <v>13</v>
      </c>
      <c r="R43" s="105">
        <f t="shared" si="4"/>
        <v>3.080568720379147</v>
      </c>
    </row>
    <row r="44" spans="1:18" ht="14" customHeight="1">
      <c r="A44" s="95" t="s">
        <v>771</v>
      </c>
      <c r="B44" s="58">
        <f t="shared" si="7"/>
        <v>425</v>
      </c>
      <c r="C44" s="204">
        <f t="shared" si="5"/>
        <v>0.99802742814202527</v>
      </c>
      <c r="E44" s="824">
        <v>25</v>
      </c>
      <c r="F44" s="73">
        <f t="shared" si="0"/>
        <v>5.8823529411764701</v>
      </c>
      <c r="G44" s="824"/>
      <c r="H44" s="824">
        <v>89</v>
      </c>
      <c r="I44" s="73">
        <f t="shared" si="1"/>
        <v>20.941176470588236</v>
      </c>
      <c r="J44" s="824"/>
      <c r="K44" s="824">
        <v>112</v>
      </c>
      <c r="L44" s="73">
        <f t="shared" si="2"/>
        <v>26.352941176470591</v>
      </c>
      <c r="M44" s="824"/>
      <c r="N44" s="824">
        <v>162</v>
      </c>
      <c r="O44" s="73">
        <f t="shared" si="3"/>
        <v>38.117647058823529</v>
      </c>
      <c r="P44" s="824"/>
      <c r="Q44" s="824">
        <v>37</v>
      </c>
      <c r="R44" s="105">
        <f t="shared" si="4"/>
        <v>8.7058823529411757</v>
      </c>
    </row>
    <row r="45" spans="1:18" ht="14" customHeight="1">
      <c r="A45" s="95" t="s">
        <v>185</v>
      </c>
      <c r="B45" s="58">
        <f t="shared" si="7"/>
        <v>487</v>
      </c>
      <c r="C45" s="204">
        <f t="shared" si="5"/>
        <v>1.1436220176592147</v>
      </c>
      <c r="E45" s="824">
        <v>12</v>
      </c>
      <c r="F45" s="73">
        <f t="shared" si="0"/>
        <v>2.4640657084188913</v>
      </c>
      <c r="G45" s="824"/>
      <c r="H45" s="824">
        <v>104</v>
      </c>
      <c r="I45" s="73">
        <f t="shared" si="1"/>
        <v>21.355236139630389</v>
      </c>
      <c r="J45" s="824"/>
      <c r="K45" s="824">
        <v>95</v>
      </c>
      <c r="L45" s="73">
        <f t="shared" si="2"/>
        <v>19.507186858316221</v>
      </c>
      <c r="M45" s="824"/>
      <c r="N45" s="824">
        <v>188</v>
      </c>
      <c r="O45" s="73">
        <f t="shared" si="3"/>
        <v>38.603696098562629</v>
      </c>
      <c r="P45" s="824"/>
      <c r="Q45" s="824">
        <v>88</v>
      </c>
      <c r="R45" s="105">
        <f t="shared" si="4"/>
        <v>18.069815195071868</v>
      </c>
    </row>
    <row r="46" spans="1:18" ht="14" customHeight="1">
      <c r="A46" s="95" t="s">
        <v>186</v>
      </c>
      <c r="B46" s="58">
        <f t="shared" si="7"/>
        <v>617</v>
      </c>
      <c r="C46" s="204">
        <f t="shared" si="5"/>
        <v>1.4489009956791283</v>
      </c>
      <c r="E46" s="824">
        <v>19</v>
      </c>
      <c r="F46" s="73">
        <f t="shared" si="0"/>
        <v>3.0794165316045379</v>
      </c>
      <c r="G46" s="824"/>
      <c r="H46" s="824">
        <v>119</v>
      </c>
      <c r="I46" s="73">
        <f t="shared" si="1"/>
        <v>19.286871961102108</v>
      </c>
      <c r="J46" s="824"/>
      <c r="K46" s="824">
        <v>141</v>
      </c>
      <c r="L46" s="73">
        <f t="shared" si="2"/>
        <v>22.852512155591572</v>
      </c>
      <c r="M46" s="824"/>
      <c r="N46" s="824">
        <v>291</v>
      </c>
      <c r="O46" s="73">
        <f t="shared" si="3"/>
        <v>47.163695299837926</v>
      </c>
      <c r="P46" s="824"/>
      <c r="Q46" s="824">
        <v>47</v>
      </c>
      <c r="R46" s="105">
        <f t="shared" si="4"/>
        <v>7.6175040518638575</v>
      </c>
    </row>
    <row r="47" spans="1:18" ht="14" customHeight="1">
      <c r="A47" s="95" t="s">
        <v>408</v>
      </c>
      <c r="B47" s="58">
        <f t="shared" si="7"/>
        <v>693</v>
      </c>
      <c r="C47" s="204">
        <f t="shared" si="5"/>
        <v>1.6273717828292318</v>
      </c>
      <c r="E47" s="824">
        <v>39</v>
      </c>
      <c r="F47" s="73">
        <f t="shared" si="0"/>
        <v>5.6277056277056277</v>
      </c>
      <c r="G47" s="824"/>
      <c r="H47" s="824">
        <v>145</v>
      </c>
      <c r="I47" s="73">
        <f t="shared" si="1"/>
        <v>20.923520923520925</v>
      </c>
      <c r="J47" s="824"/>
      <c r="K47" s="824">
        <v>209</v>
      </c>
      <c r="L47" s="73">
        <f t="shared" si="2"/>
        <v>30.158730158730158</v>
      </c>
      <c r="M47" s="824"/>
      <c r="N47" s="824">
        <v>280</v>
      </c>
      <c r="O47" s="73">
        <f t="shared" si="3"/>
        <v>40.404040404040401</v>
      </c>
      <c r="P47" s="824"/>
      <c r="Q47" s="824">
        <v>20</v>
      </c>
      <c r="R47" s="105">
        <f t="shared" si="4"/>
        <v>2.8860028860028861</v>
      </c>
    </row>
    <row r="48" spans="1:18" ht="14" customHeight="1">
      <c r="A48" s="95" t="s">
        <v>190</v>
      </c>
      <c r="B48" s="58">
        <f t="shared" si="7"/>
        <v>301</v>
      </c>
      <c r="C48" s="204">
        <f t="shared" si="5"/>
        <v>0.70683824910764603</v>
      </c>
      <c r="E48" s="824">
        <v>25</v>
      </c>
      <c r="F48" s="73">
        <f t="shared" si="0"/>
        <v>8.3056478405315612</v>
      </c>
      <c r="G48" s="824"/>
      <c r="H48" s="824">
        <v>45</v>
      </c>
      <c r="I48" s="73">
        <f t="shared" si="1"/>
        <v>14.950166112956811</v>
      </c>
      <c r="J48" s="824"/>
      <c r="K48" s="824">
        <v>69</v>
      </c>
      <c r="L48" s="73">
        <f t="shared" si="2"/>
        <v>22.923588039867109</v>
      </c>
      <c r="M48" s="824"/>
      <c r="N48" s="824">
        <v>147</v>
      </c>
      <c r="O48" s="73">
        <f t="shared" si="3"/>
        <v>48.837209302325576</v>
      </c>
      <c r="P48" s="824"/>
      <c r="Q48" s="824">
        <v>15</v>
      </c>
      <c r="R48" s="105">
        <f t="shared" si="4"/>
        <v>4.9833887043189371</v>
      </c>
    </row>
    <row r="49" spans="1:18" ht="14" customHeight="1">
      <c r="A49" s="95" t="s">
        <v>189</v>
      </c>
      <c r="B49" s="58">
        <f t="shared" si="7"/>
        <v>560</v>
      </c>
      <c r="C49" s="204">
        <f t="shared" si="5"/>
        <v>1.3150479053165509</v>
      </c>
      <c r="E49" s="824">
        <v>47</v>
      </c>
      <c r="F49" s="73">
        <f t="shared" si="0"/>
        <v>8.3928571428571423</v>
      </c>
      <c r="G49" s="824"/>
      <c r="H49" s="824">
        <v>117</v>
      </c>
      <c r="I49" s="73">
        <f t="shared" si="1"/>
        <v>20.892857142857142</v>
      </c>
      <c r="J49" s="824"/>
      <c r="K49" s="824">
        <v>114</v>
      </c>
      <c r="L49" s="73">
        <f t="shared" si="2"/>
        <v>20.357142857142858</v>
      </c>
      <c r="M49" s="824"/>
      <c r="N49" s="824">
        <v>224</v>
      </c>
      <c r="O49" s="73">
        <f t="shared" si="3"/>
        <v>40</v>
      </c>
      <c r="P49" s="824"/>
      <c r="Q49" s="824">
        <v>58</v>
      </c>
      <c r="R49" s="105">
        <f t="shared" si="4"/>
        <v>10.357142857142858</v>
      </c>
    </row>
    <row r="50" spans="1:18" ht="14" customHeight="1">
      <c r="A50" s="95" t="s">
        <v>188</v>
      </c>
      <c r="B50" s="58">
        <f t="shared" si="7"/>
        <v>509</v>
      </c>
      <c r="C50" s="204">
        <f t="shared" si="5"/>
        <v>1.1952846139395079</v>
      </c>
      <c r="E50" s="824">
        <v>64</v>
      </c>
      <c r="F50" s="73">
        <f t="shared" si="0"/>
        <v>12.573673870333987</v>
      </c>
      <c r="G50" s="824"/>
      <c r="H50" s="824">
        <v>58</v>
      </c>
      <c r="I50" s="73">
        <f t="shared" si="1"/>
        <v>11.394891944990176</v>
      </c>
      <c r="J50" s="824"/>
      <c r="K50" s="824">
        <v>79</v>
      </c>
      <c r="L50" s="73">
        <f t="shared" si="2"/>
        <v>15.520628683693516</v>
      </c>
      <c r="M50" s="824"/>
      <c r="N50" s="824">
        <v>263</v>
      </c>
      <c r="O50" s="73">
        <f t="shared" si="3"/>
        <v>51.669941060903732</v>
      </c>
      <c r="P50" s="824"/>
      <c r="Q50" s="824">
        <v>45</v>
      </c>
      <c r="R50" s="105">
        <f t="shared" si="4"/>
        <v>8.840864440078585</v>
      </c>
    </row>
    <row r="51" spans="1:18" ht="10.5" customHeight="1">
      <c r="C51" s="204" t="str">
        <f t="shared" si="5"/>
        <v/>
      </c>
      <c r="E51" s="794"/>
      <c r="F51" s="73" t="str">
        <f t="shared" si="0"/>
        <v/>
      </c>
      <c r="G51" s="794"/>
      <c r="H51" s="794"/>
      <c r="I51" s="73" t="str">
        <f t="shared" si="1"/>
        <v/>
      </c>
      <c r="J51" s="794"/>
      <c r="K51" s="794"/>
      <c r="L51" s="73" t="str">
        <f t="shared" si="2"/>
        <v/>
      </c>
      <c r="M51" s="794"/>
      <c r="N51" s="794"/>
      <c r="O51" s="73" t="str">
        <f t="shared" si="3"/>
        <v/>
      </c>
      <c r="P51" s="794"/>
      <c r="Q51" s="794"/>
      <c r="R51" s="105" t="str">
        <f t="shared" si="4"/>
        <v/>
      </c>
    </row>
    <row r="52" spans="1:18" ht="14" customHeight="1">
      <c r="A52" s="95" t="s">
        <v>192</v>
      </c>
      <c r="B52" s="58">
        <f>SUM(E52+H52+K52+N52+Q52)</f>
        <v>1439</v>
      </c>
      <c r="C52" s="204">
        <f t="shared" si="5"/>
        <v>3.379203456697351</v>
      </c>
      <c r="E52" s="824">
        <v>191</v>
      </c>
      <c r="F52" s="73">
        <f t="shared" si="0"/>
        <v>13.273106323835998</v>
      </c>
      <c r="G52" s="824"/>
      <c r="H52" s="824">
        <v>269</v>
      </c>
      <c r="I52" s="73">
        <f t="shared" si="1"/>
        <v>18.693537178596248</v>
      </c>
      <c r="J52" s="824"/>
      <c r="K52" s="824">
        <v>271</v>
      </c>
      <c r="L52" s="73">
        <f t="shared" si="2"/>
        <v>18.832522585128562</v>
      </c>
      <c r="M52" s="824"/>
      <c r="N52" s="824">
        <v>621</v>
      </c>
      <c r="O52" s="73">
        <f t="shared" si="3"/>
        <v>43.154968728283535</v>
      </c>
      <c r="P52" s="824"/>
      <c r="Q52" s="824">
        <v>87</v>
      </c>
      <c r="R52" s="105">
        <f t="shared" si="4"/>
        <v>6.0458651841556641</v>
      </c>
    </row>
    <row r="53" spans="1:18" ht="11.25" customHeight="1">
      <c r="C53" s="204" t="str">
        <f t="shared" si="5"/>
        <v/>
      </c>
      <c r="F53" s="73" t="str">
        <f t="shared" si="0"/>
        <v/>
      </c>
      <c r="I53" s="73" t="str">
        <f t="shared" si="1"/>
        <v/>
      </c>
      <c r="L53" s="73" t="str">
        <f t="shared" si="2"/>
        <v/>
      </c>
      <c r="O53" s="73" t="str">
        <f t="shared" si="3"/>
        <v/>
      </c>
      <c r="R53" s="105" t="str">
        <f t="shared" si="4"/>
        <v/>
      </c>
    </row>
    <row r="54" spans="1:18" ht="14" customHeight="1">
      <c r="A54" s="95" t="s">
        <v>193</v>
      </c>
      <c r="B54" s="58">
        <f t="shared" ref="B54:B59" si="8">SUM(E54+H54+K54+N54+Q54)</f>
        <v>3486</v>
      </c>
      <c r="C54" s="204">
        <f t="shared" si="5"/>
        <v>8.1861732105955287</v>
      </c>
      <c r="E54" s="58">
        <f>SUM(E55:E59)</f>
        <v>223</v>
      </c>
      <c r="F54" s="73">
        <f t="shared" si="0"/>
        <v>6.3970166379804931</v>
      </c>
      <c r="G54" s="33" t="s">
        <v>128</v>
      </c>
      <c r="H54" s="72">
        <f>SUM(H55:H59)</f>
        <v>721</v>
      </c>
      <c r="I54" s="73">
        <f t="shared" si="1"/>
        <v>20.682730923694777</v>
      </c>
      <c r="J54" s="33" t="s">
        <v>128</v>
      </c>
      <c r="K54" s="72">
        <f>SUM(K55:K59)</f>
        <v>782</v>
      </c>
      <c r="L54" s="73">
        <f t="shared" si="2"/>
        <v>22.432587492828457</v>
      </c>
      <c r="M54" s="33" t="s">
        <v>128</v>
      </c>
      <c r="N54" s="72">
        <f>SUM(N55:N59)</f>
        <v>1493</v>
      </c>
      <c r="O54" s="73">
        <f t="shared" si="3"/>
        <v>42.828456683878372</v>
      </c>
      <c r="P54" s="33" t="s">
        <v>128</v>
      </c>
      <c r="Q54" s="72">
        <f>SUM(Q55:Q59)</f>
        <v>267</v>
      </c>
      <c r="R54" s="105">
        <f t="shared" si="4"/>
        <v>7.6592082616179002</v>
      </c>
    </row>
    <row r="55" spans="1:18" ht="14" customHeight="1">
      <c r="A55" s="95" t="s">
        <v>194</v>
      </c>
      <c r="B55" s="58">
        <f t="shared" si="8"/>
        <v>181</v>
      </c>
      <c r="C55" s="204">
        <f t="shared" si="5"/>
        <v>0.42504226939695661</v>
      </c>
      <c r="E55" s="824">
        <v>26</v>
      </c>
      <c r="F55" s="73">
        <f t="shared" si="0"/>
        <v>14.3646408839779</v>
      </c>
      <c r="G55" s="824"/>
      <c r="H55" s="824">
        <v>60</v>
      </c>
      <c r="I55" s="73">
        <f t="shared" si="1"/>
        <v>33.149171270718227</v>
      </c>
      <c r="J55" s="824"/>
      <c r="K55" s="824">
        <v>67</v>
      </c>
      <c r="L55" s="73">
        <f t="shared" si="2"/>
        <v>37.016574585635361</v>
      </c>
      <c r="M55" s="824"/>
      <c r="N55" s="824">
        <v>23</v>
      </c>
      <c r="O55" s="73">
        <f t="shared" si="3"/>
        <v>12.707182320441991</v>
      </c>
      <c r="P55" s="824"/>
      <c r="Q55" s="824">
        <v>5</v>
      </c>
      <c r="R55" s="105">
        <f t="shared" si="4"/>
        <v>2.7624309392265194</v>
      </c>
    </row>
    <row r="56" spans="1:18" ht="14" customHeight="1">
      <c r="A56" s="95" t="s">
        <v>195</v>
      </c>
      <c r="B56" s="58">
        <f t="shared" si="8"/>
        <v>2118</v>
      </c>
      <c r="C56" s="204">
        <f t="shared" si="5"/>
        <v>4.9736990418936688</v>
      </c>
      <c r="E56" s="824">
        <v>80</v>
      </c>
      <c r="F56" s="73">
        <f t="shared" si="0"/>
        <v>3.7771482530689329</v>
      </c>
      <c r="G56" s="824"/>
      <c r="H56" s="824">
        <v>480</v>
      </c>
      <c r="I56" s="73">
        <f t="shared" si="1"/>
        <v>22.6628895184136</v>
      </c>
      <c r="J56" s="824"/>
      <c r="K56" s="824">
        <v>479</v>
      </c>
      <c r="L56" s="73">
        <f t="shared" si="2"/>
        <v>22.615675165250234</v>
      </c>
      <c r="M56" s="824"/>
      <c r="N56" s="824">
        <v>917</v>
      </c>
      <c r="O56" s="73">
        <f t="shared" si="3"/>
        <v>43.295561850802642</v>
      </c>
      <c r="P56" s="824"/>
      <c r="Q56" s="824">
        <v>162</v>
      </c>
      <c r="R56" s="105">
        <f t="shared" si="4"/>
        <v>7.6487252124645897</v>
      </c>
    </row>
    <row r="57" spans="1:18" ht="14" customHeight="1">
      <c r="A57" s="95" t="s">
        <v>196</v>
      </c>
      <c r="B57" s="58">
        <f t="shared" si="8"/>
        <v>423</v>
      </c>
      <c r="C57" s="204">
        <f t="shared" si="5"/>
        <v>0.99333082848018039</v>
      </c>
      <c r="E57" s="824">
        <v>77</v>
      </c>
      <c r="F57" s="73">
        <f t="shared" si="0"/>
        <v>18.203309692671397</v>
      </c>
      <c r="G57" s="824"/>
      <c r="H57" s="824">
        <v>42</v>
      </c>
      <c r="I57" s="73">
        <f t="shared" si="1"/>
        <v>9.9290780141843982</v>
      </c>
      <c r="J57" s="824"/>
      <c r="K57" s="824">
        <v>39</v>
      </c>
      <c r="L57" s="73">
        <f t="shared" si="2"/>
        <v>9.2198581560283674</v>
      </c>
      <c r="M57" s="824"/>
      <c r="N57" s="824">
        <v>227</v>
      </c>
      <c r="O57" s="73">
        <f t="shared" si="3"/>
        <v>53.664302600472816</v>
      </c>
      <c r="P57" s="824"/>
      <c r="Q57" s="824">
        <v>38</v>
      </c>
      <c r="R57" s="105">
        <f t="shared" si="4"/>
        <v>8.9834515366430256</v>
      </c>
    </row>
    <row r="58" spans="1:18" ht="14" customHeight="1">
      <c r="A58" s="95" t="s">
        <v>409</v>
      </c>
      <c r="B58" s="58">
        <f t="shared" si="8"/>
        <v>476</v>
      </c>
      <c r="C58" s="204">
        <f t="shared" si="5"/>
        <v>1.1177907195190682</v>
      </c>
      <c r="E58" s="824">
        <v>38</v>
      </c>
      <c r="F58" s="73">
        <f t="shared" si="0"/>
        <v>7.9831932773109235</v>
      </c>
      <c r="G58" s="824"/>
      <c r="H58" s="824">
        <v>84</v>
      </c>
      <c r="I58" s="73">
        <f t="shared" si="1"/>
        <v>17.647058823529413</v>
      </c>
      <c r="J58" s="824"/>
      <c r="K58" s="824">
        <v>82</v>
      </c>
      <c r="L58" s="73">
        <f t="shared" si="2"/>
        <v>17.22689075630252</v>
      </c>
      <c r="M58" s="824"/>
      <c r="N58" s="824">
        <v>216</v>
      </c>
      <c r="O58" s="73">
        <f t="shared" si="3"/>
        <v>45.378151260504204</v>
      </c>
      <c r="P58" s="824"/>
      <c r="Q58" s="824">
        <v>56</v>
      </c>
      <c r="R58" s="105">
        <f t="shared" si="4"/>
        <v>11.76470588235294</v>
      </c>
    </row>
    <row r="59" spans="1:18" ht="14" customHeight="1">
      <c r="A59" s="95" t="s">
        <v>198</v>
      </c>
      <c r="B59" s="58">
        <f t="shared" si="8"/>
        <v>288</v>
      </c>
      <c r="C59" s="204">
        <f t="shared" si="5"/>
        <v>0.67631035130565476</v>
      </c>
      <c r="E59" s="824">
        <v>2</v>
      </c>
      <c r="F59" s="73">
        <f t="shared" si="0"/>
        <v>0.69444444444444442</v>
      </c>
      <c r="G59" s="824"/>
      <c r="H59" s="824">
        <v>55</v>
      </c>
      <c r="I59" s="73">
        <f t="shared" si="1"/>
        <v>19.097222222222221</v>
      </c>
      <c r="J59" s="824"/>
      <c r="K59" s="824">
        <v>115</v>
      </c>
      <c r="L59" s="73">
        <f t="shared" si="2"/>
        <v>39.930555555555557</v>
      </c>
      <c r="M59" s="824"/>
      <c r="N59" s="824">
        <v>110</v>
      </c>
      <c r="O59" s="73">
        <f t="shared" si="3"/>
        <v>38.194444444444443</v>
      </c>
      <c r="P59" s="824"/>
      <c r="Q59" s="824">
        <v>6</v>
      </c>
      <c r="R59" s="105">
        <f t="shared" si="4"/>
        <v>2.083333333333333</v>
      </c>
    </row>
    <row r="60" spans="1:18" ht="11.25" customHeight="1">
      <c r="C60" s="204" t="str">
        <f t="shared" si="5"/>
        <v/>
      </c>
      <c r="F60" s="73" t="str">
        <f t="shared" si="0"/>
        <v/>
      </c>
      <c r="I60" s="73" t="str">
        <f t="shared" si="1"/>
        <v/>
      </c>
      <c r="L60" s="73" t="str">
        <f t="shared" si="2"/>
        <v/>
      </c>
      <c r="O60" s="73" t="str">
        <f t="shared" si="3"/>
        <v/>
      </c>
      <c r="R60" s="105" t="str">
        <f t="shared" si="4"/>
        <v/>
      </c>
    </row>
    <row r="61" spans="1:18" ht="14" customHeight="1">
      <c r="A61" s="55" t="s">
        <v>410</v>
      </c>
      <c r="B61" s="58">
        <f>SUM(B62+B64+B71+B73)</f>
        <v>3940</v>
      </c>
      <c r="C61" s="204">
        <f t="shared" si="5"/>
        <v>9.2523013338343034</v>
      </c>
      <c r="E61" s="58">
        <f>SUM(E62+E64+E71+E73)</f>
        <v>205</v>
      </c>
      <c r="F61" s="73">
        <f t="shared" si="0"/>
        <v>5.2030456852791884</v>
      </c>
      <c r="H61" s="72">
        <f>SUM(H62+H64+H71+H73)</f>
        <v>454</v>
      </c>
      <c r="I61" s="73">
        <f t="shared" si="1"/>
        <v>11.522842639593907</v>
      </c>
      <c r="K61" s="72">
        <f>SUM(K62+K64+K71+K73)</f>
        <v>877</v>
      </c>
      <c r="L61" s="73">
        <f t="shared" si="2"/>
        <v>22.258883248730964</v>
      </c>
      <c r="N61" s="72">
        <f>SUM(N62+N64+N71+N73)</f>
        <v>1786</v>
      </c>
      <c r="O61" s="73">
        <f t="shared" si="3"/>
        <v>45.329949238578685</v>
      </c>
      <c r="Q61" s="72">
        <f>SUM(Q62+Q64+Q71+Q73)</f>
        <v>618</v>
      </c>
      <c r="R61" s="105">
        <f t="shared" si="4"/>
        <v>15.685279187817258</v>
      </c>
    </row>
    <row r="62" spans="1:18" ht="14" customHeight="1">
      <c r="A62" s="95" t="s">
        <v>411</v>
      </c>
      <c r="B62" s="58">
        <f>SUM(E62+H62+K62+N62+Q62)</f>
        <v>582</v>
      </c>
      <c r="C62" s="204">
        <f t="shared" si="5"/>
        <v>1.3667105015968439</v>
      </c>
      <c r="E62" s="824">
        <v>39</v>
      </c>
      <c r="F62" s="73">
        <f t="shared" si="0"/>
        <v>6.7010309278350517</v>
      </c>
      <c r="G62" s="824"/>
      <c r="H62" s="824">
        <v>51</v>
      </c>
      <c r="I62" s="73">
        <f t="shared" si="1"/>
        <v>8.7628865979381434</v>
      </c>
      <c r="J62" s="824"/>
      <c r="K62" s="824">
        <v>217</v>
      </c>
      <c r="L62" s="73">
        <f t="shared" si="2"/>
        <v>37.285223367697597</v>
      </c>
      <c r="M62" s="824"/>
      <c r="N62" s="824">
        <v>245</v>
      </c>
      <c r="O62" s="73">
        <f t="shared" si="3"/>
        <v>42.096219931271477</v>
      </c>
      <c r="P62" s="824"/>
      <c r="Q62" s="824">
        <v>30</v>
      </c>
      <c r="R62" s="105">
        <f t="shared" si="4"/>
        <v>5.1546391752577314</v>
      </c>
    </row>
    <row r="63" spans="1:18" ht="11.25" customHeight="1">
      <c r="C63" s="204" t="str">
        <f t="shared" si="5"/>
        <v/>
      </c>
      <c r="F63" s="73" t="str">
        <f t="shared" si="0"/>
        <v/>
      </c>
      <c r="I63" s="73" t="str">
        <f t="shared" si="1"/>
        <v/>
      </c>
      <c r="L63" s="73" t="str">
        <f t="shared" si="2"/>
        <v/>
      </c>
      <c r="O63" s="73" t="str">
        <f t="shared" si="3"/>
        <v/>
      </c>
      <c r="R63" s="105" t="str">
        <f t="shared" si="4"/>
        <v/>
      </c>
    </row>
    <row r="64" spans="1:18" ht="14" customHeight="1">
      <c r="A64" s="95" t="s">
        <v>202</v>
      </c>
      <c r="B64" s="58">
        <f t="shared" ref="B64:B69" si="9">SUM(E64+H64+K64+N64+Q64)</f>
        <v>2319</v>
      </c>
      <c r="C64" s="204">
        <f t="shared" si="5"/>
        <v>5.4457073079090739</v>
      </c>
      <c r="E64" s="58">
        <f>SUM(E65:E69)</f>
        <v>112</v>
      </c>
      <c r="F64" s="73">
        <f t="shared" si="0"/>
        <v>4.8296679603277282</v>
      </c>
      <c r="G64" s="33" t="s">
        <v>128</v>
      </c>
      <c r="H64" s="72">
        <f>SUM(H65:H69)</f>
        <v>208</v>
      </c>
      <c r="I64" s="73">
        <f t="shared" si="1"/>
        <v>8.9693833548943509</v>
      </c>
      <c r="J64" s="33" t="s">
        <v>128</v>
      </c>
      <c r="K64" s="72">
        <f>SUM(K65:K69)</f>
        <v>412</v>
      </c>
      <c r="L64" s="73">
        <f t="shared" si="2"/>
        <v>17.766278568348426</v>
      </c>
      <c r="M64" s="33" t="s">
        <v>128</v>
      </c>
      <c r="N64" s="72">
        <f>SUM(N65:N69)</f>
        <v>1101</v>
      </c>
      <c r="O64" s="73">
        <f t="shared" si="3"/>
        <v>47.47736093143596</v>
      </c>
      <c r="P64" s="33" t="s">
        <v>128</v>
      </c>
      <c r="Q64" s="72">
        <f>SUM(Q65:Q69)</f>
        <v>486</v>
      </c>
      <c r="R64" s="105">
        <f t="shared" si="4"/>
        <v>20.95730918499353</v>
      </c>
    </row>
    <row r="65" spans="1:18" ht="14" customHeight="1">
      <c r="A65" s="95" t="s">
        <v>203</v>
      </c>
      <c r="B65" s="58">
        <f t="shared" si="9"/>
        <v>677</v>
      </c>
      <c r="C65" s="204">
        <f t="shared" si="5"/>
        <v>1.589798985534473</v>
      </c>
      <c r="E65" s="824">
        <v>0</v>
      </c>
      <c r="F65" s="73">
        <f t="shared" si="0"/>
        <v>0</v>
      </c>
      <c r="G65" s="824"/>
      <c r="H65" s="824">
        <v>43</v>
      </c>
      <c r="I65" s="73">
        <f t="shared" si="1"/>
        <v>6.3515509601181686</v>
      </c>
      <c r="J65" s="824"/>
      <c r="K65" s="824">
        <v>101</v>
      </c>
      <c r="L65" s="73">
        <f t="shared" si="2"/>
        <v>14.918759231905465</v>
      </c>
      <c r="M65" s="824"/>
      <c r="N65" s="824">
        <v>199</v>
      </c>
      <c r="O65" s="73">
        <f t="shared" si="3"/>
        <v>29.394387001477106</v>
      </c>
      <c r="P65" s="824"/>
      <c r="Q65" s="824">
        <v>334</v>
      </c>
      <c r="R65" s="105">
        <f t="shared" si="4"/>
        <v>49.335302806499257</v>
      </c>
    </row>
    <row r="66" spans="1:18" ht="14" customHeight="1">
      <c r="A66" s="95" t="s">
        <v>204</v>
      </c>
      <c r="B66" s="58">
        <f t="shared" si="9"/>
        <v>436</v>
      </c>
      <c r="C66" s="204">
        <f t="shared" si="5"/>
        <v>1.0238587262821719</v>
      </c>
      <c r="E66" s="824">
        <v>26</v>
      </c>
      <c r="F66" s="73">
        <f t="shared" si="0"/>
        <v>5.9633027522935782</v>
      </c>
      <c r="G66" s="824"/>
      <c r="H66" s="824">
        <v>22</v>
      </c>
      <c r="I66" s="73">
        <f t="shared" si="1"/>
        <v>5.0458715596330279</v>
      </c>
      <c r="J66" s="824"/>
      <c r="K66" s="824">
        <v>76</v>
      </c>
      <c r="L66" s="73">
        <f t="shared" si="2"/>
        <v>17.431192660550458</v>
      </c>
      <c r="M66" s="824"/>
      <c r="N66" s="824">
        <v>276</v>
      </c>
      <c r="O66" s="73">
        <f t="shared" si="3"/>
        <v>63.302752293577981</v>
      </c>
      <c r="P66" s="824"/>
      <c r="Q66" s="824">
        <v>36</v>
      </c>
      <c r="R66" s="105">
        <f t="shared" si="4"/>
        <v>8.2568807339449553</v>
      </c>
    </row>
    <row r="67" spans="1:18" ht="14" customHeight="1">
      <c r="A67" s="95" t="s">
        <v>207</v>
      </c>
      <c r="B67" s="58">
        <f t="shared" si="9"/>
        <v>764</v>
      </c>
      <c r="C67" s="204">
        <f>IF(A67&lt;&gt;0,B67/$B$12*100,"")</f>
        <v>1.7941010708247229</v>
      </c>
      <c r="E67" s="824">
        <v>49</v>
      </c>
      <c r="F67" s="73">
        <f t="shared" si="0"/>
        <v>6.4136125654450264</v>
      </c>
      <c r="G67" s="824"/>
      <c r="H67" s="824">
        <v>100</v>
      </c>
      <c r="I67" s="73">
        <f t="shared" si="1"/>
        <v>13.089005235602095</v>
      </c>
      <c r="J67" s="824"/>
      <c r="K67" s="824">
        <v>140</v>
      </c>
      <c r="L67" s="73">
        <f t="shared" si="2"/>
        <v>18.32460732984293</v>
      </c>
      <c r="M67" s="824"/>
      <c r="N67" s="824">
        <v>400</v>
      </c>
      <c r="O67" s="73">
        <f t="shared" si="3"/>
        <v>52.356020942408378</v>
      </c>
      <c r="P67" s="824"/>
      <c r="Q67" s="824">
        <v>75</v>
      </c>
      <c r="R67" s="105">
        <f t="shared" si="4"/>
        <v>9.8167539267015709</v>
      </c>
    </row>
    <row r="68" spans="1:18" ht="14" customHeight="1">
      <c r="A68" s="95" t="s">
        <v>205</v>
      </c>
      <c r="B68" s="58">
        <f t="shared" si="9"/>
        <v>149</v>
      </c>
      <c r="C68" s="204">
        <f>IF(A68&lt;&gt;0,B68/$B$12*100,"")</f>
        <v>0.34989667480743941</v>
      </c>
      <c r="E68" s="824">
        <v>14</v>
      </c>
      <c r="F68" s="73">
        <f t="shared" si="0"/>
        <v>9.3959731543624159</v>
      </c>
      <c r="G68" s="824"/>
      <c r="H68" s="824">
        <v>20</v>
      </c>
      <c r="I68" s="73">
        <f t="shared" si="1"/>
        <v>13.422818791946309</v>
      </c>
      <c r="J68" s="824"/>
      <c r="K68" s="824">
        <v>18</v>
      </c>
      <c r="L68" s="73">
        <f t="shared" si="2"/>
        <v>12.080536912751679</v>
      </c>
      <c r="M68" s="824"/>
      <c r="N68" s="824">
        <v>72</v>
      </c>
      <c r="O68" s="73">
        <f t="shared" si="3"/>
        <v>48.322147651006716</v>
      </c>
      <c r="P68" s="824"/>
      <c r="Q68" s="824">
        <v>25</v>
      </c>
      <c r="R68" s="105">
        <f t="shared" si="4"/>
        <v>16.778523489932887</v>
      </c>
    </row>
    <row r="69" spans="1:18" ht="14" customHeight="1">
      <c r="A69" s="95" t="s">
        <v>206</v>
      </c>
      <c r="B69" s="58">
        <f t="shared" si="9"/>
        <v>293</v>
      </c>
      <c r="C69" s="204">
        <f t="shared" si="5"/>
        <v>0.68805185046026673</v>
      </c>
      <c r="E69" s="824">
        <v>23</v>
      </c>
      <c r="F69" s="73">
        <f t="shared" si="0"/>
        <v>7.8498293515358366</v>
      </c>
      <c r="G69" s="824"/>
      <c r="H69" s="824">
        <v>23</v>
      </c>
      <c r="I69" s="73">
        <f t="shared" si="1"/>
        <v>7.8498293515358366</v>
      </c>
      <c r="J69" s="824"/>
      <c r="K69" s="824">
        <v>77</v>
      </c>
      <c r="L69" s="73">
        <f t="shared" si="2"/>
        <v>26.27986348122867</v>
      </c>
      <c r="M69" s="824"/>
      <c r="N69" s="824">
        <v>154</v>
      </c>
      <c r="O69" s="73">
        <f t="shared" si="3"/>
        <v>52.55972696245734</v>
      </c>
      <c r="P69" s="824"/>
      <c r="Q69" s="824">
        <v>16</v>
      </c>
      <c r="R69" s="105">
        <f t="shared" si="4"/>
        <v>5.4607508532423212</v>
      </c>
    </row>
    <row r="70" spans="1:18" ht="11.25" customHeight="1">
      <c r="C70" s="204" t="str">
        <f t="shared" si="5"/>
        <v/>
      </c>
      <c r="E70" s="121"/>
      <c r="F70" s="73" t="str">
        <f t="shared" si="0"/>
        <v/>
      </c>
      <c r="G70" s="121"/>
      <c r="H70" s="121"/>
      <c r="I70" s="73" t="str">
        <f t="shared" si="1"/>
        <v/>
      </c>
      <c r="J70" s="121"/>
      <c r="K70" s="121"/>
      <c r="L70" s="73" t="str">
        <f t="shared" si="2"/>
        <v/>
      </c>
      <c r="M70" s="121"/>
      <c r="N70" s="121"/>
      <c r="O70" s="73" t="str">
        <f t="shared" si="3"/>
        <v/>
      </c>
      <c r="P70" s="121"/>
      <c r="Q70" s="121"/>
      <c r="R70" s="105" t="str">
        <f t="shared" si="4"/>
        <v/>
      </c>
    </row>
    <row r="71" spans="1:18" ht="14" customHeight="1">
      <c r="A71" s="95" t="s">
        <v>208</v>
      </c>
      <c r="B71" s="58">
        <f>SUM(E71+H71+K71+N71+Q71)</f>
        <v>481</v>
      </c>
      <c r="C71" s="204">
        <f t="shared" si="5"/>
        <v>1.1295322186736803</v>
      </c>
      <c r="E71" s="824">
        <v>37</v>
      </c>
      <c r="F71" s="73">
        <f t="shared" si="0"/>
        <v>7.6923076923076925</v>
      </c>
      <c r="G71" s="824"/>
      <c r="H71" s="824">
        <v>59</v>
      </c>
      <c r="I71" s="73">
        <f t="shared" si="1"/>
        <v>12.266112266112266</v>
      </c>
      <c r="J71" s="824"/>
      <c r="K71" s="824">
        <v>87</v>
      </c>
      <c r="L71" s="73">
        <f t="shared" si="2"/>
        <v>18.087318087318089</v>
      </c>
      <c r="M71" s="824"/>
      <c r="N71" s="824">
        <v>243</v>
      </c>
      <c r="O71" s="73">
        <f t="shared" si="3"/>
        <v>50.519750519750517</v>
      </c>
      <c r="P71" s="824"/>
      <c r="Q71" s="824">
        <v>55</v>
      </c>
      <c r="R71" s="105">
        <f t="shared" si="4"/>
        <v>11.434511434511435</v>
      </c>
    </row>
    <row r="72" spans="1:18" ht="11.25" customHeight="1">
      <c r="C72" s="204" t="str">
        <f t="shared" si="5"/>
        <v/>
      </c>
      <c r="E72" s="825"/>
      <c r="F72" s="73" t="str">
        <f t="shared" si="0"/>
        <v/>
      </c>
      <c r="G72" s="825"/>
      <c r="H72" s="825"/>
      <c r="I72" s="73" t="str">
        <f t="shared" si="1"/>
        <v/>
      </c>
      <c r="J72" s="825"/>
      <c r="K72" s="825"/>
      <c r="L72" s="73" t="str">
        <f t="shared" si="2"/>
        <v/>
      </c>
      <c r="M72" s="825"/>
      <c r="N72" s="825"/>
      <c r="O72" s="73" t="str">
        <f t="shared" si="3"/>
        <v/>
      </c>
      <c r="P72" s="825"/>
      <c r="Q72" s="825"/>
      <c r="R72" s="105" t="str">
        <f t="shared" si="4"/>
        <v/>
      </c>
    </row>
    <row r="73" spans="1:18" ht="14" customHeight="1">
      <c r="A73" s="95" t="s">
        <v>209</v>
      </c>
      <c r="B73" s="58">
        <f>SUM(E73+H73+K73+N73+Q73)</f>
        <v>558</v>
      </c>
      <c r="C73" s="204">
        <f t="shared" si="5"/>
        <v>1.310351305654706</v>
      </c>
      <c r="E73" s="824">
        <v>17</v>
      </c>
      <c r="F73" s="73">
        <f t="shared" si="0"/>
        <v>3.0465949820788532</v>
      </c>
      <c r="G73" s="824"/>
      <c r="H73" s="824">
        <v>136</v>
      </c>
      <c r="I73" s="73">
        <f t="shared" si="1"/>
        <v>24.372759856630825</v>
      </c>
      <c r="J73" s="824"/>
      <c r="K73" s="824">
        <v>161</v>
      </c>
      <c r="L73" s="73">
        <f t="shared" si="2"/>
        <v>28.853046594982079</v>
      </c>
      <c r="M73" s="824"/>
      <c r="N73" s="824">
        <v>197</v>
      </c>
      <c r="O73" s="73">
        <f t="shared" si="3"/>
        <v>35.304659498207883</v>
      </c>
      <c r="P73" s="824"/>
      <c r="Q73" s="824">
        <v>47</v>
      </c>
      <c r="R73" s="105">
        <f t="shared" si="4"/>
        <v>8.4229390681003586</v>
      </c>
    </row>
    <row r="74" spans="1:18" ht="11.25" customHeight="1">
      <c r="C74" s="204" t="str">
        <f t="shared" si="5"/>
        <v/>
      </c>
      <c r="F74" s="73" t="str">
        <f t="shared" si="0"/>
        <v/>
      </c>
      <c r="I74" s="73" t="str">
        <f t="shared" si="1"/>
        <v/>
      </c>
      <c r="L74" s="73" t="str">
        <f t="shared" si="2"/>
        <v/>
      </c>
      <c r="O74" s="73" t="str">
        <f t="shared" si="3"/>
        <v/>
      </c>
      <c r="R74" s="105" t="str">
        <f t="shared" si="4"/>
        <v/>
      </c>
    </row>
    <row r="75" spans="1:18" ht="14" customHeight="1">
      <c r="A75" s="55" t="s">
        <v>413</v>
      </c>
      <c r="B75" s="58">
        <f>SUM(B76)</f>
        <v>1478</v>
      </c>
      <c r="C75" s="204">
        <f t="shared" si="5"/>
        <v>3.4707871501033249</v>
      </c>
      <c r="E75" s="58">
        <f>SUM(E76)</f>
        <v>105</v>
      </c>
      <c r="F75" s="73">
        <f t="shared" si="0"/>
        <v>7.1041948579161032</v>
      </c>
      <c r="H75" s="72">
        <f>SUM(H76)</f>
        <v>215</v>
      </c>
      <c r="I75" s="73">
        <f t="shared" si="1"/>
        <v>14.546684709066307</v>
      </c>
      <c r="K75" s="72">
        <f>SUM(K76)</f>
        <v>483</v>
      </c>
      <c r="L75" s="73">
        <f t="shared" si="2"/>
        <v>32.67929634641407</v>
      </c>
      <c r="N75" s="72">
        <f>SUM(N76)</f>
        <v>633</v>
      </c>
      <c r="O75" s="73">
        <f t="shared" si="3"/>
        <v>42.828146143437081</v>
      </c>
      <c r="Q75" s="72">
        <f>SUM(Q76)</f>
        <v>42</v>
      </c>
      <c r="R75" s="105">
        <f t="shared" si="4"/>
        <v>2.8416779431664412</v>
      </c>
    </row>
    <row r="76" spans="1:18" ht="14" customHeight="1">
      <c r="A76" s="95" t="s">
        <v>414</v>
      </c>
      <c r="B76" s="58">
        <f>SUM(E76+H76+K76+N76+Q76)</f>
        <v>1478</v>
      </c>
      <c r="C76" s="204">
        <f t="shared" si="5"/>
        <v>3.4707871501033249</v>
      </c>
      <c r="E76" s="58">
        <f>SUM(E77:E80)</f>
        <v>105</v>
      </c>
      <c r="F76" s="73">
        <f t="shared" ref="F76:F106" si="10">IF($A76&lt;&gt;"",E76/$B76*100,"")</f>
        <v>7.1041948579161032</v>
      </c>
      <c r="G76" s="33" t="s">
        <v>128</v>
      </c>
      <c r="H76" s="72">
        <f>SUM(H77:H80)</f>
        <v>215</v>
      </c>
      <c r="I76" s="73">
        <f t="shared" ref="I76:I106" si="11">IF($A76&lt;&gt;"",H76/$B76*100,"")</f>
        <v>14.546684709066307</v>
      </c>
      <c r="J76" s="33" t="s">
        <v>128</v>
      </c>
      <c r="K76" s="72">
        <f>SUM(K77:K80)</f>
        <v>483</v>
      </c>
      <c r="L76" s="73">
        <f t="shared" ref="L76:L106" si="12">IF($A76&lt;&gt;"",K76/$B76*100,"")</f>
        <v>32.67929634641407</v>
      </c>
      <c r="M76" s="33" t="s">
        <v>128</v>
      </c>
      <c r="N76" s="72">
        <f>SUM(N77:N80)</f>
        <v>633</v>
      </c>
      <c r="O76" s="73">
        <f t="shared" ref="O76:O106" si="13">IF($A76&lt;&gt;"",N76/$B76*100,"")</f>
        <v>42.828146143437081</v>
      </c>
      <c r="P76" s="33" t="s">
        <v>128</v>
      </c>
      <c r="Q76" s="72">
        <f>SUM(Q77:Q80)</f>
        <v>42</v>
      </c>
      <c r="R76" s="105">
        <f t="shared" si="4"/>
        <v>2.8416779431664412</v>
      </c>
    </row>
    <row r="77" spans="1:18" ht="14" customHeight="1">
      <c r="A77" s="95" t="s">
        <v>212</v>
      </c>
      <c r="B77" s="58">
        <f>SUM(E77+H77+K77+N77+Q77)</f>
        <v>372</v>
      </c>
      <c r="C77" s="204">
        <f t="shared" si="5"/>
        <v>0.87356753710313739</v>
      </c>
      <c r="E77" s="824">
        <v>25</v>
      </c>
      <c r="F77" s="73">
        <f t="shared" si="10"/>
        <v>6.7204301075268811</v>
      </c>
      <c r="G77" s="824"/>
      <c r="H77" s="824">
        <v>49</v>
      </c>
      <c r="I77" s="73">
        <f t="shared" si="11"/>
        <v>13.172043010752688</v>
      </c>
      <c r="J77" s="824"/>
      <c r="K77" s="824">
        <v>120</v>
      </c>
      <c r="L77" s="73">
        <f t="shared" si="12"/>
        <v>32.258064516129032</v>
      </c>
      <c r="M77" s="824"/>
      <c r="N77" s="824">
        <v>167</v>
      </c>
      <c r="O77" s="73">
        <f t="shared" si="13"/>
        <v>44.892473118279568</v>
      </c>
      <c r="P77" s="824"/>
      <c r="Q77" s="824">
        <v>11</v>
      </c>
      <c r="R77" s="105">
        <f t="shared" si="4"/>
        <v>2.956989247311828</v>
      </c>
    </row>
    <row r="78" spans="1:18" ht="14" customHeight="1">
      <c r="A78" s="95" t="s">
        <v>213</v>
      </c>
      <c r="B78" s="58">
        <f>SUM(E78+H78+K78+N78+Q78)</f>
        <v>461</v>
      </c>
      <c r="C78" s="204">
        <f t="shared" si="5"/>
        <v>1.0825662220552321</v>
      </c>
      <c r="E78" s="824">
        <v>23</v>
      </c>
      <c r="F78" s="73">
        <f t="shared" si="10"/>
        <v>4.9891540130151846</v>
      </c>
      <c r="G78" s="824"/>
      <c r="H78" s="824">
        <v>82</v>
      </c>
      <c r="I78" s="73">
        <f t="shared" si="11"/>
        <v>17.787418655097614</v>
      </c>
      <c r="J78" s="824"/>
      <c r="K78" s="824">
        <v>169</v>
      </c>
      <c r="L78" s="73">
        <f t="shared" si="12"/>
        <v>36.659436008676785</v>
      </c>
      <c r="M78" s="824"/>
      <c r="N78" s="824">
        <v>183</v>
      </c>
      <c r="O78" s="73">
        <f t="shared" si="13"/>
        <v>39.696312364425161</v>
      </c>
      <c r="P78" s="824"/>
      <c r="Q78" s="824">
        <v>4</v>
      </c>
      <c r="R78" s="105">
        <f t="shared" si="4"/>
        <v>0.86767895878524948</v>
      </c>
    </row>
    <row r="79" spans="1:18" ht="14" customHeight="1">
      <c r="A79" s="95" t="s">
        <v>214</v>
      </c>
      <c r="B79" s="58">
        <f>SUM(E79+H79+K79+N79+Q79)</f>
        <v>395</v>
      </c>
      <c r="C79" s="204">
        <f t="shared" si="5"/>
        <v>0.92757843321435285</v>
      </c>
      <c r="E79" s="824">
        <v>33</v>
      </c>
      <c r="F79" s="73">
        <f t="shared" si="10"/>
        <v>8.3544303797468356</v>
      </c>
      <c r="G79" s="824"/>
      <c r="H79" s="824">
        <v>59</v>
      </c>
      <c r="I79" s="73">
        <f t="shared" si="11"/>
        <v>14.936708860759493</v>
      </c>
      <c r="J79" s="824"/>
      <c r="K79" s="824">
        <v>136</v>
      </c>
      <c r="L79" s="73">
        <f t="shared" si="12"/>
        <v>34.430379746835442</v>
      </c>
      <c r="M79" s="824"/>
      <c r="N79" s="824">
        <v>150</v>
      </c>
      <c r="O79" s="73">
        <f t="shared" si="13"/>
        <v>37.974683544303801</v>
      </c>
      <c r="P79" s="824"/>
      <c r="Q79" s="824">
        <v>17</v>
      </c>
      <c r="R79" s="105">
        <f t="shared" ref="R79:R106" si="14">IF($A79&lt;&gt;"",Q79/$B79*100,"")</f>
        <v>4.3037974683544302</v>
      </c>
    </row>
    <row r="80" spans="1:18" ht="14" customHeight="1">
      <c r="A80" s="95" t="s">
        <v>215</v>
      </c>
      <c r="B80" s="58">
        <f>SUM(E80+H80+K80+N80+Q80)</f>
        <v>250</v>
      </c>
      <c r="C80" s="204">
        <f t="shared" si="5"/>
        <v>0.58707495773060314</v>
      </c>
      <c r="E80" s="824">
        <v>24</v>
      </c>
      <c r="F80" s="73">
        <f t="shared" si="10"/>
        <v>9.6</v>
      </c>
      <c r="G80" s="824"/>
      <c r="H80" s="824">
        <v>25</v>
      </c>
      <c r="I80" s="73">
        <f t="shared" si="11"/>
        <v>10</v>
      </c>
      <c r="J80" s="824"/>
      <c r="K80" s="824">
        <v>58</v>
      </c>
      <c r="L80" s="73">
        <f t="shared" si="12"/>
        <v>23.200000000000003</v>
      </c>
      <c r="M80" s="824"/>
      <c r="N80" s="824">
        <v>133</v>
      </c>
      <c r="O80" s="73">
        <f t="shared" si="13"/>
        <v>53.2</v>
      </c>
      <c r="P80" s="824"/>
      <c r="Q80" s="824">
        <v>10</v>
      </c>
      <c r="R80" s="105">
        <f t="shared" si="14"/>
        <v>4</v>
      </c>
    </row>
    <row r="81" spans="1:18" ht="11.25" customHeight="1">
      <c r="C81" s="204" t="str">
        <f t="shared" ref="C81:C106" si="15">IF(A81&lt;&gt;0,B81/$B$12*100,"")</f>
        <v/>
      </c>
      <c r="F81" s="73" t="str">
        <f t="shared" si="10"/>
        <v/>
      </c>
      <c r="I81" s="73" t="str">
        <f t="shared" si="11"/>
        <v/>
      </c>
      <c r="L81" s="73" t="str">
        <f t="shared" si="12"/>
        <v/>
      </c>
      <c r="O81" s="73" t="str">
        <f t="shared" si="13"/>
        <v/>
      </c>
      <c r="R81" s="105" t="str">
        <f t="shared" si="14"/>
        <v/>
      </c>
    </row>
    <row r="82" spans="1:18" ht="11.25" customHeight="1">
      <c r="A82" s="55" t="s">
        <v>483</v>
      </c>
      <c r="B82" s="58">
        <f>SUM(B83)</f>
        <v>6522</v>
      </c>
      <c r="C82" s="204">
        <f t="shared" si="15"/>
        <v>15.315611497275972</v>
      </c>
      <c r="E82" s="58">
        <f>SUM(E83)</f>
        <v>398</v>
      </c>
      <c r="F82" s="73">
        <f t="shared" si="10"/>
        <v>6.1024225697638759</v>
      </c>
      <c r="H82" s="72">
        <f>SUM(H83)</f>
        <v>1022</v>
      </c>
      <c r="I82" s="73">
        <f t="shared" si="11"/>
        <v>15.670039865072063</v>
      </c>
      <c r="K82" s="72">
        <f>SUM(K83)</f>
        <v>1713</v>
      </c>
      <c r="L82" s="73">
        <f t="shared" si="12"/>
        <v>26.26494940202392</v>
      </c>
      <c r="N82" s="72">
        <f>SUM(N83)</f>
        <v>3121</v>
      </c>
      <c r="O82" s="73">
        <f t="shared" si="13"/>
        <v>47.853419196565468</v>
      </c>
      <c r="Q82" s="72">
        <f>SUM(Q83)</f>
        <v>268</v>
      </c>
      <c r="R82" s="105">
        <f t="shared" si="14"/>
        <v>4.1091689665746705</v>
      </c>
    </row>
    <row r="83" spans="1:18" ht="14" customHeight="1">
      <c r="A83" s="95" t="s">
        <v>217</v>
      </c>
      <c r="B83" s="58">
        <f t="shared" ref="B83:B92" si="16">SUM(E83+H83+K83+N83+Q83)</f>
        <v>6522</v>
      </c>
      <c r="C83" s="204">
        <f t="shared" si="15"/>
        <v>15.315611497275972</v>
      </c>
      <c r="E83" s="58">
        <f>SUM(E84:E92)</f>
        <v>398</v>
      </c>
      <c r="F83" s="73">
        <f t="shared" si="10"/>
        <v>6.1024225697638759</v>
      </c>
      <c r="G83" s="33" t="s">
        <v>128</v>
      </c>
      <c r="H83" s="72">
        <f>SUM(H84:H92)</f>
        <v>1022</v>
      </c>
      <c r="I83" s="73">
        <f t="shared" si="11"/>
        <v>15.670039865072063</v>
      </c>
      <c r="J83" s="33" t="s">
        <v>128</v>
      </c>
      <c r="K83" s="72">
        <f>SUM(K84:K92)</f>
        <v>1713</v>
      </c>
      <c r="L83" s="73">
        <f t="shared" si="12"/>
        <v>26.26494940202392</v>
      </c>
      <c r="M83" s="33" t="s">
        <v>128</v>
      </c>
      <c r="N83" s="72">
        <f>SUM(N84:N92)</f>
        <v>3121</v>
      </c>
      <c r="O83" s="73">
        <f t="shared" si="13"/>
        <v>47.853419196565468</v>
      </c>
      <c r="P83" s="33" t="s">
        <v>128</v>
      </c>
      <c r="Q83" s="72">
        <f>SUM(Q84:Q92)</f>
        <v>268</v>
      </c>
      <c r="R83" s="105">
        <f t="shared" si="14"/>
        <v>4.1091689665746705</v>
      </c>
    </row>
    <row r="84" spans="1:18" ht="14" customHeight="1">
      <c r="A84" s="33" t="s">
        <v>1921</v>
      </c>
      <c r="B84" s="58">
        <f t="shared" si="16"/>
        <v>533</v>
      </c>
      <c r="C84" s="204">
        <f t="shared" si="15"/>
        <v>1.2516438098816456</v>
      </c>
      <c r="E84" s="824">
        <v>19</v>
      </c>
      <c r="F84" s="73">
        <f t="shared" si="10"/>
        <v>3.5647279549718571</v>
      </c>
      <c r="G84" s="824"/>
      <c r="H84" s="824">
        <v>85</v>
      </c>
      <c r="I84" s="73">
        <f t="shared" si="11"/>
        <v>15.947467166979362</v>
      </c>
      <c r="J84" s="824"/>
      <c r="K84" s="824">
        <v>203</v>
      </c>
      <c r="L84" s="73">
        <f t="shared" si="12"/>
        <v>38.086303939962477</v>
      </c>
      <c r="M84" s="824"/>
      <c r="N84" s="824">
        <v>217</v>
      </c>
      <c r="O84" s="73">
        <f t="shared" si="13"/>
        <v>40.712945590994373</v>
      </c>
      <c r="P84" s="824"/>
      <c r="Q84" s="824">
        <v>9</v>
      </c>
      <c r="R84" s="105">
        <f t="shared" si="14"/>
        <v>1.6885553470919326</v>
      </c>
    </row>
    <row r="85" spans="1:18" ht="14" customHeight="1">
      <c r="A85" s="95" t="s">
        <v>218</v>
      </c>
      <c r="B85" s="58">
        <f t="shared" si="16"/>
        <v>942</v>
      </c>
      <c r="C85" s="204">
        <f t="shared" si="15"/>
        <v>2.2120984407289122</v>
      </c>
      <c r="E85" s="824">
        <v>73</v>
      </c>
      <c r="F85" s="73">
        <f t="shared" si="10"/>
        <v>7.7494692144373669</v>
      </c>
      <c r="G85" s="824"/>
      <c r="H85" s="824">
        <v>126</v>
      </c>
      <c r="I85" s="73">
        <f t="shared" si="11"/>
        <v>13.375796178343949</v>
      </c>
      <c r="J85" s="824"/>
      <c r="K85" s="824">
        <v>211</v>
      </c>
      <c r="L85" s="73">
        <f t="shared" si="12"/>
        <v>22.399150743099788</v>
      </c>
      <c r="M85" s="824"/>
      <c r="N85" s="824">
        <v>500</v>
      </c>
      <c r="O85" s="73">
        <f t="shared" si="13"/>
        <v>53.07855626326964</v>
      </c>
      <c r="P85" s="824"/>
      <c r="Q85" s="824">
        <v>32</v>
      </c>
      <c r="R85" s="105">
        <f t="shared" si="14"/>
        <v>3.397027600849257</v>
      </c>
    </row>
    <row r="86" spans="1:18" ht="14" customHeight="1">
      <c r="A86" s="95" t="s">
        <v>220</v>
      </c>
      <c r="B86" s="58">
        <f t="shared" si="16"/>
        <v>1200</v>
      </c>
      <c r="C86" s="204">
        <f t="shared" si="15"/>
        <v>2.8179597971068944</v>
      </c>
      <c r="E86" s="824">
        <v>41</v>
      </c>
      <c r="F86" s="73">
        <f t="shared" si="10"/>
        <v>3.4166666666666665</v>
      </c>
      <c r="G86" s="824"/>
      <c r="H86" s="824">
        <v>230</v>
      </c>
      <c r="I86" s="73">
        <f t="shared" si="11"/>
        <v>19.166666666666668</v>
      </c>
      <c r="J86" s="824"/>
      <c r="K86" s="824">
        <v>389</v>
      </c>
      <c r="L86" s="73">
        <f t="shared" si="12"/>
        <v>32.416666666666664</v>
      </c>
      <c r="M86" s="824"/>
      <c r="N86" s="824">
        <v>507</v>
      </c>
      <c r="O86" s="73">
        <f t="shared" si="13"/>
        <v>42.25</v>
      </c>
      <c r="P86" s="824"/>
      <c r="Q86" s="824">
        <v>33</v>
      </c>
      <c r="R86" s="105">
        <f t="shared" si="14"/>
        <v>2.75</v>
      </c>
    </row>
    <row r="87" spans="1:18" ht="14" customHeight="1">
      <c r="A87" s="95" t="s">
        <v>222</v>
      </c>
      <c r="B87" s="58">
        <f t="shared" si="16"/>
        <v>552</v>
      </c>
      <c r="C87" s="204">
        <f t="shared" si="15"/>
        <v>1.2962615066691714</v>
      </c>
      <c r="E87" s="824">
        <v>49</v>
      </c>
      <c r="F87" s="73">
        <f t="shared" si="10"/>
        <v>8.8768115942028984</v>
      </c>
      <c r="G87" s="824"/>
      <c r="H87" s="824">
        <v>58</v>
      </c>
      <c r="I87" s="73">
        <f t="shared" si="11"/>
        <v>10.507246376811594</v>
      </c>
      <c r="J87" s="824"/>
      <c r="K87" s="824">
        <v>92</v>
      </c>
      <c r="L87" s="73">
        <f t="shared" si="12"/>
        <v>16.666666666666664</v>
      </c>
      <c r="M87" s="824"/>
      <c r="N87" s="824">
        <v>305</v>
      </c>
      <c r="O87" s="73">
        <f t="shared" si="13"/>
        <v>55.253623188405797</v>
      </c>
      <c r="P87" s="824"/>
      <c r="Q87" s="824">
        <v>48</v>
      </c>
      <c r="R87" s="105">
        <f t="shared" si="14"/>
        <v>8.695652173913043</v>
      </c>
    </row>
    <row r="88" spans="1:18" ht="14" customHeight="1">
      <c r="A88" s="95" t="s">
        <v>221</v>
      </c>
      <c r="B88" s="58">
        <f t="shared" si="16"/>
        <v>592</v>
      </c>
      <c r="C88" s="204">
        <f t="shared" si="15"/>
        <v>1.3901934999060681</v>
      </c>
      <c r="E88" s="824">
        <v>2</v>
      </c>
      <c r="F88" s="73">
        <f t="shared" si="10"/>
        <v>0.33783783783783783</v>
      </c>
      <c r="G88" s="824"/>
      <c r="H88" s="824">
        <v>121</v>
      </c>
      <c r="I88" s="73">
        <f t="shared" si="11"/>
        <v>20.439189189189189</v>
      </c>
      <c r="J88" s="824"/>
      <c r="K88" s="824">
        <v>157</v>
      </c>
      <c r="L88" s="73">
        <f t="shared" si="12"/>
        <v>26.52027027027027</v>
      </c>
      <c r="M88" s="824"/>
      <c r="N88" s="824">
        <v>297</v>
      </c>
      <c r="O88" s="73">
        <f t="shared" si="13"/>
        <v>50.168918918918912</v>
      </c>
      <c r="P88" s="824"/>
      <c r="Q88" s="824">
        <v>15</v>
      </c>
      <c r="R88" s="105">
        <f t="shared" si="14"/>
        <v>2.5337837837837838</v>
      </c>
    </row>
    <row r="89" spans="1:18" ht="14" customHeight="1">
      <c r="A89" s="95" t="s">
        <v>219</v>
      </c>
      <c r="B89" s="58">
        <f t="shared" si="16"/>
        <v>808</v>
      </c>
      <c r="C89" s="204">
        <f t="shared" si="15"/>
        <v>1.897426263385309</v>
      </c>
      <c r="E89" s="824">
        <v>89</v>
      </c>
      <c r="F89" s="73">
        <f t="shared" si="10"/>
        <v>11.014851485148515</v>
      </c>
      <c r="G89" s="824"/>
      <c r="H89" s="824">
        <v>103</v>
      </c>
      <c r="I89" s="73">
        <f t="shared" si="11"/>
        <v>12.747524752475247</v>
      </c>
      <c r="J89" s="824"/>
      <c r="K89" s="824">
        <v>178</v>
      </c>
      <c r="L89" s="73">
        <f t="shared" si="12"/>
        <v>22.029702970297031</v>
      </c>
      <c r="M89" s="824"/>
      <c r="N89" s="824">
        <v>410</v>
      </c>
      <c r="O89" s="73">
        <f t="shared" si="13"/>
        <v>50.742574257425744</v>
      </c>
      <c r="P89" s="824"/>
      <c r="Q89" s="824">
        <v>28</v>
      </c>
      <c r="R89" s="105">
        <f t="shared" si="14"/>
        <v>3.4653465346534658</v>
      </c>
    </row>
    <row r="90" spans="1:18" ht="14" customHeight="1">
      <c r="A90" s="95" t="s">
        <v>223</v>
      </c>
      <c r="B90" s="58">
        <f t="shared" si="16"/>
        <v>735</v>
      </c>
      <c r="C90" s="204">
        <f t="shared" si="15"/>
        <v>1.7260003757279727</v>
      </c>
      <c r="E90" s="824">
        <v>88</v>
      </c>
      <c r="F90" s="73">
        <f t="shared" si="10"/>
        <v>11.972789115646258</v>
      </c>
      <c r="G90" s="824"/>
      <c r="H90" s="824">
        <v>100</v>
      </c>
      <c r="I90" s="73">
        <f t="shared" si="11"/>
        <v>13.605442176870749</v>
      </c>
      <c r="J90" s="824"/>
      <c r="K90" s="824">
        <v>205</v>
      </c>
      <c r="L90" s="73">
        <f t="shared" si="12"/>
        <v>27.89115646258503</v>
      </c>
      <c r="M90" s="824"/>
      <c r="N90" s="824">
        <v>326</v>
      </c>
      <c r="O90" s="73">
        <f t="shared" si="13"/>
        <v>44.353741496598644</v>
      </c>
      <c r="P90" s="824"/>
      <c r="Q90" s="824">
        <v>16</v>
      </c>
      <c r="R90" s="105">
        <f t="shared" si="14"/>
        <v>2.1768707482993195</v>
      </c>
    </row>
    <row r="91" spans="1:18" ht="14" customHeight="1">
      <c r="A91" s="95" t="s">
        <v>226</v>
      </c>
      <c r="B91" s="58">
        <f t="shared" si="16"/>
        <v>436</v>
      </c>
      <c r="C91" s="204">
        <f t="shared" si="15"/>
        <v>1.0238587262821719</v>
      </c>
      <c r="E91" s="824">
        <v>25</v>
      </c>
      <c r="F91" s="73">
        <f t="shared" si="10"/>
        <v>5.7339449541284404</v>
      </c>
      <c r="G91" s="824"/>
      <c r="H91" s="824">
        <v>84</v>
      </c>
      <c r="I91" s="73">
        <f t="shared" si="11"/>
        <v>19.26605504587156</v>
      </c>
      <c r="J91" s="824"/>
      <c r="K91" s="824">
        <v>121</v>
      </c>
      <c r="L91" s="73">
        <f t="shared" si="12"/>
        <v>27.75229357798165</v>
      </c>
      <c r="M91" s="824"/>
      <c r="N91" s="824">
        <v>201</v>
      </c>
      <c r="O91" s="73">
        <f t="shared" si="13"/>
        <v>46.100917431192663</v>
      </c>
      <c r="P91" s="824"/>
      <c r="Q91" s="824">
        <v>5</v>
      </c>
      <c r="R91" s="105">
        <f t="shared" si="14"/>
        <v>1.1467889908256881</v>
      </c>
    </row>
    <row r="92" spans="1:18" ht="14" customHeight="1">
      <c r="A92" s="95" t="s">
        <v>416</v>
      </c>
      <c r="B92" s="58">
        <f t="shared" si="16"/>
        <v>724</v>
      </c>
      <c r="C92" s="204">
        <f t="shared" si="15"/>
        <v>1.7001690775878264</v>
      </c>
      <c r="E92" s="824">
        <v>12</v>
      </c>
      <c r="F92" s="73">
        <f t="shared" si="10"/>
        <v>1.6574585635359116</v>
      </c>
      <c r="G92" s="824"/>
      <c r="H92" s="824">
        <v>115</v>
      </c>
      <c r="I92" s="73">
        <f t="shared" si="11"/>
        <v>15.883977900552487</v>
      </c>
      <c r="J92" s="824"/>
      <c r="K92" s="824">
        <v>157</v>
      </c>
      <c r="L92" s="73">
        <f t="shared" si="12"/>
        <v>21.685082872928177</v>
      </c>
      <c r="M92" s="824"/>
      <c r="N92" s="824">
        <v>358</v>
      </c>
      <c r="O92" s="73">
        <f t="shared" si="13"/>
        <v>49.447513812154696</v>
      </c>
      <c r="P92" s="824"/>
      <c r="Q92" s="824">
        <v>82</v>
      </c>
      <c r="R92" s="105">
        <f t="shared" si="14"/>
        <v>11.325966850828729</v>
      </c>
    </row>
    <row r="93" spans="1:18" ht="9" customHeight="1">
      <c r="C93" s="204" t="str">
        <f t="shared" si="15"/>
        <v/>
      </c>
      <c r="E93" s="794"/>
      <c r="F93" s="73" t="str">
        <f t="shared" si="10"/>
        <v/>
      </c>
      <c r="G93" s="794"/>
      <c r="H93" s="794"/>
      <c r="I93" s="73" t="str">
        <f t="shared" si="11"/>
        <v/>
      </c>
      <c r="J93" s="794"/>
      <c r="K93" s="794"/>
      <c r="L93" s="73" t="str">
        <f t="shared" si="12"/>
        <v/>
      </c>
      <c r="M93" s="794"/>
      <c r="N93" s="794"/>
      <c r="O93" s="73" t="str">
        <f t="shared" si="13"/>
        <v/>
      </c>
      <c r="P93" s="794"/>
      <c r="Q93" s="794"/>
      <c r="R93" s="105" t="str">
        <f t="shared" si="14"/>
        <v/>
      </c>
    </row>
    <row r="94" spans="1:18" ht="14" customHeight="1">
      <c r="A94" s="95" t="s">
        <v>992</v>
      </c>
      <c r="B94" s="58">
        <f>SUM(E94+H94+K94+N94+Q94)</f>
        <v>10</v>
      </c>
      <c r="C94" s="204">
        <f t="shared" si="15"/>
        <v>2.3482998309224123E-2</v>
      </c>
      <c r="E94" s="826">
        <v>0</v>
      </c>
      <c r="F94" s="73">
        <f t="shared" si="10"/>
        <v>0</v>
      </c>
      <c r="G94" s="826"/>
      <c r="H94" s="826">
        <v>7</v>
      </c>
      <c r="I94" s="73">
        <f t="shared" si="11"/>
        <v>70</v>
      </c>
      <c r="J94" s="826"/>
      <c r="K94" s="826">
        <v>3</v>
      </c>
      <c r="L94" s="73">
        <f t="shared" si="12"/>
        <v>30</v>
      </c>
      <c r="M94" s="826"/>
      <c r="N94" s="826">
        <v>0</v>
      </c>
      <c r="O94" s="73">
        <f t="shared" si="13"/>
        <v>0</v>
      </c>
      <c r="P94" s="826"/>
      <c r="Q94" s="826">
        <v>0</v>
      </c>
      <c r="R94" s="105">
        <f t="shared" si="14"/>
        <v>0</v>
      </c>
    </row>
    <row r="95" spans="1:18" ht="14" customHeight="1">
      <c r="B95" s="58">
        <f>SUM(E95+H95+K95+N95+Q95)</f>
        <v>0</v>
      </c>
      <c r="C95" s="204" t="str">
        <f t="shared" si="15"/>
        <v/>
      </c>
      <c r="E95" s="794"/>
      <c r="F95" s="73" t="str">
        <f t="shared" si="10"/>
        <v/>
      </c>
      <c r="G95" s="794"/>
      <c r="H95" s="794"/>
      <c r="I95" s="73" t="str">
        <f t="shared" si="11"/>
        <v/>
      </c>
      <c r="J95" s="794"/>
      <c r="K95" s="794"/>
      <c r="L95" s="73" t="str">
        <f t="shared" si="12"/>
        <v/>
      </c>
      <c r="M95" s="794"/>
      <c r="N95" s="794"/>
      <c r="O95" s="73" t="str">
        <f t="shared" si="13"/>
        <v/>
      </c>
      <c r="P95" s="794"/>
      <c r="Q95" s="794"/>
      <c r="R95" s="105" t="str">
        <f t="shared" si="14"/>
        <v/>
      </c>
    </row>
    <row r="96" spans="1:18" ht="14" customHeight="1">
      <c r="A96" s="95" t="s">
        <v>535</v>
      </c>
      <c r="B96" s="58">
        <f>SUM(E96+H96+K96+N96+Q96)</f>
        <v>438</v>
      </c>
      <c r="C96" s="204">
        <f t="shared" si="15"/>
        <v>1.0285553259440166</v>
      </c>
      <c r="E96" s="824">
        <v>4</v>
      </c>
      <c r="F96" s="73">
        <f t="shared" si="10"/>
        <v>0.91324200913242004</v>
      </c>
      <c r="G96" s="824"/>
      <c r="H96" s="824">
        <v>29</v>
      </c>
      <c r="I96" s="73">
        <f t="shared" si="11"/>
        <v>6.6210045662100452</v>
      </c>
      <c r="J96" s="824"/>
      <c r="K96" s="824">
        <v>119</v>
      </c>
      <c r="L96" s="73">
        <f t="shared" si="12"/>
        <v>27.168949771689498</v>
      </c>
      <c r="M96" s="824"/>
      <c r="N96" s="824">
        <v>266</v>
      </c>
      <c r="O96" s="73">
        <f t="shared" si="13"/>
        <v>60.730593607305941</v>
      </c>
      <c r="P96" s="824"/>
      <c r="Q96" s="824">
        <v>20</v>
      </c>
      <c r="R96" s="105">
        <f t="shared" si="14"/>
        <v>4.5662100456620998</v>
      </c>
    </row>
    <row r="97" spans="1:19" ht="14" customHeight="1">
      <c r="A97" s="33" t="s">
        <v>2224</v>
      </c>
      <c r="B97" s="58">
        <f>SUM(E97+H97+K97+N97+Q97)</f>
        <v>755</v>
      </c>
      <c r="C97" s="204">
        <f t="shared" si="15"/>
        <v>1.7729663723464211</v>
      </c>
      <c r="E97" s="824">
        <v>51</v>
      </c>
      <c r="F97" s="73">
        <f t="shared" si="10"/>
        <v>6.7549668874172184</v>
      </c>
      <c r="G97" s="824"/>
      <c r="H97" s="824">
        <v>119</v>
      </c>
      <c r="I97" s="73">
        <f t="shared" si="11"/>
        <v>15.761589403973511</v>
      </c>
      <c r="J97" s="824"/>
      <c r="K97" s="824">
        <v>195</v>
      </c>
      <c r="L97" s="73">
        <f t="shared" si="12"/>
        <v>25.827814569536422</v>
      </c>
      <c r="M97" s="824"/>
      <c r="N97" s="824">
        <v>356</v>
      </c>
      <c r="O97" s="73">
        <f t="shared" si="13"/>
        <v>47.152317880794705</v>
      </c>
      <c r="P97" s="824"/>
      <c r="Q97" s="824">
        <v>34</v>
      </c>
      <c r="R97" s="105">
        <f t="shared" si="14"/>
        <v>4.5033112582781456</v>
      </c>
    </row>
    <row r="98" spans="1:19" ht="9" customHeight="1">
      <c r="B98" s="58">
        <f t="shared" ref="B98:B106" si="17">SUM(E98+H98+K98+N98+Q98)</f>
        <v>0</v>
      </c>
      <c r="C98" s="204" t="str">
        <f t="shared" si="15"/>
        <v/>
      </c>
      <c r="F98" s="73" t="str">
        <f t="shared" si="10"/>
        <v/>
      </c>
      <c r="I98" s="73" t="str">
        <f t="shared" si="11"/>
        <v/>
      </c>
      <c r="L98" s="73" t="str">
        <f t="shared" si="12"/>
        <v/>
      </c>
      <c r="O98" s="73" t="str">
        <f t="shared" si="13"/>
        <v/>
      </c>
      <c r="R98" s="105" t="str">
        <f t="shared" si="14"/>
        <v/>
      </c>
    </row>
    <row r="99" spans="1:19" ht="14" customHeight="1">
      <c r="A99" s="55" t="s">
        <v>423</v>
      </c>
      <c r="B99" s="58">
        <f t="shared" si="17"/>
        <v>9780</v>
      </c>
      <c r="C99" s="204">
        <f t="shared" si="15"/>
        <v>22.966372346421192</v>
      </c>
      <c r="E99" s="58">
        <f>SUM(E100:E104)</f>
        <v>327</v>
      </c>
      <c r="F99" s="73">
        <f t="shared" si="10"/>
        <v>3.3435582822085892</v>
      </c>
      <c r="G99" s="33" t="s">
        <v>128</v>
      </c>
      <c r="H99" s="72">
        <f>SUM(H100:H104)</f>
        <v>1324</v>
      </c>
      <c r="I99" s="73">
        <f t="shared" si="11"/>
        <v>13.537832310838446</v>
      </c>
      <c r="J99" s="33" t="s">
        <v>128</v>
      </c>
      <c r="K99" s="72">
        <f>SUM(K100:K104)</f>
        <v>2796</v>
      </c>
      <c r="L99" s="73">
        <f t="shared" si="12"/>
        <v>28.588957055214724</v>
      </c>
      <c r="M99" s="33" t="s">
        <v>128</v>
      </c>
      <c r="N99" s="72">
        <f>SUM(N100:N104)</f>
        <v>4925</v>
      </c>
      <c r="O99" s="73">
        <f t="shared" si="13"/>
        <v>50.357873210633954</v>
      </c>
      <c r="P99" s="33" t="s">
        <v>128</v>
      </c>
      <c r="Q99" s="72">
        <f>SUM(Q100:Q104)</f>
        <v>408</v>
      </c>
      <c r="R99" s="105">
        <f t="shared" si="14"/>
        <v>4.1717791411042944</v>
      </c>
    </row>
    <row r="100" spans="1:19" ht="14" customHeight="1">
      <c r="A100" s="95" t="s">
        <v>424</v>
      </c>
      <c r="B100" s="58">
        <f t="shared" si="17"/>
        <v>3003</v>
      </c>
      <c r="C100" s="204">
        <f t="shared" si="15"/>
        <v>7.0519443922600038</v>
      </c>
      <c r="E100" s="824">
        <v>186</v>
      </c>
      <c r="F100" s="73">
        <f t="shared" si="10"/>
        <v>6.1938061938061937</v>
      </c>
      <c r="G100" s="824"/>
      <c r="H100" s="824">
        <v>393</v>
      </c>
      <c r="I100" s="73">
        <f t="shared" si="11"/>
        <v>13.086913086913087</v>
      </c>
      <c r="J100" s="824"/>
      <c r="K100" s="824">
        <v>675</v>
      </c>
      <c r="L100" s="73">
        <f t="shared" si="12"/>
        <v>22.477522477522477</v>
      </c>
      <c r="M100" s="824"/>
      <c r="N100" s="824">
        <v>1604</v>
      </c>
      <c r="O100" s="73">
        <f t="shared" si="13"/>
        <v>53.413253413253415</v>
      </c>
      <c r="P100" s="824"/>
      <c r="Q100" s="824">
        <v>145</v>
      </c>
      <c r="R100" s="105">
        <f t="shared" si="14"/>
        <v>4.8285048285048289</v>
      </c>
    </row>
    <row r="101" spans="1:19" ht="14" customHeight="1">
      <c r="A101" s="95" t="s">
        <v>425</v>
      </c>
      <c r="B101" s="58">
        <f t="shared" si="17"/>
        <v>1995</v>
      </c>
      <c r="C101" s="204">
        <f t="shared" si="15"/>
        <v>4.6848581626902117</v>
      </c>
      <c r="E101" s="824">
        <v>33</v>
      </c>
      <c r="F101" s="73">
        <f t="shared" si="10"/>
        <v>1.6541353383458646</v>
      </c>
      <c r="G101" s="824"/>
      <c r="H101" s="824">
        <v>290</v>
      </c>
      <c r="I101" s="73">
        <f t="shared" si="11"/>
        <v>14.536340852130325</v>
      </c>
      <c r="J101" s="824"/>
      <c r="K101" s="824">
        <v>652</v>
      </c>
      <c r="L101" s="73">
        <f t="shared" si="12"/>
        <v>32.681704260651628</v>
      </c>
      <c r="M101" s="824"/>
      <c r="N101" s="824">
        <v>942</v>
      </c>
      <c r="O101" s="73">
        <f t="shared" si="13"/>
        <v>47.218045112781951</v>
      </c>
      <c r="P101" s="824"/>
      <c r="Q101" s="824">
        <v>78</v>
      </c>
      <c r="R101" s="105">
        <f t="shared" si="14"/>
        <v>3.9097744360902258</v>
      </c>
    </row>
    <row r="102" spans="1:19" ht="14" customHeight="1">
      <c r="A102" s="95" t="s">
        <v>426</v>
      </c>
      <c r="B102" s="58">
        <f t="shared" si="17"/>
        <v>2122</v>
      </c>
      <c r="C102" s="204">
        <f t="shared" si="15"/>
        <v>4.9830922412173591</v>
      </c>
      <c r="E102" s="824">
        <v>49</v>
      </c>
      <c r="F102" s="73">
        <f t="shared" si="10"/>
        <v>2.3091423185673894</v>
      </c>
      <c r="G102" s="824"/>
      <c r="H102" s="824">
        <v>304</v>
      </c>
      <c r="I102" s="73">
        <f t="shared" si="11"/>
        <v>14.326107445805844</v>
      </c>
      <c r="J102" s="824"/>
      <c r="K102" s="824">
        <v>635</v>
      </c>
      <c r="L102" s="73">
        <f t="shared" si="12"/>
        <v>29.924599434495757</v>
      </c>
      <c r="M102" s="824"/>
      <c r="N102" s="824">
        <v>1049</v>
      </c>
      <c r="O102" s="73">
        <f t="shared" si="13"/>
        <v>49.434495758718185</v>
      </c>
      <c r="P102" s="824"/>
      <c r="Q102" s="824">
        <v>85</v>
      </c>
      <c r="R102" s="105">
        <f t="shared" si="14"/>
        <v>4.0056550424128181</v>
      </c>
    </row>
    <row r="103" spans="1:19" ht="14" customHeight="1">
      <c r="A103" s="95" t="s">
        <v>427</v>
      </c>
      <c r="B103" s="58">
        <f t="shared" si="17"/>
        <v>1324</v>
      </c>
      <c r="C103" s="204">
        <f t="shared" si="15"/>
        <v>3.1091489761412738</v>
      </c>
      <c r="E103" s="824">
        <v>39</v>
      </c>
      <c r="F103" s="73">
        <f t="shared" si="10"/>
        <v>2.9456193353474323</v>
      </c>
      <c r="G103" s="824"/>
      <c r="H103" s="824">
        <v>207</v>
      </c>
      <c r="I103" s="73">
        <f t="shared" si="11"/>
        <v>15.634441087613293</v>
      </c>
      <c r="J103" s="824"/>
      <c r="K103" s="824">
        <v>431</v>
      </c>
      <c r="L103" s="73">
        <f t="shared" si="12"/>
        <v>32.552870090634443</v>
      </c>
      <c r="M103" s="824"/>
      <c r="N103" s="824">
        <v>612</v>
      </c>
      <c r="O103" s="73">
        <f t="shared" si="13"/>
        <v>46.223564954682779</v>
      </c>
      <c r="P103" s="824"/>
      <c r="Q103" s="824">
        <v>35</v>
      </c>
      <c r="R103" s="105">
        <f t="shared" si="14"/>
        <v>2.643504531722054</v>
      </c>
    </row>
    <row r="104" spans="1:19" ht="14" customHeight="1">
      <c r="A104" s="95" t="s">
        <v>587</v>
      </c>
      <c r="B104" s="58">
        <f t="shared" si="17"/>
        <v>1336</v>
      </c>
      <c r="C104" s="204">
        <f t="shared" si="15"/>
        <v>3.1373285741123427</v>
      </c>
      <c r="E104" s="824">
        <v>20</v>
      </c>
      <c r="F104" s="73">
        <f t="shared" si="10"/>
        <v>1.4970059880239521</v>
      </c>
      <c r="G104" s="824"/>
      <c r="H104" s="824">
        <v>130</v>
      </c>
      <c r="I104" s="73">
        <f t="shared" si="11"/>
        <v>9.7305389221556897</v>
      </c>
      <c r="J104" s="824"/>
      <c r="K104" s="824">
        <v>403</v>
      </c>
      <c r="L104" s="73">
        <f t="shared" si="12"/>
        <v>30.164670658682635</v>
      </c>
      <c r="M104" s="824"/>
      <c r="N104" s="824">
        <v>718</v>
      </c>
      <c r="O104" s="73">
        <f t="shared" si="13"/>
        <v>53.742514970059887</v>
      </c>
      <c r="P104" s="824"/>
      <c r="Q104" s="824">
        <v>65</v>
      </c>
      <c r="R104" s="105">
        <f t="shared" si="14"/>
        <v>4.8652694610778449</v>
      </c>
    </row>
    <row r="105" spans="1:19" ht="9" customHeight="1">
      <c r="B105" s="58">
        <f t="shared" si="17"/>
        <v>0</v>
      </c>
      <c r="C105" s="204" t="str">
        <f t="shared" si="15"/>
        <v/>
      </c>
      <c r="E105" s="824"/>
      <c r="F105" s="73" t="str">
        <f t="shared" si="10"/>
        <v/>
      </c>
      <c r="G105" s="824"/>
      <c r="H105" s="824"/>
      <c r="I105" s="73" t="str">
        <f t="shared" si="11"/>
        <v/>
      </c>
      <c r="J105" s="824"/>
      <c r="K105" s="824"/>
      <c r="L105" s="73" t="str">
        <f t="shared" si="12"/>
        <v/>
      </c>
      <c r="M105" s="824"/>
      <c r="N105" s="824"/>
      <c r="O105" s="73" t="str">
        <f t="shared" si="13"/>
        <v/>
      </c>
      <c r="P105" s="824"/>
      <c r="Q105" s="824"/>
      <c r="R105" s="105" t="str">
        <f t="shared" si="14"/>
        <v/>
      </c>
    </row>
    <row r="106" spans="1:19" ht="14" customHeight="1">
      <c r="A106" s="95" t="s">
        <v>993</v>
      </c>
      <c r="B106" s="58">
        <f t="shared" si="17"/>
        <v>164</v>
      </c>
      <c r="C106" s="204">
        <f t="shared" si="15"/>
        <v>0.38512117227127562</v>
      </c>
      <c r="E106" s="601">
        <v>0</v>
      </c>
      <c r="F106" s="73">
        <f t="shared" si="10"/>
        <v>0</v>
      </c>
      <c r="G106" s="601"/>
      <c r="H106" s="601">
        <v>103</v>
      </c>
      <c r="I106" s="73">
        <f t="shared" si="11"/>
        <v>62.804878048780488</v>
      </c>
      <c r="J106" s="601"/>
      <c r="K106" s="601">
        <v>59</v>
      </c>
      <c r="L106" s="73">
        <f t="shared" si="12"/>
        <v>35.975609756097562</v>
      </c>
      <c r="M106" s="601"/>
      <c r="N106" s="601">
        <v>2</v>
      </c>
      <c r="O106" s="73">
        <f t="shared" si="13"/>
        <v>1.2195121951219512</v>
      </c>
      <c r="P106" s="601"/>
      <c r="Q106" s="601">
        <v>0</v>
      </c>
      <c r="R106" s="105">
        <f t="shared" si="14"/>
        <v>0</v>
      </c>
    </row>
    <row r="107" spans="1:19" ht="9" customHeight="1" thickBot="1">
      <c r="A107" s="102"/>
      <c r="B107" s="197"/>
      <c r="C107" s="226"/>
      <c r="D107" s="199"/>
      <c r="E107" s="197"/>
      <c r="F107" s="198"/>
      <c r="G107" s="199"/>
      <c r="H107" s="200"/>
      <c r="I107" s="198"/>
      <c r="J107" s="199"/>
      <c r="K107" s="200"/>
      <c r="L107" s="198"/>
      <c r="M107" s="199"/>
      <c r="N107" s="200"/>
      <c r="O107" s="198"/>
      <c r="P107" s="199"/>
      <c r="Q107" s="200"/>
      <c r="R107" s="96"/>
    </row>
    <row r="108" spans="1:19" ht="10.5" customHeight="1">
      <c r="S108" s="99"/>
    </row>
    <row r="109" spans="1:19" ht="15">
      <c r="A109" s="203" t="s">
        <v>701</v>
      </c>
    </row>
    <row r="110" spans="1:19" ht="15">
      <c r="A110" s="203" t="s">
        <v>994</v>
      </c>
    </row>
    <row r="111" spans="1:19" ht="12" customHeight="1"/>
    <row r="112" spans="1:19">
      <c r="A112" s="14" t="s">
        <v>1928</v>
      </c>
      <c r="C112" s="58"/>
    </row>
    <row r="113" spans="1:1">
      <c r="A113" s="111" t="s">
        <v>432</v>
      </c>
    </row>
  </sheetData>
  <mergeCells count="9">
    <mergeCell ref="Q8:R8"/>
    <mergeCell ref="H7:I7"/>
    <mergeCell ref="K7:L7"/>
    <mergeCell ref="N7:O7"/>
    <mergeCell ref="B8:C8"/>
    <mergeCell ref="E8:F8"/>
    <mergeCell ref="H8:I8"/>
    <mergeCell ref="K8:L8"/>
    <mergeCell ref="N8:O8"/>
  </mergeCells>
  <conditionalFormatting sqref="A1:XFD96 A98:XFD1048576 B97:XFD97">
    <cfRule type="cellIs" dxfId="65" priority="1" operator="equal">
      <formula>0</formula>
    </cfRule>
  </conditionalFormatting>
  <printOptions horizontalCentered="1" verticalCentered="1"/>
  <pageMargins left="0" right="0" top="0" bottom="0" header="0.31496062992125984" footer="0.31496062992125984"/>
  <pageSetup scale="65" orientation="landscape" horizontalDpi="4294967293" vertic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110"/>
  <sheetViews>
    <sheetView workbookViewId="0">
      <selection activeCell="A2" sqref="A2"/>
    </sheetView>
  </sheetViews>
  <sheetFormatPr baseColWidth="10" defaultColWidth="8.83203125" defaultRowHeight="13"/>
  <cols>
    <col min="1" max="1" width="35.6640625" style="95" customWidth="1"/>
    <col min="2" max="2" width="8.33203125" style="155" customWidth="1"/>
    <col min="3" max="3" width="2.5" style="140" customWidth="1"/>
    <col min="4" max="4" width="8.33203125" style="105" customWidth="1"/>
    <col min="5" max="5" width="2.6640625" style="95" customWidth="1"/>
    <col min="6" max="6" width="8.5" style="72" customWidth="1"/>
    <col min="7" max="7" width="8.33203125" style="73" customWidth="1"/>
    <col min="8" max="8" width="2.6640625" style="33" customWidth="1"/>
    <col min="9" max="9" width="8.33203125" style="72" customWidth="1"/>
    <col min="10" max="10" width="8.5" style="73" customWidth="1"/>
    <col min="11" max="11" width="2.6640625" style="33" customWidth="1"/>
    <col min="12" max="12" width="8.33203125" style="72" customWidth="1"/>
    <col min="13" max="13" width="8.33203125" style="73" customWidth="1"/>
    <col min="14" max="14" width="2.6640625" style="33" customWidth="1"/>
    <col min="15" max="15" width="8.33203125" style="72" customWidth="1"/>
    <col min="16" max="16" width="8.33203125" style="73" customWidth="1"/>
    <col min="17" max="17" width="2.6640625" style="33" customWidth="1"/>
    <col min="18" max="18" width="7.6640625" style="72" customWidth="1"/>
    <col min="19" max="19" width="8.33203125" style="105" customWidth="1"/>
    <col min="20" max="20" width="2.6640625" style="95" customWidth="1"/>
    <col min="21" max="21" width="3.5" style="95" customWidth="1"/>
    <col min="22" max="256" width="8.83203125" style="95"/>
    <col min="257" max="257" width="35.6640625" style="95" customWidth="1"/>
    <col min="258" max="258" width="8.33203125" style="95" customWidth="1"/>
    <col min="259" max="259" width="2.5" style="95" customWidth="1"/>
    <col min="260" max="260" width="8.33203125" style="95" customWidth="1"/>
    <col min="261" max="261" width="2.6640625" style="95" customWidth="1"/>
    <col min="262" max="262" width="8.5" style="95" customWidth="1"/>
    <col min="263" max="263" width="8.33203125" style="95" customWidth="1"/>
    <col min="264" max="264" width="2.6640625" style="95" customWidth="1"/>
    <col min="265" max="265" width="8.33203125" style="95" customWidth="1"/>
    <col min="266" max="266" width="8.5" style="95" customWidth="1"/>
    <col min="267" max="267" width="2.6640625" style="95" customWidth="1"/>
    <col min="268" max="269" width="8.33203125" style="95" customWidth="1"/>
    <col min="270" max="270" width="2.6640625" style="95" customWidth="1"/>
    <col min="271" max="272" width="8.33203125" style="95" customWidth="1"/>
    <col min="273" max="273" width="2.6640625" style="95" customWidth="1"/>
    <col min="274" max="274" width="7.6640625" style="95" customWidth="1"/>
    <col min="275" max="275" width="8.33203125" style="95" customWidth="1"/>
    <col min="276" max="276" width="2.6640625" style="95" customWidth="1"/>
    <col min="277" max="277" width="3.5" style="95" customWidth="1"/>
    <col min="278" max="512" width="8.83203125" style="95"/>
    <col min="513" max="513" width="35.6640625" style="95" customWidth="1"/>
    <col min="514" max="514" width="8.33203125" style="95" customWidth="1"/>
    <col min="515" max="515" width="2.5" style="95" customWidth="1"/>
    <col min="516" max="516" width="8.33203125" style="95" customWidth="1"/>
    <col min="517" max="517" width="2.6640625" style="95" customWidth="1"/>
    <col min="518" max="518" width="8.5" style="95" customWidth="1"/>
    <col min="519" max="519" width="8.33203125" style="95" customWidth="1"/>
    <col min="520" max="520" width="2.6640625" style="95" customWidth="1"/>
    <col min="521" max="521" width="8.33203125" style="95" customWidth="1"/>
    <col min="522" max="522" width="8.5" style="95" customWidth="1"/>
    <col min="523" max="523" width="2.6640625" style="95" customWidth="1"/>
    <col min="524" max="525" width="8.33203125" style="95" customWidth="1"/>
    <col min="526" max="526" width="2.6640625" style="95" customWidth="1"/>
    <col min="527" max="528" width="8.33203125" style="95" customWidth="1"/>
    <col min="529" max="529" width="2.6640625" style="95" customWidth="1"/>
    <col min="530" max="530" width="7.6640625" style="95" customWidth="1"/>
    <col min="531" max="531" width="8.33203125" style="95" customWidth="1"/>
    <col min="532" max="532" width="2.6640625" style="95" customWidth="1"/>
    <col min="533" max="533" width="3.5" style="95" customWidth="1"/>
    <col min="534" max="768" width="8.83203125" style="95"/>
    <col min="769" max="769" width="35.6640625" style="95" customWidth="1"/>
    <col min="770" max="770" width="8.33203125" style="95" customWidth="1"/>
    <col min="771" max="771" width="2.5" style="95" customWidth="1"/>
    <col min="772" max="772" width="8.33203125" style="95" customWidth="1"/>
    <col min="773" max="773" width="2.6640625" style="95" customWidth="1"/>
    <col min="774" max="774" width="8.5" style="95" customWidth="1"/>
    <col min="775" max="775" width="8.33203125" style="95" customWidth="1"/>
    <col min="776" max="776" width="2.6640625" style="95" customWidth="1"/>
    <col min="777" max="777" width="8.33203125" style="95" customWidth="1"/>
    <col min="778" max="778" width="8.5" style="95" customWidth="1"/>
    <col min="779" max="779" width="2.6640625" style="95" customWidth="1"/>
    <col min="780" max="781" width="8.33203125" style="95" customWidth="1"/>
    <col min="782" max="782" width="2.6640625" style="95" customWidth="1"/>
    <col min="783" max="784" width="8.33203125" style="95" customWidth="1"/>
    <col min="785" max="785" width="2.6640625" style="95" customWidth="1"/>
    <col min="786" max="786" width="7.6640625" style="95" customWidth="1"/>
    <col min="787" max="787" width="8.33203125" style="95" customWidth="1"/>
    <col min="788" max="788" width="2.6640625" style="95" customWidth="1"/>
    <col min="789" max="789" width="3.5" style="95" customWidth="1"/>
    <col min="790" max="1024" width="8.83203125" style="95"/>
    <col min="1025" max="1025" width="35.6640625" style="95" customWidth="1"/>
    <col min="1026" max="1026" width="8.33203125" style="95" customWidth="1"/>
    <col min="1027" max="1027" width="2.5" style="95" customWidth="1"/>
    <col min="1028" max="1028" width="8.33203125" style="95" customWidth="1"/>
    <col min="1029" max="1029" width="2.6640625" style="95" customWidth="1"/>
    <col min="1030" max="1030" width="8.5" style="95" customWidth="1"/>
    <col min="1031" max="1031" width="8.33203125" style="95" customWidth="1"/>
    <col min="1032" max="1032" width="2.6640625" style="95" customWidth="1"/>
    <col min="1033" max="1033" width="8.33203125" style="95" customWidth="1"/>
    <col min="1034" max="1034" width="8.5" style="95" customWidth="1"/>
    <col min="1035" max="1035" width="2.6640625" style="95" customWidth="1"/>
    <col min="1036" max="1037" width="8.33203125" style="95" customWidth="1"/>
    <col min="1038" max="1038" width="2.6640625" style="95" customWidth="1"/>
    <col min="1039" max="1040" width="8.33203125" style="95" customWidth="1"/>
    <col min="1041" max="1041" width="2.6640625" style="95" customWidth="1"/>
    <col min="1042" max="1042" width="7.6640625" style="95" customWidth="1"/>
    <col min="1043" max="1043" width="8.33203125" style="95" customWidth="1"/>
    <col min="1044" max="1044" width="2.6640625" style="95" customWidth="1"/>
    <col min="1045" max="1045" width="3.5" style="95" customWidth="1"/>
    <col min="1046" max="1280" width="8.83203125" style="95"/>
    <col min="1281" max="1281" width="35.6640625" style="95" customWidth="1"/>
    <col min="1282" max="1282" width="8.33203125" style="95" customWidth="1"/>
    <col min="1283" max="1283" width="2.5" style="95" customWidth="1"/>
    <col min="1284" max="1284" width="8.33203125" style="95" customWidth="1"/>
    <col min="1285" max="1285" width="2.6640625" style="95" customWidth="1"/>
    <col min="1286" max="1286" width="8.5" style="95" customWidth="1"/>
    <col min="1287" max="1287" width="8.33203125" style="95" customWidth="1"/>
    <col min="1288" max="1288" width="2.6640625" style="95" customWidth="1"/>
    <col min="1289" max="1289" width="8.33203125" style="95" customWidth="1"/>
    <col min="1290" max="1290" width="8.5" style="95" customWidth="1"/>
    <col min="1291" max="1291" width="2.6640625" style="95" customWidth="1"/>
    <col min="1292" max="1293" width="8.33203125" style="95" customWidth="1"/>
    <col min="1294" max="1294" width="2.6640625" style="95" customWidth="1"/>
    <col min="1295" max="1296" width="8.33203125" style="95" customWidth="1"/>
    <col min="1297" max="1297" width="2.6640625" style="95" customWidth="1"/>
    <col min="1298" max="1298" width="7.6640625" style="95" customWidth="1"/>
    <col min="1299" max="1299" width="8.33203125" style="95" customWidth="1"/>
    <col min="1300" max="1300" width="2.6640625" style="95" customWidth="1"/>
    <col min="1301" max="1301" width="3.5" style="95" customWidth="1"/>
    <col min="1302" max="1536" width="8.83203125" style="95"/>
    <col min="1537" max="1537" width="35.6640625" style="95" customWidth="1"/>
    <col min="1538" max="1538" width="8.33203125" style="95" customWidth="1"/>
    <col min="1539" max="1539" width="2.5" style="95" customWidth="1"/>
    <col min="1540" max="1540" width="8.33203125" style="95" customWidth="1"/>
    <col min="1541" max="1541" width="2.6640625" style="95" customWidth="1"/>
    <col min="1542" max="1542" width="8.5" style="95" customWidth="1"/>
    <col min="1543" max="1543" width="8.33203125" style="95" customWidth="1"/>
    <col min="1544" max="1544" width="2.6640625" style="95" customWidth="1"/>
    <col min="1545" max="1545" width="8.33203125" style="95" customWidth="1"/>
    <col min="1546" max="1546" width="8.5" style="95" customWidth="1"/>
    <col min="1547" max="1547" width="2.6640625" style="95" customWidth="1"/>
    <col min="1548" max="1549" width="8.33203125" style="95" customWidth="1"/>
    <col min="1550" max="1550" width="2.6640625" style="95" customWidth="1"/>
    <col min="1551" max="1552" width="8.33203125" style="95" customWidth="1"/>
    <col min="1553" max="1553" width="2.6640625" style="95" customWidth="1"/>
    <col min="1554" max="1554" width="7.6640625" style="95" customWidth="1"/>
    <col min="1555" max="1555" width="8.33203125" style="95" customWidth="1"/>
    <col min="1556" max="1556" width="2.6640625" style="95" customWidth="1"/>
    <col min="1557" max="1557" width="3.5" style="95" customWidth="1"/>
    <col min="1558" max="1792" width="8.83203125" style="95"/>
    <col min="1793" max="1793" width="35.6640625" style="95" customWidth="1"/>
    <col min="1794" max="1794" width="8.33203125" style="95" customWidth="1"/>
    <col min="1795" max="1795" width="2.5" style="95" customWidth="1"/>
    <col min="1796" max="1796" width="8.33203125" style="95" customWidth="1"/>
    <col min="1797" max="1797" width="2.6640625" style="95" customWidth="1"/>
    <col min="1798" max="1798" width="8.5" style="95" customWidth="1"/>
    <col min="1799" max="1799" width="8.33203125" style="95" customWidth="1"/>
    <col min="1800" max="1800" width="2.6640625" style="95" customWidth="1"/>
    <col min="1801" max="1801" width="8.33203125" style="95" customWidth="1"/>
    <col min="1802" max="1802" width="8.5" style="95" customWidth="1"/>
    <col min="1803" max="1803" width="2.6640625" style="95" customWidth="1"/>
    <col min="1804" max="1805" width="8.33203125" style="95" customWidth="1"/>
    <col min="1806" max="1806" width="2.6640625" style="95" customWidth="1"/>
    <col min="1807" max="1808" width="8.33203125" style="95" customWidth="1"/>
    <col min="1809" max="1809" width="2.6640625" style="95" customWidth="1"/>
    <col min="1810" max="1810" width="7.6640625" style="95" customWidth="1"/>
    <col min="1811" max="1811" width="8.33203125" style="95" customWidth="1"/>
    <col min="1812" max="1812" width="2.6640625" style="95" customWidth="1"/>
    <col min="1813" max="1813" width="3.5" style="95" customWidth="1"/>
    <col min="1814" max="2048" width="8.83203125" style="95"/>
    <col min="2049" max="2049" width="35.6640625" style="95" customWidth="1"/>
    <col min="2050" max="2050" width="8.33203125" style="95" customWidth="1"/>
    <col min="2051" max="2051" width="2.5" style="95" customWidth="1"/>
    <col min="2052" max="2052" width="8.33203125" style="95" customWidth="1"/>
    <col min="2053" max="2053" width="2.6640625" style="95" customWidth="1"/>
    <col min="2054" max="2054" width="8.5" style="95" customWidth="1"/>
    <col min="2055" max="2055" width="8.33203125" style="95" customWidth="1"/>
    <col min="2056" max="2056" width="2.6640625" style="95" customWidth="1"/>
    <col min="2057" max="2057" width="8.33203125" style="95" customWidth="1"/>
    <col min="2058" max="2058" width="8.5" style="95" customWidth="1"/>
    <col min="2059" max="2059" width="2.6640625" style="95" customWidth="1"/>
    <col min="2060" max="2061" width="8.33203125" style="95" customWidth="1"/>
    <col min="2062" max="2062" width="2.6640625" style="95" customWidth="1"/>
    <col min="2063" max="2064" width="8.33203125" style="95" customWidth="1"/>
    <col min="2065" max="2065" width="2.6640625" style="95" customWidth="1"/>
    <col min="2066" max="2066" width="7.6640625" style="95" customWidth="1"/>
    <col min="2067" max="2067" width="8.33203125" style="95" customWidth="1"/>
    <col min="2068" max="2068" width="2.6640625" style="95" customWidth="1"/>
    <col min="2069" max="2069" width="3.5" style="95" customWidth="1"/>
    <col min="2070" max="2304" width="8.83203125" style="95"/>
    <col min="2305" max="2305" width="35.6640625" style="95" customWidth="1"/>
    <col min="2306" max="2306" width="8.33203125" style="95" customWidth="1"/>
    <col min="2307" max="2307" width="2.5" style="95" customWidth="1"/>
    <col min="2308" max="2308" width="8.33203125" style="95" customWidth="1"/>
    <col min="2309" max="2309" width="2.6640625" style="95" customWidth="1"/>
    <col min="2310" max="2310" width="8.5" style="95" customWidth="1"/>
    <col min="2311" max="2311" width="8.33203125" style="95" customWidth="1"/>
    <col min="2312" max="2312" width="2.6640625" style="95" customWidth="1"/>
    <col min="2313" max="2313" width="8.33203125" style="95" customWidth="1"/>
    <col min="2314" max="2314" width="8.5" style="95" customWidth="1"/>
    <col min="2315" max="2315" width="2.6640625" style="95" customWidth="1"/>
    <col min="2316" max="2317" width="8.33203125" style="95" customWidth="1"/>
    <col min="2318" max="2318" width="2.6640625" style="95" customWidth="1"/>
    <col min="2319" max="2320" width="8.33203125" style="95" customWidth="1"/>
    <col min="2321" max="2321" width="2.6640625" style="95" customWidth="1"/>
    <col min="2322" max="2322" width="7.6640625" style="95" customWidth="1"/>
    <col min="2323" max="2323" width="8.33203125" style="95" customWidth="1"/>
    <col min="2324" max="2324" width="2.6640625" style="95" customWidth="1"/>
    <col min="2325" max="2325" width="3.5" style="95" customWidth="1"/>
    <col min="2326" max="2560" width="8.83203125" style="95"/>
    <col min="2561" max="2561" width="35.6640625" style="95" customWidth="1"/>
    <col min="2562" max="2562" width="8.33203125" style="95" customWidth="1"/>
    <col min="2563" max="2563" width="2.5" style="95" customWidth="1"/>
    <col min="2564" max="2564" width="8.33203125" style="95" customWidth="1"/>
    <col min="2565" max="2565" width="2.6640625" style="95" customWidth="1"/>
    <col min="2566" max="2566" width="8.5" style="95" customWidth="1"/>
    <col min="2567" max="2567" width="8.33203125" style="95" customWidth="1"/>
    <col min="2568" max="2568" width="2.6640625" style="95" customWidth="1"/>
    <col min="2569" max="2569" width="8.33203125" style="95" customWidth="1"/>
    <col min="2570" max="2570" width="8.5" style="95" customWidth="1"/>
    <col min="2571" max="2571" width="2.6640625" style="95" customWidth="1"/>
    <col min="2572" max="2573" width="8.33203125" style="95" customWidth="1"/>
    <col min="2574" max="2574" width="2.6640625" style="95" customWidth="1"/>
    <col min="2575" max="2576" width="8.33203125" style="95" customWidth="1"/>
    <col min="2577" max="2577" width="2.6640625" style="95" customWidth="1"/>
    <col min="2578" max="2578" width="7.6640625" style="95" customWidth="1"/>
    <col min="2579" max="2579" width="8.33203125" style="95" customWidth="1"/>
    <col min="2580" max="2580" width="2.6640625" style="95" customWidth="1"/>
    <col min="2581" max="2581" width="3.5" style="95" customWidth="1"/>
    <col min="2582" max="2816" width="8.83203125" style="95"/>
    <col min="2817" max="2817" width="35.6640625" style="95" customWidth="1"/>
    <col min="2818" max="2818" width="8.33203125" style="95" customWidth="1"/>
    <col min="2819" max="2819" width="2.5" style="95" customWidth="1"/>
    <col min="2820" max="2820" width="8.33203125" style="95" customWidth="1"/>
    <col min="2821" max="2821" width="2.6640625" style="95" customWidth="1"/>
    <col min="2822" max="2822" width="8.5" style="95" customWidth="1"/>
    <col min="2823" max="2823" width="8.33203125" style="95" customWidth="1"/>
    <col min="2824" max="2824" width="2.6640625" style="95" customWidth="1"/>
    <col min="2825" max="2825" width="8.33203125" style="95" customWidth="1"/>
    <col min="2826" max="2826" width="8.5" style="95" customWidth="1"/>
    <col min="2827" max="2827" width="2.6640625" style="95" customWidth="1"/>
    <col min="2828" max="2829" width="8.33203125" style="95" customWidth="1"/>
    <col min="2830" max="2830" width="2.6640625" style="95" customWidth="1"/>
    <col min="2831" max="2832" width="8.33203125" style="95" customWidth="1"/>
    <col min="2833" max="2833" width="2.6640625" style="95" customWidth="1"/>
    <col min="2834" max="2834" width="7.6640625" style="95" customWidth="1"/>
    <col min="2835" max="2835" width="8.33203125" style="95" customWidth="1"/>
    <col min="2836" max="2836" width="2.6640625" style="95" customWidth="1"/>
    <col min="2837" max="2837" width="3.5" style="95" customWidth="1"/>
    <col min="2838" max="3072" width="8.83203125" style="95"/>
    <col min="3073" max="3073" width="35.6640625" style="95" customWidth="1"/>
    <col min="3074" max="3074" width="8.33203125" style="95" customWidth="1"/>
    <col min="3075" max="3075" width="2.5" style="95" customWidth="1"/>
    <col min="3076" max="3076" width="8.33203125" style="95" customWidth="1"/>
    <col min="3077" max="3077" width="2.6640625" style="95" customWidth="1"/>
    <col min="3078" max="3078" width="8.5" style="95" customWidth="1"/>
    <col min="3079" max="3079" width="8.33203125" style="95" customWidth="1"/>
    <col min="3080" max="3080" width="2.6640625" style="95" customWidth="1"/>
    <col min="3081" max="3081" width="8.33203125" style="95" customWidth="1"/>
    <col min="3082" max="3082" width="8.5" style="95" customWidth="1"/>
    <col min="3083" max="3083" width="2.6640625" style="95" customWidth="1"/>
    <col min="3084" max="3085" width="8.33203125" style="95" customWidth="1"/>
    <col min="3086" max="3086" width="2.6640625" style="95" customWidth="1"/>
    <col min="3087" max="3088" width="8.33203125" style="95" customWidth="1"/>
    <col min="3089" max="3089" width="2.6640625" style="95" customWidth="1"/>
    <col min="3090" max="3090" width="7.6640625" style="95" customWidth="1"/>
    <col min="3091" max="3091" width="8.33203125" style="95" customWidth="1"/>
    <col min="3092" max="3092" width="2.6640625" style="95" customWidth="1"/>
    <col min="3093" max="3093" width="3.5" style="95" customWidth="1"/>
    <col min="3094" max="3328" width="8.83203125" style="95"/>
    <col min="3329" max="3329" width="35.6640625" style="95" customWidth="1"/>
    <col min="3330" max="3330" width="8.33203125" style="95" customWidth="1"/>
    <col min="3331" max="3331" width="2.5" style="95" customWidth="1"/>
    <col min="3332" max="3332" width="8.33203125" style="95" customWidth="1"/>
    <col min="3333" max="3333" width="2.6640625" style="95" customWidth="1"/>
    <col min="3334" max="3334" width="8.5" style="95" customWidth="1"/>
    <col min="3335" max="3335" width="8.33203125" style="95" customWidth="1"/>
    <col min="3336" max="3336" width="2.6640625" style="95" customWidth="1"/>
    <col min="3337" max="3337" width="8.33203125" style="95" customWidth="1"/>
    <col min="3338" max="3338" width="8.5" style="95" customWidth="1"/>
    <col min="3339" max="3339" width="2.6640625" style="95" customWidth="1"/>
    <col min="3340" max="3341" width="8.33203125" style="95" customWidth="1"/>
    <col min="3342" max="3342" width="2.6640625" style="95" customWidth="1"/>
    <col min="3343" max="3344" width="8.33203125" style="95" customWidth="1"/>
    <col min="3345" max="3345" width="2.6640625" style="95" customWidth="1"/>
    <col min="3346" max="3346" width="7.6640625" style="95" customWidth="1"/>
    <col min="3347" max="3347" width="8.33203125" style="95" customWidth="1"/>
    <col min="3348" max="3348" width="2.6640625" style="95" customWidth="1"/>
    <col min="3349" max="3349" width="3.5" style="95" customWidth="1"/>
    <col min="3350" max="3584" width="8.83203125" style="95"/>
    <col min="3585" max="3585" width="35.6640625" style="95" customWidth="1"/>
    <col min="3586" max="3586" width="8.33203125" style="95" customWidth="1"/>
    <col min="3587" max="3587" width="2.5" style="95" customWidth="1"/>
    <col min="3588" max="3588" width="8.33203125" style="95" customWidth="1"/>
    <col min="3589" max="3589" width="2.6640625" style="95" customWidth="1"/>
    <col min="3590" max="3590" width="8.5" style="95" customWidth="1"/>
    <col min="3591" max="3591" width="8.33203125" style="95" customWidth="1"/>
    <col min="3592" max="3592" width="2.6640625" style="95" customWidth="1"/>
    <col min="3593" max="3593" width="8.33203125" style="95" customWidth="1"/>
    <col min="3594" max="3594" width="8.5" style="95" customWidth="1"/>
    <col min="3595" max="3595" width="2.6640625" style="95" customWidth="1"/>
    <col min="3596" max="3597" width="8.33203125" style="95" customWidth="1"/>
    <col min="3598" max="3598" width="2.6640625" style="95" customWidth="1"/>
    <col min="3599" max="3600" width="8.33203125" style="95" customWidth="1"/>
    <col min="3601" max="3601" width="2.6640625" style="95" customWidth="1"/>
    <col min="3602" max="3602" width="7.6640625" style="95" customWidth="1"/>
    <col min="3603" max="3603" width="8.33203125" style="95" customWidth="1"/>
    <col min="3604" max="3604" width="2.6640625" style="95" customWidth="1"/>
    <col min="3605" max="3605" width="3.5" style="95" customWidth="1"/>
    <col min="3606" max="3840" width="8.83203125" style="95"/>
    <col min="3841" max="3841" width="35.6640625" style="95" customWidth="1"/>
    <col min="3842" max="3842" width="8.33203125" style="95" customWidth="1"/>
    <col min="3843" max="3843" width="2.5" style="95" customWidth="1"/>
    <col min="3844" max="3844" width="8.33203125" style="95" customWidth="1"/>
    <col min="3845" max="3845" width="2.6640625" style="95" customWidth="1"/>
    <col min="3846" max="3846" width="8.5" style="95" customWidth="1"/>
    <col min="3847" max="3847" width="8.33203125" style="95" customWidth="1"/>
    <col min="3848" max="3848" width="2.6640625" style="95" customWidth="1"/>
    <col min="3849" max="3849" width="8.33203125" style="95" customWidth="1"/>
    <col min="3850" max="3850" width="8.5" style="95" customWidth="1"/>
    <col min="3851" max="3851" width="2.6640625" style="95" customWidth="1"/>
    <col min="3852" max="3853" width="8.33203125" style="95" customWidth="1"/>
    <col min="3854" max="3854" width="2.6640625" style="95" customWidth="1"/>
    <col min="3855" max="3856" width="8.33203125" style="95" customWidth="1"/>
    <col min="3857" max="3857" width="2.6640625" style="95" customWidth="1"/>
    <col min="3858" max="3858" width="7.6640625" style="95" customWidth="1"/>
    <col min="3859" max="3859" width="8.33203125" style="95" customWidth="1"/>
    <col min="3860" max="3860" width="2.6640625" style="95" customWidth="1"/>
    <col min="3861" max="3861" width="3.5" style="95" customWidth="1"/>
    <col min="3862" max="4096" width="8.83203125" style="95"/>
    <col min="4097" max="4097" width="35.6640625" style="95" customWidth="1"/>
    <col min="4098" max="4098" width="8.33203125" style="95" customWidth="1"/>
    <col min="4099" max="4099" width="2.5" style="95" customWidth="1"/>
    <col min="4100" max="4100" width="8.33203125" style="95" customWidth="1"/>
    <col min="4101" max="4101" width="2.6640625" style="95" customWidth="1"/>
    <col min="4102" max="4102" width="8.5" style="95" customWidth="1"/>
    <col min="4103" max="4103" width="8.33203125" style="95" customWidth="1"/>
    <col min="4104" max="4104" width="2.6640625" style="95" customWidth="1"/>
    <col min="4105" max="4105" width="8.33203125" style="95" customWidth="1"/>
    <col min="4106" max="4106" width="8.5" style="95" customWidth="1"/>
    <col min="4107" max="4107" width="2.6640625" style="95" customWidth="1"/>
    <col min="4108" max="4109" width="8.33203125" style="95" customWidth="1"/>
    <col min="4110" max="4110" width="2.6640625" style="95" customWidth="1"/>
    <col min="4111" max="4112" width="8.33203125" style="95" customWidth="1"/>
    <col min="4113" max="4113" width="2.6640625" style="95" customWidth="1"/>
    <col min="4114" max="4114" width="7.6640625" style="95" customWidth="1"/>
    <col min="4115" max="4115" width="8.33203125" style="95" customWidth="1"/>
    <col min="4116" max="4116" width="2.6640625" style="95" customWidth="1"/>
    <col min="4117" max="4117" width="3.5" style="95" customWidth="1"/>
    <col min="4118" max="4352" width="8.83203125" style="95"/>
    <col min="4353" max="4353" width="35.6640625" style="95" customWidth="1"/>
    <col min="4354" max="4354" width="8.33203125" style="95" customWidth="1"/>
    <col min="4355" max="4355" width="2.5" style="95" customWidth="1"/>
    <col min="4356" max="4356" width="8.33203125" style="95" customWidth="1"/>
    <col min="4357" max="4357" width="2.6640625" style="95" customWidth="1"/>
    <col min="4358" max="4358" width="8.5" style="95" customWidth="1"/>
    <col min="4359" max="4359" width="8.33203125" style="95" customWidth="1"/>
    <col min="4360" max="4360" width="2.6640625" style="95" customWidth="1"/>
    <col min="4361" max="4361" width="8.33203125" style="95" customWidth="1"/>
    <col min="4362" max="4362" width="8.5" style="95" customWidth="1"/>
    <col min="4363" max="4363" width="2.6640625" style="95" customWidth="1"/>
    <col min="4364" max="4365" width="8.33203125" style="95" customWidth="1"/>
    <col min="4366" max="4366" width="2.6640625" style="95" customWidth="1"/>
    <col min="4367" max="4368" width="8.33203125" style="95" customWidth="1"/>
    <col min="4369" max="4369" width="2.6640625" style="95" customWidth="1"/>
    <col min="4370" max="4370" width="7.6640625" style="95" customWidth="1"/>
    <col min="4371" max="4371" width="8.33203125" style="95" customWidth="1"/>
    <col min="4372" max="4372" width="2.6640625" style="95" customWidth="1"/>
    <col min="4373" max="4373" width="3.5" style="95" customWidth="1"/>
    <col min="4374" max="4608" width="8.83203125" style="95"/>
    <col min="4609" max="4609" width="35.6640625" style="95" customWidth="1"/>
    <col min="4610" max="4610" width="8.33203125" style="95" customWidth="1"/>
    <col min="4611" max="4611" width="2.5" style="95" customWidth="1"/>
    <col min="4612" max="4612" width="8.33203125" style="95" customWidth="1"/>
    <col min="4613" max="4613" width="2.6640625" style="95" customWidth="1"/>
    <col min="4614" max="4614" width="8.5" style="95" customWidth="1"/>
    <col min="4615" max="4615" width="8.33203125" style="95" customWidth="1"/>
    <col min="4616" max="4616" width="2.6640625" style="95" customWidth="1"/>
    <col min="4617" max="4617" width="8.33203125" style="95" customWidth="1"/>
    <col min="4618" max="4618" width="8.5" style="95" customWidth="1"/>
    <col min="4619" max="4619" width="2.6640625" style="95" customWidth="1"/>
    <col min="4620" max="4621" width="8.33203125" style="95" customWidth="1"/>
    <col min="4622" max="4622" width="2.6640625" style="95" customWidth="1"/>
    <col min="4623" max="4624" width="8.33203125" style="95" customWidth="1"/>
    <col min="4625" max="4625" width="2.6640625" style="95" customWidth="1"/>
    <col min="4626" max="4626" width="7.6640625" style="95" customWidth="1"/>
    <col min="4627" max="4627" width="8.33203125" style="95" customWidth="1"/>
    <col min="4628" max="4628" width="2.6640625" style="95" customWidth="1"/>
    <col min="4629" max="4629" width="3.5" style="95" customWidth="1"/>
    <col min="4630" max="4864" width="8.83203125" style="95"/>
    <col min="4865" max="4865" width="35.6640625" style="95" customWidth="1"/>
    <col min="4866" max="4866" width="8.33203125" style="95" customWidth="1"/>
    <col min="4867" max="4867" width="2.5" style="95" customWidth="1"/>
    <col min="4868" max="4868" width="8.33203125" style="95" customWidth="1"/>
    <col min="4869" max="4869" width="2.6640625" style="95" customWidth="1"/>
    <col min="4870" max="4870" width="8.5" style="95" customWidth="1"/>
    <col min="4871" max="4871" width="8.33203125" style="95" customWidth="1"/>
    <col min="4872" max="4872" width="2.6640625" style="95" customWidth="1"/>
    <col min="4873" max="4873" width="8.33203125" style="95" customWidth="1"/>
    <col min="4874" max="4874" width="8.5" style="95" customWidth="1"/>
    <col min="4875" max="4875" width="2.6640625" style="95" customWidth="1"/>
    <col min="4876" max="4877" width="8.33203125" style="95" customWidth="1"/>
    <col min="4878" max="4878" width="2.6640625" style="95" customWidth="1"/>
    <col min="4879" max="4880" width="8.33203125" style="95" customWidth="1"/>
    <col min="4881" max="4881" width="2.6640625" style="95" customWidth="1"/>
    <col min="4882" max="4882" width="7.6640625" style="95" customWidth="1"/>
    <col min="4883" max="4883" width="8.33203125" style="95" customWidth="1"/>
    <col min="4884" max="4884" width="2.6640625" style="95" customWidth="1"/>
    <col min="4885" max="4885" width="3.5" style="95" customWidth="1"/>
    <col min="4886" max="5120" width="8.83203125" style="95"/>
    <col min="5121" max="5121" width="35.6640625" style="95" customWidth="1"/>
    <col min="5122" max="5122" width="8.33203125" style="95" customWidth="1"/>
    <col min="5123" max="5123" width="2.5" style="95" customWidth="1"/>
    <col min="5124" max="5124" width="8.33203125" style="95" customWidth="1"/>
    <col min="5125" max="5125" width="2.6640625" style="95" customWidth="1"/>
    <col min="5126" max="5126" width="8.5" style="95" customWidth="1"/>
    <col min="5127" max="5127" width="8.33203125" style="95" customWidth="1"/>
    <col min="5128" max="5128" width="2.6640625" style="95" customWidth="1"/>
    <col min="5129" max="5129" width="8.33203125" style="95" customWidth="1"/>
    <col min="5130" max="5130" width="8.5" style="95" customWidth="1"/>
    <col min="5131" max="5131" width="2.6640625" style="95" customWidth="1"/>
    <col min="5132" max="5133" width="8.33203125" style="95" customWidth="1"/>
    <col min="5134" max="5134" width="2.6640625" style="95" customWidth="1"/>
    <col min="5135" max="5136" width="8.33203125" style="95" customWidth="1"/>
    <col min="5137" max="5137" width="2.6640625" style="95" customWidth="1"/>
    <col min="5138" max="5138" width="7.6640625" style="95" customWidth="1"/>
    <col min="5139" max="5139" width="8.33203125" style="95" customWidth="1"/>
    <col min="5140" max="5140" width="2.6640625" style="95" customWidth="1"/>
    <col min="5141" max="5141" width="3.5" style="95" customWidth="1"/>
    <col min="5142" max="5376" width="8.83203125" style="95"/>
    <col min="5377" max="5377" width="35.6640625" style="95" customWidth="1"/>
    <col min="5378" max="5378" width="8.33203125" style="95" customWidth="1"/>
    <col min="5379" max="5379" width="2.5" style="95" customWidth="1"/>
    <col min="5380" max="5380" width="8.33203125" style="95" customWidth="1"/>
    <col min="5381" max="5381" width="2.6640625" style="95" customWidth="1"/>
    <col min="5382" max="5382" width="8.5" style="95" customWidth="1"/>
    <col min="5383" max="5383" width="8.33203125" style="95" customWidth="1"/>
    <col min="5384" max="5384" width="2.6640625" style="95" customWidth="1"/>
    <col min="5385" max="5385" width="8.33203125" style="95" customWidth="1"/>
    <col min="5386" max="5386" width="8.5" style="95" customWidth="1"/>
    <col min="5387" max="5387" width="2.6640625" style="95" customWidth="1"/>
    <col min="5388" max="5389" width="8.33203125" style="95" customWidth="1"/>
    <col min="5390" max="5390" width="2.6640625" style="95" customWidth="1"/>
    <col min="5391" max="5392" width="8.33203125" style="95" customWidth="1"/>
    <col min="5393" max="5393" width="2.6640625" style="95" customWidth="1"/>
    <col min="5394" max="5394" width="7.6640625" style="95" customWidth="1"/>
    <col min="5395" max="5395" width="8.33203125" style="95" customWidth="1"/>
    <col min="5396" max="5396" width="2.6640625" style="95" customWidth="1"/>
    <col min="5397" max="5397" width="3.5" style="95" customWidth="1"/>
    <col min="5398" max="5632" width="8.83203125" style="95"/>
    <col min="5633" max="5633" width="35.6640625" style="95" customWidth="1"/>
    <col min="5634" max="5634" width="8.33203125" style="95" customWidth="1"/>
    <col min="5635" max="5635" width="2.5" style="95" customWidth="1"/>
    <col min="5636" max="5636" width="8.33203125" style="95" customWidth="1"/>
    <col min="5637" max="5637" width="2.6640625" style="95" customWidth="1"/>
    <col min="5638" max="5638" width="8.5" style="95" customWidth="1"/>
    <col min="5639" max="5639" width="8.33203125" style="95" customWidth="1"/>
    <col min="5640" max="5640" width="2.6640625" style="95" customWidth="1"/>
    <col min="5641" max="5641" width="8.33203125" style="95" customWidth="1"/>
    <col min="5642" max="5642" width="8.5" style="95" customWidth="1"/>
    <col min="5643" max="5643" width="2.6640625" style="95" customWidth="1"/>
    <col min="5644" max="5645" width="8.33203125" style="95" customWidth="1"/>
    <col min="5646" max="5646" width="2.6640625" style="95" customWidth="1"/>
    <col min="5647" max="5648" width="8.33203125" style="95" customWidth="1"/>
    <col min="5649" max="5649" width="2.6640625" style="95" customWidth="1"/>
    <col min="5650" max="5650" width="7.6640625" style="95" customWidth="1"/>
    <col min="5651" max="5651" width="8.33203125" style="95" customWidth="1"/>
    <col min="5652" max="5652" width="2.6640625" style="95" customWidth="1"/>
    <col min="5653" max="5653" width="3.5" style="95" customWidth="1"/>
    <col min="5654" max="5888" width="8.83203125" style="95"/>
    <col min="5889" max="5889" width="35.6640625" style="95" customWidth="1"/>
    <col min="5890" max="5890" width="8.33203125" style="95" customWidth="1"/>
    <col min="5891" max="5891" width="2.5" style="95" customWidth="1"/>
    <col min="5892" max="5892" width="8.33203125" style="95" customWidth="1"/>
    <col min="5893" max="5893" width="2.6640625" style="95" customWidth="1"/>
    <col min="5894" max="5894" width="8.5" style="95" customWidth="1"/>
    <col min="5895" max="5895" width="8.33203125" style="95" customWidth="1"/>
    <col min="5896" max="5896" width="2.6640625" style="95" customWidth="1"/>
    <col min="5897" max="5897" width="8.33203125" style="95" customWidth="1"/>
    <col min="5898" max="5898" width="8.5" style="95" customWidth="1"/>
    <col min="5899" max="5899" width="2.6640625" style="95" customWidth="1"/>
    <col min="5900" max="5901" width="8.33203125" style="95" customWidth="1"/>
    <col min="5902" max="5902" width="2.6640625" style="95" customWidth="1"/>
    <col min="5903" max="5904" width="8.33203125" style="95" customWidth="1"/>
    <col min="5905" max="5905" width="2.6640625" style="95" customWidth="1"/>
    <col min="5906" max="5906" width="7.6640625" style="95" customWidth="1"/>
    <col min="5907" max="5907" width="8.33203125" style="95" customWidth="1"/>
    <col min="5908" max="5908" width="2.6640625" style="95" customWidth="1"/>
    <col min="5909" max="5909" width="3.5" style="95" customWidth="1"/>
    <col min="5910" max="6144" width="8.83203125" style="95"/>
    <col min="6145" max="6145" width="35.6640625" style="95" customWidth="1"/>
    <col min="6146" max="6146" width="8.33203125" style="95" customWidth="1"/>
    <col min="6147" max="6147" width="2.5" style="95" customWidth="1"/>
    <col min="6148" max="6148" width="8.33203125" style="95" customWidth="1"/>
    <col min="6149" max="6149" width="2.6640625" style="95" customWidth="1"/>
    <col min="6150" max="6150" width="8.5" style="95" customWidth="1"/>
    <col min="6151" max="6151" width="8.33203125" style="95" customWidth="1"/>
    <col min="6152" max="6152" width="2.6640625" style="95" customWidth="1"/>
    <col min="6153" max="6153" width="8.33203125" style="95" customWidth="1"/>
    <col min="6154" max="6154" width="8.5" style="95" customWidth="1"/>
    <col min="6155" max="6155" width="2.6640625" style="95" customWidth="1"/>
    <col min="6156" max="6157" width="8.33203125" style="95" customWidth="1"/>
    <col min="6158" max="6158" width="2.6640625" style="95" customWidth="1"/>
    <col min="6159" max="6160" width="8.33203125" style="95" customWidth="1"/>
    <col min="6161" max="6161" width="2.6640625" style="95" customWidth="1"/>
    <col min="6162" max="6162" width="7.6640625" style="95" customWidth="1"/>
    <col min="6163" max="6163" width="8.33203125" style="95" customWidth="1"/>
    <col min="6164" max="6164" width="2.6640625" style="95" customWidth="1"/>
    <col min="6165" max="6165" width="3.5" style="95" customWidth="1"/>
    <col min="6166" max="6400" width="8.83203125" style="95"/>
    <col min="6401" max="6401" width="35.6640625" style="95" customWidth="1"/>
    <col min="6402" max="6402" width="8.33203125" style="95" customWidth="1"/>
    <col min="6403" max="6403" width="2.5" style="95" customWidth="1"/>
    <col min="6404" max="6404" width="8.33203125" style="95" customWidth="1"/>
    <col min="6405" max="6405" width="2.6640625" style="95" customWidth="1"/>
    <col min="6406" max="6406" width="8.5" style="95" customWidth="1"/>
    <col min="6407" max="6407" width="8.33203125" style="95" customWidth="1"/>
    <col min="6408" max="6408" width="2.6640625" style="95" customWidth="1"/>
    <col min="6409" max="6409" width="8.33203125" style="95" customWidth="1"/>
    <col min="6410" max="6410" width="8.5" style="95" customWidth="1"/>
    <col min="6411" max="6411" width="2.6640625" style="95" customWidth="1"/>
    <col min="6412" max="6413" width="8.33203125" style="95" customWidth="1"/>
    <col min="6414" max="6414" width="2.6640625" style="95" customWidth="1"/>
    <col min="6415" max="6416" width="8.33203125" style="95" customWidth="1"/>
    <col min="6417" max="6417" width="2.6640625" style="95" customWidth="1"/>
    <col min="6418" max="6418" width="7.6640625" style="95" customWidth="1"/>
    <col min="6419" max="6419" width="8.33203125" style="95" customWidth="1"/>
    <col min="6420" max="6420" width="2.6640625" style="95" customWidth="1"/>
    <col min="6421" max="6421" width="3.5" style="95" customWidth="1"/>
    <col min="6422" max="6656" width="8.83203125" style="95"/>
    <col min="6657" max="6657" width="35.6640625" style="95" customWidth="1"/>
    <col min="6658" max="6658" width="8.33203125" style="95" customWidth="1"/>
    <col min="6659" max="6659" width="2.5" style="95" customWidth="1"/>
    <col min="6660" max="6660" width="8.33203125" style="95" customWidth="1"/>
    <col min="6661" max="6661" width="2.6640625" style="95" customWidth="1"/>
    <col min="6662" max="6662" width="8.5" style="95" customWidth="1"/>
    <col min="6663" max="6663" width="8.33203125" style="95" customWidth="1"/>
    <col min="6664" max="6664" width="2.6640625" style="95" customWidth="1"/>
    <col min="6665" max="6665" width="8.33203125" style="95" customWidth="1"/>
    <col min="6666" max="6666" width="8.5" style="95" customWidth="1"/>
    <col min="6667" max="6667" width="2.6640625" style="95" customWidth="1"/>
    <col min="6668" max="6669" width="8.33203125" style="95" customWidth="1"/>
    <col min="6670" max="6670" width="2.6640625" style="95" customWidth="1"/>
    <col min="6671" max="6672" width="8.33203125" style="95" customWidth="1"/>
    <col min="6673" max="6673" width="2.6640625" style="95" customWidth="1"/>
    <col min="6674" max="6674" width="7.6640625" style="95" customWidth="1"/>
    <col min="6675" max="6675" width="8.33203125" style="95" customWidth="1"/>
    <col min="6676" max="6676" width="2.6640625" style="95" customWidth="1"/>
    <col min="6677" max="6677" width="3.5" style="95" customWidth="1"/>
    <col min="6678" max="6912" width="8.83203125" style="95"/>
    <col min="6913" max="6913" width="35.6640625" style="95" customWidth="1"/>
    <col min="6914" max="6914" width="8.33203125" style="95" customWidth="1"/>
    <col min="6915" max="6915" width="2.5" style="95" customWidth="1"/>
    <col min="6916" max="6916" width="8.33203125" style="95" customWidth="1"/>
    <col min="6917" max="6917" width="2.6640625" style="95" customWidth="1"/>
    <col min="6918" max="6918" width="8.5" style="95" customWidth="1"/>
    <col min="6919" max="6919" width="8.33203125" style="95" customWidth="1"/>
    <col min="6920" max="6920" width="2.6640625" style="95" customWidth="1"/>
    <col min="6921" max="6921" width="8.33203125" style="95" customWidth="1"/>
    <col min="6922" max="6922" width="8.5" style="95" customWidth="1"/>
    <col min="6923" max="6923" width="2.6640625" style="95" customWidth="1"/>
    <col min="6924" max="6925" width="8.33203125" style="95" customWidth="1"/>
    <col min="6926" max="6926" width="2.6640625" style="95" customWidth="1"/>
    <col min="6927" max="6928" width="8.33203125" style="95" customWidth="1"/>
    <col min="6929" max="6929" width="2.6640625" style="95" customWidth="1"/>
    <col min="6930" max="6930" width="7.6640625" style="95" customWidth="1"/>
    <col min="6931" max="6931" width="8.33203125" style="95" customWidth="1"/>
    <col min="6932" max="6932" width="2.6640625" style="95" customWidth="1"/>
    <col min="6933" max="6933" width="3.5" style="95" customWidth="1"/>
    <col min="6934" max="7168" width="8.83203125" style="95"/>
    <col min="7169" max="7169" width="35.6640625" style="95" customWidth="1"/>
    <col min="7170" max="7170" width="8.33203125" style="95" customWidth="1"/>
    <col min="7171" max="7171" width="2.5" style="95" customWidth="1"/>
    <col min="7172" max="7172" width="8.33203125" style="95" customWidth="1"/>
    <col min="7173" max="7173" width="2.6640625" style="95" customWidth="1"/>
    <col min="7174" max="7174" width="8.5" style="95" customWidth="1"/>
    <col min="7175" max="7175" width="8.33203125" style="95" customWidth="1"/>
    <col min="7176" max="7176" width="2.6640625" style="95" customWidth="1"/>
    <col min="7177" max="7177" width="8.33203125" style="95" customWidth="1"/>
    <col min="7178" max="7178" width="8.5" style="95" customWidth="1"/>
    <col min="7179" max="7179" width="2.6640625" style="95" customWidth="1"/>
    <col min="7180" max="7181" width="8.33203125" style="95" customWidth="1"/>
    <col min="7182" max="7182" width="2.6640625" style="95" customWidth="1"/>
    <col min="7183" max="7184" width="8.33203125" style="95" customWidth="1"/>
    <col min="7185" max="7185" width="2.6640625" style="95" customWidth="1"/>
    <col min="7186" max="7186" width="7.6640625" style="95" customWidth="1"/>
    <col min="7187" max="7187" width="8.33203125" style="95" customWidth="1"/>
    <col min="7188" max="7188" width="2.6640625" style="95" customWidth="1"/>
    <col min="7189" max="7189" width="3.5" style="95" customWidth="1"/>
    <col min="7190" max="7424" width="8.83203125" style="95"/>
    <col min="7425" max="7425" width="35.6640625" style="95" customWidth="1"/>
    <col min="7426" max="7426" width="8.33203125" style="95" customWidth="1"/>
    <col min="7427" max="7427" width="2.5" style="95" customWidth="1"/>
    <col min="7428" max="7428" width="8.33203125" style="95" customWidth="1"/>
    <col min="7429" max="7429" width="2.6640625" style="95" customWidth="1"/>
    <col min="7430" max="7430" width="8.5" style="95" customWidth="1"/>
    <col min="7431" max="7431" width="8.33203125" style="95" customWidth="1"/>
    <col min="7432" max="7432" width="2.6640625" style="95" customWidth="1"/>
    <col min="7433" max="7433" width="8.33203125" style="95" customWidth="1"/>
    <col min="7434" max="7434" width="8.5" style="95" customWidth="1"/>
    <col min="7435" max="7435" width="2.6640625" style="95" customWidth="1"/>
    <col min="7436" max="7437" width="8.33203125" style="95" customWidth="1"/>
    <col min="7438" max="7438" width="2.6640625" style="95" customWidth="1"/>
    <col min="7439" max="7440" width="8.33203125" style="95" customWidth="1"/>
    <col min="7441" max="7441" width="2.6640625" style="95" customWidth="1"/>
    <col min="7442" max="7442" width="7.6640625" style="95" customWidth="1"/>
    <col min="7443" max="7443" width="8.33203125" style="95" customWidth="1"/>
    <col min="7444" max="7444" width="2.6640625" style="95" customWidth="1"/>
    <col min="7445" max="7445" width="3.5" style="95" customWidth="1"/>
    <col min="7446" max="7680" width="8.83203125" style="95"/>
    <col min="7681" max="7681" width="35.6640625" style="95" customWidth="1"/>
    <col min="7682" max="7682" width="8.33203125" style="95" customWidth="1"/>
    <col min="7683" max="7683" width="2.5" style="95" customWidth="1"/>
    <col min="7684" max="7684" width="8.33203125" style="95" customWidth="1"/>
    <col min="7685" max="7685" width="2.6640625" style="95" customWidth="1"/>
    <col min="7686" max="7686" width="8.5" style="95" customWidth="1"/>
    <col min="7687" max="7687" width="8.33203125" style="95" customWidth="1"/>
    <col min="7688" max="7688" width="2.6640625" style="95" customWidth="1"/>
    <col min="7689" max="7689" width="8.33203125" style="95" customWidth="1"/>
    <col min="7690" max="7690" width="8.5" style="95" customWidth="1"/>
    <col min="7691" max="7691" width="2.6640625" style="95" customWidth="1"/>
    <col min="7692" max="7693" width="8.33203125" style="95" customWidth="1"/>
    <col min="7694" max="7694" width="2.6640625" style="95" customWidth="1"/>
    <col min="7695" max="7696" width="8.33203125" style="95" customWidth="1"/>
    <col min="7697" max="7697" width="2.6640625" style="95" customWidth="1"/>
    <col min="7698" max="7698" width="7.6640625" style="95" customWidth="1"/>
    <col min="7699" max="7699" width="8.33203125" style="95" customWidth="1"/>
    <col min="7700" max="7700" width="2.6640625" style="95" customWidth="1"/>
    <col min="7701" max="7701" width="3.5" style="95" customWidth="1"/>
    <col min="7702" max="7936" width="8.83203125" style="95"/>
    <col min="7937" max="7937" width="35.6640625" style="95" customWidth="1"/>
    <col min="7938" max="7938" width="8.33203125" style="95" customWidth="1"/>
    <col min="7939" max="7939" width="2.5" style="95" customWidth="1"/>
    <col min="7940" max="7940" width="8.33203125" style="95" customWidth="1"/>
    <col min="7941" max="7941" width="2.6640625" style="95" customWidth="1"/>
    <col min="7942" max="7942" width="8.5" style="95" customWidth="1"/>
    <col min="7943" max="7943" width="8.33203125" style="95" customWidth="1"/>
    <col min="7944" max="7944" width="2.6640625" style="95" customWidth="1"/>
    <col min="7945" max="7945" width="8.33203125" style="95" customWidth="1"/>
    <col min="7946" max="7946" width="8.5" style="95" customWidth="1"/>
    <col min="7947" max="7947" width="2.6640625" style="95" customWidth="1"/>
    <col min="7948" max="7949" width="8.33203125" style="95" customWidth="1"/>
    <col min="7950" max="7950" width="2.6640625" style="95" customWidth="1"/>
    <col min="7951" max="7952" width="8.33203125" style="95" customWidth="1"/>
    <col min="7953" max="7953" width="2.6640625" style="95" customWidth="1"/>
    <col min="7954" max="7954" width="7.6640625" style="95" customWidth="1"/>
    <col min="7955" max="7955" width="8.33203125" style="95" customWidth="1"/>
    <col min="7956" max="7956" width="2.6640625" style="95" customWidth="1"/>
    <col min="7957" max="7957" width="3.5" style="95" customWidth="1"/>
    <col min="7958" max="8192" width="8.83203125" style="95"/>
    <col min="8193" max="8193" width="35.6640625" style="95" customWidth="1"/>
    <col min="8194" max="8194" width="8.33203125" style="95" customWidth="1"/>
    <col min="8195" max="8195" width="2.5" style="95" customWidth="1"/>
    <col min="8196" max="8196" width="8.33203125" style="95" customWidth="1"/>
    <col min="8197" max="8197" width="2.6640625" style="95" customWidth="1"/>
    <col min="8198" max="8198" width="8.5" style="95" customWidth="1"/>
    <col min="8199" max="8199" width="8.33203125" style="95" customWidth="1"/>
    <col min="8200" max="8200" width="2.6640625" style="95" customWidth="1"/>
    <col min="8201" max="8201" width="8.33203125" style="95" customWidth="1"/>
    <col min="8202" max="8202" width="8.5" style="95" customWidth="1"/>
    <col min="8203" max="8203" width="2.6640625" style="95" customWidth="1"/>
    <col min="8204" max="8205" width="8.33203125" style="95" customWidth="1"/>
    <col min="8206" max="8206" width="2.6640625" style="95" customWidth="1"/>
    <col min="8207" max="8208" width="8.33203125" style="95" customWidth="1"/>
    <col min="8209" max="8209" width="2.6640625" style="95" customWidth="1"/>
    <col min="8210" max="8210" width="7.6640625" style="95" customWidth="1"/>
    <col min="8211" max="8211" width="8.33203125" style="95" customWidth="1"/>
    <col min="8212" max="8212" width="2.6640625" style="95" customWidth="1"/>
    <col min="8213" max="8213" width="3.5" style="95" customWidth="1"/>
    <col min="8214" max="8448" width="8.83203125" style="95"/>
    <col min="8449" max="8449" width="35.6640625" style="95" customWidth="1"/>
    <col min="8450" max="8450" width="8.33203125" style="95" customWidth="1"/>
    <col min="8451" max="8451" width="2.5" style="95" customWidth="1"/>
    <col min="8452" max="8452" width="8.33203125" style="95" customWidth="1"/>
    <col min="8453" max="8453" width="2.6640625" style="95" customWidth="1"/>
    <col min="8454" max="8454" width="8.5" style="95" customWidth="1"/>
    <col min="8455" max="8455" width="8.33203125" style="95" customWidth="1"/>
    <col min="8456" max="8456" width="2.6640625" style="95" customWidth="1"/>
    <col min="8457" max="8457" width="8.33203125" style="95" customWidth="1"/>
    <col min="8458" max="8458" width="8.5" style="95" customWidth="1"/>
    <col min="8459" max="8459" width="2.6640625" style="95" customWidth="1"/>
    <col min="8460" max="8461" width="8.33203125" style="95" customWidth="1"/>
    <col min="8462" max="8462" width="2.6640625" style="95" customWidth="1"/>
    <col min="8463" max="8464" width="8.33203125" style="95" customWidth="1"/>
    <col min="8465" max="8465" width="2.6640625" style="95" customWidth="1"/>
    <col min="8466" max="8466" width="7.6640625" style="95" customWidth="1"/>
    <col min="8467" max="8467" width="8.33203125" style="95" customWidth="1"/>
    <col min="8468" max="8468" width="2.6640625" style="95" customWidth="1"/>
    <col min="8469" max="8469" width="3.5" style="95" customWidth="1"/>
    <col min="8470" max="8704" width="8.83203125" style="95"/>
    <col min="8705" max="8705" width="35.6640625" style="95" customWidth="1"/>
    <col min="8706" max="8706" width="8.33203125" style="95" customWidth="1"/>
    <col min="8707" max="8707" width="2.5" style="95" customWidth="1"/>
    <col min="8708" max="8708" width="8.33203125" style="95" customWidth="1"/>
    <col min="8709" max="8709" width="2.6640625" style="95" customWidth="1"/>
    <col min="8710" max="8710" width="8.5" style="95" customWidth="1"/>
    <col min="8711" max="8711" width="8.33203125" style="95" customWidth="1"/>
    <col min="8712" max="8712" width="2.6640625" style="95" customWidth="1"/>
    <col min="8713" max="8713" width="8.33203125" style="95" customWidth="1"/>
    <col min="8714" max="8714" width="8.5" style="95" customWidth="1"/>
    <col min="8715" max="8715" width="2.6640625" style="95" customWidth="1"/>
    <col min="8716" max="8717" width="8.33203125" style="95" customWidth="1"/>
    <col min="8718" max="8718" width="2.6640625" style="95" customWidth="1"/>
    <col min="8719" max="8720" width="8.33203125" style="95" customWidth="1"/>
    <col min="8721" max="8721" width="2.6640625" style="95" customWidth="1"/>
    <col min="8722" max="8722" width="7.6640625" style="95" customWidth="1"/>
    <col min="8723" max="8723" width="8.33203125" style="95" customWidth="1"/>
    <col min="8724" max="8724" width="2.6640625" style="95" customWidth="1"/>
    <col min="8725" max="8725" width="3.5" style="95" customWidth="1"/>
    <col min="8726" max="8960" width="8.83203125" style="95"/>
    <col min="8961" max="8961" width="35.6640625" style="95" customWidth="1"/>
    <col min="8962" max="8962" width="8.33203125" style="95" customWidth="1"/>
    <col min="8963" max="8963" width="2.5" style="95" customWidth="1"/>
    <col min="8964" max="8964" width="8.33203125" style="95" customWidth="1"/>
    <col min="8965" max="8965" width="2.6640625" style="95" customWidth="1"/>
    <col min="8966" max="8966" width="8.5" style="95" customWidth="1"/>
    <col min="8967" max="8967" width="8.33203125" style="95" customWidth="1"/>
    <col min="8968" max="8968" width="2.6640625" style="95" customWidth="1"/>
    <col min="8969" max="8969" width="8.33203125" style="95" customWidth="1"/>
    <col min="8970" max="8970" width="8.5" style="95" customWidth="1"/>
    <col min="8971" max="8971" width="2.6640625" style="95" customWidth="1"/>
    <col min="8972" max="8973" width="8.33203125" style="95" customWidth="1"/>
    <col min="8974" max="8974" width="2.6640625" style="95" customWidth="1"/>
    <col min="8975" max="8976" width="8.33203125" style="95" customWidth="1"/>
    <col min="8977" max="8977" width="2.6640625" style="95" customWidth="1"/>
    <col min="8978" max="8978" width="7.6640625" style="95" customWidth="1"/>
    <col min="8979" max="8979" width="8.33203125" style="95" customWidth="1"/>
    <col min="8980" max="8980" width="2.6640625" style="95" customWidth="1"/>
    <col min="8981" max="8981" width="3.5" style="95" customWidth="1"/>
    <col min="8982" max="9216" width="8.83203125" style="95"/>
    <col min="9217" max="9217" width="35.6640625" style="95" customWidth="1"/>
    <col min="9218" max="9218" width="8.33203125" style="95" customWidth="1"/>
    <col min="9219" max="9219" width="2.5" style="95" customWidth="1"/>
    <col min="9220" max="9220" width="8.33203125" style="95" customWidth="1"/>
    <col min="9221" max="9221" width="2.6640625" style="95" customWidth="1"/>
    <col min="9222" max="9222" width="8.5" style="95" customWidth="1"/>
    <col min="9223" max="9223" width="8.33203125" style="95" customWidth="1"/>
    <col min="9224" max="9224" width="2.6640625" style="95" customWidth="1"/>
    <col min="9225" max="9225" width="8.33203125" style="95" customWidth="1"/>
    <col min="9226" max="9226" width="8.5" style="95" customWidth="1"/>
    <col min="9227" max="9227" width="2.6640625" style="95" customWidth="1"/>
    <col min="9228" max="9229" width="8.33203125" style="95" customWidth="1"/>
    <col min="9230" max="9230" width="2.6640625" style="95" customWidth="1"/>
    <col min="9231" max="9232" width="8.33203125" style="95" customWidth="1"/>
    <col min="9233" max="9233" width="2.6640625" style="95" customWidth="1"/>
    <col min="9234" max="9234" width="7.6640625" style="95" customWidth="1"/>
    <col min="9235" max="9235" width="8.33203125" style="95" customWidth="1"/>
    <col min="9236" max="9236" width="2.6640625" style="95" customWidth="1"/>
    <col min="9237" max="9237" width="3.5" style="95" customWidth="1"/>
    <col min="9238" max="9472" width="8.83203125" style="95"/>
    <col min="9473" max="9473" width="35.6640625" style="95" customWidth="1"/>
    <col min="9474" max="9474" width="8.33203125" style="95" customWidth="1"/>
    <col min="9475" max="9475" width="2.5" style="95" customWidth="1"/>
    <col min="9476" max="9476" width="8.33203125" style="95" customWidth="1"/>
    <col min="9477" max="9477" width="2.6640625" style="95" customWidth="1"/>
    <col min="9478" max="9478" width="8.5" style="95" customWidth="1"/>
    <col min="9479" max="9479" width="8.33203125" style="95" customWidth="1"/>
    <col min="9480" max="9480" width="2.6640625" style="95" customWidth="1"/>
    <col min="9481" max="9481" width="8.33203125" style="95" customWidth="1"/>
    <col min="9482" max="9482" width="8.5" style="95" customWidth="1"/>
    <col min="9483" max="9483" width="2.6640625" style="95" customWidth="1"/>
    <col min="9484" max="9485" width="8.33203125" style="95" customWidth="1"/>
    <col min="9486" max="9486" width="2.6640625" style="95" customWidth="1"/>
    <col min="9487" max="9488" width="8.33203125" style="95" customWidth="1"/>
    <col min="9489" max="9489" width="2.6640625" style="95" customWidth="1"/>
    <col min="9490" max="9490" width="7.6640625" style="95" customWidth="1"/>
    <col min="9491" max="9491" width="8.33203125" style="95" customWidth="1"/>
    <col min="9492" max="9492" width="2.6640625" style="95" customWidth="1"/>
    <col min="9493" max="9493" width="3.5" style="95" customWidth="1"/>
    <col min="9494" max="9728" width="8.83203125" style="95"/>
    <col min="9729" max="9729" width="35.6640625" style="95" customWidth="1"/>
    <col min="9730" max="9730" width="8.33203125" style="95" customWidth="1"/>
    <col min="9731" max="9731" width="2.5" style="95" customWidth="1"/>
    <col min="9732" max="9732" width="8.33203125" style="95" customWidth="1"/>
    <col min="9733" max="9733" width="2.6640625" style="95" customWidth="1"/>
    <col min="9734" max="9734" width="8.5" style="95" customWidth="1"/>
    <col min="9735" max="9735" width="8.33203125" style="95" customWidth="1"/>
    <col min="9736" max="9736" width="2.6640625" style="95" customWidth="1"/>
    <col min="9737" max="9737" width="8.33203125" style="95" customWidth="1"/>
    <col min="9738" max="9738" width="8.5" style="95" customWidth="1"/>
    <col min="9739" max="9739" width="2.6640625" style="95" customWidth="1"/>
    <col min="9740" max="9741" width="8.33203125" style="95" customWidth="1"/>
    <col min="9742" max="9742" width="2.6640625" style="95" customWidth="1"/>
    <col min="9743" max="9744" width="8.33203125" style="95" customWidth="1"/>
    <col min="9745" max="9745" width="2.6640625" style="95" customWidth="1"/>
    <col min="9746" max="9746" width="7.6640625" style="95" customWidth="1"/>
    <col min="9747" max="9747" width="8.33203125" style="95" customWidth="1"/>
    <col min="9748" max="9748" width="2.6640625" style="95" customWidth="1"/>
    <col min="9749" max="9749" width="3.5" style="95" customWidth="1"/>
    <col min="9750" max="9984" width="8.83203125" style="95"/>
    <col min="9985" max="9985" width="35.6640625" style="95" customWidth="1"/>
    <col min="9986" max="9986" width="8.33203125" style="95" customWidth="1"/>
    <col min="9987" max="9987" width="2.5" style="95" customWidth="1"/>
    <col min="9988" max="9988" width="8.33203125" style="95" customWidth="1"/>
    <col min="9989" max="9989" width="2.6640625" style="95" customWidth="1"/>
    <col min="9990" max="9990" width="8.5" style="95" customWidth="1"/>
    <col min="9991" max="9991" width="8.33203125" style="95" customWidth="1"/>
    <col min="9992" max="9992" width="2.6640625" style="95" customWidth="1"/>
    <col min="9993" max="9993" width="8.33203125" style="95" customWidth="1"/>
    <col min="9994" max="9994" width="8.5" style="95" customWidth="1"/>
    <col min="9995" max="9995" width="2.6640625" style="95" customWidth="1"/>
    <col min="9996" max="9997" width="8.33203125" style="95" customWidth="1"/>
    <col min="9998" max="9998" width="2.6640625" style="95" customWidth="1"/>
    <col min="9999" max="10000" width="8.33203125" style="95" customWidth="1"/>
    <col min="10001" max="10001" width="2.6640625" style="95" customWidth="1"/>
    <col min="10002" max="10002" width="7.6640625" style="95" customWidth="1"/>
    <col min="10003" max="10003" width="8.33203125" style="95" customWidth="1"/>
    <col min="10004" max="10004" width="2.6640625" style="95" customWidth="1"/>
    <col min="10005" max="10005" width="3.5" style="95" customWidth="1"/>
    <col min="10006" max="10240" width="8.83203125" style="95"/>
    <col min="10241" max="10241" width="35.6640625" style="95" customWidth="1"/>
    <col min="10242" max="10242" width="8.33203125" style="95" customWidth="1"/>
    <col min="10243" max="10243" width="2.5" style="95" customWidth="1"/>
    <col min="10244" max="10244" width="8.33203125" style="95" customWidth="1"/>
    <col min="10245" max="10245" width="2.6640625" style="95" customWidth="1"/>
    <col min="10246" max="10246" width="8.5" style="95" customWidth="1"/>
    <col min="10247" max="10247" width="8.33203125" style="95" customWidth="1"/>
    <col min="10248" max="10248" width="2.6640625" style="95" customWidth="1"/>
    <col min="10249" max="10249" width="8.33203125" style="95" customWidth="1"/>
    <col min="10250" max="10250" width="8.5" style="95" customWidth="1"/>
    <col min="10251" max="10251" width="2.6640625" style="95" customWidth="1"/>
    <col min="10252" max="10253" width="8.33203125" style="95" customWidth="1"/>
    <col min="10254" max="10254" width="2.6640625" style="95" customWidth="1"/>
    <col min="10255" max="10256" width="8.33203125" style="95" customWidth="1"/>
    <col min="10257" max="10257" width="2.6640625" style="95" customWidth="1"/>
    <col min="10258" max="10258" width="7.6640625" style="95" customWidth="1"/>
    <col min="10259" max="10259" width="8.33203125" style="95" customWidth="1"/>
    <col min="10260" max="10260" width="2.6640625" style="95" customWidth="1"/>
    <col min="10261" max="10261" width="3.5" style="95" customWidth="1"/>
    <col min="10262" max="10496" width="8.83203125" style="95"/>
    <col min="10497" max="10497" width="35.6640625" style="95" customWidth="1"/>
    <col min="10498" max="10498" width="8.33203125" style="95" customWidth="1"/>
    <col min="10499" max="10499" width="2.5" style="95" customWidth="1"/>
    <col min="10500" max="10500" width="8.33203125" style="95" customWidth="1"/>
    <col min="10501" max="10501" width="2.6640625" style="95" customWidth="1"/>
    <col min="10502" max="10502" width="8.5" style="95" customWidth="1"/>
    <col min="10503" max="10503" width="8.33203125" style="95" customWidth="1"/>
    <col min="10504" max="10504" width="2.6640625" style="95" customWidth="1"/>
    <col min="10505" max="10505" width="8.33203125" style="95" customWidth="1"/>
    <col min="10506" max="10506" width="8.5" style="95" customWidth="1"/>
    <col min="10507" max="10507" width="2.6640625" style="95" customWidth="1"/>
    <col min="10508" max="10509" width="8.33203125" style="95" customWidth="1"/>
    <col min="10510" max="10510" width="2.6640625" style="95" customWidth="1"/>
    <col min="10511" max="10512" width="8.33203125" style="95" customWidth="1"/>
    <col min="10513" max="10513" width="2.6640625" style="95" customWidth="1"/>
    <col min="10514" max="10514" width="7.6640625" style="95" customWidth="1"/>
    <col min="10515" max="10515" width="8.33203125" style="95" customWidth="1"/>
    <col min="10516" max="10516" width="2.6640625" style="95" customWidth="1"/>
    <col min="10517" max="10517" width="3.5" style="95" customWidth="1"/>
    <col min="10518" max="10752" width="8.83203125" style="95"/>
    <col min="10753" max="10753" width="35.6640625" style="95" customWidth="1"/>
    <col min="10754" max="10754" width="8.33203125" style="95" customWidth="1"/>
    <col min="10755" max="10755" width="2.5" style="95" customWidth="1"/>
    <col min="10756" max="10756" width="8.33203125" style="95" customWidth="1"/>
    <col min="10757" max="10757" width="2.6640625" style="95" customWidth="1"/>
    <col min="10758" max="10758" width="8.5" style="95" customWidth="1"/>
    <col min="10759" max="10759" width="8.33203125" style="95" customWidth="1"/>
    <col min="10760" max="10760" width="2.6640625" style="95" customWidth="1"/>
    <col min="10761" max="10761" width="8.33203125" style="95" customWidth="1"/>
    <col min="10762" max="10762" width="8.5" style="95" customWidth="1"/>
    <col min="10763" max="10763" width="2.6640625" style="95" customWidth="1"/>
    <col min="10764" max="10765" width="8.33203125" style="95" customWidth="1"/>
    <col min="10766" max="10766" width="2.6640625" style="95" customWidth="1"/>
    <col min="10767" max="10768" width="8.33203125" style="95" customWidth="1"/>
    <col min="10769" max="10769" width="2.6640625" style="95" customWidth="1"/>
    <col min="10770" max="10770" width="7.6640625" style="95" customWidth="1"/>
    <col min="10771" max="10771" width="8.33203125" style="95" customWidth="1"/>
    <col min="10772" max="10772" width="2.6640625" style="95" customWidth="1"/>
    <col min="10773" max="10773" width="3.5" style="95" customWidth="1"/>
    <col min="10774" max="11008" width="8.83203125" style="95"/>
    <col min="11009" max="11009" width="35.6640625" style="95" customWidth="1"/>
    <col min="11010" max="11010" width="8.33203125" style="95" customWidth="1"/>
    <col min="11011" max="11011" width="2.5" style="95" customWidth="1"/>
    <col min="11012" max="11012" width="8.33203125" style="95" customWidth="1"/>
    <col min="11013" max="11013" width="2.6640625" style="95" customWidth="1"/>
    <col min="11014" max="11014" width="8.5" style="95" customWidth="1"/>
    <col min="11015" max="11015" width="8.33203125" style="95" customWidth="1"/>
    <col min="11016" max="11016" width="2.6640625" style="95" customWidth="1"/>
    <col min="11017" max="11017" width="8.33203125" style="95" customWidth="1"/>
    <col min="11018" max="11018" width="8.5" style="95" customWidth="1"/>
    <col min="11019" max="11019" width="2.6640625" style="95" customWidth="1"/>
    <col min="11020" max="11021" width="8.33203125" style="95" customWidth="1"/>
    <col min="11022" max="11022" width="2.6640625" style="95" customWidth="1"/>
    <col min="11023" max="11024" width="8.33203125" style="95" customWidth="1"/>
    <col min="11025" max="11025" width="2.6640625" style="95" customWidth="1"/>
    <col min="11026" max="11026" width="7.6640625" style="95" customWidth="1"/>
    <col min="11027" max="11027" width="8.33203125" style="95" customWidth="1"/>
    <col min="11028" max="11028" width="2.6640625" style="95" customWidth="1"/>
    <col min="11029" max="11029" width="3.5" style="95" customWidth="1"/>
    <col min="11030" max="11264" width="8.83203125" style="95"/>
    <col min="11265" max="11265" width="35.6640625" style="95" customWidth="1"/>
    <col min="11266" max="11266" width="8.33203125" style="95" customWidth="1"/>
    <col min="11267" max="11267" width="2.5" style="95" customWidth="1"/>
    <col min="11268" max="11268" width="8.33203125" style="95" customWidth="1"/>
    <col min="11269" max="11269" width="2.6640625" style="95" customWidth="1"/>
    <col min="11270" max="11270" width="8.5" style="95" customWidth="1"/>
    <col min="11271" max="11271" width="8.33203125" style="95" customWidth="1"/>
    <col min="11272" max="11272" width="2.6640625" style="95" customWidth="1"/>
    <col min="11273" max="11273" width="8.33203125" style="95" customWidth="1"/>
    <col min="11274" max="11274" width="8.5" style="95" customWidth="1"/>
    <col min="11275" max="11275" width="2.6640625" style="95" customWidth="1"/>
    <col min="11276" max="11277" width="8.33203125" style="95" customWidth="1"/>
    <col min="11278" max="11278" width="2.6640625" style="95" customWidth="1"/>
    <col min="11279" max="11280" width="8.33203125" style="95" customWidth="1"/>
    <col min="11281" max="11281" width="2.6640625" style="95" customWidth="1"/>
    <col min="11282" max="11282" width="7.6640625" style="95" customWidth="1"/>
    <col min="11283" max="11283" width="8.33203125" style="95" customWidth="1"/>
    <col min="11284" max="11284" width="2.6640625" style="95" customWidth="1"/>
    <col min="11285" max="11285" width="3.5" style="95" customWidth="1"/>
    <col min="11286" max="11520" width="8.83203125" style="95"/>
    <col min="11521" max="11521" width="35.6640625" style="95" customWidth="1"/>
    <col min="11522" max="11522" width="8.33203125" style="95" customWidth="1"/>
    <col min="11523" max="11523" width="2.5" style="95" customWidth="1"/>
    <col min="11524" max="11524" width="8.33203125" style="95" customWidth="1"/>
    <col min="11525" max="11525" width="2.6640625" style="95" customWidth="1"/>
    <col min="11526" max="11526" width="8.5" style="95" customWidth="1"/>
    <col min="11527" max="11527" width="8.33203125" style="95" customWidth="1"/>
    <col min="11528" max="11528" width="2.6640625" style="95" customWidth="1"/>
    <col min="11529" max="11529" width="8.33203125" style="95" customWidth="1"/>
    <col min="11530" max="11530" width="8.5" style="95" customWidth="1"/>
    <col min="11531" max="11531" width="2.6640625" style="95" customWidth="1"/>
    <col min="11532" max="11533" width="8.33203125" style="95" customWidth="1"/>
    <col min="11534" max="11534" width="2.6640625" style="95" customWidth="1"/>
    <col min="11535" max="11536" width="8.33203125" style="95" customWidth="1"/>
    <col min="11537" max="11537" width="2.6640625" style="95" customWidth="1"/>
    <col min="11538" max="11538" width="7.6640625" style="95" customWidth="1"/>
    <col min="11539" max="11539" width="8.33203125" style="95" customWidth="1"/>
    <col min="11540" max="11540" width="2.6640625" style="95" customWidth="1"/>
    <col min="11541" max="11541" width="3.5" style="95" customWidth="1"/>
    <col min="11542" max="11776" width="8.83203125" style="95"/>
    <col min="11777" max="11777" width="35.6640625" style="95" customWidth="1"/>
    <col min="11778" max="11778" width="8.33203125" style="95" customWidth="1"/>
    <col min="11779" max="11779" width="2.5" style="95" customWidth="1"/>
    <col min="11780" max="11780" width="8.33203125" style="95" customWidth="1"/>
    <col min="11781" max="11781" width="2.6640625" style="95" customWidth="1"/>
    <col min="11782" max="11782" width="8.5" style="95" customWidth="1"/>
    <col min="11783" max="11783" width="8.33203125" style="95" customWidth="1"/>
    <col min="11784" max="11784" width="2.6640625" style="95" customWidth="1"/>
    <col min="11785" max="11785" width="8.33203125" style="95" customWidth="1"/>
    <col min="11786" max="11786" width="8.5" style="95" customWidth="1"/>
    <col min="11787" max="11787" width="2.6640625" style="95" customWidth="1"/>
    <col min="11788" max="11789" width="8.33203125" style="95" customWidth="1"/>
    <col min="11790" max="11790" width="2.6640625" style="95" customWidth="1"/>
    <col min="11791" max="11792" width="8.33203125" style="95" customWidth="1"/>
    <col min="11793" max="11793" width="2.6640625" style="95" customWidth="1"/>
    <col min="11794" max="11794" width="7.6640625" style="95" customWidth="1"/>
    <col min="11795" max="11795" width="8.33203125" style="95" customWidth="1"/>
    <col min="11796" max="11796" width="2.6640625" style="95" customWidth="1"/>
    <col min="11797" max="11797" width="3.5" style="95" customWidth="1"/>
    <col min="11798" max="12032" width="8.83203125" style="95"/>
    <col min="12033" max="12033" width="35.6640625" style="95" customWidth="1"/>
    <col min="12034" max="12034" width="8.33203125" style="95" customWidth="1"/>
    <col min="12035" max="12035" width="2.5" style="95" customWidth="1"/>
    <col min="12036" max="12036" width="8.33203125" style="95" customWidth="1"/>
    <col min="12037" max="12037" width="2.6640625" style="95" customWidth="1"/>
    <col min="12038" max="12038" width="8.5" style="95" customWidth="1"/>
    <col min="12039" max="12039" width="8.33203125" style="95" customWidth="1"/>
    <col min="12040" max="12040" width="2.6640625" style="95" customWidth="1"/>
    <col min="12041" max="12041" width="8.33203125" style="95" customWidth="1"/>
    <col min="12042" max="12042" width="8.5" style="95" customWidth="1"/>
    <col min="12043" max="12043" width="2.6640625" style="95" customWidth="1"/>
    <col min="12044" max="12045" width="8.33203125" style="95" customWidth="1"/>
    <col min="12046" max="12046" width="2.6640625" style="95" customWidth="1"/>
    <col min="12047" max="12048" width="8.33203125" style="95" customWidth="1"/>
    <col min="12049" max="12049" width="2.6640625" style="95" customWidth="1"/>
    <col min="12050" max="12050" width="7.6640625" style="95" customWidth="1"/>
    <col min="12051" max="12051" width="8.33203125" style="95" customWidth="1"/>
    <col min="12052" max="12052" width="2.6640625" style="95" customWidth="1"/>
    <col min="12053" max="12053" width="3.5" style="95" customWidth="1"/>
    <col min="12054" max="12288" width="8.83203125" style="95"/>
    <col min="12289" max="12289" width="35.6640625" style="95" customWidth="1"/>
    <col min="12290" max="12290" width="8.33203125" style="95" customWidth="1"/>
    <col min="12291" max="12291" width="2.5" style="95" customWidth="1"/>
    <col min="12292" max="12292" width="8.33203125" style="95" customWidth="1"/>
    <col min="12293" max="12293" width="2.6640625" style="95" customWidth="1"/>
    <col min="12294" max="12294" width="8.5" style="95" customWidth="1"/>
    <col min="12295" max="12295" width="8.33203125" style="95" customWidth="1"/>
    <col min="12296" max="12296" width="2.6640625" style="95" customWidth="1"/>
    <col min="12297" max="12297" width="8.33203125" style="95" customWidth="1"/>
    <col min="12298" max="12298" width="8.5" style="95" customWidth="1"/>
    <col min="12299" max="12299" width="2.6640625" style="95" customWidth="1"/>
    <col min="12300" max="12301" width="8.33203125" style="95" customWidth="1"/>
    <col min="12302" max="12302" width="2.6640625" style="95" customWidth="1"/>
    <col min="12303" max="12304" width="8.33203125" style="95" customWidth="1"/>
    <col min="12305" max="12305" width="2.6640625" style="95" customWidth="1"/>
    <col min="12306" max="12306" width="7.6640625" style="95" customWidth="1"/>
    <col min="12307" max="12307" width="8.33203125" style="95" customWidth="1"/>
    <col min="12308" max="12308" width="2.6640625" style="95" customWidth="1"/>
    <col min="12309" max="12309" width="3.5" style="95" customWidth="1"/>
    <col min="12310" max="12544" width="8.83203125" style="95"/>
    <col min="12545" max="12545" width="35.6640625" style="95" customWidth="1"/>
    <col min="12546" max="12546" width="8.33203125" style="95" customWidth="1"/>
    <col min="12547" max="12547" width="2.5" style="95" customWidth="1"/>
    <col min="12548" max="12548" width="8.33203125" style="95" customWidth="1"/>
    <col min="12549" max="12549" width="2.6640625" style="95" customWidth="1"/>
    <col min="12550" max="12550" width="8.5" style="95" customWidth="1"/>
    <col min="12551" max="12551" width="8.33203125" style="95" customWidth="1"/>
    <col min="12552" max="12552" width="2.6640625" style="95" customWidth="1"/>
    <col min="12553" max="12553" width="8.33203125" style="95" customWidth="1"/>
    <col min="12554" max="12554" width="8.5" style="95" customWidth="1"/>
    <col min="12555" max="12555" width="2.6640625" style="95" customWidth="1"/>
    <col min="12556" max="12557" width="8.33203125" style="95" customWidth="1"/>
    <col min="12558" max="12558" width="2.6640625" style="95" customWidth="1"/>
    <col min="12559" max="12560" width="8.33203125" style="95" customWidth="1"/>
    <col min="12561" max="12561" width="2.6640625" style="95" customWidth="1"/>
    <col min="12562" max="12562" width="7.6640625" style="95" customWidth="1"/>
    <col min="12563" max="12563" width="8.33203125" style="95" customWidth="1"/>
    <col min="12564" max="12564" width="2.6640625" style="95" customWidth="1"/>
    <col min="12565" max="12565" width="3.5" style="95" customWidth="1"/>
    <col min="12566" max="12800" width="8.83203125" style="95"/>
    <col min="12801" max="12801" width="35.6640625" style="95" customWidth="1"/>
    <col min="12802" max="12802" width="8.33203125" style="95" customWidth="1"/>
    <col min="12803" max="12803" width="2.5" style="95" customWidth="1"/>
    <col min="12804" max="12804" width="8.33203125" style="95" customWidth="1"/>
    <col min="12805" max="12805" width="2.6640625" style="95" customWidth="1"/>
    <col min="12806" max="12806" width="8.5" style="95" customWidth="1"/>
    <col min="12807" max="12807" width="8.33203125" style="95" customWidth="1"/>
    <col min="12808" max="12808" width="2.6640625" style="95" customWidth="1"/>
    <col min="12809" max="12809" width="8.33203125" style="95" customWidth="1"/>
    <col min="12810" max="12810" width="8.5" style="95" customWidth="1"/>
    <col min="12811" max="12811" width="2.6640625" style="95" customWidth="1"/>
    <col min="12812" max="12813" width="8.33203125" style="95" customWidth="1"/>
    <col min="12814" max="12814" width="2.6640625" style="95" customWidth="1"/>
    <col min="12815" max="12816" width="8.33203125" style="95" customWidth="1"/>
    <col min="12817" max="12817" width="2.6640625" style="95" customWidth="1"/>
    <col min="12818" max="12818" width="7.6640625" style="95" customWidth="1"/>
    <col min="12819" max="12819" width="8.33203125" style="95" customWidth="1"/>
    <col min="12820" max="12820" width="2.6640625" style="95" customWidth="1"/>
    <col min="12821" max="12821" width="3.5" style="95" customWidth="1"/>
    <col min="12822" max="13056" width="8.83203125" style="95"/>
    <col min="13057" max="13057" width="35.6640625" style="95" customWidth="1"/>
    <col min="13058" max="13058" width="8.33203125" style="95" customWidth="1"/>
    <col min="13059" max="13059" width="2.5" style="95" customWidth="1"/>
    <col min="13060" max="13060" width="8.33203125" style="95" customWidth="1"/>
    <col min="13061" max="13061" width="2.6640625" style="95" customWidth="1"/>
    <col min="13062" max="13062" width="8.5" style="95" customWidth="1"/>
    <col min="13063" max="13063" width="8.33203125" style="95" customWidth="1"/>
    <col min="13064" max="13064" width="2.6640625" style="95" customWidth="1"/>
    <col min="13065" max="13065" width="8.33203125" style="95" customWidth="1"/>
    <col min="13066" max="13066" width="8.5" style="95" customWidth="1"/>
    <col min="13067" max="13067" width="2.6640625" style="95" customWidth="1"/>
    <col min="13068" max="13069" width="8.33203125" style="95" customWidth="1"/>
    <col min="13070" max="13070" width="2.6640625" style="95" customWidth="1"/>
    <col min="13071" max="13072" width="8.33203125" style="95" customWidth="1"/>
    <col min="13073" max="13073" width="2.6640625" style="95" customWidth="1"/>
    <col min="13074" max="13074" width="7.6640625" style="95" customWidth="1"/>
    <col min="13075" max="13075" width="8.33203125" style="95" customWidth="1"/>
    <col min="13076" max="13076" width="2.6640625" style="95" customWidth="1"/>
    <col min="13077" max="13077" width="3.5" style="95" customWidth="1"/>
    <col min="13078" max="13312" width="8.83203125" style="95"/>
    <col min="13313" max="13313" width="35.6640625" style="95" customWidth="1"/>
    <col min="13314" max="13314" width="8.33203125" style="95" customWidth="1"/>
    <col min="13315" max="13315" width="2.5" style="95" customWidth="1"/>
    <col min="13316" max="13316" width="8.33203125" style="95" customWidth="1"/>
    <col min="13317" max="13317" width="2.6640625" style="95" customWidth="1"/>
    <col min="13318" max="13318" width="8.5" style="95" customWidth="1"/>
    <col min="13319" max="13319" width="8.33203125" style="95" customWidth="1"/>
    <col min="13320" max="13320" width="2.6640625" style="95" customWidth="1"/>
    <col min="13321" max="13321" width="8.33203125" style="95" customWidth="1"/>
    <col min="13322" max="13322" width="8.5" style="95" customWidth="1"/>
    <col min="13323" max="13323" width="2.6640625" style="95" customWidth="1"/>
    <col min="13324" max="13325" width="8.33203125" style="95" customWidth="1"/>
    <col min="13326" max="13326" width="2.6640625" style="95" customWidth="1"/>
    <col min="13327" max="13328" width="8.33203125" style="95" customWidth="1"/>
    <col min="13329" max="13329" width="2.6640625" style="95" customWidth="1"/>
    <col min="13330" max="13330" width="7.6640625" style="95" customWidth="1"/>
    <col min="13331" max="13331" width="8.33203125" style="95" customWidth="1"/>
    <col min="13332" max="13332" width="2.6640625" style="95" customWidth="1"/>
    <col min="13333" max="13333" width="3.5" style="95" customWidth="1"/>
    <col min="13334" max="13568" width="8.83203125" style="95"/>
    <col min="13569" max="13569" width="35.6640625" style="95" customWidth="1"/>
    <col min="13570" max="13570" width="8.33203125" style="95" customWidth="1"/>
    <col min="13571" max="13571" width="2.5" style="95" customWidth="1"/>
    <col min="13572" max="13572" width="8.33203125" style="95" customWidth="1"/>
    <col min="13573" max="13573" width="2.6640625" style="95" customWidth="1"/>
    <col min="13574" max="13574" width="8.5" style="95" customWidth="1"/>
    <col min="13575" max="13575" width="8.33203125" style="95" customWidth="1"/>
    <col min="13576" max="13576" width="2.6640625" style="95" customWidth="1"/>
    <col min="13577" max="13577" width="8.33203125" style="95" customWidth="1"/>
    <col min="13578" max="13578" width="8.5" style="95" customWidth="1"/>
    <col min="13579" max="13579" width="2.6640625" style="95" customWidth="1"/>
    <col min="13580" max="13581" width="8.33203125" style="95" customWidth="1"/>
    <col min="13582" max="13582" width="2.6640625" style="95" customWidth="1"/>
    <col min="13583" max="13584" width="8.33203125" style="95" customWidth="1"/>
    <col min="13585" max="13585" width="2.6640625" style="95" customWidth="1"/>
    <col min="13586" max="13586" width="7.6640625" style="95" customWidth="1"/>
    <col min="13587" max="13587" width="8.33203125" style="95" customWidth="1"/>
    <col min="13588" max="13588" width="2.6640625" style="95" customWidth="1"/>
    <col min="13589" max="13589" width="3.5" style="95" customWidth="1"/>
    <col min="13590" max="13824" width="8.83203125" style="95"/>
    <col min="13825" max="13825" width="35.6640625" style="95" customWidth="1"/>
    <col min="13826" max="13826" width="8.33203125" style="95" customWidth="1"/>
    <col min="13827" max="13827" width="2.5" style="95" customWidth="1"/>
    <col min="13828" max="13828" width="8.33203125" style="95" customWidth="1"/>
    <col min="13829" max="13829" width="2.6640625" style="95" customWidth="1"/>
    <col min="13830" max="13830" width="8.5" style="95" customWidth="1"/>
    <col min="13831" max="13831" width="8.33203125" style="95" customWidth="1"/>
    <col min="13832" max="13832" width="2.6640625" style="95" customWidth="1"/>
    <col min="13833" max="13833" width="8.33203125" style="95" customWidth="1"/>
    <col min="13834" max="13834" width="8.5" style="95" customWidth="1"/>
    <col min="13835" max="13835" width="2.6640625" style="95" customWidth="1"/>
    <col min="13836" max="13837" width="8.33203125" style="95" customWidth="1"/>
    <col min="13838" max="13838" width="2.6640625" style="95" customWidth="1"/>
    <col min="13839" max="13840" width="8.33203125" style="95" customWidth="1"/>
    <col min="13841" max="13841" width="2.6640625" style="95" customWidth="1"/>
    <col min="13842" max="13842" width="7.6640625" style="95" customWidth="1"/>
    <col min="13843" max="13843" width="8.33203125" style="95" customWidth="1"/>
    <col min="13844" max="13844" width="2.6640625" style="95" customWidth="1"/>
    <col min="13845" max="13845" width="3.5" style="95" customWidth="1"/>
    <col min="13846" max="14080" width="8.83203125" style="95"/>
    <col min="14081" max="14081" width="35.6640625" style="95" customWidth="1"/>
    <col min="14082" max="14082" width="8.33203125" style="95" customWidth="1"/>
    <col min="14083" max="14083" width="2.5" style="95" customWidth="1"/>
    <col min="14084" max="14084" width="8.33203125" style="95" customWidth="1"/>
    <col min="14085" max="14085" width="2.6640625" style="95" customWidth="1"/>
    <col min="14086" max="14086" width="8.5" style="95" customWidth="1"/>
    <col min="14087" max="14087" width="8.33203125" style="95" customWidth="1"/>
    <col min="14088" max="14088" width="2.6640625" style="95" customWidth="1"/>
    <col min="14089" max="14089" width="8.33203125" style="95" customWidth="1"/>
    <col min="14090" max="14090" width="8.5" style="95" customWidth="1"/>
    <col min="14091" max="14091" width="2.6640625" style="95" customWidth="1"/>
    <col min="14092" max="14093" width="8.33203125" style="95" customWidth="1"/>
    <col min="14094" max="14094" width="2.6640625" style="95" customWidth="1"/>
    <col min="14095" max="14096" width="8.33203125" style="95" customWidth="1"/>
    <col min="14097" max="14097" width="2.6640625" style="95" customWidth="1"/>
    <col min="14098" max="14098" width="7.6640625" style="95" customWidth="1"/>
    <col min="14099" max="14099" width="8.33203125" style="95" customWidth="1"/>
    <col min="14100" max="14100" width="2.6640625" style="95" customWidth="1"/>
    <col min="14101" max="14101" width="3.5" style="95" customWidth="1"/>
    <col min="14102" max="14336" width="8.83203125" style="95"/>
    <col min="14337" max="14337" width="35.6640625" style="95" customWidth="1"/>
    <col min="14338" max="14338" width="8.33203125" style="95" customWidth="1"/>
    <col min="14339" max="14339" width="2.5" style="95" customWidth="1"/>
    <col min="14340" max="14340" width="8.33203125" style="95" customWidth="1"/>
    <col min="14341" max="14341" width="2.6640625" style="95" customWidth="1"/>
    <col min="14342" max="14342" width="8.5" style="95" customWidth="1"/>
    <col min="14343" max="14343" width="8.33203125" style="95" customWidth="1"/>
    <col min="14344" max="14344" width="2.6640625" style="95" customWidth="1"/>
    <col min="14345" max="14345" width="8.33203125" style="95" customWidth="1"/>
    <col min="14346" max="14346" width="8.5" style="95" customWidth="1"/>
    <col min="14347" max="14347" width="2.6640625" style="95" customWidth="1"/>
    <col min="14348" max="14349" width="8.33203125" style="95" customWidth="1"/>
    <col min="14350" max="14350" width="2.6640625" style="95" customWidth="1"/>
    <col min="14351" max="14352" width="8.33203125" style="95" customWidth="1"/>
    <col min="14353" max="14353" width="2.6640625" style="95" customWidth="1"/>
    <col min="14354" max="14354" width="7.6640625" style="95" customWidth="1"/>
    <col min="14355" max="14355" width="8.33203125" style="95" customWidth="1"/>
    <col min="14356" max="14356" width="2.6640625" style="95" customWidth="1"/>
    <col min="14357" max="14357" width="3.5" style="95" customWidth="1"/>
    <col min="14358" max="14592" width="8.83203125" style="95"/>
    <col min="14593" max="14593" width="35.6640625" style="95" customWidth="1"/>
    <col min="14594" max="14594" width="8.33203125" style="95" customWidth="1"/>
    <col min="14595" max="14595" width="2.5" style="95" customWidth="1"/>
    <col min="14596" max="14596" width="8.33203125" style="95" customWidth="1"/>
    <col min="14597" max="14597" width="2.6640625" style="95" customWidth="1"/>
    <col min="14598" max="14598" width="8.5" style="95" customWidth="1"/>
    <col min="14599" max="14599" width="8.33203125" style="95" customWidth="1"/>
    <col min="14600" max="14600" width="2.6640625" style="95" customWidth="1"/>
    <col min="14601" max="14601" width="8.33203125" style="95" customWidth="1"/>
    <col min="14602" max="14602" width="8.5" style="95" customWidth="1"/>
    <col min="14603" max="14603" width="2.6640625" style="95" customWidth="1"/>
    <col min="14604" max="14605" width="8.33203125" style="95" customWidth="1"/>
    <col min="14606" max="14606" width="2.6640625" style="95" customWidth="1"/>
    <col min="14607" max="14608" width="8.33203125" style="95" customWidth="1"/>
    <col min="14609" max="14609" width="2.6640625" style="95" customWidth="1"/>
    <col min="14610" max="14610" width="7.6640625" style="95" customWidth="1"/>
    <col min="14611" max="14611" width="8.33203125" style="95" customWidth="1"/>
    <col min="14612" max="14612" width="2.6640625" style="95" customWidth="1"/>
    <col min="14613" max="14613" width="3.5" style="95" customWidth="1"/>
    <col min="14614" max="14848" width="8.83203125" style="95"/>
    <col min="14849" max="14849" width="35.6640625" style="95" customWidth="1"/>
    <col min="14850" max="14850" width="8.33203125" style="95" customWidth="1"/>
    <col min="14851" max="14851" width="2.5" style="95" customWidth="1"/>
    <col min="14852" max="14852" width="8.33203125" style="95" customWidth="1"/>
    <col min="14853" max="14853" width="2.6640625" style="95" customWidth="1"/>
    <col min="14854" max="14854" width="8.5" style="95" customWidth="1"/>
    <col min="14855" max="14855" width="8.33203125" style="95" customWidth="1"/>
    <col min="14856" max="14856" width="2.6640625" style="95" customWidth="1"/>
    <col min="14857" max="14857" width="8.33203125" style="95" customWidth="1"/>
    <col min="14858" max="14858" width="8.5" style="95" customWidth="1"/>
    <col min="14859" max="14859" width="2.6640625" style="95" customWidth="1"/>
    <col min="14860" max="14861" width="8.33203125" style="95" customWidth="1"/>
    <col min="14862" max="14862" width="2.6640625" style="95" customWidth="1"/>
    <col min="14863" max="14864" width="8.33203125" style="95" customWidth="1"/>
    <col min="14865" max="14865" width="2.6640625" style="95" customWidth="1"/>
    <col min="14866" max="14866" width="7.6640625" style="95" customWidth="1"/>
    <col min="14867" max="14867" width="8.33203125" style="95" customWidth="1"/>
    <col min="14868" max="14868" width="2.6640625" style="95" customWidth="1"/>
    <col min="14869" max="14869" width="3.5" style="95" customWidth="1"/>
    <col min="14870" max="15104" width="8.83203125" style="95"/>
    <col min="15105" max="15105" width="35.6640625" style="95" customWidth="1"/>
    <col min="15106" max="15106" width="8.33203125" style="95" customWidth="1"/>
    <col min="15107" max="15107" width="2.5" style="95" customWidth="1"/>
    <col min="15108" max="15108" width="8.33203125" style="95" customWidth="1"/>
    <col min="15109" max="15109" width="2.6640625" style="95" customWidth="1"/>
    <col min="15110" max="15110" width="8.5" style="95" customWidth="1"/>
    <col min="15111" max="15111" width="8.33203125" style="95" customWidth="1"/>
    <col min="15112" max="15112" width="2.6640625" style="95" customWidth="1"/>
    <col min="15113" max="15113" width="8.33203125" style="95" customWidth="1"/>
    <col min="15114" max="15114" width="8.5" style="95" customWidth="1"/>
    <col min="15115" max="15115" width="2.6640625" style="95" customWidth="1"/>
    <col min="15116" max="15117" width="8.33203125" style="95" customWidth="1"/>
    <col min="15118" max="15118" width="2.6640625" style="95" customWidth="1"/>
    <col min="15119" max="15120" width="8.33203125" style="95" customWidth="1"/>
    <col min="15121" max="15121" width="2.6640625" style="95" customWidth="1"/>
    <col min="15122" max="15122" width="7.6640625" style="95" customWidth="1"/>
    <col min="15123" max="15123" width="8.33203125" style="95" customWidth="1"/>
    <col min="15124" max="15124" width="2.6640625" style="95" customWidth="1"/>
    <col min="15125" max="15125" width="3.5" style="95" customWidth="1"/>
    <col min="15126" max="15360" width="8.83203125" style="95"/>
    <col min="15361" max="15361" width="35.6640625" style="95" customWidth="1"/>
    <col min="15362" max="15362" width="8.33203125" style="95" customWidth="1"/>
    <col min="15363" max="15363" width="2.5" style="95" customWidth="1"/>
    <col min="15364" max="15364" width="8.33203125" style="95" customWidth="1"/>
    <col min="15365" max="15365" width="2.6640625" style="95" customWidth="1"/>
    <col min="15366" max="15366" width="8.5" style="95" customWidth="1"/>
    <col min="15367" max="15367" width="8.33203125" style="95" customWidth="1"/>
    <col min="15368" max="15368" width="2.6640625" style="95" customWidth="1"/>
    <col min="15369" max="15369" width="8.33203125" style="95" customWidth="1"/>
    <col min="15370" max="15370" width="8.5" style="95" customWidth="1"/>
    <col min="15371" max="15371" width="2.6640625" style="95" customWidth="1"/>
    <col min="15372" max="15373" width="8.33203125" style="95" customWidth="1"/>
    <col min="15374" max="15374" width="2.6640625" style="95" customWidth="1"/>
    <col min="15375" max="15376" width="8.33203125" style="95" customWidth="1"/>
    <col min="15377" max="15377" width="2.6640625" style="95" customWidth="1"/>
    <col min="15378" max="15378" width="7.6640625" style="95" customWidth="1"/>
    <col min="15379" max="15379" width="8.33203125" style="95" customWidth="1"/>
    <col min="15380" max="15380" width="2.6640625" style="95" customWidth="1"/>
    <col min="15381" max="15381" width="3.5" style="95" customWidth="1"/>
    <col min="15382" max="15616" width="8.83203125" style="95"/>
    <col min="15617" max="15617" width="35.6640625" style="95" customWidth="1"/>
    <col min="15618" max="15618" width="8.33203125" style="95" customWidth="1"/>
    <col min="15619" max="15619" width="2.5" style="95" customWidth="1"/>
    <col min="15620" max="15620" width="8.33203125" style="95" customWidth="1"/>
    <col min="15621" max="15621" width="2.6640625" style="95" customWidth="1"/>
    <col min="15622" max="15622" width="8.5" style="95" customWidth="1"/>
    <col min="15623" max="15623" width="8.33203125" style="95" customWidth="1"/>
    <col min="15624" max="15624" width="2.6640625" style="95" customWidth="1"/>
    <col min="15625" max="15625" width="8.33203125" style="95" customWidth="1"/>
    <col min="15626" max="15626" width="8.5" style="95" customWidth="1"/>
    <col min="15627" max="15627" width="2.6640625" style="95" customWidth="1"/>
    <col min="15628" max="15629" width="8.33203125" style="95" customWidth="1"/>
    <col min="15630" max="15630" width="2.6640625" style="95" customWidth="1"/>
    <col min="15631" max="15632" width="8.33203125" style="95" customWidth="1"/>
    <col min="15633" max="15633" width="2.6640625" style="95" customWidth="1"/>
    <col min="15634" max="15634" width="7.6640625" style="95" customWidth="1"/>
    <col min="15635" max="15635" width="8.33203125" style="95" customWidth="1"/>
    <col min="15636" max="15636" width="2.6640625" style="95" customWidth="1"/>
    <col min="15637" max="15637" width="3.5" style="95" customWidth="1"/>
    <col min="15638" max="15872" width="8.83203125" style="95"/>
    <col min="15873" max="15873" width="35.6640625" style="95" customWidth="1"/>
    <col min="15874" max="15874" width="8.33203125" style="95" customWidth="1"/>
    <col min="15875" max="15875" width="2.5" style="95" customWidth="1"/>
    <col min="15876" max="15876" width="8.33203125" style="95" customWidth="1"/>
    <col min="15877" max="15877" width="2.6640625" style="95" customWidth="1"/>
    <col min="15878" max="15878" width="8.5" style="95" customWidth="1"/>
    <col min="15879" max="15879" width="8.33203125" style="95" customWidth="1"/>
    <col min="15880" max="15880" width="2.6640625" style="95" customWidth="1"/>
    <col min="15881" max="15881" width="8.33203125" style="95" customWidth="1"/>
    <col min="15882" max="15882" width="8.5" style="95" customWidth="1"/>
    <col min="15883" max="15883" width="2.6640625" style="95" customWidth="1"/>
    <col min="15884" max="15885" width="8.33203125" style="95" customWidth="1"/>
    <col min="15886" max="15886" width="2.6640625" style="95" customWidth="1"/>
    <col min="15887" max="15888" width="8.33203125" style="95" customWidth="1"/>
    <col min="15889" max="15889" width="2.6640625" style="95" customWidth="1"/>
    <col min="15890" max="15890" width="7.6640625" style="95" customWidth="1"/>
    <col min="15891" max="15891" width="8.33203125" style="95" customWidth="1"/>
    <col min="15892" max="15892" width="2.6640625" style="95" customWidth="1"/>
    <col min="15893" max="15893" width="3.5" style="95" customWidth="1"/>
    <col min="15894" max="16128" width="8.83203125" style="95"/>
    <col min="16129" max="16129" width="35.6640625" style="95" customWidth="1"/>
    <col min="16130" max="16130" width="8.33203125" style="95" customWidth="1"/>
    <col min="16131" max="16131" width="2.5" style="95" customWidth="1"/>
    <col min="16132" max="16132" width="8.33203125" style="95" customWidth="1"/>
    <col min="16133" max="16133" width="2.6640625" style="95" customWidth="1"/>
    <col min="16134" max="16134" width="8.5" style="95" customWidth="1"/>
    <col min="16135" max="16135" width="8.33203125" style="95" customWidth="1"/>
    <col min="16136" max="16136" width="2.6640625" style="95" customWidth="1"/>
    <col min="16137" max="16137" width="8.33203125" style="95" customWidth="1"/>
    <col min="16138" max="16138" width="8.5" style="95" customWidth="1"/>
    <col min="16139" max="16139" width="2.6640625" style="95" customWidth="1"/>
    <col min="16140" max="16141" width="8.33203125" style="95" customWidth="1"/>
    <col min="16142" max="16142" width="2.6640625" style="95" customWidth="1"/>
    <col min="16143" max="16144" width="8.33203125" style="95" customWidth="1"/>
    <col min="16145" max="16145" width="2.6640625" style="95" customWidth="1"/>
    <col min="16146" max="16146" width="7.6640625" style="95" customWidth="1"/>
    <col min="16147" max="16147" width="8.33203125" style="95" customWidth="1"/>
    <col min="16148" max="16148" width="2.6640625" style="95" customWidth="1"/>
    <col min="16149" max="16149" width="3.5" style="95" customWidth="1"/>
    <col min="16150" max="16384" width="8.83203125" style="95"/>
  </cols>
  <sheetData>
    <row r="1" spans="1:21">
      <c r="A1" s="95" t="s">
        <v>388</v>
      </c>
      <c r="G1" s="33"/>
      <c r="I1" s="33"/>
    </row>
    <row r="2" spans="1:21">
      <c r="A2" s="95" t="s">
        <v>389</v>
      </c>
    </row>
    <row r="3" spans="1:21" ht="7.5" customHeight="1"/>
    <row r="4" spans="1:21">
      <c r="A4" s="14" t="s">
        <v>2230</v>
      </c>
    </row>
    <row r="5" spans="1:21" ht="9" customHeight="1" thickBot="1">
      <c r="T5" s="105"/>
    </row>
    <row r="6" spans="1:21" ht="7.5" customHeight="1">
      <c r="A6" s="97"/>
      <c r="B6" s="115"/>
      <c r="C6" s="144"/>
      <c r="D6" s="99"/>
      <c r="E6" s="97"/>
      <c r="F6" s="189"/>
      <c r="G6" s="187"/>
      <c r="H6" s="188"/>
      <c r="I6" s="189"/>
      <c r="J6" s="187"/>
      <c r="K6" s="188"/>
      <c r="L6" s="189"/>
      <c r="M6" s="187"/>
      <c r="N6" s="188"/>
      <c r="O6" s="189"/>
      <c r="P6" s="187"/>
      <c r="Q6" s="188"/>
      <c r="R6" s="189"/>
      <c r="S6" s="99"/>
      <c r="T6" s="99"/>
    </row>
    <row r="7" spans="1:21">
      <c r="A7" s="116" t="s">
        <v>995</v>
      </c>
      <c r="B7" s="119"/>
      <c r="C7" s="154"/>
      <c r="D7" s="135"/>
      <c r="E7" s="116"/>
      <c r="F7" s="201"/>
      <c r="G7" s="191"/>
      <c r="H7" s="57"/>
      <c r="I7" s="201" t="s">
        <v>996</v>
      </c>
      <c r="J7" s="191"/>
      <c r="K7" s="57"/>
      <c r="L7" s="201" t="s">
        <v>997</v>
      </c>
      <c r="M7" s="191"/>
      <c r="N7" s="57"/>
      <c r="O7" s="201" t="s">
        <v>998</v>
      </c>
      <c r="P7" s="191"/>
      <c r="Q7" s="57"/>
      <c r="R7" s="201"/>
      <c r="S7" s="135"/>
      <c r="T7" s="116"/>
    </row>
    <row r="8" spans="1:21" ht="12" customHeight="1">
      <c r="A8" s="116" t="s">
        <v>999</v>
      </c>
      <c r="B8" s="119" t="s">
        <v>1000</v>
      </c>
      <c r="C8" s="154"/>
      <c r="D8" s="135"/>
      <c r="E8" s="116"/>
      <c r="F8" s="201" t="s">
        <v>1001</v>
      </c>
      <c r="G8" s="191"/>
      <c r="H8" s="57"/>
      <c r="I8" s="201" t="s">
        <v>1002</v>
      </c>
      <c r="J8" s="191"/>
      <c r="K8" s="57"/>
      <c r="L8" s="201" t="s">
        <v>1003</v>
      </c>
      <c r="M8" s="191"/>
      <c r="N8" s="57"/>
      <c r="O8" s="201" t="s">
        <v>1004</v>
      </c>
      <c r="P8" s="191"/>
      <c r="Q8" s="57"/>
      <c r="R8" s="201" t="s">
        <v>1005</v>
      </c>
      <c r="S8" s="135"/>
    </row>
    <row r="9" spans="1:21" ht="11.25" customHeight="1">
      <c r="A9" s="116" t="s">
        <v>1006</v>
      </c>
      <c r="B9" s="294" t="s">
        <v>400</v>
      </c>
      <c r="C9" s="149"/>
      <c r="D9" s="101" t="s">
        <v>401</v>
      </c>
      <c r="E9" s="116"/>
      <c r="F9" s="196" t="s">
        <v>400</v>
      </c>
      <c r="G9" s="195" t="s">
        <v>401</v>
      </c>
      <c r="H9" s="57"/>
      <c r="I9" s="196" t="s">
        <v>400</v>
      </c>
      <c r="J9" s="195" t="s">
        <v>401</v>
      </c>
      <c r="K9" s="57"/>
      <c r="L9" s="196" t="s">
        <v>400</v>
      </c>
      <c r="M9" s="195" t="s">
        <v>401</v>
      </c>
      <c r="N9" s="57"/>
      <c r="O9" s="196" t="s">
        <v>400</v>
      </c>
      <c r="P9" s="195" t="s">
        <v>401</v>
      </c>
      <c r="Q9" s="57"/>
      <c r="R9" s="196" t="s">
        <v>400</v>
      </c>
      <c r="S9" s="101" t="s">
        <v>401</v>
      </c>
      <c r="T9" s="116"/>
    </row>
    <row r="10" spans="1:21" ht="7.5" customHeight="1" thickBot="1">
      <c r="A10" s="102"/>
      <c r="B10" s="125"/>
      <c r="C10" s="153"/>
      <c r="D10" s="96"/>
      <c r="E10" s="102"/>
      <c r="F10" s="200"/>
      <c r="G10" s="198"/>
      <c r="H10" s="199"/>
      <c r="I10" s="200"/>
      <c r="J10" s="198"/>
      <c r="K10" s="199"/>
      <c r="L10" s="200"/>
      <c r="M10" s="198"/>
      <c r="N10" s="199"/>
      <c r="O10" s="200"/>
      <c r="P10" s="198"/>
      <c r="Q10" s="199"/>
      <c r="R10" s="200"/>
      <c r="S10" s="96"/>
      <c r="T10" s="96"/>
    </row>
    <row r="11" spans="1:21" ht="5.25" customHeight="1">
      <c r="A11" s="116"/>
      <c r="B11" s="119"/>
      <c r="C11" s="154"/>
      <c r="D11" s="135"/>
      <c r="E11" s="116"/>
      <c r="F11" s="201"/>
      <c r="G11" s="191"/>
      <c r="H11" s="57"/>
      <c r="I11" s="201"/>
      <c r="J11" s="191"/>
      <c r="K11" s="57"/>
      <c r="L11" s="201"/>
      <c r="M11" s="191"/>
      <c r="N11" s="57"/>
      <c r="O11" s="201"/>
      <c r="P11" s="191"/>
      <c r="Q11" s="57"/>
      <c r="R11" s="201"/>
      <c r="S11" s="135"/>
      <c r="T11" s="135"/>
    </row>
    <row r="12" spans="1:21" ht="13.25" customHeight="1">
      <c r="A12" s="55" t="s">
        <v>290</v>
      </c>
      <c r="B12" s="155">
        <f t="shared" ref="B12:B20" si="0">IF($A12&lt;&gt;0,F12+I12+L12+O12+R12,"")</f>
        <v>2907</v>
      </c>
      <c r="D12" s="105">
        <f>D16+D22+D82+D87</f>
        <v>100.00000000000001</v>
      </c>
      <c r="E12" s="95" t="s">
        <v>128</v>
      </c>
      <c r="F12" s="288">
        <f>IF($A12&lt;&gt;0,F14+F87,"")</f>
        <v>107</v>
      </c>
      <c r="G12" s="289">
        <f t="shared" ref="G12:G75" si="1">IF($A12&lt;&gt;0,F12/$B12*100,"")</f>
        <v>3.6807705538355697</v>
      </c>
      <c r="H12" s="77"/>
      <c r="I12" s="288">
        <f>IF($A12&lt;&gt;0,I14+I87,"")</f>
        <v>1639</v>
      </c>
      <c r="J12" s="289">
        <f t="shared" ref="J12:J75" si="2">IF($A12&lt;&gt;0,I12/$B12*100,"")</f>
        <v>56.381148950808388</v>
      </c>
      <c r="K12" s="77"/>
      <c r="L12" s="288">
        <f>IF($A12&lt;&gt;0,L14+L87,"")</f>
        <v>725</v>
      </c>
      <c r="M12" s="289">
        <f t="shared" ref="M12:M75" si="3">IF($A12&lt;&gt;0,L12/$B12*100,"")</f>
        <v>24.939800481596148</v>
      </c>
      <c r="N12" s="77"/>
      <c r="O12" s="288">
        <f>IF($A12&lt;&gt;0,O14+O87,"")</f>
        <v>408</v>
      </c>
      <c r="P12" s="289">
        <f t="shared" ref="P12:P75" si="4">IF($A12&lt;&gt;0,O12/$B12*100,"")</f>
        <v>14.035087719298245</v>
      </c>
      <c r="Q12" s="77"/>
      <c r="R12" s="288">
        <f>IF($A12&lt;&gt;0,R14+R87,"")</f>
        <v>28</v>
      </c>
      <c r="S12" s="218">
        <f t="shared" ref="S12:S75" si="5">IF($A12&lt;&gt;0,R12/$B12*100,"")</f>
        <v>0.96319229446164434</v>
      </c>
      <c r="T12" s="219"/>
      <c r="U12" s="219"/>
    </row>
    <row r="13" spans="1:21" ht="6.75" customHeight="1">
      <c r="A13" s="55"/>
      <c r="B13" s="155" t="str">
        <f t="shared" si="0"/>
        <v/>
      </c>
      <c r="D13" s="105" t="str">
        <f t="shared" ref="D13:D59" si="6">IF(A13&lt;&gt;0,B13/$B$12*100,"")</f>
        <v/>
      </c>
      <c r="F13" s="288"/>
      <c r="G13" s="289" t="str">
        <f t="shared" si="1"/>
        <v/>
      </c>
      <c r="H13" s="77"/>
      <c r="I13" s="288"/>
      <c r="J13" s="289" t="str">
        <f t="shared" si="2"/>
        <v/>
      </c>
      <c r="K13" s="77"/>
      <c r="L13" s="288"/>
      <c r="M13" s="289" t="str">
        <f t="shared" si="3"/>
        <v/>
      </c>
      <c r="N13" s="77"/>
      <c r="O13" s="288"/>
      <c r="P13" s="289" t="str">
        <f t="shared" si="4"/>
        <v/>
      </c>
      <c r="Q13" s="77"/>
      <c r="R13" s="288"/>
      <c r="S13" s="218" t="str">
        <f t="shared" si="5"/>
        <v/>
      </c>
      <c r="T13" s="219"/>
      <c r="U13" s="219"/>
    </row>
    <row r="14" spans="1:21" ht="12.75" customHeight="1">
      <c r="A14" s="55" t="s">
        <v>403</v>
      </c>
      <c r="B14" s="155">
        <f t="shared" si="0"/>
        <v>2747</v>
      </c>
      <c r="D14" s="105">
        <f t="shared" si="6"/>
        <v>94.496044031647756</v>
      </c>
      <c r="F14" s="288">
        <f>IF($A14&lt;&gt;0,F22+F82+F16,"")</f>
        <v>103</v>
      </c>
      <c r="G14" s="289">
        <f t="shared" si="1"/>
        <v>3.7495449581361489</v>
      </c>
      <c r="H14" s="77"/>
      <c r="I14" s="290">
        <f>IF($A14&lt;&gt;0,I22+I82+I16,"")</f>
        <v>1525</v>
      </c>
      <c r="J14" s="289">
        <f t="shared" si="2"/>
        <v>55.515107389879873</v>
      </c>
      <c r="K14" s="77"/>
      <c r="L14" s="288">
        <f>IF($A14&lt;&gt;0,L22+L82+L16,"")</f>
        <v>708</v>
      </c>
      <c r="M14" s="289">
        <f t="shared" si="3"/>
        <v>25.773571168547505</v>
      </c>
      <c r="N14" s="77"/>
      <c r="O14" s="288">
        <f>IF($A14&lt;&gt;0,O22+O82+O16,"")</f>
        <v>384</v>
      </c>
      <c r="P14" s="289">
        <f t="shared" si="4"/>
        <v>13.978886057517293</v>
      </c>
      <c r="Q14" s="77"/>
      <c r="R14" s="288">
        <f>IF($A14&lt;&gt;0,R22+R82+R16,"")</f>
        <v>27</v>
      </c>
      <c r="S14" s="218">
        <f t="shared" si="5"/>
        <v>0.98289042591918463</v>
      </c>
      <c r="T14" s="219"/>
      <c r="U14" s="219"/>
    </row>
    <row r="15" spans="1:21" ht="6.75" customHeight="1">
      <c r="B15" s="155" t="str">
        <f t="shared" si="0"/>
        <v/>
      </c>
      <c r="D15" s="105" t="str">
        <f t="shared" si="6"/>
        <v/>
      </c>
      <c r="F15" s="288"/>
      <c r="G15" s="289" t="str">
        <f t="shared" si="1"/>
        <v/>
      </c>
      <c r="H15" s="77"/>
      <c r="I15" s="288"/>
      <c r="J15" s="289" t="str">
        <f t="shared" si="2"/>
        <v/>
      </c>
      <c r="K15" s="77"/>
      <c r="L15" s="288"/>
      <c r="M15" s="289" t="str">
        <f t="shared" si="3"/>
        <v/>
      </c>
      <c r="N15" s="77"/>
      <c r="O15" s="288"/>
      <c r="P15" s="289" t="str">
        <f t="shared" si="4"/>
        <v/>
      </c>
      <c r="Q15" s="77"/>
      <c r="R15" s="288"/>
      <c r="S15" s="218" t="str">
        <f t="shared" si="5"/>
        <v/>
      </c>
      <c r="T15" s="219"/>
      <c r="U15" s="219"/>
    </row>
    <row r="16" spans="1:21" ht="12.75" customHeight="1">
      <c r="A16" s="55" t="s">
        <v>709</v>
      </c>
      <c r="B16" s="155">
        <f t="shared" si="0"/>
        <v>94</v>
      </c>
      <c r="D16" s="105">
        <f t="shared" si="6"/>
        <v>3.2335741314069488</v>
      </c>
      <c r="F16" s="208">
        <f>SUM(F17:F20)</f>
        <v>0</v>
      </c>
      <c r="G16" s="289">
        <f t="shared" si="1"/>
        <v>0</v>
      </c>
      <c r="H16" s="208"/>
      <c r="I16" s="208">
        <f>SUM(I17:I20)</f>
        <v>60</v>
      </c>
      <c r="J16" s="289">
        <f t="shared" si="2"/>
        <v>63.829787234042556</v>
      </c>
      <c r="K16" s="209"/>
      <c r="L16" s="208">
        <f>SUM(L17:L20)</f>
        <v>26</v>
      </c>
      <c r="M16" s="289">
        <f t="shared" si="3"/>
        <v>27.659574468085108</v>
      </c>
      <c r="N16" s="210"/>
      <c r="O16" s="208">
        <f>SUM(O17:O20)</f>
        <v>8</v>
      </c>
      <c r="P16" s="289">
        <f t="shared" si="4"/>
        <v>8.5106382978723403</v>
      </c>
      <c r="Q16" s="209"/>
      <c r="R16" s="208">
        <f>SUM(R17:R20)</f>
        <v>0</v>
      </c>
      <c r="S16" s="218">
        <f t="shared" si="5"/>
        <v>0</v>
      </c>
      <c r="T16" s="219"/>
      <c r="U16" s="219"/>
    </row>
    <row r="17" spans="1:21" ht="12.75" customHeight="1">
      <c r="A17" s="95" t="s">
        <v>710</v>
      </c>
      <c r="B17" s="155">
        <f t="shared" si="0"/>
        <v>25</v>
      </c>
      <c r="D17" s="105">
        <f t="shared" si="6"/>
        <v>0.85999312005503958</v>
      </c>
      <c r="F17" s="831">
        <v>0</v>
      </c>
      <c r="G17" s="289">
        <f t="shared" si="1"/>
        <v>0</v>
      </c>
      <c r="H17" s="831"/>
      <c r="I17" s="831">
        <v>21</v>
      </c>
      <c r="J17" s="289">
        <f t="shared" si="2"/>
        <v>84</v>
      </c>
      <c r="K17" s="831"/>
      <c r="L17" s="831">
        <v>4</v>
      </c>
      <c r="M17" s="289">
        <f t="shared" si="3"/>
        <v>16</v>
      </c>
      <c r="N17" s="831"/>
      <c r="O17" s="831">
        <v>0</v>
      </c>
      <c r="P17" s="289">
        <f t="shared" si="4"/>
        <v>0</v>
      </c>
      <c r="Q17" s="831"/>
      <c r="R17" s="831">
        <v>0</v>
      </c>
      <c r="S17" s="218">
        <f t="shared" si="5"/>
        <v>0</v>
      </c>
      <c r="T17" s="219"/>
    </row>
    <row r="18" spans="1:21" ht="13.25" customHeight="1">
      <c r="A18" s="95" t="s">
        <v>711</v>
      </c>
      <c r="B18" s="155">
        <f t="shared" si="0"/>
        <v>11</v>
      </c>
      <c r="D18" s="105">
        <f t="shared" si="6"/>
        <v>0.37839697282421741</v>
      </c>
      <c r="F18" s="831">
        <v>0</v>
      </c>
      <c r="G18" s="289">
        <f t="shared" si="1"/>
        <v>0</v>
      </c>
      <c r="H18" s="831"/>
      <c r="I18" s="831">
        <v>1</v>
      </c>
      <c r="J18" s="289">
        <f t="shared" si="2"/>
        <v>9.0909090909090917</v>
      </c>
      <c r="K18" s="831"/>
      <c r="L18" s="831">
        <v>2</v>
      </c>
      <c r="M18" s="289">
        <f t="shared" si="3"/>
        <v>18.181818181818183</v>
      </c>
      <c r="N18" s="831"/>
      <c r="O18" s="831">
        <v>8</v>
      </c>
      <c r="P18" s="289">
        <f t="shared" si="4"/>
        <v>72.727272727272734</v>
      </c>
      <c r="Q18" s="831"/>
      <c r="R18" s="831">
        <v>0</v>
      </c>
      <c r="S18" s="289">
        <f t="shared" si="5"/>
        <v>0</v>
      </c>
      <c r="T18" s="219"/>
    </row>
    <row r="19" spans="1:21" ht="13.25" customHeight="1">
      <c r="A19" s="95" t="s">
        <v>712</v>
      </c>
      <c r="B19" s="155">
        <f t="shared" si="0"/>
        <v>50</v>
      </c>
      <c r="F19" s="831">
        <v>0</v>
      </c>
      <c r="G19" s="289">
        <f t="shared" si="1"/>
        <v>0</v>
      </c>
      <c r="H19" s="831"/>
      <c r="I19" s="831">
        <v>34</v>
      </c>
      <c r="J19" s="289">
        <f t="shared" si="2"/>
        <v>68</v>
      </c>
      <c r="K19" s="831"/>
      <c r="L19" s="831">
        <v>16</v>
      </c>
      <c r="M19" s="289">
        <f t="shared" si="3"/>
        <v>32</v>
      </c>
      <c r="N19" s="831"/>
      <c r="O19" s="831">
        <v>0</v>
      </c>
      <c r="P19" s="289">
        <f t="shared" si="4"/>
        <v>0</v>
      </c>
      <c r="Q19" s="831"/>
      <c r="R19" s="831">
        <v>0</v>
      </c>
      <c r="S19" s="289"/>
      <c r="T19" s="219"/>
    </row>
    <row r="20" spans="1:21" ht="12.75" customHeight="1">
      <c r="A20" s="95" t="s">
        <v>713</v>
      </c>
      <c r="B20" s="155">
        <f t="shared" si="0"/>
        <v>8</v>
      </c>
      <c r="D20" s="105">
        <f t="shared" si="6"/>
        <v>0.27519779841761266</v>
      </c>
      <c r="F20" s="831">
        <v>0</v>
      </c>
      <c r="G20" s="289">
        <f t="shared" si="1"/>
        <v>0</v>
      </c>
      <c r="H20" s="831"/>
      <c r="I20" s="831">
        <v>4</v>
      </c>
      <c r="J20" s="289">
        <f t="shared" si="2"/>
        <v>50</v>
      </c>
      <c r="K20" s="831"/>
      <c r="L20" s="831">
        <v>4</v>
      </c>
      <c r="M20" s="289">
        <f t="shared" si="3"/>
        <v>50</v>
      </c>
      <c r="N20" s="831"/>
      <c r="O20" s="831">
        <v>0</v>
      </c>
      <c r="P20" s="289">
        <f t="shared" si="4"/>
        <v>0</v>
      </c>
      <c r="Q20" s="831"/>
      <c r="R20" s="831">
        <v>0</v>
      </c>
      <c r="S20" s="218">
        <f t="shared" si="5"/>
        <v>0</v>
      </c>
      <c r="T20" s="219"/>
    </row>
    <row r="21" spans="1:21" ht="7.5" customHeight="1">
      <c r="D21" s="105" t="str">
        <f t="shared" si="6"/>
        <v/>
      </c>
      <c r="F21" s="288"/>
      <c r="G21" s="289" t="str">
        <f t="shared" si="1"/>
        <v/>
      </c>
      <c r="H21" s="77"/>
      <c r="I21" s="288"/>
      <c r="J21" s="289" t="str">
        <f t="shared" si="2"/>
        <v/>
      </c>
      <c r="K21" s="77"/>
      <c r="L21" s="288"/>
      <c r="M21" s="289" t="str">
        <f t="shared" si="3"/>
        <v/>
      </c>
      <c r="N21" s="77"/>
      <c r="O21" s="288"/>
      <c r="P21" s="289" t="str">
        <f t="shared" si="4"/>
        <v/>
      </c>
      <c r="Q21" s="77"/>
      <c r="R21" s="288"/>
      <c r="S21" s="218" t="str">
        <f t="shared" si="5"/>
        <v/>
      </c>
      <c r="T21" s="219"/>
      <c r="U21" s="219"/>
    </row>
    <row r="22" spans="1:21" ht="13.25" customHeight="1">
      <c r="A22" s="55" t="s">
        <v>714</v>
      </c>
      <c r="B22" s="155">
        <f t="shared" ref="B22:B85" si="7">IF($A22&lt;&gt;0,F22+I22+L22+O22+R22,"")</f>
        <v>2067</v>
      </c>
      <c r="D22" s="105">
        <f t="shared" si="6"/>
        <v>71.104231166150669</v>
      </c>
      <c r="F22" s="288">
        <f>SUM(F23:F80)</f>
        <v>36</v>
      </c>
      <c r="G22" s="289">
        <f t="shared" si="1"/>
        <v>1.741654571843251</v>
      </c>
      <c r="H22" s="288">
        <f>SUM(H23:H78)</f>
        <v>0</v>
      </c>
      <c r="I22" s="288">
        <f>SUM(I23:I80)</f>
        <v>1140</v>
      </c>
      <c r="J22" s="289">
        <f t="shared" si="2"/>
        <v>55.152394775036285</v>
      </c>
      <c r="K22" s="288">
        <f>SUM(K23:K78)</f>
        <v>0</v>
      </c>
      <c r="L22" s="288">
        <f>SUM(L23:L80)</f>
        <v>586</v>
      </c>
      <c r="M22" s="289">
        <f t="shared" si="3"/>
        <v>28.350266086115145</v>
      </c>
      <c r="N22" s="288">
        <f>SUM(N23:N78)</f>
        <v>0</v>
      </c>
      <c r="O22" s="288">
        <f>SUM(O23:O80)</f>
        <v>286</v>
      </c>
      <c r="P22" s="289">
        <f t="shared" si="4"/>
        <v>13.836477987421384</v>
      </c>
      <c r="Q22" s="288">
        <f>SUM(Q23:Q78)</f>
        <v>0</v>
      </c>
      <c r="R22" s="288">
        <f>SUM(R23:R80)</f>
        <v>19</v>
      </c>
      <c r="S22" s="218">
        <f t="shared" si="5"/>
        <v>0.91920657958393814</v>
      </c>
      <c r="T22" s="219"/>
      <c r="U22" s="219"/>
    </row>
    <row r="23" spans="1:21" ht="12.75" customHeight="1">
      <c r="A23" s="95" t="s">
        <v>715</v>
      </c>
      <c r="B23" s="155">
        <f t="shared" si="7"/>
        <v>74</v>
      </c>
      <c r="D23" s="105">
        <f t="shared" si="6"/>
        <v>2.545579635362917</v>
      </c>
      <c r="F23" s="831">
        <v>2</v>
      </c>
      <c r="G23" s="289">
        <f t="shared" si="1"/>
        <v>2.7027027027027026</v>
      </c>
      <c r="H23" s="831"/>
      <c r="I23" s="831">
        <v>35</v>
      </c>
      <c r="J23" s="289">
        <f t="shared" si="2"/>
        <v>47.297297297297298</v>
      </c>
      <c r="K23" s="831"/>
      <c r="L23" s="831">
        <v>21</v>
      </c>
      <c r="M23" s="289">
        <f t="shared" si="3"/>
        <v>28.378378378378379</v>
      </c>
      <c r="N23" s="831"/>
      <c r="O23" s="831">
        <v>15</v>
      </c>
      <c r="P23" s="289">
        <f t="shared" si="4"/>
        <v>20.27027027027027</v>
      </c>
      <c r="Q23" s="831"/>
      <c r="R23" s="831">
        <v>1</v>
      </c>
      <c r="S23" s="218">
        <f t="shared" si="5"/>
        <v>1.3513513513513513</v>
      </c>
      <c r="T23" s="219"/>
    </row>
    <row r="24" spans="1:21" ht="13.25" customHeight="1">
      <c r="A24" s="95" t="s">
        <v>716</v>
      </c>
      <c r="B24" s="155">
        <f t="shared" si="7"/>
        <v>13</v>
      </c>
      <c r="D24" s="105">
        <f t="shared" si="6"/>
        <v>0.44719642242862062</v>
      </c>
      <c r="F24" s="831">
        <v>1</v>
      </c>
      <c r="G24" s="289">
        <f t="shared" si="1"/>
        <v>7.6923076923076925</v>
      </c>
      <c r="H24" s="831"/>
      <c r="I24" s="831">
        <v>5</v>
      </c>
      <c r="J24" s="289">
        <f t="shared" si="2"/>
        <v>38.461538461538467</v>
      </c>
      <c r="K24" s="831"/>
      <c r="L24" s="831">
        <v>7</v>
      </c>
      <c r="M24" s="289">
        <f t="shared" si="3"/>
        <v>53.846153846153847</v>
      </c>
      <c r="N24" s="831"/>
      <c r="O24" s="831">
        <v>0</v>
      </c>
      <c r="P24" s="289">
        <f t="shared" si="4"/>
        <v>0</v>
      </c>
      <c r="Q24" s="831"/>
      <c r="R24" s="831">
        <v>0</v>
      </c>
      <c r="S24" s="218">
        <f t="shared" si="5"/>
        <v>0</v>
      </c>
      <c r="T24" s="219"/>
    </row>
    <row r="25" spans="1:21" ht="13.25" customHeight="1">
      <c r="A25" s="95" t="s">
        <v>717</v>
      </c>
      <c r="B25" s="155">
        <f t="shared" si="7"/>
        <v>102</v>
      </c>
      <c r="D25" s="105">
        <f t="shared" si="6"/>
        <v>3.5087719298245612</v>
      </c>
      <c r="F25" s="831">
        <v>4</v>
      </c>
      <c r="G25" s="289">
        <f t="shared" si="1"/>
        <v>3.9215686274509802</v>
      </c>
      <c r="H25" s="831"/>
      <c r="I25" s="831">
        <v>60</v>
      </c>
      <c r="J25" s="289">
        <f t="shared" si="2"/>
        <v>58.82352941176471</v>
      </c>
      <c r="K25" s="831"/>
      <c r="L25" s="831">
        <v>34</v>
      </c>
      <c r="M25" s="289">
        <f t="shared" si="3"/>
        <v>33.333333333333329</v>
      </c>
      <c r="N25" s="831"/>
      <c r="O25" s="831">
        <v>3</v>
      </c>
      <c r="P25" s="289">
        <f t="shared" si="4"/>
        <v>2.9411764705882351</v>
      </c>
      <c r="Q25" s="831"/>
      <c r="R25" s="831">
        <v>1</v>
      </c>
      <c r="S25" s="218">
        <f t="shared" si="5"/>
        <v>0.98039215686274506</v>
      </c>
      <c r="T25" s="219"/>
    </row>
    <row r="26" spans="1:21" ht="13.25" customHeight="1">
      <c r="A26" s="95" t="s">
        <v>718</v>
      </c>
      <c r="B26" s="155">
        <f t="shared" si="7"/>
        <v>29</v>
      </c>
      <c r="D26" s="105">
        <f t="shared" si="6"/>
        <v>0.99759201926384578</v>
      </c>
      <c r="F26" s="831">
        <v>0</v>
      </c>
      <c r="G26" s="289">
        <f t="shared" si="1"/>
        <v>0</v>
      </c>
      <c r="H26" s="831"/>
      <c r="I26" s="831">
        <v>9</v>
      </c>
      <c r="J26" s="289">
        <f t="shared" si="2"/>
        <v>31.03448275862069</v>
      </c>
      <c r="K26" s="831"/>
      <c r="L26" s="831">
        <v>5</v>
      </c>
      <c r="M26" s="289">
        <f t="shared" si="3"/>
        <v>17.241379310344829</v>
      </c>
      <c r="N26" s="831"/>
      <c r="O26" s="831">
        <v>14</v>
      </c>
      <c r="P26" s="289">
        <f t="shared" si="4"/>
        <v>48.275862068965516</v>
      </c>
      <c r="Q26" s="831"/>
      <c r="R26" s="831">
        <v>1</v>
      </c>
      <c r="S26" s="218">
        <f t="shared" si="5"/>
        <v>3.4482758620689653</v>
      </c>
      <c r="T26" s="219"/>
    </row>
    <row r="27" spans="1:21" ht="13.25" customHeight="1">
      <c r="A27" s="95" t="s">
        <v>719</v>
      </c>
      <c r="B27" s="155">
        <f t="shared" si="7"/>
        <v>55</v>
      </c>
      <c r="D27" s="105">
        <f t="shared" si="6"/>
        <v>1.8919848641210868</v>
      </c>
      <c r="F27" s="831">
        <v>0</v>
      </c>
      <c r="G27" s="289">
        <f t="shared" si="1"/>
        <v>0</v>
      </c>
      <c r="H27" s="831"/>
      <c r="I27" s="831">
        <v>20</v>
      </c>
      <c r="J27" s="289">
        <f t="shared" si="2"/>
        <v>36.363636363636367</v>
      </c>
      <c r="K27" s="831"/>
      <c r="L27" s="831">
        <v>20</v>
      </c>
      <c r="M27" s="289">
        <f t="shared" si="3"/>
        <v>36.363636363636367</v>
      </c>
      <c r="N27" s="831"/>
      <c r="O27" s="831">
        <v>15</v>
      </c>
      <c r="P27" s="289">
        <f t="shared" si="4"/>
        <v>27.27272727272727</v>
      </c>
      <c r="Q27" s="831"/>
      <c r="R27" s="831">
        <v>0</v>
      </c>
      <c r="S27" s="218">
        <f t="shared" si="5"/>
        <v>0</v>
      </c>
      <c r="T27" s="219"/>
    </row>
    <row r="28" spans="1:21" ht="13.25" customHeight="1">
      <c r="A28" s="95" t="s">
        <v>720</v>
      </c>
      <c r="B28" s="155">
        <f t="shared" si="7"/>
        <v>53</v>
      </c>
      <c r="D28" s="105">
        <f t="shared" si="6"/>
        <v>1.8231854145166839</v>
      </c>
      <c r="F28" s="831">
        <v>1</v>
      </c>
      <c r="G28" s="289">
        <f t="shared" si="1"/>
        <v>1.8867924528301887</v>
      </c>
      <c r="H28" s="831"/>
      <c r="I28" s="831">
        <v>21</v>
      </c>
      <c r="J28" s="289">
        <f t="shared" si="2"/>
        <v>39.622641509433961</v>
      </c>
      <c r="K28" s="831"/>
      <c r="L28" s="831">
        <v>20</v>
      </c>
      <c r="M28" s="289">
        <f t="shared" si="3"/>
        <v>37.735849056603776</v>
      </c>
      <c r="N28" s="831"/>
      <c r="O28" s="831">
        <v>11</v>
      </c>
      <c r="P28" s="289">
        <f t="shared" si="4"/>
        <v>20.754716981132077</v>
      </c>
      <c r="Q28" s="831"/>
      <c r="R28" s="831">
        <v>0</v>
      </c>
      <c r="S28" s="218">
        <f t="shared" si="5"/>
        <v>0</v>
      </c>
      <c r="T28" s="219"/>
    </row>
    <row r="29" spans="1:21" ht="13.25" customHeight="1">
      <c r="A29" s="95" t="s">
        <v>721</v>
      </c>
      <c r="B29" s="155">
        <f t="shared" si="7"/>
        <v>1</v>
      </c>
      <c r="D29" s="105">
        <f t="shared" si="6"/>
        <v>3.4399724802201583E-2</v>
      </c>
      <c r="F29" s="831">
        <v>0</v>
      </c>
      <c r="G29" s="289">
        <f t="shared" si="1"/>
        <v>0</v>
      </c>
      <c r="H29" s="831"/>
      <c r="I29" s="831">
        <v>1</v>
      </c>
      <c r="J29" s="289">
        <f t="shared" si="2"/>
        <v>100</v>
      </c>
      <c r="K29" s="831"/>
      <c r="L29" s="831">
        <v>0</v>
      </c>
      <c r="M29" s="289">
        <f t="shared" si="3"/>
        <v>0</v>
      </c>
      <c r="N29" s="831"/>
      <c r="O29" s="831">
        <v>0</v>
      </c>
      <c r="P29" s="289">
        <f t="shared" si="4"/>
        <v>0</v>
      </c>
      <c r="Q29" s="831"/>
      <c r="R29" s="831">
        <v>0</v>
      </c>
      <c r="S29" s="218">
        <f t="shared" si="5"/>
        <v>0</v>
      </c>
      <c r="T29" s="219"/>
    </row>
    <row r="30" spans="1:21" ht="13.25" customHeight="1">
      <c r="A30" s="95" t="s">
        <v>722</v>
      </c>
      <c r="B30" s="155">
        <f t="shared" si="7"/>
        <v>67</v>
      </c>
      <c r="D30" s="105">
        <f t="shared" si="6"/>
        <v>2.304781561747506</v>
      </c>
      <c r="F30" s="831">
        <v>0</v>
      </c>
      <c r="G30" s="289">
        <f t="shared" si="1"/>
        <v>0</v>
      </c>
      <c r="H30" s="831"/>
      <c r="I30" s="831">
        <v>37</v>
      </c>
      <c r="J30" s="289">
        <f t="shared" si="2"/>
        <v>55.223880597014926</v>
      </c>
      <c r="K30" s="831"/>
      <c r="L30" s="831">
        <v>20</v>
      </c>
      <c r="M30" s="289">
        <f t="shared" si="3"/>
        <v>29.850746268656714</v>
      </c>
      <c r="N30" s="831"/>
      <c r="O30" s="831">
        <v>9</v>
      </c>
      <c r="P30" s="289">
        <f t="shared" si="4"/>
        <v>13.432835820895523</v>
      </c>
      <c r="Q30" s="831"/>
      <c r="R30" s="831">
        <v>1</v>
      </c>
      <c r="S30" s="218">
        <f t="shared" si="5"/>
        <v>1.4925373134328357</v>
      </c>
      <c r="T30" s="219"/>
    </row>
    <row r="31" spans="1:21" ht="13.25" customHeight="1">
      <c r="A31" s="95" t="s">
        <v>723</v>
      </c>
      <c r="B31" s="155">
        <f t="shared" si="7"/>
        <v>26</v>
      </c>
      <c r="D31" s="105">
        <f t="shared" si="6"/>
        <v>0.89439284485724124</v>
      </c>
      <c r="F31" s="831">
        <v>1</v>
      </c>
      <c r="G31" s="289">
        <f t="shared" si="1"/>
        <v>3.8461538461538463</v>
      </c>
      <c r="H31" s="831"/>
      <c r="I31" s="831">
        <v>17</v>
      </c>
      <c r="J31" s="289">
        <f t="shared" si="2"/>
        <v>65.384615384615387</v>
      </c>
      <c r="K31" s="831"/>
      <c r="L31" s="831">
        <v>7</v>
      </c>
      <c r="M31" s="289">
        <f t="shared" si="3"/>
        <v>26.923076923076923</v>
      </c>
      <c r="N31" s="831"/>
      <c r="O31" s="831">
        <v>1</v>
      </c>
      <c r="P31" s="289">
        <f t="shared" si="4"/>
        <v>3.8461538461538463</v>
      </c>
      <c r="Q31" s="831"/>
      <c r="R31" s="831">
        <v>0</v>
      </c>
      <c r="S31" s="218">
        <f t="shared" si="5"/>
        <v>0</v>
      </c>
      <c r="T31" s="219"/>
    </row>
    <row r="32" spans="1:21" ht="13.25" customHeight="1">
      <c r="A32" s="95" t="s">
        <v>724</v>
      </c>
      <c r="B32" s="155">
        <f t="shared" si="7"/>
        <v>28</v>
      </c>
      <c r="D32" s="105">
        <f t="shared" si="6"/>
        <v>0.96319229446164434</v>
      </c>
      <c r="F32" s="831">
        <v>0</v>
      </c>
      <c r="G32" s="289">
        <f t="shared" si="1"/>
        <v>0</v>
      </c>
      <c r="H32" s="831"/>
      <c r="I32" s="831">
        <v>24</v>
      </c>
      <c r="J32" s="289">
        <f t="shared" si="2"/>
        <v>85.714285714285708</v>
      </c>
      <c r="K32" s="831"/>
      <c r="L32" s="831">
        <v>2</v>
      </c>
      <c r="M32" s="289">
        <f t="shared" si="3"/>
        <v>7.1428571428571423</v>
      </c>
      <c r="N32" s="831"/>
      <c r="O32" s="831">
        <v>2</v>
      </c>
      <c r="P32" s="289">
        <f t="shared" si="4"/>
        <v>7.1428571428571423</v>
      </c>
      <c r="Q32" s="831"/>
      <c r="R32" s="831">
        <v>0</v>
      </c>
      <c r="S32" s="218">
        <f t="shared" si="5"/>
        <v>0</v>
      </c>
      <c r="T32" s="219"/>
    </row>
    <row r="33" spans="1:20" ht="13.25" customHeight="1">
      <c r="A33" s="95" t="s">
        <v>725</v>
      </c>
      <c r="B33" s="155">
        <f t="shared" si="7"/>
        <v>5</v>
      </c>
      <c r="D33" s="105">
        <f t="shared" si="6"/>
        <v>0.17199862401100791</v>
      </c>
      <c r="F33" s="831">
        <v>0</v>
      </c>
      <c r="G33" s="289">
        <f t="shared" si="1"/>
        <v>0</v>
      </c>
      <c r="H33" s="831"/>
      <c r="I33" s="831">
        <v>1</v>
      </c>
      <c r="J33" s="289">
        <f t="shared" si="2"/>
        <v>20</v>
      </c>
      <c r="K33" s="831"/>
      <c r="L33" s="831">
        <v>0</v>
      </c>
      <c r="M33" s="289">
        <f t="shared" si="3"/>
        <v>0</v>
      </c>
      <c r="N33" s="831"/>
      <c r="O33" s="831">
        <v>4</v>
      </c>
      <c r="P33" s="289">
        <f t="shared" si="4"/>
        <v>80</v>
      </c>
      <c r="Q33" s="831"/>
      <c r="R33" s="831">
        <v>0</v>
      </c>
      <c r="S33" s="218">
        <f t="shared" si="5"/>
        <v>0</v>
      </c>
      <c r="T33" s="219"/>
    </row>
    <row r="34" spans="1:20" ht="13.25" customHeight="1">
      <c r="A34" s="95" t="s">
        <v>726</v>
      </c>
      <c r="B34" s="155">
        <f t="shared" si="7"/>
        <v>21</v>
      </c>
      <c r="D34" s="105">
        <f t="shared" si="6"/>
        <v>0.72239422084623317</v>
      </c>
      <c r="F34" s="831">
        <v>2</v>
      </c>
      <c r="G34" s="289">
        <f t="shared" si="1"/>
        <v>9.5238095238095237</v>
      </c>
      <c r="H34" s="831"/>
      <c r="I34" s="831">
        <v>16</v>
      </c>
      <c r="J34" s="289">
        <f t="shared" si="2"/>
        <v>76.19047619047619</v>
      </c>
      <c r="K34" s="831"/>
      <c r="L34" s="831">
        <v>3</v>
      </c>
      <c r="M34" s="289">
        <f t="shared" si="3"/>
        <v>14.285714285714285</v>
      </c>
      <c r="N34" s="831"/>
      <c r="O34" s="831">
        <v>0</v>
      </c>
      <c r="P34" s="289">
        <f t="shared" si="4"/>
        <v>0</v>
      </c>
      <c r="Q34" s="831"/>
      <c r="R34" s="831">
        <v>0</v>
      </c>
      <c r="S34" s="218">
        <f t="shared" si="5"/>
        <v>0</v>
      </c>
      <c r="T34" s="219"/>
    </row>
    <row r="35" spans="1:20" ht="13.25" customHeight="1">
      <c r="A35" s="127" t="s">
        <v>727</v>
      </c>
      <c r="B35" s="155">
        <f t="shared" si="7"/>
        <v>3</v>
      </c>
      <c r="D35" s="105">
        <f t="shared" si="6"/>
        <v>0.10319917440660474</v>
      </c>
      <c r="F35" s="831">
        <v>0</v>
      </c>
      <c r="G35" s="289">
        <f t="shared" si="1"/>
        <v>0</v>
      </c>
      <c r="H35" s="831"/>
      <c r="I35" s="831">
        <v>3</v>
      </c>
      <c r="J35" s="289">
        <f t="shared" si="2"/>
        <v>100</v>
      </c>
      <c r="K35" s="831"/>
      <c r="L35" s="831">
        <v>0</v>
      </c>
      <c r="M35" s="289">
        <f t="shared" si="3"/>
        <v>0</v>
      </c>
      <c r="N35" s="831"/>
      <c r="O35" s="831">
        <v>0</v>
      </c>
      <c r="P35" s="289">
        <f t="shared" si="4"/>
        <v>0</v>
      </c>
      <c r="Q35" s="831"/>
      <c r="R35" s="831">
        <v>0</v>
      </c>
      <c r="S35" s="218">
        <f t="shared" si="5"/>
        <v>0</v>
      </c>
      <c r="T35" s="219"/>
    </row>
    <row r="36" spans="1:20" ht="13.25" customHeight="1">
      <c r="A36" s="127" t="s">
        <v>728</v>
      </c>
      <c r="B36" s="155">
        <f t="shared" si="7"/>
        <v>46</v>
      </c>
      <c r="D36" s="105">
        <f t="shared" si="6"/>
        <v>1.5823873409012728</v>
      </c>
      <c r="F36" s="831">
        <v>0</v>
      </c>
      <c r="G36" s="289">
        <f t="shared" si="1"/>
        <v>0</v>
      </c>
      <c r="H36" s="831"/>
      <c r="I36" s="831">
        <v>30</v>
      </c>
      <c r="J36" s="289">
        <f t="shared" si="2"/>
        <v>65.217391304347828</v>
      </c>
      <c r="K36" s="831"/>
      <c r="L36" s="831">
        <v>4</v>
      </c>
      <c r="M36" s="289">
        <f t="shared" si="3"/>
        <v>8.695652173913043</v>
      </c>
      <c r="N36" s="831"/>
      <c r="O36" s="831">
        <v>12</v>
      </c>
      <c r="P36" s="289">
        <f t="shared" si="4"/>
        <v>26.086956521739129</v>
      </c>
      <c r="Q36" s="831"/>
      <c r="R36" s="831">
        <v>0</v>
      </c>
      <c r="S36" s="218">
        <f t="shared" si="5"/>
        <v>0</v>
      </c>
      <c r="T36" s="219"/>
    </row>
    <row r="37" spans="1:20" ht="13.25" customHeight="1">
      <c r="A37" s="127" t="s">
        <v>729</v>
      </c>
      <c r="B37" s="155">
        <f t="shared" si="7"/>
        <v>31</v>
      </c>
      <c r="D37" s="105">
        <f t="shared" si="6"/>
        <v>1.0663914688682492</v>
      </c>
      <c r="F37" s="831">
        <v>0</v>
      </c>
      <c r="G37" s="289">
        <f t="shared" si="1"/>
        <v>0</v>
      </c>
      <c r="H37" s="831"/>
      <c r="I37" s="831">
        <v>22</v>
      </c>
      <c r="J37" s="289">
        <f t="shared" si="2"/>
        <v>70.967741935483872</v>
      </c>
      <c r="K37" s="831"/>
      <c r="L37" s="831">
        <v>9</v>
      </c>
      <c r="M37" s="289">
        <f t="shared" si="3"/>
        <v>29.032258064516132</v>
      </c>
      <c r="N37" s="831"/>
      <c r="O37" s="831">
        <v>0</v>
      </c>
      <c r="P37" s="289">
        <f t="shared" si="4"/>
        <v>0</v>
      </c>
      <c r="Q37" s="831"/>
      <c r="R37" s="831">
        <v>0</v>
      </c>
      <c r="S37" s="218">
        <f t="shared" si="5"/>
        <v>0</v>
      </c>
      <c r="T37" s="219"/>
    </row>
    <row r="38" spans="1:20" ht="13.25" customHeight="1">
      <c r="A38" s="95" t="s">
        <v>730</v>
      </c>
      <c r="B38" s="155">
        <f t="shared" si="7"/>
        <v>13</v>
      </c>
      <c r="D38" s="105">
        <f t="shared" si="6"/>
        <v>0.44719642242862062</v>
      </c>
      <c r="F38" s="831">
        <v>0</v>
      </c>
      <c r="G38" s="289">
        <f t="shared" si="1"/>
        <v>0</v>
      </c>
      <c r="H38" s="831"/>
      <c r="I38" s="831">
        <v>7</v>
      </c>
      <c r="J38" s="289">
        <f t="shared" si="2"/>
        <v>53.846153846153847</v>
      </c>
      <c r="K38" s="831"/>
      <c r="L38" s="831">
        <v>3</v>
      </c>
      <c r="M38" s="289">
        <f t="shared" si="3"/>
        <v>23.076923076923077</v>
      </c>
      <c r="N38" s="831"/>
      <c r="O38" s="831">
        <v>2</v>
      </c>
      <c r="P38" s="289">
        <f t="shared" si="4"/>
        <v>15.384615384615385</v>
      </c>
      <c r="Q38" s="831"/>
      <c r="R38" s="831">
        <v>1</v>
      </c>
      <c r="S38" s="218">
        <f t="shared" si="5"/>
        <v>7.6923076923076925</v>
      </c>
      <c r="T38" s="219"/>
    </row>
    <row r="39" spans="1:20" ht="13.25" customHeight="1">
      <c r="A39" s="95" t="s">
        <v>731</v>
      </c>
      <c r="B39" s="155">
        <f t="shared" si="7"/>
        <v>71</v>
      </c>
      <c r="D39" s="105">
        <f t="shared" si="6"/>
        <v>2.4423804609563122</v>
      </c>
      <c r="F39" s="831">
        <v>1</v>
      </c>
      <c r="G39" s="289">
        <f t="shared" si="1"/>
        <v>1.4084507042253522</v>
      </c>
      <c r="H39" s="831"/>
      <c r="I39" s="831">
        <v>43</v>
      </c>
      <c r="J39" s="289">
        <f t="shared" si="2"/>
        <v>60.563380281690137</v>
      </c>
      <c r="K39" s="831"/>
      <c r="L39" s="831">
        <v>23</v>
      </c>
      <c r="M39" s="289">
        <f t="shared" si="3"/>
        <v>32.394366197183103</v>
      </c>
      <c r="N39" s="831"/>
      <c r="O39" s="831">
        <v>4</v>
      </c>
      <c r="P39" s="289">
        <f t="shared" si="4"/>
        <v>5.6338028169014089</v>
      </c>
      <c r="Q39" s="831"/>
      <c r="R39" s="831">
        <v>0</v>
      </c>
      <c r="S39" s="218">
        <f t="shared" si="5"/>
        <v>0</v>
      </c>
      <c r="T39" s="219"/>
    </row>
    <row r="40" spans="1:20" ht="13.25" customHeight="1">
      <c r="A40" s="95" t="s">
        <v>732</v>
      </c>
      <c r="B40" s="155">
        <f t="shared" si="7"/>
        <v>59</v>
      </c>
      <c r="D40" s="105">
        <f t="shared" si="6"/>
        <v>2.0295837633298937</v>
      </c>
      <c r="F40" s="831">
        <v>0</v>
      </c>
      <c r="G40" s="289">
        <f t="shared" si="1"/>
        <v>0</v>
      </c>
      <c r="H40" s="831"/>
      <c r="I40" s="831">
        <v>30</v>
      </c>
      <c r="J40" s="289">
        <f t="shared" si="2"/>
        <v>50.847457627118644</v>
      </c>
      <c r="K40" s="831"/>
      <c r="L40" s="831">
        <v>27</v>
      </c>
      <c r="M40" s="289">
        <f t="shared" si="3"/>
        <v>45.762711864406782</v>
      </c>
      <c r="N40" s="831"/>
      <c r="O40" s="831">
        <v>1</v>
      </c>
      <c r="P40" s="289">
        <f t="shared" si="4"/>
        <v>1.6949152542372881</v>
      </c>
      <c r="Q40" s="831"/>
      <c r="R40" s="831">
        <v>1</v>
      </c>
      <c r="S40" s="218">
        <f t="shared" si="5"/>
        <v>1.6949152542372881</v>
      </c>
      <c r="T40" s="219"/>
    </row>
    <row r="41" spans="1:20" ht="13.25" customHeight="1">
      <c r="A41" s="95" t="s">
        <v>733</v>
      </c>
      <c r="B41" s="155">
        <f t="shared" si="7"/>
        <v>34</v>
      </c>
      <c r="D41" s="105">
        <f t="shared" si="6"/>
        <v>1.1695906432748537</v>
      </c>
      <c r="F41" s="831">
        <v>4</v>
      </c>
      <c r="G41" s="289">
        <f t="shared" si="1"/>
        <v>11.76470588235294</v>
      </c>
      <c r="H41" s="831"/>
      <c r="I41" s="831">
        <v>25</v>
      </c>
      <c r="J41" s="289">
        <f t="shared" si="2"/>
        <v>73.529411764705884</v>
      </c>
      <c r="K41" s="831"/>
      <c r="L41" s="831">
        <v>5</v>
      </c>
      <c r="M41" s="289">
        <f t="shared" si="3"/>
        <v>14.705882352941178</v>
      </c>
      <c r="N41" s="831"/>
      <c r="O41" s="831">
        <v>0</v>
      </c>
      <c r="P41" s="289">
        <f t="shared" si="4"/>
        <v>0</v>
      </c>
      <c r="Q41" s="831"/>
      <c r="R41" s="831">
        <v>0</v>
      </c>
      <c r="S41" s="218">
        <f t="shared" si="5"/>
        <v>0</v>
      </c>
      <c r="T41" s="219"/>
    </row>
    <row r="42" spans="1:20" ht="13.25" customHeight="1">
      <c r="A42" s="95" t="s">
        <v>734</v>
      </c>
      <c r="B42" s="155">
        <f t="shared" si="7"/>
        <v>42</v>
      </c>
      <c r="D42" s="105">
        <f t="shared" si="6"/>
        <v>1.4447884416924663</v>
      </c>
      <c r="F42" s="831">
        <v>0</v>
      </c>
      <c r="G42" s="289">
        <f t="shared" si="1"/>
        <v>0</v>
      </c>
      <c r="H42" s="831"/>
      <c r="I42" s="831">
        <v>23</v>
      </c>
      <c r="J42" s="289">
        <f t="shared" si="2"/>
        <v>54.761904761904766</v>
      </c>
      <c r="K42" s="831"/>
      <c r="L42" s="831">
        <v>15</v>
      </c>
      <c r="M42" s="289">
        <f t="shared" si="3"/>
        <v>35.714285714285715</v>
      </c>
      <c r="N42" s="831"/>
      <c r="O42" s="831">
        <v>4</v>
      </c>
      <c r="P42" s="289">
        <f t="shared" si="4"/>
        <v>9.5238095238095237</v>
      </c>
      <c r="Q42" s="831"/>
      <c r="R42" s="831">
        <v>0</v>
      </c>
      <c r="S42" s="218">
        <f t="shared" si="5"/>
        <v>0</v>
      </c>
      <c r="T42" s="219"/>
    </row>
    <row r="43" spans="1:20" ht="13.25" customHeight="1">
      <c r="A43" s="95" t="s">
        <v>735</v>
      </c>
      <c r="B43" s="155">
        <f t="shared" si="7"/>
        <v>66</v>
      </c>
      <c r="D43" s="105">
        <f t="shared" si="6"/>
        <v>2.2703818369453046</v>
      </c>
      <c r="F43" s="831">
        <v>1</v>
      </c>
      <c r="G43" s="289">
        <f t="shared" si="1"/>
        <v>1.5151515151515151</v>
      </c>
      <c r="H43" s="831"/>
      <c r="I43" s="831">
        <v>55</v>
      </c>
      <c r="J43" s="289">
        <f t="shared" si="2"/>
        <v>83.333333333333343</v>
      </c>
      <c r="K43" s="831"/>
      <c r="L43" s="831">
        <v>10</v>
      </c>
      <c r="M43" s="289">
        <f t="shared" si="3"/>
        <v>15.151515151515152</v>
      </c>
      <c r="N43" s="831"/>
      <c r="O43" s="831">
        <v>0</v>
      </c>
      <c r="P43" s="289">
        <f t="shared" si="4"/>
        <v>0</v>
      </c>
      <c r="Q43" s="831"/>
      <c r="R43" s="831">
        <v>0</v>
      </c>
      <c r="S43" s="218">
        <f t="shared" si="5"/>
        <v>0</v>
      </c>
      <c r="T43" s="219"/>
    </row>
    <row r="44" spans="1:20" ht="11.25" customHeight="1">
      <c r="A44" s="95" t="s">
        <v>736</v>
      </c>
      <c r="B44" s="155">
        <f t="shared" si="7"/>
        <v>21</v>
      </c>
      <c r="D44" s="105">
        <f t="shared" si="6"/>
        <v>0.72239422084623317</v>
      </c>
      <c r="F44" s="831">
        <v>0</v>
      </c>
      <c r="G44" s="289">
        <f t="shared" si="1"/>
        <v>0</v>
      </c>
      <c r="H44" s="831"/>
      <c r="I44" s="831">
        <v>5</v>
      </c>
      <c r="J44" s="289">
        <f t="shared" si="2"/>
        <v>23.809523809523807</v>
      </c>
      <c r="K44" s="831"/>
      <c r="L44" s="831">
        <v>15</v>
      </c>
      <c r="M44" s="289">
        <f t="shared" si="3"/>
        <v>71.428571428571431</v>
      </c>
      <c r="N44" s="831"/>
      <c r="O44" s="831">
        <v>1</v>
      </c>
      <c r="P44" s="289">
        <f t="shared" si="4"/>
        <v>4.7619047619047619</v>
      </c>
      <c r="Q44" s="831"/>
      <c r="R44" s="831">
        <v>0</v>
      </c>
      <c r="S44" s="218">
        <f t="shared" si="5"/>
        <v>0</v>
      </c>
      <c r="T44" s="219"/>
    </row>
    <row r="45" spans="1:20" ht="13.25" customHeight="1">
      <c r="A45" s="95" t="s">
        <v>737</v>
      </c>
      <c r="B45" s="155">
        <f t="shared" si="7"/>
        <v>125</v>
      </c>
      <c r="D45" s="105">
        <f t="shared" si="6"/>
        <v>4.2999656002751978</v>
      </c>
      <c r="F45" s="831">
        <v>0</v>
      </c>
      <c r="G45" s="289">
        <f t="shared" si="1"/>
        <v>0</v>
      </c>
      <c r="H45" s="831"/>
      <c r="I45" s="831">
        <v>51</v>
      </c>
      <c r="J45" s="289">
        <f t="shared" si="2"/>
        <v>40.799999999999997</v>
      </c>
      <c r="K45" s="831"/>
      <c r="L45" s="831">
        <v>21</v>
      </c>
      <c r="M45" s="289">
        <f t="shared" si="3"/>
        <v>16.8</v>
      </c>
      <c r="N45" s="831"/>
      <c r="O45" s="831">
        <v>52</v>
      </c>
      <c r="P45" s="289">
        <f t="shared" si="4"/>
        <v>41.6</v>
      </c>
      <c r="Q45" s="831"/>
      <c r="R45" s="831">
        <v>1</v>
      </c>
      <c r="S45" s="218">
        <f t="shared" si="5"/>
        <v>0.8</v>
      </c>
      <c r="T45" s="219"/>
    </row>
    <row r="46" spans="1:20" ht="13.25" customHeight="1">
      <c r="A46" s="95" t="s">
        <v>738</v>
      </c>
      <c r="B46" s="155">
        <f t="shared" si="7"/>
        <v>50</v>
      </c>
      <c r="D46" s="105">
        <f t="shared" si="6"/>
        <v>1.7199862401100792</v>
      </c>
      <c r="F46" s="831">
        <v>0</v>
      </c>
      <c r="G46" s="289">
        <f t="shared" si="1"/>
        <v>0</v>
      </c>
      <c r="H46" s="831"/>
      <c r="I46" s="831">
        <v>26</v>
      </c>
      <c r="J46" s="289">
        <f t="shared" si="2"/>
        <v>52</v>
      </c>
      <c r="K46" s="831"/>
      <c r="L46" s="831">
        <v>19</v>
      </c>
      <c r="M46" s="289">
        <f t="shared" si="3"/>
        <v>38</v>
      </c>
      <c r="N46" s="831"/>
      <c r="O46" s="831">
        <v>5</v>
      </c>
      <c r="P46" s="289">
        <f t="shared" si="4"/>
        <v>10</v>
      </c>
      <c r="Q46" s="831"/>
      <c r="R46" s="831">
        <v>0</v>
      </c>
      <c r="S46" s="218">
        <f t="shared" si="5"/>
        <v>0</v>
      </c>
      <c r="T46" s="219"/>
    </row>
    <row r="47" spans="1:20" ht="13.25" customHeight="1">
      <c r="A47" s="95" t="s">
        <v>739</v>
      </c>
      <c r="B47" s="155">
        <f t="shared" si="7"/>
        <v>4</v>
      </c>
      <c r="D47" s="105">
        <f t="shared" si="6"/>
        <v>0.13759889920880633</v>
      </c>
      <c r="F47" s="831">
        <v>0</v>
      </c>
      <c r="G47" s="289">
        <f t="shared" si="1"/>
        <v>0</v>
      </c>
      <c r="H47" s="831"/>
      <c r="I47" s="831">
        <v>2</v>
      </c>
      <c r="J47" s="289">
        <f t="shared" si="2"/>
        <v>50</v>
      </c>
      <c r="K47" s="831"/>
      <c r="L47" s="831">
        <v>1</v>
      </c>
      <c r="M47" s="289">
        <f t="shared" si="3"/>
        <v>25</v>
      </c>
      <c r="N47" s="831"/>
      <c r="O47" s="831">
        <v>1</v>
      </c>
      <c r="P47" s="289">
        <f t="shared" si="4"/>
        <v>25</v>
      </c>
      <c r="Q47" s="831"/>
      <c r="R47" s="831">
        <v>0</v>
      </c>
      <c r="S47" s="218">
        <f t="shared" si="5"/>
        <v>0</v>
      </c>
      <c r="T47" s="219"/>
    </row>
    <row r="48" spans="1:20" ht="12.75" customHeight="1">
      <c r="A48" s="95" t="s">
        <v>740</v>
      </c>
      <c r="B48" s="155">
        <f t="shared" si="7"/>
        <v>71</v>
      </c>
      <c r="D48" s="105">
        <f t="shared" si="6"/>
        <v>2.4423804609563122</v>
      </c>
      <c r="F48" s="831">
        <v>1</v>
      </c>
      <c r="G48" s="289">
        <f t="shared" si="1"/>
        <v>1.4084507042253522</v>
      </c>
      <c r="H48" s="831"/>
      <c r="I48" s="831">
        <v>43</v>
      </c>
      <c r="J48" s="289">
        <f t="shared" si="2"/>
        <v>60.563380281690137</v>
      </c>
      <c r="K48" s="831"/>
      <c r="L48" s="831">
        <v>27</v>
      </c>
      <c r="M48" s="289">
        <f t="shared" si="3"/>
        <v>38.028169014084504</v>
      </c>
      <c r="N48" s="831"/>
      <c r="O48" s="831">
        <v>0</v>
      </c>
      <c r="P48" s="289">
        <f t="shared" si="4"/>
        <v>0</v>
      </c>
      <c r="Q48" s="831"/>
      <c r="R48" s="831">
        <v>0</v>
      </c>
      <c r="S48" s="218">
        <f t="shared" si="5"/>
        <v>0</v>
      </c>
      <c r="T48" s="219"/>
    </row>
    <row r="49" spans="1:20" ht="12.75" customHeight="1">
      <c r="A49" s="95" t="s">
        <v>741</v>
      </c>
      <c r="B49" s="155">
        <f t="shared" si="7"/>
        <v>27</v>
      </c>
      <c r="D49" s="105">
        <f t="shared" si="6"/>
        <v>0.92879256965944268</v>
      </c>
      <c r="F49" s="831">
        <v>0</v>
      </c>
      <c r="G49" s="289">
        <f t="shared" si="1"/>
        <v>0</v>
      </c>
      <c r="H49" s="831"/>
      <c r="I49" s="831">
        <v>20</v>
      </c>
      <c r="J49" s="289">
        <f t="shared" si="2"/>
        <v>74.074074074074076</v>
      </c>
      <c r="K49" s="831"/>
      <c r="L49" s="831">
        <v>5</v>
      </c>
      <c r="M49" s="289">
        <f t="shared" si="3"/>
        <v>18.518518518518519</v>
      </c>
      <c r="N49" s="831"/>
      <c r="O49" s="831">
        <v>1</v>
      </c>
      <c r="P49" s="289">
        <f t="shared" si="4"/>
        <v>3.7037037037037033</v>
      </c>
      <c r="Q49" s="831"/>
      <c r="R49" s="831">
        <v>1</v>
      </c>
      <c r="S49" s="218"/>
      <c r="T49" s="219"/>
    </row>
    <row r="50" spans="1:20" ht="13.25" customHeight="1">
      <c r="A50" s="95" t="s">
        <v>743</v>
      </c>
      <c r="B50" s="155">
        <f t="shared" si="7"/>
        <v>24</v>
      </c>
      <c r="D50" s="105">
        <f t="shared" si="6"/>
        <v>0.82559339525283792</v>
      </c>
      <c r="F50" s="832">
        <v>0</v>
      </c>
      <c r="G50" s="289">
        <f t="shared" si="1"/>
        <v>0</v>
      </c>
      <c r="H50" s="832"/>
      <c r="I50" s="832">
        <v>24</v>
      </c>
      <c r="J50" s="289">
        <f t="shared" si="2"/>
        <v>100</v>
      </c>
      <c r="K50" s="832"/>
      <c r="L50" s="832">
        <v>0</v>
      </c>
      <c r="M50" s="289">
        <f t="shared" si="3"/>
        <v>0</v>
      </c>
      <c r="N50" s="832"/>
      <c r="O50" s="832">
        <v>0</v>
      </c>
      <c r="P50" s="289">
        <f t="shared" si="4"/>
        <v>0</v>
      </c>
      <c r="Q50" s="832"/>
      <c r="R50" s="832">
        <v>0</v>
      </c>
      <c r="S50" s="218">
        <f t="shared" si="5"/>
        <v>0</v>
      </c>
      <c r="T50" s="219"/>
    </row>
    <row r="51" spans="1:20" ht="13.25" customHeight="1">
      <c r="A51" s="95" t="s">
        <v>742</v>
      </c>
      <c r="B51" s="155">
        <f t="shared" si="7"/>
        <v>14</v>
      </c>
      <c r="D51" s="105">
        <f t="shared" si="6"/>
        <v>0.48159614723082217</v>
      </c>
      <c r="F51" s="831">
        <v>0</v>
      </c>
      <c r="G51" s="289">
        <f t="shared" si="1"/>
        <v>0</v>
      </c>
      <c r="H51" s="831"/>
      <c r="I51" s="831">
        <v>1</v>
      </c>
      <c r="J51" s="289">
        <f t="shared" si="2"/>
        <v>7.1428571428571423</v>
      </c>
      <c r="K51" s="831"/>
      <c r="L51" s="831">
        <v>6</v>
      </c>
      <c r="M51" s="289">
        <f t="shared" si="3"/>
        <v>42.857142857142854</v>
      </c>
      <c r="N51" s="831"/>
      <c r="O51" s="831">
        <v>7</v>
      </c>
      <c r="P51" s="289">
        <f t="shared" si="4"/>
        <v>50</v>
      </c>
      <c r="Q51" s="831"/>
      <c r="R51" s="831">
        <v>0</v>
      </c>
      <c r="S51" s="218">
        <f t="shared" si="5"/>
        <v>0</v>
      </c>
      <c r="T51" s="219"/>
    </row>
    <row r="52" spans="1:20" ht="13.25" customHeight="1">
      <c r="A52" s="95" t="s">
        <v>744</v>
      </c>
      <c r="B52" s="155">
        <f t="shared" si="7"/>
        <v>43</v>
      </c>
      <c r="D52" s="105">
        <f t="shared" si="6"/>
        <v>1.479188166494668</v>
      </c>
      <c r="F52" s="831">
        <v>1</v>
      </c>
      <c r="G52" s="289">
        <f t="shared" si="1"/>
        <v>2.3255813953488373</v>
      </c>
      <c r="H52" s="831"/>
      <c r="I52" s="831">
        <v>26</v>
      </c>
      <c r="J52" s="289">
        <f t="shared" si="2"/>
        <v>60.465116279069761</v>
      </c>
      <c r="K52" s="831"/>
      <c r="L52" s="831">
        <v>2</v>
      </c>
      <c r="M52" s="289">
        <f t="shared" si="3"/>
        <v>4.6511627906976747</v>
      </c>
      <c r="N52" s="831"/>
      <c r="O52" s="831">
        <v>14</v>
      </c>
      <c r="P52" s="289">
        <f t="shared" si="4"/>
        <v>32.558139534883722</v>
      </c>
      <c r="Q52" s="831"/>
      <c r="R52" s="831">
        <v>0</v>
      </c>
      <c r="S52" s="218">
        <f t="shared" si="5"/>
        <v>0</v>
      </c>
      <c r="T52" s="219"/>
    </row>
    <row r="53" spans="1:20" ht="13.25" customHeight="1">
      <c r="A53" s="95" t="s">
        <v>746</v>
      </c>
      <c r="B53" s="155">
        <f t="shared" si="7"/>
        <v>52</v>
      </c>
      <c r="D53" s="105">
        <f t="shared" si="6"/>
        <v>1.7887856897144825</v>
      </c>
      <c r="F53" s="831">
        <v>2</v>
      </c>
      <c r="G53" s="289">
        <f t="shared" si="1"/>
        <v>3.8461538461538463</v>
      </c>
      <c r="H53" s="831"/>
      <c r="I53" s="831">
        <v>29</v>
      </c>
      <c r="J53" s="289">
        <f t="shared" si="2"/>
        <v>55.769230769230774</v>
      </c>
      <c r="K53" s="831"/>
      <c r="L53" s="831">
        <v>10</v>
      </c>
      <c r="M53" s="289">
        <f t="shared" si="3"/>
        <v>19.230769230769234</v>
      </c>
      <c r="N53" s="831"/>
      <c r="O53" s="831">
        <v>10</v>
      </c>
      <c r="P53" s="289">
        <f t="shared" si="4"/>
        <v>19.230769230769234</v>
      </c>
      <c r="Q53" s="831"/>
      <c r="R53" s="831">
        <v>1</v>
      </c>
      <c r="S53" s="218">
        <f t="shared" si="5"/>
        <v>1.9230769230769231</v>
      </c>
      <c r="T53" s="219"/>
    </row>
    <row r="54" spans="1:20" ht="13.25" customHeight="1">
      <c r="A54" s="95" t="s">
        <v>747</v>
      </c>
      <c r="B54" s="155">
        <f t="shared" si="7"/>
        <v>14</v>
      </c>
      <c r="D54" s="105">
        <f t="shared" si="6"/>
        <v>0.48159614723082217</v>
      </c>
      <c r="F54" s="831">
        <v>0</v>
      </c>
      <c r="G54" s="289">
        <f t="shared" si="1"/>
        <v>0</v>
      </c>
      <c r="H54" s="831"/>
      <c r="I54" s="831">
        <v>11</v>
      </c>
      <c r="J54" s="289">
        <f t="shared" si="2"/>
        <v>78.571428571428569</v>
      </c>
      <c r="K54" s="831"/>
      <c r="L54" s="831">
        <v>2</v>
      </c>
      <c r="M54" s="289">
        <f t="shared" si="3"/>
        <v>14.285714285714285</v>
      </c>
      <c r="N54" s="831"/>
      <c r="O54" s="831">
        <v>1</v>
      </c>
      <c r="P54" s="289">
        <f t="shared" si="4"/>
        <v>7.1428571428571423</v>
      </c>
      <c r="Q54" s="831"/>
      <c r="R54" s="831">
        <v>0</v>
      </c>
      <c r="S54" s="218">
        <f t="shared" si="5"/>
        <v>0</v>
      </c>
      <c r="T54" s="219"/>
    </row>
    <row r="55" spans="1:20" ht="13.25" customHeight="1">
      <c r="A55" s="95" t="s">
        <v>748</v>
      </c>
      <c r="B55" s="155">
        <f t="shared" si="7"/>
        <v>25</v>
      </c>
      <c r="D55" s="105">
        <f t="shared" si="6"/>
        <v>0.85999312005503958</v>
      </c>
      <c r="F55" s="831">
        <v>0</v>
      </c>
      <c r="G55" s="289">
        <f t="shared" si="1"/>
        <v>0</v>
      </c>
      <c r="H55" s="831"/>
      <c r="I55" s="831">
        <v>9</v>
      </c>
      <c r="J55" s="289">
        <f t="shared" si="2"/>
        <v>36</v>
      </c>
      <c r="K55" s="831"/>
      <c r="L55" s="831">
        <v>1</v>
      </c>
      <c r="M55" s="289">
        <f t="shared" si="3"/>
        <v>4</v>
      </c>
      <c r="N55" s="831"/>
      <c r="O55" s="831">
        <v>14</v>
      </c>
      <c r="P55" s="289">
        <f t="shared" si="4"/>
        <v>56.000000000000007</v>
      </c>
      <c r="Q55" s="831"/>
      <c r="R55" s="831">
        <v>1</v>
      </c>
      <c r="S55" s="218">
        <f t="shared" si="5"/>
        <v>4</v>
      </c>
      <c r="T55" s="219"/>
    </row>
    <row r="56" spans="1:20" ht="13.25" customHeight="1">
      <c r="A56" s="95" t="s">
        <v>749</v>
      </c>
      <c r="B56" s="155">
        <f t="shared" si="7"/>
        <v>20</v>
      </c>
      <c r="D56" s="105">
        <f t="shared" si="6"/>
        <v>0.68799449604403162</v>
      </c>
      <c r="F56" s="831">
        <v>0</v>
      </c>
      <c r="G56" s="289">
        <f t="shared" si="1"/>
        <v>0</v>
      </c>
      <c r="H56" s="831"/>
      <c r="I56" s="831">
        <v>4</v>
      </c>
      <c r="J56" s="289">
        <f t="shared" si="2"/>
        <v>20</v>
      </c>
      <c r="K56" s="831"/>
      <c r="L56" s="831">
        <v>3</v>
      </c>
      <c r="M56" s="289">
        <f t="shared" si="3"/>
        <v>15</v>
      </c>
      <c r="N56" s="831"/>
      <c r="O56" s="831">
        <v>13</v>
      </c>
      <c r="P56" s="289">
        <f t="shared" si="4"/>
        <v>65</v>
      </c>
      <c r="Q56" s="831"/>
      <c r="R56" s="831">
        <v>0</v>
      </c>
      <c r="S56" s="218">
        <f t="shared" si="5"/>
        <v>0</v>
      </c>
      <c r="T56" s="219"/>
    </row>
    <row r="57" spans="1:20" ht="12.75" customHeight="1">
      <c r="A57" s="95" t="s">
        <v>750</v>
      </c>
      <c r="B57" s="155">
        <f t="shared" si="7"/>
        <v>13</v>
      </c>
      <c r="D57" s="105">
        <f t="shared" si="6"/>
        <v>0.44719642242862062</v>
      </c>
      <c r="F57" s="831">
        <v>0</v>
      </c>
      <c r="G57" s="289">
        <f t="shared" si="1"/>
        <v>0</v>
      </c>
      <c r="H57" s="831"/>
      <c r="I57" s="831">
        <v>7</v>
      </c>
      <c r="J57" s="289">
        <f t="shared" si="2"/>
        <v>53.846153846153847</v>
      </c>
      <c r="K57" s="831"/>
      <c r="L57" s="831">
        <v>6</v>
      </c>
      <c r="M57" s="289">
        <f t="shared" si="3"/>
        <v>46.153846153846153</v>
      </c>
      <c r="N57" s="831"/>
      <c r="O57" s="831">
        <v>0</v>
      </c>
      <c r="P57" s="289">
        <f t="shared" si="4"/>
        <v>0</v>
      </c>
      <c r="Q57" s="831"/>
      <c r="R57" s="831">
        <v>0</v>
      </c>
      <c r="S57" s="218">
        <f t="shared" si="5"/>
        <v>0</v>
      </c>
      <c r="T57" s="219"/>
    </row>
    <row r="58" spans="1:20" ht="11.25" customHeight="1">
      <c r="A58" s="95" t="s">
        <v>751</v>
      </c>
      <c r="B58" s="155">
        <f t="shared" si="7"/>
        <v>35</v>
      </c>
      <c r="D58" s="105">
        <f t="shared" si="6"/>
        <v>1.2039903680770554</v>
      </c>
      <c r="F58" s="831">
        <v>1</v>
      </c>
      <c r="G58" s="289">
        <f t="shared" si="1"/>
        <v>2.8571428571428572</v>
      </c>
      <c r="H58" s="831"/>
      <c r="I58" s="831">
        <v>21</v>
      </c>
      <c r="J58" s="289">
        <f t="shared" si="2"/>
        <v>60</v>
      </c>
      <c r="K58" s="831"/>
      <c r="L58" s="831">
        <v>6</v>
      </c>
      <c r="M58" s="289">
        <f t="shared" si="3"/>
        <v>17.142857142857142</v>
      </c>
      <c r="N58" s="831"/>
      <c r="O58" s="831">
        <v>7</v>
      </c>
      <c r="P58" s="289">
        <f t="shared" si="4"/>
        <v>20</v>
      </c>
      <c r="Q58" s="831"/>
      <c r="R58" s="831">
        <v>0</v>
      </c>
      <c r="S58" s="218">
        <f t="shared" si="5"/>
        <v>0</v>
      </c>
      <c r="T58" s="219"/>
    </row>
    <row r="59" spans="1:20" ht="11.25" customHeight="1">
      <c r="A59" s="95" t="s">
        <v>752</v>
      </c>
      <c r="B59" s="155">
        <f t="shared" si="7"/>
        <v>13</v>
      </c>
      <c r="D59" s="105">
        <f t="shared" si="6"/>
        <v>0.44719642242862062</v>
      </c>
      <c r="F59" s="831">
        <v>2</v>
      </c>
      <c r="G59" s="289">
        <f t="shared" si="1"/>
        <v>15.384615384615385</v>
      </c>
      <c r="H59" s="831"/>
      <c r="I59" s="831">
        <v>3</v>
      </c>
      <c r="J59" s="289">
        <f t="shared" si="2"/>
        <v>23.076923076923077</v>
      </c>
      <c r="K59" s="831"/>
      <c r="L59" s="831">
        <v>2</v>
      </c>
      <c r="M59" s="289">
        <f t="shared" si="3"/>
        <v>15.384615384615385</v>
      </c>
      <c r="N59" s="831"/>
      <c r="O59" s="831">
        <v>6</v>
      </c>
      <c r="P59" s="289">
        <f t="shared" si="4"/>
        <v>46.153846153846153</v>
      </c>
      <c r="Q59" s="831"/>
      <c r="R59" s="831">
        <v>0</v>
      </c>
      <c r="S59" s="218">
        <f t="shared" si="5"/>
        <v>0</v>
      </c>
      <c r="T59" s="219"/>
    </row>
    <row r="60" spans="1:20" ht="13.25" customHeight="1">
      <c r="A60" s="111" t="s">
        <v>753</v>
      </c>
      <c r="B60" s="155">
        <f t="shared" si="7"/>
        <v>2</v>
      </c>
      <c r="D60" s="105">
        <f>IF(A60&lt;&gt;0,B60/$B$12*100,"")</f>
        <v>6.8799449604403165E-2</v>
      </c>
      <c r="F60" s="831">
        <v>0</v>
      </c>
      <c r="G60" s="289">
        <f t="shared" si="1"/>
        <v>0</v>
      </c>
      <c r="H60" s="831"/>
      <c r="I60" s="831">
        <v>1</v>
      </c>
      <c r="J60" s="289">
        <f t="shared" si="2"/>
        <v>50</v>
      </c>
      <c r="K60" s="831"/>
      <c r="L60" s="831">
        <v>1</v>
      </c>
      <c r="M60" s="289">
        <f t="shared" si="3"/>
        <v>50</v>
      </c>
      <c r="N60" s="831"/>
      <c r="O60" s="831">
        <v>0</v>
      </c>
      <c r="P60" s="289">
        <f t="shared" si="4"/>
        <v>0</v>
      </c>
      <c r="Q60" s="831"/>
      <c r="R60" s="831">
        <v>0</v>
      </c>
      <c r="S60" s="218">
        <f t="shared" si="5"/>
        <v>0</v>
      </c>
      <c r="T60" s="219"/>
    </row>
    <row r="61" spans="1:20" ht="13.25" customHeight="1">
      <c r="A61" s="106" t="s">
        <v>754</v>
      </c>
      <c r="B61" s="155">
        <f t="shared" si="7"/>
        <v>22</v>
      </c>
      <c r="D61" s="105">
        <f t="shared" ref="D61:D99" si="8">IF(A61&lt;&gt;0,B61/$B$12*100,"")</f>
        <v>0.75679394564843483</v>
      </c>
      <c r="F61" s="831">
        <v>1</v>
      </c>
      <c r="G61" s="289">
        <f t="shared" si="1"/>
        <v>4.5454545454545459</v>
      </c>
      <c r="H61" s="831"/>
      <c r="I61" s="831">
        <v>11</v>
      </c>
      <c r="J61" s="289">
        <f t="shared" si="2"/>
        <v>50</v>
      </c>
      <c r="K61" s="831"/>
      <c r="L61" s="831">
        <v>10</v>
      </c>
      <c r="M61" s="289">
        <f t="shared" si="3"/>
        <v>45.454545454545453</v>
      </c>
      <c r="N61" s="831"/>
      <c r="O61" s="831">
        <v>0</v>
      </c>
      <c r="P61" s="289">
        <f t="shared" si="4"/>
        <v>0</v>
      </c>
      <c r="Q61" s="831"/>
      <c r="R61" s="831">
        <v>0</v>
      </c>
      <c r="S61" s="218">
        <f t="shared" si="5"/>
        <v>0</v>
      </c>
      <c r="T61" s="219"/>
    </row>
    <row r="62" spans="1:20" ht="13.25" customHeight="1">
      <c r="A62" s="95" t="s">
        <v>755</v>
      </c>
      <c r="B62" s="155">
        <f t="shared" si="7"/>
        <v>59</v>
      </c>
      <c r="D62" s="105">
        <f t="shared" si="8"/>
        <v>2.0295837633298937</v>
      </c>
      <c r="F62" s="831">
        <v>2</v>
      </c>
      <c r="G62" s="289">
        <f t="shared" si="1"/>
        <v>3.3898305084745761</v>
      </c>
      <c r="H62" s="831"/>
      <c r="I62" s="831">
        <v>31</v>
      </c>
      <c r="J62" s="289">
        <f t="shared" si="2"/>
        <v>52.542372881355938</v>
      </c>
      <c r="K62" s="831"/>
      <c r="L62" s="831">
        <v>18</v>
      </c>
      <c r="M62" s="289">
        <f t="shared" si="3"/>
        <v>30.508474576271187</v>
      </c>
      <c r="N62" s="831"/>
      <c r="O62" s="831">
        <v>8</v>
      </c>
      <c r="P62" s="289">
        <f t="shared" si="4"/>
        <v>13.559322033898304</v>
      </c>
      <c r="Q62" s="831"/>
      <c r="R62" s="831">
        <v>0</v>
      </c>
      <c r="S62" s="218">
        <f t="shared" si="5"/>
        <v>0</v>
      </c>
      <c r="T62" s="219"/>
    </row>
    <row r="63" spans="1:20" ht="13.25" customHeight="1">
      <c r="A63" s="95" t="s">
        <v>756</v>
      </c>
      <c r="B63" s="155">
        <f t="shared" si="7"/>
        <v>70</v>
      </c>
      <c r="D63" s="105">
        <f t="shared" si="8"/>
        <v>2.4079807361541108</v>
      </c>
      <c r="F63" s="831">
        <v>2</v>
      </c>
      <c r="G63" s="289">
        <f t="shared" si="1"/>
        <v>2.8571428571428572</v>
      </c>
      <c r="H63" s="831"/>
      <c r="I63" s="831">
        <v>53</v>
      </c>
      <c r="J63" s="289">
        <f t="shared" si="2"/>
        <v>75.714285714285708</v>
      </c>
      <c r="K63" s="831"/>
      <c r="L63" s="831">
        <v>13</v>
      </c>
      <c r="M63" s="289">
        <f t="shared" si="3"/>
        <v>18.571428571428573</v>
      </c>
      <c r="N63" s="831"/>
      <c r="O63" s="831">
        <v>2</v>
      </c>
      <c r="P63" s="289">
        <f t="shared" si="4"/>
        <v>2.8571428571428572</v>
      </c>
      <c r="Q63" s="831"/>
      <c r="R63" s="831">
        <v>0</v>
      </c>
      <c r="S63" s="218">
        <f t="shared" si="5"/>
        <v>0</v>
      </c>
      <c r="T63" s="219"/>
    </row>
    <row r="64" spans="1:20" ht="13.25" customHeight="1">
      <c r="A64" s="95" t="s">
        <v>757</v>
      </c>
      <c r="B64" s="155">
        <f t="shared" si="7"/>
        <v>22</v>
      </c>
      <c r="D64" s="105">
        <f t="shared" si="8"/>
        <v>0.75679394564843483</v>
      </c>
      <c r="F64" s="831">
        <v>0</v>
      </c>
      <c r="G64" s="289">
        <f t="shared" si="1"/>
        <v>0</v>
      </c>
      <c r="H64" s="831"/>
      <c r="I64" s="831">
        <v>2</v>
      </c>
      <c r="J64" s="289">
        <f t="shared" si="2"/>
        <v>9.0909090909090917</v>
      </c>
      <c r="K64" s="831"/>
      <c r="L64" s="831">
        <v>4</v>
      </c>
      <c r="M64" s="289">
        <f t="shared" si="3"/>
        <v>18.181818181818183</v>
      </c>
      <c r="N64" s="831"/>
      <c r="O64" s="831">
        <v>14</v>
      </c>
      <c r="P64" s="289">
        <f t="shared" si="4"/>
        <v>63.636363636363633</v>
      </c>
      <c r="Q64" s="831"/>
      <c r="R64" s="831">
        <v>2</v>
      </c>
      <c r="S64" s="218">
        <f t="shared" si="5"/>
        <v>9.0909090909090917</v>
      </c>
      <c r="T64" s="219"/>
    </row>
    <row r="65" spans="1:20" ht="13.25" customHeight="1">
      <c r="A65" s="95" t="s">
        <v>758</v>
      </c>
      <c r="B65" s="155">
        <f t="shared" si="7"/>
        <v>38</v>
      </c>
      <c r="D65" s="105">
        <f t="shared" si="8"/>
        <v>1.3071895424836601</v>
      </c>
      <c r="F65" s="831">
        <v>1</v>
      </c>
      <c r="G65" s="289">
        <f t="shared" si="1"/>
        <v>2.6315789473684208</v>
      </c>
      <c r="H65" s="831"/>
      <c r="I65" s="831">
        <v>30</v>
      </c>
      <c r="J65" s="289">
        <f t="shared" si="2"/>
        <v>78.94736842105263</v>
      </c>
      <c r="K65" s="831"/>
      <c r="L65" s="831">
        <v>7</v>
      </c>
      <c r="M65" s="289">
        <f t="shared" si="3"/>
        <v>18.421052631578945</v>
      </c>
      <c r="N65" s="831"/>
      <c r="O65" s="831">
        <v>0</v>
      </c>
      <c r="P65" s="289">
        <f t="shared" si="4"/>
        <v>0</v>
      </c>
      <c r="Q65" s="831"/>
      <c r="R65" s="831">
        <v>0</v>
      </c>
      <c r="S65" s="218">
        <f t="shared" si="5"/>
        <v>0</v>
      </c>
      <c r="T65" s="219"/>
    </row>
    <row r="66" spans="1:20" ht="13.25" customHeight="1">
      <c r="A66" s="33" t="s">
        <v>759</v>
      </c>
      <c r="B66" s="155">
        <f t="shared" si="7"/>
        <v>22</v>
      </c>
      <c r="D66" s="105">
        <f t="shared" si="8"/>
        <v>0.75679394564843483</v>
      </c>
      <c r="F66" s="831">
        <v>0</v>
      </c>
      <c r="G66" s="289">
        <f t="shared" si="1"/>
        <v>0</v>
      </c>
      <c r="H66" s="831"/>
      <c r="I66" s="831">
        <v>13</v>
      </c>
      <c r="J66" s="289">
        <f t="shared" si="2"/>
        <v>59.090909090909093</v>
      </c>
      <c r="K66" s="831"/>
      <c r="L66" s="831">
        <v>6</v>
      </c>
      <c r="M66" s="289">
        <f t="shared" si="3"/>
        <v>27.27272727272727</v>
      </c>
      <c r="N66" s="831"/>
      <c r="O66" s="831">
        <v>3</v>
      </c>
      <c r="P66" s="289">
        <f t="shared" si="4"/>
        <v>13.636363636363635</v>
      </c>
      <c r="Q66" s="831"/>
      <c r="R66" s="831">
        <v>0</v>
      </c>
      <c r="S66" s="218">
        <f t="shared" si="5"/>
        <v>0</v>
      </c>
      <c r="T66" s="219"/>
    </row>
    <row r="67" spans="1:20" ht="13.25" customHeight="1">
      <c r="A67" s="95" t="s">
        <v>760</v>
      </c>
      <c r="B67" s="155">
        <f t="shared" si="7"/>
        <v>6</v>
      </c>
      <c r="D67" s="105">
        <f t="shared" si="8"/>
        <v>0.20639834881320948</v>
      </c>
      <c r="F67" s="831">
        <v>0</v>
      </c>
      <c r="G67" s="289">
        <f t="shared" si="1"/>
        <v>0</v>
      </c>
      <c r="H67" s="831"/>
      <c r="I67" s="831">
        <v>6</v>
      </c>
      <c r="J67" s="289">
        <f t="shared" si="2"/>
        <v>100</v>
      </c>
      <c r="K67" s="831"/>
      <c r="L67" s="831">
        <v>0</v>
      </c>
      <c r="M67" s="289">
        <f t="shared" si="3"/>
        <v>0</v>
      </c>
      <c r="N67" s="831"/>
      <c r="O67" s="831">
        <v>0</v>
      </c>
      <c r="P67" s="289">
        <f t="shared" si="4"/>
        <v>0</v>
      </c>
      <c r="Q67" s="831"/>
      <c r="R67" s="831">
        <v>0</v>
      </c>
      <c r="S67" s="218">
        <f t="shared" si="5"/>
        <v>0</v>
      </c>
      <c r="T67" s="219"/>
    </row>
    <row r="68" spans="1:20" ht="13.25" customHeight="1">
      <c r="A68" s="95" t="s">
        <v>761</v>
      </c>
      <c r="B68" s="155">
        <f t="shared" si="7"/>
        <v>44</v>
      </c>
      <c r="D68" s="105">
        <f t="shared" si="8"/>
        <v>1.5135878912968697</v>
      </c>
      <c r="F68" s="831">
        <v>1</v>
      </c>
      <c r="G68" s="289">
        <f t="shared" si="1"/>
        <v>2.2727272727272729</v>
      </c>
      <c r="H68" s="831"/>
      <c r="I68" s="831">
        <v>28</v>
      </c>
      <c r="J68" s="289">
        <f t="shared" si="2"/>
        <v>63.636363636363633</v>
      </c>
      <c r="K68" s="831"/>
      <c r="L68" s="831">
        <v>11</v>
      </c>
      <c r="M68" s="289">
        <f t="shared" si="3"/>
        <v>25</v>
      </c>
      <c r="N68" s="831"/>
      <c r="O68" s="831">
        <v>2</v>
      </c>
      <c r="P68" s="289">
        <f t="shared" si="4"/>
        <v>4.5454545454545459</v>
      </c>
      <c r="Q68" s="831"/>
      <c r="R68" s="831">
        <v>2</v>
      </c>
      <c r="S68" s="218">
        <f t="shared" si="5"/>
        <v>4.5454545454545459</v>
      </c>
      <c r="T68" s="219"/>
    </row>
    <row r="69" spans="1:20" ht="13.25" customHeight="1">
      <c r="A69" s="95" t="s">
        <v>762</v>
      </c>
      <c r="B69" s="155">
        <f t="shared" si="7"/>
        <v>81</v>
      </c>
      <c r="D69" s="105">
        <f t="shared" si="8"/>
        <v>2.7863777089783279</v>
      </c>
      <c r="F69" s="831">
        <v>1</v>
      </c>
      <c r="G69" s="289">
        <f t="shared" si="1"/>
        <v>1.2345679012345678</v>
      </c>
      <c r="H69" s="831"/>
      <c r="I69" s="831">
        <v>55</v>
      </c>
      <c r="J69" s="289">
        <f t="shared" si="2"/>
        <v>67.901234567901241</v>
      </c>
      <c r="K69" s="831"/>
      <c r="L69" s="831">
        <v>17</v>
      </c>
      <c r="M69" s="289">
        <f t="shared" si="3"/>
        <v>20.987654320987652</v>
      </c>
      <c r="N69" s="831"/>
      <c r="O69" s="831">
        <v>8</v>
      </c>
      <c r="P69" s="289">
        <f t="shared" si="4"/>
        <v>9.8765432098765427</v>
      </c>
      <c r="Q69" s="831"/>
      <c r="R69" s="831">
        <v>0</v>
      </c>
      <c r="S69" s="218">
        <f t="shared" si="5"/>
        <v>0</v>
      </c>
      <c r="T69" s="219"/>
    </row>
    <row r="70" spans="1:20" ht="13.25" customHeight="1">
      <c r="A70" s="95" t="s">
        <v>763</v>
      </c>
      <c r="B70" s="155">
        <f t="shared" si="7"/>
        <v>52</v>
      </c>
      <c r="D70" s="105">
        <f t="shared" si="8"/>
        <v>1.7887856897144825</v>
      </c>
      <c r="F70" s="831">
        <v>0</v>
      </c>
      <c r="G70" s="289">
        <f t="shared" si="1"/>
        <v>0</v>
      </c>
      <c r="H70" s="831"/>
      <c r="I70" s="831">
        <v>22</v>
      </c>
      <c r="J70" s="289">
        <f t="shared" si="2"/>
        <v>42.307692307692307</v>
      </c>
      <c r="K70" s="831"/>
      <c r="L70" s="831">
        <v>26</v>
      </c>
      <c r="M70" s="289">
        <f t="shared" si="3"/>
        <v>50</v>
      </c>
      <c r="N70" s="831"/>
      <c r="O70" s="831">
        <v>4</v>
      </c>
      <c r="P70" s="289">
        <f t="shared" si="4"/>
        <v>7.6923076923076925</v>
      </c>
      <c r="Q70" s="831"/>
      <c r="R70" s="831">
        <v>0</v>
      </c>
      <c r="S70" s="218">
        <f t="shared" si="5"/>
        <v>0</v>
      </c>
      <c r="T70" s="219"/>
    </row>
    <row r="71" spans="1:20" ht="13.25" customHeight="1">
      <c r="A71" s="95" t="s">
        <v>764</v>
      </c>
      <c r="B71" s="155">
        <f t="shared" si="7"/>
        <v>40</v>
      </c>
      <c r="D71" s="105">
        <f t="shared" si="8"/>
        <v>1.3759889920880632</v>
      </c>
      <c r="F71" s="831">
        <v>1</v>
      </c>
      <c r="G71" s="289">
        <f t="shared" si="1"/>
        <v>2.5</v>
      </c>
      <c r="H71" s="831"/>
      <c r="I71" s="831">
        <v>12</v>
      </c>
      <c r="J71" s="289">
        <f t="shared" si="2"/>
        <v>30</v>
      </c>
      <c r="K71" s="831"/>
      <c r="L71" s="831">
        <v>24</v>
      </c>
      <c r="M71" s="289">
        <f t="shared" si="3"/>
        <v>60</v>
      </c>
      <c r="N71" s="831"/>
      <c r="O71" s="831">
        <v>3</v>
      </c>
      <c r="P71" s="289">
        <f t="shared" si="4"/>
        <v>7.5</v>
      </c>
      <c r="Q71" s="831"/>
      <c r="R71" s="831">
        <v>0</v>
      </c>
      <c r="S71" s="218">
        <f t="shared" si="5"/>
        <v>0</v>
      </c>
      <c r="T71" s="219"/>
    </row>
    <row r="72" spans="1:20" ht="13.25" customHeight="1">
      <c r="A72" s="95" t="s">
        <v>765</v>
      </c>
      <c r="B72" s="155">
        <f t="shared" si="7"/>
        <v>20</v>
      </c>
      <c r="D72" s="105">
        <f t="shared" si="8"/>
        <v>0.68799449604403162</v>
      </c>
      <c r="F72" s="831">
        <v>0</v>
      </c>
      <c r="G72" s="289">
        <f t="shared" si="1"/>
        <v>0</v>
      </c>
      <c r="H72" s="831"/>
      <c r="I72" s="831">
        <v>11</v>
      </c>
      <c r="J72" s="289">
        <f t="shared" si="2"/>
        <v>55.000000000000007</v>
      </c>
      <c r="K72" s="831"/>
      <c r="L72" s="831">
        <v>9</v>
      </c>
      <c r="M72" s="289">
        <f t="shared" si="3"/>
        <v>45</v>
      </c>
      <c r="N72" s="831"/>
      <c r="O72" s="831">
        <v>0</v>
      </c>
      <c r="P72" s="289">
        <f t="shared" si="4"/>
        <v>0</v>
      </c>
      <c r="Q72" s="831"/>
      <c r="R72" s="831">
        <v>0</v>
      </c>
      <c r="S72" s="218">
        <f t="shared" si="5"/>
        <v>0</v>
      </c>
      <c r="T72" s="219"/>
    </row>
    <row r="73" spans="1:20" ht="13.25" customHeight="1">
      <c r="A73" s="95" t="s">
        <v>766</v>
      </c>
      <c r="B73" s="155">
        <f t="shared" si="7"/>
        <v>19</v>
      </c>
      <c r="D73" s="105">
        <f t="shared" si="8"/>
        <v>0.65359477124183007</v>
      </c>
      <c r="F73" s="831">
        <v>0</v>
      </c>
      <c r="G73" s="289">
        <f t="shared" si="1"/>
        <v>0</v>
      </c>
      <c r="H73" s="831"/>
      <c r="I73" s="831">
        <v>0</v>
      </c>
      <c r="J73" s="289">
        <f t="shared" si="2"/>
        <v>0</v>
      </c>
      <c r="K73" s="831"/>
      <c r="L73" s="831">
        <v>14</v>
      </c>
      <c r="M73" s="289">
        <f t="shared" si="3"/>
        <v>73.68421052631578</v>
      </c>
      <c r="N73" s="831"/>
      <c r="O73" s="831">
        <v>5</v>
      </c>
      <c r="P73" s="289">
        <f t="shared" si="4"/>
        <v>26.315789473684209</v>
      </c>
      <c r="Q73" s="831"/>
      <c r="R73" s="831">
        <v>0</v>
      </c>
      <c r="S73" s="218">
        <f t="shared" si="5"/>
        <v>0</v>
      </c>
      <c r="T73" s="219"/>
    </row>
    <row r="74" spans="1:20" ht="13.25" customHeight="1">
      <c r="A74" s="95" t="s">
        <v>767</v>
      </c>
      <c r="B74" s="155">
        <f t="shared" si="7"/>
        <v>10</v>
      </c>
      <c r="D74" s="105">
        <f t="shared" si="8"/>
        <v>0.34399724802201581</v>
      </c>
      <c r="F74" s="831">
        <v>0</v>
      </c>
      <c r="G74" s="289">
        <f t="shared" si="1"/>
        <v>0</v>
      </c>
      <c r="H74" s="831"/>
      <c r="I74" s="831">
        <v>0</v>
      </c>
      <c r="J74" s="289">
        <f t="shared" si="2"/>
        <v>0</v>
      </c>
      <c r="K74" s="831"/>
      <c r="L74" s="831">
        <v>9</v>
      </c>
      <c r="M74" s="289">
        <f t="shared" si="3"/>
        <v>90</v>
      </c>
      <c r="N74" s="831"/>
      <c r="O74" s="831">
        <v>1</v>
      </c>
      <c r="P74" s="289">
        <f t="shared" si="4"/>
        <v>10</v>
      </c>
      <c r="Q74" s="831"/>
      <c r="R74" s="831">
        <v>0</v>
      </c>
      <c r="S74" s="218">
        <f t="shared" si="5"/>
        <v>0</v>
      </c>
      <c r="T74" s="219"/>
    </row>
    <row r="75" spans="1:20" ht="13.25" customHeight="1">
      <c r="A75" s="95" t="s">
        <v>768</v>
      </c>
      <c r="B75" s="155">
        <f t="shared" si="7"/>
        <v>52</v>
      </c>
      <c r="D75" s="105">
        <f t="shared" si="8"/>
        <v>1.7887856897144825</v>
      </c>
      <c r="F75" s="831">
        <v>1</v>
      </c>
      <c r="G75" s="289">
        <f t="shared" si="1"/>
        <v>1.9230769230769231</v>
      </c>
      <c r="H75" s="831"/>
      <c r="I75" s="831">
        <v>33</v>
      </c>
      <c r="J75" s="289">
        <f t="shared" si="2"/>
        <v>63.46153846153846</v>
      </c>
      <c r="K75" s="831"/>
      <c r="L75" s="831">
        <v>10</v>
      </c>
      <c r="M75" s="289">
        <f t="shared" si="3"/>
        <v>19.230769230769234</v>
      </c>
      <c r="N75" s="831"/>
      <c r="O75" s="831">
        <v>6</v>
      </c>
      <c r="P75" s="289">
        <f t="shared" si="4"/>
        <v>11.538461538461538</v>
      </c>
      <c r="Q75" s="831"/>
      <c r="R75" s="831">
        <v>2</v>
      </c>
      <c r="S75" s="218">
        <f t="shared" si="5"/>
        <v>3.8461538461538463</v>
      </c>
      <c r="T75" s="219"/>
    </row>
    <row r="76" spans="1:20" ht="13.25" customHeight="1">
      <c r="A76" s="95" t="s">
        <v>769</v>
      </c>
      <c r="B76" s="155">
        <f t="shared" si="7"/>
        <v>30</v>
      </c>
      <c r="D76" s="105">
        <f t="shared" si="8"/>
        <v>1.0319917440660475</v>
      </c>
      <c r="F76" s="831">
        <v>0</v>
      </c>
      <c r="G76" s="289">
        <f t="shared" ref="G76:G101" si="9">IF($A76&lt;&gt;0,F76/$B76*100,"")</f>
        <v>0</v>
      </c>
      <c r="H76" s="831"/>
      <c r="I76" s="831">
        <v>21</v>
      </c>
      <c r="J76" s="289">
        <f t="shared" ref="J76:J101" si="10">IF($A76&lt;&gt;0,I76/$B76*100,"")</f>
        <v>70</v>
      </c>
      <c r="K76" s="831"/>
      <c r="L76" s="831">
        <v>7</v>
      </c>
      <c r="M76" s="289">
        <f t="shared" ref="M76:M101" si="11">IF($A76&lt;&gt;0,L76/$B76*100,"")</f>
        <v>23.333333333333332</v>
      </c>
      <c r="N76" s="831"/>
      <c r="O76" s="831">
        <v>1</v>
      </c>
      <c r="P76" s="289">
        <f t="shared" ref="P76:P101" si="12">IF($A76&lt;&gt;0,O76/$B76*100,"")</f>
        <v>3.3333333333333335</v>
      </c>
      <c r="Q76" s="831"/>
      <c r="R76" s="831">
        <v>1</v>
      </c>
      <c r="S76" s="218">
        <f t="shared" ref="S76:S99" si="13">IF($A76&lt;&gt;0,R76/$B76*100,"")</f>
        <v>3.3333333333333335</v>
      </c>
      <c r="T76" s="219"/>
    </row>
    <row r="77" spans="1:20" ht="13.25" customHeight="1">
      <c r="A77" s="95" t="s">
        <v>770</v>
      </c>
      <c r="B77" s="155">
        <f t="shared" si="7"/>
        <v>30</v>
      </c>
      <c r="D77" s="105">
        <f t="shared" si="8"/>
        <v>1.0319917440660475</v>
      </c>
      <c r="F77" s="831">
        <v>0</v>
      </c>
      <c r="G77" s="289">
        <f t="shared" si="9"/>
        <v>0</v>
      </c>
      <c r="H77" s="831"/>
      <c r="I77" s="831">
        <v>29</v>
      </c>
      <c r="J77" s="289">
        <f t="shared" si="10"/>
        <v>96.666666666666671</v>
      </c>
      <c r="K77" s="831"/>
      <c r="L77" s="831">
        <v>0</v>
      </c>
      <c r="M77" s="289">
        <f t="shared" si="11"/>
        <v>0</v>
      </c>
      <c r="N77" s="831"/>
      <c r="O77" s="831">
        <v>0</v>
      </c>
      <c r="P77" s="289">
        <f t="shared" si="12"/>
        <v>0</v>
      </c>
      <c r="Q77" s="831"/>
      <c r="R77" s="831">
        <v>1</v>
      </c>
      <c r="S77" s="218">
        <f t="shared" si="13"/>
        <v>3.3333333333333335</v>
      </c>
      <c r="T77" s="219"/>
    </row>
    <row r="78" spans="1:20" ht="13.25" customHeight="1">
      <c r="A78" s="95" t="s">
        <v>771</v>
      </c>
      <c r="B78" s="155">
        <f t="shared" si="7"/>
        <v>26</v>
      </c>
      <c r="D78" s="105">
        <f t="shared" si="8"/>
        <v>0.89439284485724124</v>
      </c>
      <c r="F78" s="831">
        <v>1</v>
      </c>
      <c r="G78" s="289">
        <f t="shared" si="9"/>
        <v>3.8461538461538463</v>
      </c>
      <c r="H78" s="831"/>
      <c r="I78" s="831">
        <v>2</v>
      </c>
      <c r="J78" s="289">
        <f t="shared" si="10"/>
        <v>7.6923076923076925</v>
      </c>
      <c r="K78" s="831"/>
      <c r="L78" s="831">
        <v>22</v>
      </c>
      <c r="M78" s="289">
        <f t="shared" si="11"/>
        <v>84.615384615384613</v>
      </c>
      <c r="N78" s="831"/>
      <c r="O78" s="831">
        <v>0</v>
      </c>
      <c r="P78" s="289">
        <f t="shared" si="12"/>
        <v>0</v>
      </c>
      <c r="Q78" s="831"/>
      <c r="R78" s="831">
        <v>1</v>
      </c>
      <c r="S78" s="218">
        <f t="shared" si="13"/>
        <v>3.8461538461538463</v>
      </c>
      <c r="T78" s="219"/>
    </row>
    <row r="79" spans="1:20" ht="13.25" customHeight="1">
      <c r="A79" s="95" t="s">
        <v>772</v>
      </c>
      <c r="B79" s="155">
        <f t="shared" si="7"/>
        <v>31</v>
      </c>
      <c r="D79" s="105">
        <f t="shared" si="8"/>
        <v>1.0663914688682492</v>
      </c>
      <c r="F79" s="831">
        <v>0</v>
      </c>
      <c r="G79" s="289">
        <f t="shared" si="9"/>
        <v>0</v>
      </c>
      <c r="H79" s="831"/>
      <c r="I79" s="831">
        <v>14</v>
      </c>
      <c r="J79" s="289">
        <f t="shared" si="10"/>
        <v>45.161290322580641</v>
      </c>
      <c r="K79" s="831"/>
      <c r="L79" s="831">
        <v>17</v>
      </c>
      <c r="M79" s="289">
        <f t="shared" si="11"/>
        <v>54.838709677419352</v>
      </c>
      <c r="N79" s="831"/>
      <c r="O79" s="831">
        <v>0</v>
      </c>
      <c r="P79" s="289">
        <f t="shared" si="12"/>
        <v>0</v>
      </c>
      <c r="Q79" s="831"/>
      <c r="R79" s="831">
        <v>0</v>
      </c>
      <c r="S79" s="218"/>
      <c r="T79" s="219"/>
    </row>
    <row r="80" spans="1:20" ht="13.25" customHeight="1">
      <c r="A80" s="95" t="s">
        <v>773</v>
      </c>
      <c r="B80" s="155">
        <f t="shared" si="7"/>
        <v>1</v>
      </c>
      <c r="D80" s="105">
        <f t="shared" si="8"/>
        <v>3.4399724802201583E-2</v>
      </c>
      <c r="F80" s="831">
        <v>1</v>
      </c>
      <c r="G80" s="289">
        <f t="shared" si="9"/>
        <v>100</v>
      </c>
      <c r="H80" s="831"/>
      <c r="I80" s="831">
        <v>0</v>
      </c>
      <c r="J80" s="289">
        <f t="shared" si="10"/>
        <v>0</v>
      </c>
      <c r="K80" s="831"/>
      <c r="L80" s="831">
        <v>0</v>
      </c>
      <c r="M80" s="289">
        <f t="shared" si="11"/>
        <v>0</v>
      </c>
      <c r="N80" s="831"/>
      <c r="O80" s="831">
        <v>0</v>
      </c>
      <c r="P80" s="289">
        <f t="shared" si="12"/>
        <v>0</v>
      </c>
      <c r="Q80" s="831"/>
      <c r="R80" s="831">
        <v>0</v>
      </c>
      <c r="S80" s="218"/>
      <c r="T80" s="219"/>
    </row>
    <row r="81" spans="1:21" ht="6.75" customHeight="1">
      <c r="B81" s="155" t="str">
        <f t="shared" si="7"/>
        <v/>
      </c>
      <c r="D81" s="105" t="str">
        <f t="shared" si="8"/>
        <v/>
      </c>
      <c r="F81" s="219"/>
      <c r="G81" s="289" t="str">
        <f t="shared" si="9"/>
        <v/>
      </c>
      <c r="H81" s="95"/>
      <c r="I81" s="219"/>
      <c r="J81" s="289" t="str">
        <f t="shared" si="10"/>
        <v/>
      </c>
      <c r="K81" s="95"/>
      <c r="L81" s="219"/>
      <c r="M81" s="289" t="str">
        <f t="shared" si="11"/>
        <v/>
      </c>
      <c r="N81" s="95"/>
      <c r="O81" s="219"/>
      <c r="P81" s="289" t="str">
        <f t="shared" si="12"/>
        <v/>
      </c>
      <c r="Q81" s="95"/>
      <c r="R81" s="219"/>
      <c r="S81" s="218" t="str">
        <f t="shared" si="13"/>
        <v/>
      </c>
      <c r="T81" s="219"/>
      <c r="U81" s="106"/>
    </row>
    <row r="82" spans="1:21" ht="13.25" customHeight="1">
      <c r="A82" s="55" t="s">
        <v>774</v>
      </c>
      <c r="B82" s="155">
        <f t="shared" si="7"/>
        <v>586</v>
      </c>
      <c r="D82" s="105">
        <f t="shared" si="8"/>
        <v>20.158238734090126</v>
      </c>
      <c r="F82" s="240">
        <f>SUM(F83:F85)</f>
        <v>67</v>
      </c>
      <c r="G82" s="289">
        <f t="shared" si="9"/>
        <v>11.433447098976108</v>
      </c>
      <c r="H82" s="240">
        <f>SUM(H83:H84)</f>
        <v>0</v>
      </c>
      <c r="I82" s="240">
        <f>SUM(I83:I85)</f>
        <v>325</v>
      </c>
      <c r="J82" s="289">
        <f t="shared" si="10"/>
        <v>55.460750853242324</v>
      </c>
      <c r="K82" s="240">
        <f>SUM(K83:K84)</f>
        <v>0</v>
      </c>
      <c r="L82" s="240">
        <f>SUM(L83:L85)</f>
        <v>96</v>
      </c>
      <c r="M82" s="289">
        <f t="shared" si="11"/>
        <v>16.382252559726961</v>
      </c>
      <c r="N82" s="240">
        <f>SUM(N83:N84)</f>
        <v>0</v>
      </c>
      <c r="O82" s="240">
        <f>SUM(O83:O85)</f>
        <v>90</v>
      </c>
      <c r="P82" s="289">
        <f t="shared" si="12"/>
        <v>15.358361774744028</v>
      </c>
      <c r="Q82" s="240">
        <f>SUM(Q83:Q84)</f>
        <v>0</v>
      </c>
      <c r="R82" s="240">
        <f>SUM(R83:R85)</f>
        <v>8</v>
      </c>
      <c r="S82" s="218">
        <f t="shared" si="13"/>
        <v>1.3651877133105803</v>
      </c>
      <c r="T82" s="219"/>
    </row>
    <row r="83" spans="1:21" ht="13.25" customHeight="1">
      <c r="A83" s="95" t="s">
        <v>775</v>
      </c>
      <c r="B83" s="155">
        <f t="shared" si="7"/>
        <v>170</v>
      </c>
      <c r="D83" s="105">
        <f t="shared" si="8"/>
        <v>5.8479532163742682</v>
      </c>
      <c r="F83" s="831">
        <v>0</v>
      </c>
      <c r="G83" s="289">
        <f t="shared" si="9"/>
        <v>0</v>
      </c>
      <c r="H83" s="831"/>
      <c r="I83" s="831">
        <v>70</v>
      </c>
      <c r="J83" s="289">
        <f t="shared" si="10"/>
        <v>41.17647058823529</v>
      </c>
      <c r="K83" s="831"/>
      <c r="L83" s="831">
        <v>23</v>
      </c>
      <c r="M83" s="289">
        <f t="shared" si="11"/>
        <v>13.529411764705882</v>
      </c>
      <c r="N83" s="831"/>
      <c r="O83" s="831">
        <v>69</v>
      </c>
      <c r="P83" s="289">
        <f t="shared" si="12"/>
        <v>40.588235294117645</v>
      </c>
      <c r="Q83" s="831"/>
      <c r="R83" s="831">
        <v>8</v>
      </c>
      <c r="S83" s="218">
        <f t="shared" si="13"/>
        <v>4.7058823529411766</v>
      </c>
      <c r="T83" s="219"/>
    </row>
    <row r="84" spans="1:21" ht="13.25" customHeight="1">
      <c r="A84" s="95" t="s">
        <v>776</v>
      </c>
      <c r="B84" s="155">
        <f t="shared" si="7"/>
        <v>330</v>
      </c>
      <c r="D84" s="105">
        <f t="shared" si="8"/>
        <v>11.351909184726521</v>
      </c>
      <c r="F84" s="831">
        <v>67</v>
      </c>
      <c r="G84" s="289">
        <f t="shared" si="9"/>
        <v>20.303030303030305</v>
      </c>
      <c r="H84" s="831"/>
      <c r="I84" s="831">
        <v>251</v>
      </c>
      <c r="J84" s="289">
        <f t="shared" si="10"/>
        <v>76.060606060606062</v>
      </c>
      <c r="K84" s="831"/>
      <c r="L84" s="831">
        <v>12</v>
      </c>
      <c r="M84" s="289">
        <f t="shared" si="11"/>
        <v>3.6363636363636362</v>
      </c>
      <c r="N84" s="831"/>
      <c r="O84" s="831">
        <v>0</v>
      </c>
      <c r="P84" s="289">
        <f t="shared" si="12"/>
        <v>0</v>
      </c>
      <c r="Q84" s="831"/>
      <c r="R84" s="831">
        <v>0</v>
      </c>
      <c r="S84" s="218">
        <f t="shared" si="13"/>
        <v>0</v>
      </c>
      <c r="T84" s="219"/>
    </row>
    <row r="85" spans="1:21" ht="13.25" customHeight="1">
      <c r="A85" s="95" t="s">
        <v>778</v>
      </c>
      <c r="B85" s="155">
        <f t="shared" si="7"/>
        <v>86</v>
      </c>
      <c r="D85" s="105">
        <f t="shared" si="8"/>
        <v>2.958376332989336</v>
      </c>
      <c r="F85" s="831">
        <v>0</v>
      </c>
      <c r="G85" s="289">
        <f t="shared" si="9"/>
        <v>0</v>
      </c>
      <c r="H85" s="831"/>
      <c r="I85" s="831">
        <v>4</v>
      </c>
      <c r="J85" s="289">
        <f t="shared" si="10"/>
        <v>4.6511627906976747</v>
      </c>
      <c r="K85" s="831"/>
      <c r="L85" s="831">
        <v>61</v>
      </c>
      <c r="M85" s="289">
        <f t="shared" si="11"/>
        <v>70.930232558139537</v>
      </c>
      <c r="N85" s="831"/>
      <c r="O85" s="831">
        <v>21</v>
      </c>
      <c r="P85" s="289">
        <f t="shared" si="12"/>
        <v>24.418604651162788</v>
      </c>
      <c r="Q85" s="831"/>
      <c r="R85" s="831">
        <v>0</v>
      </c>
      <c r="S85" s="218"/>
      <c r="T85" s="219"/>
    </row>
    <row r="86" spans="1:21" ht="5.25" customHeight="1">
      <c r="B86" s="155" t="str">
        <f t="shared" ref="B86:B99" si="14">IF($A86&lt;&gt;0,F86+I86+L86+O86+R86,"")</f>
        <v/>
      </c>
      <c r="D86" s="105" t="str">
        <f t="shared" si="8"/>
        <v/>
      </c>
      <c r="F86" s="288"/>
      <c r="G86" s="289" t="str">
        <f t="shared" si="9"/>
        <v/>
      </c>
      <c r="H86" s="77"/>
      <c r="I86" s="288"/>
      <c r="J86" s="289" t="str">
        <f t="shared" si="10"/>
        <v/>
      </c>
      <c r="K86" s="77"/>
      <c r="L86" s="288"/>
      <c r="M86" s="289" t="str">
        <f t="shared" si="11"/>
        <v/>
      </c>
      <c r="N86" s="77"/>
      <c r="O86" s="288"/>
      <c r="P86" s="289" t="str">
        <f t="shared" si="12"/>
        <v/>
      </c>
      <c r="Q86" s="77"/>
      <c r="R86" s="288"/>
      <c r="S86" s="218" t="str">
        <f t="shared" si="13"/>
        <v/>
      </c>
      <c r="T86" s="219"/>
      <c r="U86" s="219"/>
    </row>
    <row r="87" spans="1:21" ht="13.25" customHeight="1">
      <c r="A87" s="68" t="s">
        <v>423</v>
      </c>
      <c r="B87" s="155">
        <f t="shared" si="14"/>
        <v>160</v>
      </c>
      <c r="D87" s="105">
        <f t="shared" si="8"/>
        <v>5.503955968352253</v>
      </c>
      <c r="F87" s="288">
        <f>SUM(F89+F93)</f>
        <v>4</v>
      </c>
      <c r="G87" s="289">
        <f t="shared" si="9"/>
        <v>2.5</v>
      </c>
      <c r="H87" s="77"/>
      <c r="I87" s="288">
        <f>SUM(I89+I93)</f>
        <v>114</v>
      </c>
      <c r="J87" s="289">
        <f t="shared" si="10"/>
        <v>71.25</v>
      </c>
      <c r="K87" s="77"/>
      <c r="L87" s="288">
        <f>SUM(L89+L93)</f>
        <v>17</v>
      </c>
      <c r="M87" s="289">
        <f t="shared" si="11"/>
        <v>10.625</v>
      </c>
      <c r="N87" s="77"/>
      <c r="O87" s="288">
        <f>SUM(O89+O93)</f>
        <v>24</v>
      </c>
      <c r="P87" s="289">
        <f t="shared" si="12"/>
        <v>15</v>
      </c>
      <c r="Q87" s="77"/>
      <c r="R87" s="288">
        <f>SUM(R89+R93)</f>
        <v>1</v>
      </c>
      <c r="S87" s="218">
        <f t="shared" si="13"/>
        <v>0.625</v>
      </c>
      <c r="T87" s="219"/>
      <c r="U87" s="219"/>
    </row>
    <row r="88" spans="1:21" ht="13.25" customHeight="1">
      <c r="A88" s="68"/>
      <c r="B88" s="155" t="str">
        <f t="shared" si="14"/>
        <v/>
      </c>
      <c r="D88" s="105" t="str">
        <f t="shared" si="8"/>
        <v/>
      </c>
      <c r="F88" s="288"/>
      <c r="G88" s="289" t="str">
        <f t="shared" si="9"/>
        <v/>
      </c>
      <c r="H88" s="77"/>
      <c r="I88" s="288"/>
      <c r="J88" s="289" t="str">
        <f t="shared" si="10"/>
        <v/>
      </c>
      <c r="K88" s="77"/>
      <c r="L88" s="288"/>
      <c r="M88" s="289" t="str">
        <f t="shared" si="11"/>
        <v/>
      </c>
      <c r="N88" s="77"/>
      <c r="O88" s="288"/>
      <c r="P88" s="289" t="str">
        <f t="shared" si="12"/>
        <v/>
      </c>
      <c r="Q88" s="77"/>
      <c r="R88" s="288"/>
      <c r="S88" s="218"/>
      <c r="T88" s="219"/>
      <c r="U88" s="219"/>
    </row>
    <row r="89" spans="1:21" ht="13.25" customHeight="1">
      <c r="A89" s="68" t="s">
        <v>678</v>
      </c>
      <c r="B89" s="155">
        <f t="shared" si="14"/>
        <v>2</v>
      </c>
      <c r="D89" s="105">
        <f t="shared" si="8"/>
        <v>6.8799449604403165E-2</v>
      </c>
      <c r="F89" s="831">
        <f>SUM(F91)</f>
        <v>0</v>
      </c>
      <c r="G89" s="289">
        <f t="shared" si="9"/>
        <v>0</v>
      </c>
      <c r="H89" s="831"/>
      <c r="I89" s="831">
        <f>SUM(I91)</f>
        <v>1</v>
      </c>
      <c r="J89" s="289">
        <f t="shared" si="10"/>
        <v>50</v>
      </c>
      <c r="K89" s="831"/>
      <c r="L89" s="831">
        <f>SUM(L91)</f>
        <v>1</v>
      </c>
      <c r="M89" s="289">
        <f t="shared" si="11"/>
        <v>50</v>
      </c>
      <c r="N89" s="831"/>
      <c r="O89" s="831">
        <f>SUM(O91)</f>
        <v>0</v>
      </c>
      <c r="P89" s="289">
        <f t="shared" si="12"/>
        <v>0</v>
      </c>
      <c r="Q89" s="831"/>
      <c r="R89" s="831">
        <f>SUM(R91)</f>
        <v>0</v>
      </c>
      <c r="S89" s="218"/>
      <c r="T89" s="219"/>
      <c r="U89" s="219"/>
    </row>
    <row r="90" spans="1:21" ht="13.25" customHeight="1">
      <c r="A90" s="68"/>
      <c r="B90" s="155" t="str">
        <f t="shared" si="14"/>
        <v/>
      </c>
      <c r="D90" s="105" t="str">
        <f t="shared" si="8"/>
        <v/>
      </c>
      <c r="F90" s="288"/>
      <c r="G90" s="289" t="str">
        <f t="shared" si="9"/>
        <v/>
      </c>
      <c r="H90" s="77"/>
      <c r="I90" s="288"/>
      <c r="J90" s="289" t="str">
        <f t="shared" si="10"/>
        <v/>
      </c>
      <c r="K90" s="77"/>
      <c r="L90" s="288"/>
      <c r="M90" s="289" t="str">
        <f t="shared" si="11"/>
        <v/>
      </c>
      <c r="N90" s="77"/>
      <c r="O90" s="288"/>
      <c r="P90" s="289" t="str">
        <f t="shared" si="12"/>
        <v/>
      </c>
      <c r="Q90" s="77"/>
      <c r="R90" s="288"/>
      <c r="S90" s="218"/>
      <c r="T90" s="219"/>
      <c r="U90" s="219"/>
    </row>
    <row r="91" spans="1:21" ht="13.25" customHeight="1">
      <c r="A91" s="95" t="s">
        <v>712</v>
      </c>
      <c r="B91" s="155">
        <f t="shared" si="14"/>
        <v>2</v>
      </c>
      <c r="D91" s="105">
        <f t="shared" si="8"/>
        <v>6.8799449604403165E-2</v>
      </c>
      <c r="F91" s="288"/>
      <c r="G91" s="289">
        <f t="shared" si="9"/>
        <v>0</v>
      </c>
      <c r="H91" s="77"/>
      <c r="I91" s="288">
        <v>1</v>
      </c>
      <c r="J91" s="289">
        <f t="shared" si="10"/>
        <v>50</v>
      </c>
      <c r="K91" s="77"/>
      <c r="L91" s="288">
        <v>1</v>
      </c>
      <c r="M91" s="289">
        <f t="shared" si="11"/>
        <v>50</v>
      </c>
      <c r="N91" s="77"/>
      <c r="O91" s="288"/>
      <c r="P91" s="289">
        <f t="shared" si="12"/>
        <v>0</v>
      </c>
      <c r="Q91" s="77"/>
      <c r="R91" s="288"/>
      <c r="S91" s="218"/>
      <c r="T91" s="219"/>
      <c r="U91" s="219"/>
    </row>
    <row r="92" spans="1:21" ht="13.25" customHeight="1">
      <c r="A92" s="68"/>
      <c r="B92" s="155" t="str">
        <f t="shared" si="14"/>
        <v/>
      </c>
      <c r="D92" s="105" t="str">
        <f t="shared" si="8"/>
        <v/>
      </c>
      <c r="F92" s="288"/>
      <c r="G92" s="289" t="str">
        <f t="shared" si="9"/>
        <v/>
      </c>
      <c r="H92" s="77"/>
      <c r="I92" s="288"/>
      <c r="J92" s="289" t="str">
        <f t="shared" si="10"/>
        <v/>
      </c>
      <c r="K92" s="77"/>
      <c r="L92" s="288"/>
      <c r="M92" s="289" t="str">
        <f t="shared" si="11"/>
        <v/>
      </c>
      <c r="N92" s="77"/>
      <c r="O92" s="288"/>
      <c r="P92" s="289" t="str">
        <f t="shared" si="12"/>
        <v/>
      </c>
      <c r="Q92" s="77"/>
      <c r="R92" s="288"/>
      <c r="S92" s="218"/>
      <c r="T92" s="219"/>
      <c r="U92" s="219"/>
    </row>
    <row r="93" spans="1:21" ht="13.25" customHeight="1">
      <c r="A93" s="55" t="s">
        <v>714</v>
      </c>
      <c r="B93" s="155">
        <f t="shared" si="14"/>
        <v>158</v>
      </c>
      <c r="D93" s="105">
        <f t="shared" si="8"/>
        <v>5.4351565187478501</v>
      </c>
      <c r="F93" s="288">
        <f>SUM(F94:F101)</f>
        <v>4</v>
      </c>
      <c r="G93" s="289">
        <f t="shared" si="9"/>
        <v>2.5316455696202533</v>
      </c>
      <c r="H93" s="77"/>
      <c r="I93" s="288">
        <f>SUM(I94:I101)</f>
        <v>113</v>
      </c>
      <c r="J93" s="289">
        <f t="shared" si="10"/>
        <v>71.51898734177216</v>
      </c>
      <c r="K93" s="288">
        <f>SUM(K94:K101)</f>
        <v>0</v>
      </c>
      <c r="L93" s="288">
        <f>SUM(L94:L101)</f>
        <v>16</v>
      </c>
      <c r="M93" s="289">
        <f t="shared" si="11"/>
        <v>10.126582278481013</v>
      </c>
      <c r="N93" s="288">
        <f>SUM(N94:N101)</f>
        <v>0</v>
      </c>
      <c r="O93" s="288">
        <f>SUM(O94:O101)</f>
        <v>24</v>
      </c>
      <c r="P93" s="289">
        <f t="shared" si="12"/>
        <v>15.18987341772152</v>
      </c>
      <c r="Q93" s="288">
        <f>SUM(Q94:Q101)</f>
        <v>0</v>
      </c>
      <c r="R93" s="288">
        <f>SUM(R94:R101)</f>
        <v>1</v>
      </c>
      <c r="S93" s="218">
        <f t="shared" si="13"/>
        <v>0.63291139240506333</v>
      </c>
      <c r="T93" s="219"/>
      <c r="U93" s="219"/>
    </row>
    <row r="94" spans="1:21" ht="13.25" customHeight="1">
      <c r="A94" s="95" t="s">
        <v>715</v>
      </c>
      <c r="B94" s="155">
        <f t="shared" si="14"/>
        <v>1</v>
      </c>
      <c r="D94" s="105">
        <f t="shared" si="8"/>
        <v>3.4399724802201583E-2</v>
      </c>
      <c r="F94" s="831">
        <v>1</v>
      </c>
      <c r="G94" s="289">
        <f t="shared" si="9"/>
        <v>100</v>
      </c>
      <c r="H94" s="831"/>
      <c r="I94" s="831">
        <v>0</v>
      </c>
      <c r="J94" s="289">
        <f t="shared" si="10"/>
        <v>0</v>
      </c>
      <c r="K94" s="831"/>
      <c r="L94" s="831">
        <v>0</v>
      </c>
      <c r="M94" s="289">
        <f t="shared" si="11"/>
        <v>0</v>
      </c>
      <c r="N94" s="831"/>
      <c r="O94" s="831">
        <v>0</v>
      </c>
      <c r="P94" s="289">
        <f t="shared" si="12"/>
        <v>0</v>
      </c>
      <c r="Q94" s="831"/>
      <c r="R94" s="831">
        <v>0</v>
      </c>
      <c r="S94" s="218">
        <f t="shared" si="13"/>
        <v>0</v>
      </c>
      <c r="T94" s="219"/>
      <c r="U94" s="219"/>
    </row>
    <row r="95" spans="1:21" ht="13.25" customHeight="1">
      <c r="A95" s="33" t="s">
        <v>779</v>
      </c>
      <c r="B95" s="155">
        <f t="shared" si="14"/>
        <v>28</v>
      </c>
      <c r="D95" s="105">
        <f t="shared" si="8"/>
        <v>0.96319229446164434</v>
      </c>
      <c r="F95" s="831">
        <v>0</v>
      </c>
      <c r="G95" s="289">
        <f t="shared" si="9"/>
        <v>0</v>
      </c>
      <c r="H95" s="831"/>
      <c r="I95" s="831">
        <v>22</v>
      </c>
      <c r="J95" s="289">
        <f t="shared" si="10"/>
        <v>78.571428571428569</v>
      </c>
      <c r="K95" s="831"/>
      <c r="L95" s="831">
        <v>3</v>
      </c>
      <c r="M95" s="289">
        <f t="shared" si="11"/>
        <v>10.714285714285714</v>
      </c>
      <c r="N95" s="831"/>
      <c r="O95" s="831">
        <v>3</v>
      </c>
      <c r="P95" s="289">
        <f t="shared" si="12"/>
        <v>10.714285714285714</v>
      </c>
      <c r="Q95" s="831"/>
      <c r="R95" s="831">
        <v>0</v>
      </c>
      <c r="S95" s="218">
        <f t="shared" si="13"/>
        <v>0</v>
      </c>
      <c r="T95" s="219"/>
      <c r="U95" s="219"/>
    </row>
    <row r="96" spans="1:21" ht="13.25" customHeight="1">
      <c r="A96" s="75" t="s">
        <v>780</v>
      </c>
      <c r="B96" s="155">
        <f t="shared" si="14"/>
        <v>11</v>
      </c>
      <c r="D96" s="105">
        <f t="shared" si="8"/>
        <v>0.37839697282421741</v>
      </c>
      <c r="F96" s="831">
        <v>2</v>
      </c>
      <c r="G96" s="289">
        <f t="shared" si="9"/>
        <v>18.181818181818183</v>
      </c>
      <c r="H96" s="831"/>
      <c r="I96" s="831">
        <v>0</v>
      </c>
      <c r="J96" s="289">
        <f t="shared" si="10"/>
        <v>0</v>
      </c>
      <c r="K96" s="831"/>
      <c r="L96" s="831">
        <v>3</v>
      </c>
      <c r="M96" s="289">
        <f t="shared" si="11"/>
        <v>27.27272727272727</v>
      </c>
      <c r="N96" s="831"/>
      <c r="O96" s="831">
        <v>6</v>
      </c>
      <c r="P96" s="289">
        <f t="shared" si="12"/>
        <v>54.54545454545454</v>
      </c>
      <c r="Q96" s="831"/>
      <c r="R96" s="831">
        <v>0</v>
      </c>
      <c r="S96" s="218">
        <f t="shared" si="13"/>
        <v>0</v>
      </c>
      <c r="T96" s="219"/>
      <c r="U96" s="219"/>
    </row>
    <row r="97" spans="1:21" ht="13.25" customHeight="1">
      <c r="A97" s="33" t="s">
        <v>781</v>
      </c>
      <c r="B97" s="155">
        <f t="shared" si="14"/>
        <v>12</v>
      </c>
      <c r="D97" s="105">
        <f t="shared" si="8"/>
        <v>0.41279669762641896</v>
      </c>
      <c r="F97" s="831">
        <v>0</v>
      </c>
      <c r="G97" s="289">
        <f t="shared" si="9"/>
        <v>0</v>
      </c>
      <c r="H97" s="831"/>
      <c r="I97" s="831">
        <v>12</v>
      </c>
      <c r="J97" s="289">
        <f t="shared" si="10"/>
        <v>100</v>
      </c>
      <c r="K97" s="831"/>
      <c r="L97" s="831">
        <v>0</v>
      </c>
      <c r="M97" s="289">
        <f t="shared" si="11"/>
        <v>0</v>
      </c>
      <c r="N97" s="831"/>
      <c r="O97" s="831">
        <v>0</v>
      </c>
      <c r="P97" s="289">
        <f t="shared" si="12"/>
        <v>0</v>
      </c>
      <c r="Q97" s="831"/>
      <c r="R97" s="831">
        <v>0</v>
      </c>
      <c r="S97" s="218">
        <f t="shared" si="13"/>
        <v>0</v>
      </c>
      <c r="T97" s="219"/>
      <c r="U97" s="219"/>
    </row>
    <row r="98" spans="1:21" ht="13.25" customHeight="1">
      <c r="A98" s="95" t="s">
        <v>782</v>
      </c>
      <c r="B98" s="155">
        <f t="shared" si="14"/>
        <v>19</v>
      </c>
      <c r="D98" s="105">
        <f t="shared" si="8"/>
        <v>0.65359477124183007</v>
      </c>
      <c r="F98" s="831">
        <v>0</v>
      </c>
      <c r="G98" s="289">
        <f t="shared" si="9"/>
        <v>0</v>
      </c>
      <c r="H98" s="831"/>
      <c r="I98" s="831">
        <v>6</v>
      </c>
      <c r="J98" s="289">
        <f t="shared" si="10"/>
        <v>31.578947368421051</v>
      </c>
      <c r="K98" s="831"/>
      <c r="L98" s="831">
        <v>8</v>
      </c>
      <c r="M98" s="289">
        <f t="shared" si="11"/>
        <v>42.105263157894733</v>
      </c>
      <c r="N98" s="831"/>
      <c r="O98" s="831">
        <v>5</v>
      </c>
      <c r="P98" s="289">
        <f t="shared" si="12"/>
        <v>26.315789473684209</v>
      </c>
      <c r="Q98" s="831"/>
      <c r="R98" s="831">
        <v>0</v>
      </c>
      <c r="S98" s="218">
        <f t="shared" si="13"/>
        <v>0</v>
      </c>
      <c r="T98" s="219"/>
      <c r="U98" s="219"/>
    </row>
    <row r="99" spans="1:21" ht="13.25" customHeight="1">
      <c r="A99" s="95" t="s">
        <v>783</v>
      </c>
      <c r="B99" s="155">
        <f t="shared" si="14"/>
        <v>27</v>
      </c>
      <c r="D99" s="105">
        <f t="shared" si="8"/>
        <v>0.92879256965944268</v>
      </c>
      <c r="F99" s="831">
        <v>1</v>
      </c>
      <c r="G99" s="289">
        <f t="shared" si="9"/>
        <v>3.7037037037037033</v>
      </c>
      <c r="H99" s="831"/>
      <c r="I99" s="831">
        <v>13</v>
      </c>
      <c r="J99" s="289">
        <f t="shared" si="10"/>
        <v>48.148148148148145</v>
      </c>
      <c r="K99" s="831"/>
      <c r="L99" s="831">
        <v>2</v>
      </c>
      <c r="M99" s="289">
        <f t="shared" si="11"/>
        <v>7.4074074074074066</v>
      </c>
      <c r="N99" s="831"/>
      <c r="O99" s="831">
        <v>10</v>
      </c>
      <c r="P99" s="289">
        <f t="shared" si="12"/>
        <v>37.037037037037038</v>
      </c>
      <c r="Q99" s="831"/>
      <c r="R99" s="831">
        <v>1</v>
      </c>
      <c r="S99" s="218">
        <f t="shared" si="13"/>
        <v>3.7037037037037033</v>
      </c>
      <c r="T99" s="219"/>
      <c r="U99" s="219"/>
    </row>
    <row r="100" spans="1:21" ht="13.25" customHeight="1">
      <c r="A100" s="75" t="s">
        <v>168</v>
      </c>
      <c r="B100" s="155">
        <f>IF($A100&lt;&gt;0,F100+I100+L100+O100+R100,"")</f>
        <v>2</v>
      </c>
      <c r="D100" s="105">
        <f>IF(A100&lt;&gt;0,B100/$B$12*100,"")</f>
        <v>6.8799449604403165E-2</v>
      </c>
      <c r="F100" s="832">
        <v>0</v>
      </c>
      <c r="G100" s="289">
        <f t="shared" si="9"/>
        <v>0</v>
      </c>
      <c r="H100" s="832"/>
      <c r="I100" s="832">
        <v>2</v>
      </c>
      <c r="J100" s="289">
        <f t="shared" si="10"/>
        <v>100</v>
      </c>
      <c r="K100" s="832"/>
      <c r="L100" s="832">
        <v>0</v>
      </c>
      <c r="M100" s="289">
        <f t="shared" si="11"/>
        <v>0</v>
      </c>
      <c r="N100" s="832"/>
      <c r="O100" s="832">
        <v>0</v>
      </c>
      <c r="P100" s="289">
        <f t="shared" si="12"/>
        <v>0</v>
      </c>
      <c r="Q100" s="832"/>
      <c r="R100" s="832">
        <v>0</v>
      </c>
      <c r="S100" s="218"/>
      <c r="T100" s="219"/>
      <c r="U100" s="219"/>
    </row>
    <row r="101" spans="1:21" ht="13.25" customHeight="1">
      <c r="A101" s="75" t="s">
        <v>785</v>
      </c>
      <c r="B101" s="155">
        <f>IF($A101&lt;&gt;0,F101+I101+L101+O101+R101,"")</f>
        <v>58</v>
      </c>
      <c r="D101" s="105">
        <f>IF(A101&lt;&gt;0,B101/$B$12*100,"")</f>
        <v>1.9951840385276916</v>
      </c>
      <c r="F101" s="831">
        <v>0</v>
      </c>
      <c r="G101" s="289">
        <f t="shared" si="9"/>
        <v>0</v>
      </c>
      <c r="H101" s="831"/>
      <c r="I101" s="831">
        <v>58</v>
      </c>
      <c r="J101" s="289">
        <f t="shared" si="10"/>
        <v>100</v>
      </c>
      <c r="K101" s="831"/>
      <c r="L101" s="831">
        <v>0</v>
      </c>
      <c r="M101" s="289">
        <f t="shared" si="11"/>
        <v>0</v>
      </c>
      <c r="N101" s="831"/>
      <c r="O101" s="831">
        <v>0</v>
      </c>
      <c r="P101" s="289">
        <f t="shared" si="12"/>
        <v>0</v>
      </c>
      <c r="Q101" s="831"/>
      <c r="R101" s="831">
        <v>0</v>
      </c>
      <c r="S101" s="218"/>
      <c r="T101" s="219"/>
      <c r="U101" s="219"/>
    </row>
    <row r="102" spans="1:21" ht="9" customHeight="1" thickBot="1">
      <c r="A102" s="153"/>
      <c r="B102" s="125"/>
      <c r="C102" s="96"/>
      <c r="D102" s="102"/>
      <c r="E102" s="153"/>
      <c r="F102" s="291"/>
      <c r="G102" s="292"/>
      <c r="H102" s="293"/>
      <c r="I102" s="291"/>
      <c r="J102" s="292"/>
      <c r="K102" s="293"/>
      <c r="L102" s="291"/>
      <c r="M102" s="292"/>
      <c r="N102" s="293"/>
      <c r="O102" s="291"/>
      <c r="P102" s="292"/>
      <c r="Q102" s="293"/>
      <c r="R102" s="291"/>
      <c r="S102" s="295"/>
      <c r="T102" s="219"/>
      <c r="U102" s="219"/>
    </row>
    <row r="103" spans="1:21" ht="7.5" customHeight="1">
      <c r="A103" s="75"/>
    </row>
    <row r="104" spans="1:21" ht="15">
      <c r="A104" s="203" t="s">
        <v>701</v>
      </c>
      <c r="C104" s="105"/>
      <c r="D104" s="95"/>
      <c r="E104" s="140"/>
      <c r="F104" s="73"/>
      <c r="G104" s="33"/>
      <c r="H104" s="72"/>
      <c r="I104" s="73"/>
      <c r="J104" s="33"/>
      <c r="K104" s="72"/>
      <c r="L104" s="73"/>
      <c r="M104" s="33"/>
      <c r="N104" s="72"/>
      <c r="O104" s="73"/>
      <c r="P104" s="33"/>
      <c r="Q104" s="72"/>
      <c r="R104" s="73"/>
      <c r="S104" s="95"/>
    </row>
    <row r="105" spans="1:21" ht="15">
      <c r="A105" s="203" t="s">
        <v>994</v>
      </c>
      <c r="C105" s="105"/>
      <c r="D105" s="95"/>
      <c r="E105" s="140"/>
      <c r="F105" s="73"/>
      <c r="G105" s="33"/>
      <c r="H105" s="72"/>
      <c r="I105" s="73"/>
      <c r="J105" s="33"/>
      <c r="K105" s="72"/>
      <c r="L105" s="73"/>
      <c r="M105" s="33"/>
      <c r="N105" s="72"/>
      <c r="O105" s="73"/>
      <c r="P105" s="33"/>
      <c r="Q105" s="72"/>
      <c r="R105" s="73"/>
      <c r="S105" s="95"/>
    </row>
    <row r="106" spans="1:21" ht="4.5" customHeight="1"/>
    <row r="107" spans="1:21">
      <c r="A107" s="14" t="s">
        <v>1929</v>
      </c>
    </row>
    <row r="108" spans="1:21">
      <c r="A108" s="111" t="s">
        <v>976</v>
      </c>
    </row>
    <row r="109" spans="1:21" ht="12" customHeight="1"/>
    <row r="110" spans="1:21" ht="13.5" customHeight="1"/>
  </sheetData>
  <conditionalFormatting sqref="A1:XFD1048576">
    <cfRule type="cellIs" dxfId="64" priority="1" operator="equal">
      <formula>0</formula>
    </cfRule>
  </conditionalFormatting>
  <pageMargins left="0.70866141732283472" right="0.70866141732283472" top="0.74803149606299213" bottom="0.74803149606299213" header="0.31496062992125984" footer="0.31496062992125984"/>
  <pageSetup scale="75" orientation="landscape" horizontalDpi="4294967293" vertic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117"/>
  <sheetViews>
    <sheetView workbookViewId="0">
      <selection activeCell="A2" sqref="A2"/>
    </sheetView>
  </sheetViews>
  <sheetFormatPr baseColWidth="10" defaultColWidth="8.83203125" defaultRowHeight="13"/>
  <cols>
    <col min="1" max="1" width="35.6640625" style="95" customWidth="1"/>
    <col min="2" max="3" width="8.33203125" style="58" customWidth="1"/>
    <col min="4" max="4" width="2.6640625" style="190" customWidth="1"/>
    <col min="5" max="6" width="8.5" style="72" customWidth="1"/>
    <col min="7" max="7" width="2.6640625" style="201" customWidth="1"/>
    <col min="8" max="9" width="8.33203125" style="72" customWidth="1"/>
    <col min="10" max="10" width="2.6640625" style="201" customWidth="1"/>
    <col min="11" max="12" width="8.33203125" style="72" customWidth="1"/>
    <col min="13" max="13" width="2.6640625" style="201" customWidth="1"/>
    <col min="14" max="15" width="8.33203125" style="72" customWidth="1"/>
    <col min="16" max="16" width="2.6640625" style="201" customWidth="1"/>
    <col min="17" max="18" width="8.33203125" style="72" customWidth="1"/>
    <col min="19" max="19" width="2.6640625" style="95" customWidth="1"/>
    <col min="20" max="256" width="8.83203125" style="95"/>
    <col min="257" max="257" width="35.6640625" style="95" customWidth="1"/>
    <col min="258" max="259" width="8.33203125" style="95" customWidth="1"/>
    <col min="260" max="260" width="2.6640625" style="95" customWidth="1"/>
    <col min="261" max="262" width="8.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275" width="2.6640625" style="95" customWidth="1"/>
    <col min="276" max="512" width="8.83203125" style="95"/>
    <col min="513" max="513" width="35.6640625" style="95" customWidth="1"/>
    <col min="514" max="515" width="8.33203125" style="95" customWidth="1"/>
    <col min="516" max="516" width="2.6640625" style="95" customWidth="1"/>
    <col min="517" max="518" width="8.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531" width="2.6640625" style="95" customWidth="1"/>
    <col min="532" max="768" width="8.83203125" style="95"/>
    <col min="769" max="769" width="35.6640625" style="95" customWidth="1"/>
    <col min="770" max="771" width="8.33203125" style="95" customWidth="1"/>
    <col min="772" max="772" width="2.6640625" style="95" customWidth="1"/>
    <col min="773" max="774" width="8.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787" width="2.6640625" style="95" customWidth="1"/>
    <col min="788" max="1024" width="8.83203125" style="95"/>
    <col min="1025" max="1025" width="35.6640625" style="95" customWidth="1"/>
    <col min="1026" max="1027" width="8.33203125" style="95" customWidth="1"/>
    <col min="1028" max="1028" width="2.6640625" style="95" customWidth="1"/>
    <col min="1029" max="1030" width="8.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043" width="2.6640625" style="95" customWidth="1"/>
    <col min="1044" max="1280" width="8.83203125" style="95"/>
    <col min="1281" max="1281" width="35.6640625" style="95" customWidth="1"/>
    <col min="1282" max="1283" width="8.33203125" style="95" customWidth="1"/>
    <col min="1284" max="1284" width="2.6640625" style="95" customWidth="1"/>
    <col min="1285" max="1286" width="8.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299" width="2.6640625" style="95" customWidth="1"/>
    <col min="1300" max="1536" width="8.83203125" style="95"/>
    <col min="1537" max="1537" width="35.6640625" style="95" customWidth="1"/>
    <col min="1538" max="1539" width="8.33203125" style="95" customWidth="1"/>
    <col min="1540" max="1540" width="2.6640625" style="95" customWidth="1"/>
    <col min="1541" max="1542" width="8.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555" width="2.6640625" style="95" customWidth="1"/>
    <col min="1556" max="1792" width="8.83203125" style="95"/>
    <col min="1793" max="1793" width="35.6640625" style="95" customWidth="1"/>
    <col min="1794" max="1795" width="8.33203125" style="95" customWidth="1"/>
    <col min="1796" max="1796" width="2.6640625" style="95" customWidth="1"/>
    <col min="1797" max="1798" width="8.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1811" width="2.6640625" style="95" customWidth="1"/>
    <col min="1812" max="2048" width="8.83203125" style="95"/>
    <col min="2049" max="2049" width="35.6640625" style="95" customWidth="1"/>
    <col min="2050" max="2051" width="8.33203125" style="95" customWidth="1"/>
    <col min="2052" max="2052" width="2.6640625" style="95" customWidth="1"/>
    <col min="2053" max="2054" width="8.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067" width="2.6640625" style="95" customWidth="1"/>
    <col min="2068" max="2304" width="8.83203125" style="95"/>
    <col min="2305" max="2305" width="35.6640625" style="95" customWidth="1"/>
    <col min="2306" max="2307" width="8.33203125" style="95" customWidth="1"/>
    <col min="2308" max="2308" width="2.6640625" style="95" customWidth="1"/>
    <col min="2309" max="2310" width="8.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323" width="2.6640625" style="95" customWidth="1"/>
    <col min="2324" max="2560" width="8.83203125" style="95"/>
    <col min="2561" max="2561" width="35.6640625" style="95" customWidth="1"/>
    <col min="2562" max="2563" width="8.33203125" style="95" customWidth="1"/>
    <col min="2564" max="2564" width="2.6640625" style="95" customWidth="1"/>
    <col min="2565" max="2566" width="8.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579" width="2.6640625" style="95" customWidth="1"/>
    <col min="2580" max="2816" width="8.83203125" style="95"/>
    <col min="2817" max="2817" width="35.6640625" style="95" customWidth="1"/>
    <col min="2818" max="2819" width="8.33203125" style="95" customWidth="1"/>
    <col min="2820" max="2820" width="2.6640625" style="95" customWidth="1"/>
    <col min="2821" max="2822" width="8.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2835" width="2.6640625" style="95" customWidth="1"/>
    <col min="2836" max="3072" width="8.83203125" style="95"/>
    <col min="3073" max="3073" width="35.6640625" style="95" customWidth="1"/>
    <col min="3074" max="3075" width="8.33203125" style="95" customWidth="1"/>
    <col min="3076" max="3076" width="2.6640625" style="95" customWidth="1"/>
    <col min="3077" max="3078" width="8.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091" width="2.6640625" style="95" customWidth="1"/>
    <col min="3092" max="3328" width="8.83203125" style="95"/>
    <col min="3329" max="3329" width="35.6640625" style="95" customWidth="1"/>
    <col min="3330" max="3331" width="8.33203125" style="95" customWidth="1"/>
    <col min="3332" max="3332" width="2.6640625" style="95" customWidth="1"/>
    <col min="3333" max="3334" width="8.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347" width="2.6640625" style="95" customWidth="1"/>
    <col min="3348" max="3584" width="8.83203125" style="95"/>
    <col min="3585" max="3585" width="35.6640625" style="95" customWidth="1"/>
    <col min="3586" max="3587" width="8.33203125" style="95" customWidth="1"/>
    <col min="3588" max="3588" width="2.6640625" style="95" customWidth="1"/>
    <col min="3589" max="3590" width="8.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603" width="2.6640625" style="95" customWidth="1"/>
    <col min="3604" max="3840" width="8.83203125" style="95"/>
    <col min="3841" max="3841" width="35.6640625" style="95" customWidth="1"/>
    <col min="3842" max="3843" width="8.33203125" style="95" customWidth="1"/>
    <col min="3844" max="3844" width="2.6640625" style="95" customWidth="1"/>
    <col min="3845" max="3846" width="8.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3859" width="2.6640625" style="95" customWidth="1"/>
    <col min="3860" max="4096" width="8.83203125" style="95"/>
    <col min="4097" max="4097" width="35.6640625" style="95" customWidth="1"/>
    <col min="4098" max="4099" width="8.33203125" style="95" customWidth="1"/>
    <col min="4100" max="4100" width="2.6640625" style="95" customWidth="1"/>
    <col min="4101" max="4102" width="8.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115" width="2.6640625" style="95" customWidth="1"/>
    <col min="4116" max="4352" width="8.83203125" style="95"/>
    <col min="4353" max="4353" width="35.6640625" style="95" customWidth="1"/>
    <col min="4354" max="4355" width="8.33203125" style="95" customWidth="1"/>
    <col min="4356" max="4356" width="2.6640625" style="95" customWidth="1"/>
    <col min="4357" max="4358" width="8.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371" width="2.6640625" style="95" customWidth="1"/>
    <col min="4372" max="4608" width="8.83203125" style="95"/>
    <col min="4609" max="4609" width="35.6640625" style="95" customWidth="1"/>
    <col min="4610" max="4611" width="8.33203125" style="95" customWidth="1"/>
    <col min="4612" max="4612" width="2.6640625" style="95" customWidth="1"/>
    <col min="4613" max="4614" width="8.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627" width="2.6640625" style="95" customWidth="1"/>
    <col min="4628" max="4864" width="8.83203125" style="95"/>
    <col min="4865" max="4865" width="35.6640625" style="95" customWidth="1"/>
    <col min="4866" max="4867" width="8.33203125" style="95" customWidth="1"/>
    <col min="4868" max="4868" width="2.6640625" style="95" customWidth="1"/>
    <col min="4869" max="4870" width="8.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4883" width="2.6640625" style="95" customWidth="1"/>
    <col min="4884" max="5120" width="8.83203125" style="95"/>
    <col min="5121" max="5121" width="35.6640625" style="95" customWidth="1"/>
    <col min="5122" max="5123" width="8.33203125" style="95" customWidth="1"/>
    <col min="5124" max="5124" width="2.6640625" style="95" customWidth="1"/>
    <col min="5125" max="5126" width="8.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139" width="2.6640625" style="95" customWidth="1"/>
    <col min="5140" max="5376" width="8.83203125" style="95"/>
    <col min="5377" max="5377" width="35.6640625" style="95" customWidth="1"/>
    <col min="5378" max="5379" width="8.33203125" style="95" customWidth="1"/>
    <col min="5380" max="5380" width="2.6640625" style="95" customWidth="1"/>
    <col min="5381" max="5382" width="8.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395" width="2.6640625" style="95" customWidth="1"/>
    <col min="5396" max="5632" width="8.83203125" style="95"/>
    <col min="5633" max="5633" width="35.6640625" style="95" customWidth="1"/>
    <col min="5634" max="5635" width="8.33203125" style="95" customWidth="1"/>
    <col min="5636" max="5636" width="2.6640625" style="95" customWidth="1"/>
    <col min="5637" max="5638" width="8.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651" width="2.6640625" style="95" customWidth="1"/>
    <col min="5652" max="5888" width="8.83203125" style="95"/>
    <col min="5889" max="5889" width="35.6640625" style="95" customWidth="1"/>
    <col min="5890" max="5891" width="8.33203125" style="95" customWidth="1"/>
    <col min="5892" max="5892" width="2.6640625" style="95" customWidth="1"/>
    <col min="5893" max="5894" width="8.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5907" width="2.6640625" style="95" customWidth="1"/>
    <col min="5908" max="6144" width="8.83203125" style="95"/>
    <col min="6145" max="6145" width="35.6640625" style="95" customWidth="1"/>
    <col min="6146" max="6147" width="8.33203125" style="95" customWidth="1"/>
    <col min="6148" max="6148" width="2.6640625" style="95" customWidth="1"/>
    <col min="6149" max="6150" width="8.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163" width="2.6640625" style="95" customWidth="1"/>
    <col min="6164" max="6400" width="8.83203125" style="95"/>
    <col min="6401" max="6401" width="35.6640625" style="95" customWidth="1"/>
    <col min="6402" max="6403" width="8.33203125" style="95" customWidth="1"/>
    <col min="6404" max="6404" width="2.6640625" style="95" customWidth="1"/>
    <col min="6405" max="6406" width="8.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419" width="2.6640625" style="95" customWidth="1"/>
    <col min="6420" max="6656" width="8.83203125" style="95"/>
    <col min="6657" max="6657" width="35.6640625" style="95" customWidth="1"/>
    <col min="6658" max="6659" width="8.33203125" style="95" customWidth="1"/>
    <col min="6660" max="6660" width="2.6640625" style="95" customWidth="1"/>
    <col min="6661" max="6662" width="8.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675" width="2.6640625" style="95" customWidth="1"/>
    <col min="6676" max="6912" width="8.83203125" style="95"/>
    <col min="6913" max="6913" width="35.6640625" style="95" customWidth="1"/>
    <col min="6914" max="6915" width="8.33203125" style="95" customWidth="1"/>
    <col min="6916" max="6916" width="2.6640625" style="95" customWidth="1"/>
    <col min="6917" max="6918" width="8.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6931" width="2.6640625" style="95" customWidth="1"/>
    <col min="6932" max="7168" width="8.83203125" style="95"/>
    <col min="7169" max="7169" width="35.6640625" style="95" customWidth="1"/>
    <col min="7170" max="7171" width="8.33203125" style="95" customWidth="1"/>
    <col min="7172" max="7172" width="2.6640625" style="95" customWidth="1"/>
    <col min="7173" max="7174" width="8.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187" width="2.6640625" style="95" customWidth="1"/>
    <col min="7188" max="7424" width="8.83203125" style="95"/>
    <col min="7425" max="7425" width="35.6640625" style="95" customWidth="1"/>
    <col min="7426" max="7427" width="8.33203125" style="95" customWidth="1"/>
    <col min="7428" max="7428" width="2.6640625" style="95" customWidth="1"/>
    <col min="7429" max="7430" width="8.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443" width="2.6640625" style="95" customWidth="1"/>
    <col min="7444" max="7680" width="8.83203125" style="95"/>
    <col min="7681" max="7681" width="35.6640625" style="95" customWidth="1"/>
    <col min="7682" max="7683" width="8.33203125" style="95" customWidth="1"/>
    <col min="7684" max="7684" width="2.6640625" style="95" customWidth="1"/>
    <col min="7685" max="7686" width="8.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699" width="2.6640625" style="95" customWidth="1"/>
    <col min="7700" max="7936" width="8.83203125" style="95"/>
    <col min="7937" max="7937" width="35.6640625" style="95" customWidth="1"/>
    <col min="7938" max="7939" width="8.33203125" style="95" customWidth="1"/>
    <col min="7940" max="7940" width="2.6640625" style="95" customWidth="1"/>
    <col min="7941" max="7942" width="8.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7955" width="2.6640625" style="95" customWidth="1"/>
    <col min="7956" max="8192" width="8.83203125" style="95"/>
    <col min="8193" max="8193" width="35.6640625" style="95" customWidth="1"/>
    <col min="8194" max="8195" width="8.33203125" style="95" customWidth="1"/>
    <col min="8196" max="8196" width="2.6640625" style="95" customWidth="1"/>
    <col min="8197" max="8198" width="8.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211" width="2.6640625" style="95" customWidth="1"/>
    <col min="8212" max="8448" width="8.83203125" style="95"/>
    <col min="8449" max="8449" width="35.6640625" style="95" customWidth="1"/>
    <col min="8450" max="8451" width="8.33203125" style="95" customWidth="1"/>
    <col min="8452" max="8452" width="2.6640625" style="95" customWidth="1"/>
    <col min="8453" max="8454" width="8.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467" width="2.6640625" style="95" customWidth="1"/>
    <col min="8468" max="8704" width="8.83203125" style="95"/>
    <col min="8705" max="8705" width="35.6640625" style="95" customWidth="1"/>
    <col min="8706" max="8707" width="8.33203125" style="95" customWidth="1"/>
    <col min="8708" max="8708" width="2.6640625" style="95" customWidth="1"/>
    <col min="8709" max="8710" width="8.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723" width="2.6640625" style="95" customWidth="1"/>
    <col min="8724" max="8960" width="8.83203125" style="95"/>
    <col min="8961" max="8961" width="35.6640625" style="95" customWidth="1"/>
    <col min="8962" max="8963" width="8.33203125" style="95" customWidth="1"/>
    <col min="8964" max="8964" width="2.6640625" style="95" customWidth="1"/>
    <col min="8965" max="8966" width="8.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8979" width="2.6640625" style="95" customWidth="1"/>
    <col min="8980" max="9216" width="8.83203125" style="95"/>
    <col min="9217" max="9217" width="35.6640625" style="95" customWidth="1"/>
    <col min="9218" max="9219" width="8.33203125" style="95" customWidth="1"/>
    <col min="9220" max="9220" width="2.6640625" style="95" customWidth="1"/>
    <col min="9221" max="9222" width="8.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235" width="2.6640625" style="95" customWidth="1"/>
    <col min="9236" max="9472" width="8.83203125" style="95"/>
    <col min="9473" max="9473" width="35.6640625" style="95" customWidth="1"/>
    <col min="9474" max="9475" width="8.33203125" style="95" customWidth="1"/>
    <col min="9476" max="9476" width="2.6640625" style="95" customWidth="1"/>
    <col min="9477" max="9478" width="8.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491" width="2.6640625" style="95" customWidth="1"/>
    <col min="9492" max="9728" width="8.83203125" style="95"/>
    <col min="9729" max="9729" width="35.6640625" style="95" customWidth="1"/>
    <col min="9730" max="9731" width="8.33203125" style="95" customWidth="1"/>
    <col min="9732" max="9732" width="2.6640625" style="95" customWidth="1"/>
    <col min="9733" max="9734" width="8.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747" width="2.6640625" style="95" customWidth="1"/>
    <col min="9748" max="9984" width="8.83203125" style="95"/>
    <col min="9985" max="9985" width="35.6640625" style="95" customWidth="1"/>
    <col min="9986" max="9987" width="8.33203125" style="95" customWidth="1"/>
    <col min="9988" max="9988" width="2.6640625" style="95" customWidth="1"/>
    <col min="9989" max="9990" width="8.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003" width="2.6640625" style="95" customWidth="1"/>
    <col min="10004" max="10240" width="8.83203125" style="95"/>
    <col min="10241" max="10241" width="35.6640625" style="95" customWidth="1"/>
    <col min="10242" max="10243" width="8.33203125" style="95" customWidth="1"/>
    <col min="10244" max="10244" width="2.6640625" style="95" customWidth="1"/>
    <col min="10245" max="10246" width="8.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259" width="2.6640625" style="95" customWidth="1"/>
    <col min="10260" max="10496" width="8.83203125" style="95"/>
    <col min="10497" max="10497" width="35.6640625" style="95" customWidth="1"/>
    <col min="10498" max="10499" width="8.33203125" style="95" customWidth="1"/>
    <col min="10500" max="10500" width="2.6640625" style="95" customWidth="1"/>
    <col min="10501" max="10502" width="8.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515" width="2.6640625" style="95" customWidth="1"/>
    <col min="10516" max="10752" width="8.83203125" style="95"/>
    <col min="10753" max="10753" width="35.6640625" style="95" customWidth="1"/>
    <col min="10754" max="10755" width="8.33203125" style="95" customWidth="1"/>
    <col min="10756" max="10756" width="2.6640625" style="95" customWidth="1"/>
    <col min="10757" max="10758" width="8.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0771" width="2.6640625" style="95" customWidth="1"/>
    <col min="10772" max="11008" width="8.83203125" style="95"/>
    <col min="11009" max="11009" width="35.6640625" style="95" customWidth="1"/>
    <col min="11010" max="11011" width="8.33203125" style="95" customWidth="1"/>
    <col min="11012" max="11012" width="2.6640625" style="95" customWidth="1"/>
    <col min="11013" max="11014" width="8.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027" width="2.6640625" style="95" customWidth="1"/>
    <col min="11028" max="11264" width="8.83203125" style="95"/>
    <col min="11265" max="11265" width="35.6640625" style="95" customWidth="1"/>
    <col min="11266" max="11267" width="8.33203125" style="95" customWidth="1"/>
    <col min="11268" max="11268" width="2.6640625" style="95" customWidth="1"/>
    <col min="11269" max="11270" width="8.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283" width="2.6640625" style="95" customWidth="1"/>
    <col min="11284" max="11520" width="8.83203125" style="95"/>
    <col min="11521" max="11521" width="35.6640625" style="95" customWidth="1"/>
    <col min="11522" max="11523" width="8.33203125" style="95" customWidth="1"/>
    <col min="11524" max="11524" width="2.6640625" style="95" customWidth="1"/>
    <col min="11525" max="11526" width="8.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539" width="2.6640625" style="95" customWidth="1"/>
    <col min="11540" max="11776" width="8.83203125" style="95"/>
    <col min="11777" max="11777" width="35.6640625" style="95" customWidth="1"/>
    <col min="11778" max="11779" width="8.33203125" style="95" customWidth="1"/>
    <col min="11780" max="11780" width="2.6640625" style="95" customWidth="1"/>
    <col min="11781" max="11782" width="8.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1795" width="2.6640625" style="95" customWidth="1"/>
    <col min="11796" max="12032" width="8.83203125" style="95"/>
    <col min="12033" max="12033" width="35.6640625" style="95" customWidth="1"/>
    <col min="12034" max="12035" width="8.33203125" style="95" customWidth="1"/>
    <col min="12036" max="12036" width="2.6640625" style="95" customWidth="1"/>
    <col min="12037" max="12038" width="8.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051" width="2.6640625" style="95" customWidth="1"/>
    <col min="12052" max="12288" width="8.83203125" style="95"/>
    <col min="12289" max="12289" width="35.6640625" style="95" customWidth="1"/>
    <col min="12290" max="12291" width="8.33203125" style="95" customWidth="1"/>
    <col min="12292" max="12292" width="2.6640625" style="95" customWidth="1"/>
    <col min="12293" max="12294" width="8.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307" width="2.6640625" style="95" customWidth="1"/>
    <col min="12308" max="12544" width="8.83203125" style="95"/>
    <col min="12545" max="12545" width="35.6640625" style="95" customWidth="1"/>
    <col min="12546" max="12547" width="8.33203125" style="95" customWidth="1"/>
    <col min="12548" max="12548" width="2.6640625" style="95" customWidth="1"/>
    <col min="12549" max="12550" width="8.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563" width="2.6640625" style="95" customWidth="1"/>
    <col min="12564" max="12800" width="8.83203125" style="95"/>
    <col min="12801" max="12801" width="35.6640625" style="95" customWidth="1"/>
    <col min="12802" max="12803" width="8.33203125" style="95" customWidth="1"/>
    <col min="12804" max="12804" width="2.6640625" style="95" customWidth="1"/>
    <col min="12805" max="12806" width="8.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2819" width="2.6640625" style="95" customWidth="1"/>
    <col min="12820" max="13056" width="8.83203125" style="95"/>
    <col min="13057" max="13057" width="35.6640625" style="95" customWidth="1"/>
    <col min="13058" max="13059" width="8.33203125" style="95" customWidth="1"/>
    <col min="13060" max="13060" width="2.6640625" style="95" customWidth="1"/>
    <col min="13061" max="13062" width="8.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075" width="2.6640625" style="95" customWidth="1"/>
    <col min="13076" max="13312" width="8.83203125" style="95"/>
    <col min="13313" max="13313" width="35.6640625" style="95" customWidth="1"/>
    <col min="13314" max="13315" width="8.33203125" style="95" customWidth="1"/>
    <col min="13316" max="13316" width="2.6640625" style="95" customWidth="1"/>
    <col min="13317" max="13318" width="8.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331" width="2.6640625" style="95" customWidth="1"/>
    <col min="13332" max="13568" width="8.83203125" style="95"/>
    <col min="13569" max="13569" width="35.6640625" style="95" customWidth="1"/>
    <col min="13570" max="13571" width="8.33203125" style="95" customWidth="1"/>
    <col min="13572" max="13572" width="2.6640625" style="95" customWidth="1"/>
    <col min="13573" max="13574" width="8.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587" width="2.6640625" style="95" customWidth="1"/>
    <col min="13588" max="13824" width="8.83203125" style="95"/>
    <col min="13825" max="13825" width="35.6640625" style="95" customWidth="1"/>
    <col min="13826" max="13827" width="8.33203125" style="95" customWidth="1"/>
    <col min="13828" max="13828" width="2.6640625" style="95" customWidth="1"/>
    <col min="13829" max="13830" width="8.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3843" width="2.6640625" style="95" customWidth="1"/>
    <col min="13844" max="14080" width="8.83203125" style="95"/>
    <col min="14081" max="14081" width="35.6640625" style="95" customWidth="1"/>
    <col min="14082" max="14083" width="8.33203125" style="95" customWidth="1"/>
    <col min="14084" max="14084" width="2.6640625" style="95" customWidth="1"/>
    <col min="14085" max="14086" width="8.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099" width="2.6640625" style="95" customWidth="1"/>
    <col min="14100" max="14336" width="8.83203125" style="95"/>
    <col min="14337" max="14337" width="35.6640625" style="95" customWidth="1"/>
    <col min="14338" max="14339" width="8.33203125" style="95" customWidth="1"/>
    <col min="14340" max="14340" width="2.6640625" style="95" customWidth="1"/>
    <col min="14341" max="14342" width="8.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355" width="2.6640625" style="95" customWidth="1"/>
    <col min="14356" max="14592" width="8.83203125" style="95"/>
    <col min="14593" max="14593" width="35.6640625" style="95" customWidth="1"/>
    <col min="14594" max="14595" width="8.33203125" style="95" customWidth="1"/>
    <col min="14596" max="14596" width="2.6640625" style="95" customWidth="1"/>
    <col min="14597" max="14598" width="8.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611" width="2.6640625" style="95" customWidth="1"/>
    <col min="14612" max="14848" width="8.83203125" style="95"/>
    <col min="14849" max="14849" width="35.6640625" style="95" customWidth="1"/>
    <col min="14850" max="14851" width="8.33203125" style="95" customWidth="1"/>
    <col min="14852" max="14852" width="2.6640625" style="95" customWidth="1"/>
    <col min="14853" max="14854" width="8.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4867" width="2.6640625" style="95" customWidth="1"/>
    <col min="14868" max="15104" width="8.83203125" style="95"/>
    <col min="15105" max="15105" width="35.6640625" style="95" customWidth="1"/>
    <col min="15106" max="15107" width="8.33203125" style="95" customWidth="1"/>
    <col min="15108" max="15108" width="2.6640625" style="95" customWidth="1"/>
    <col min="15109" max="15110" width="8.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123" width="2.6640625" style="95" customWidth="1"/>
    <col min="15124" max="15360" width="8.83203125" style="95"/>
    <col min="15361" max="15361" width="35.6640625" style="95" customWidth="1"/>
    <col min="15362" max="15363" width="8.33203125" style="95" customWidth="1"/>
    <col min="15364" max="15364" width="2.6640625" style="95" customWidth="1"/>
    <col min="15365" max="15366" width="8.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379" width="2.6640625" style="95" customWidth="1"/>
    <col min="15380" max="15616" width="8.83203125" style="95"/>
    <col min="15617" max="15617" width="35.6640625" style="95" customWidth="1"/>
    <col min="15618" max="15619" width="8.33203125" style="95" customWidth="1"/>
    <col min="15620" max="15620" width="2.6640625" style="95" customWidth="1"/>
    <col min="15621" max="15622" width="8.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635" width="2.6640625" style="95" customWidth="1"/>
    <col min="15636" max="15872" width="8.83203125" style="95"/>
    <col min="15873" max="15873" width="35.6640625" style="95" customWidth="1"/>
    <col min="15874" max="15875" width="8.33203125" style="95" customWidth="1"/>
    <col min="15876" max="15876" width="2.6640625" style="95" customWidth="1"/>
    <col min="15877" max="15878" width="8.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5891" width="2.6640625" style="95" customWidth="1"/>
    <col min="15892" max="16128" width="8.83203125" style="95"/>
    <col min="16129" max="16129" width="35.6640625" style="95" customWidth="1"/>
    <col min="16130" max="16131" width="8.33203125" style="95" customWidth="1"/>
    <col min="16132" max="16132" width="2.6640625" style="95" customWidth="1"/>
    <col min="16133" max="16134" width="8.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147" width="2.6640625" style="95" customWidth="1"/>
    <col min="16148" max="16384" width="8.83203125" style="95"/>
  </cols>
  <sheetData>
    <row r="1" spans="1:19">
      <c r="A1" s="95" t="s">
        <v>1007</v>
      </c>
      <c r="H1" s="33"/>
      <c r="I1" s="33"/>
      <c r="J1" s="57"/>
    </row>
    <row r="2" spans="1:19">
      <c r="A2" s="95" t="s">
        <v>1008</v>
      </c>
    </row>
    <row r="3" spans="1:19" ht="7.5" customHeight="1"/>
    <row r="4" spans="1:19">
      <c r="A4" s="14" t="s">
        <v>1930</v>
      </c>
    </row>
    <row r="5" spans="1:19" ht="9" customHeight="1" thickBot="1">
      <c r="D5" s="58"/>
      <c r="E5" s="58"/>
      <c r="F5" s="58"/>
      <c r="G5" s="58"/>
      <c r="H5" s="58"/>
      <c r="I5" s="58"/>
      <c r="J5" s="58"/>
      <c r="K5" s="58"/>
      <c r="L5" s="58"/>
      <c r="M5" s="58"/>
      <c r="N5" s="58"/>
      <c r="O5" s="58"/>
      <c r="P5" s="58"/>
      <c r="Q5" s="58"/>
      <c r="R5" s="58"/>
      <c r="S5" s="58"/>
    </row>
    <row r="6" spans="1:19">
      <c r="A6" s="97"/>
      <c r="B6" s="186"/>
      <c r="C6" s="186"/>
      <c r="D6" s="186"/>
      <c r="E6" s="186"/>
      <c r="F6" s="186"/>
      <c r="G6" s="186"/>
      <c r="H6" s="186"/>
      <c r="I6" s="186"/>
      <c r="J6" s="186"/>
      <c r="K6" s="186"/>
      <c r="L6" s="186"/>
      <c r="M6" s="186"/>
      <c r="N6" s="186"/>
      <c r="O6" s="186"/>
      <c r="P6" s="186"/>
      <c r="Q6" s="186"/>
      <c r="R6" s="186"/>
      <c r="S6" s="186"/>
    </row>
    <row r="7" spans="1:19">
      <c r="A7" s="95" t="s">
        <v>147</v>
      </c>
      <c r="B7" s="190"/>
      <c r="C7" s="190"/>
      <c r="E7" s="201"/>
      <c r="F7" s="201"/>
      <c r="H7" s="201" t="s">
        <v>996</v>
      </c>
      <c r="I7" s="201"/>
      <c r="K7" s="201" t="s">
        <v>997</v>
      </c>
      <c r="L7" s="201"/>
      <c r="N7" s="201" t="s">
        <v>998</v>
      </c>
      <c r="O7" s="201"/>
      <c r="Q7" s="201"/>
      <c r="R7" s="201"/>
    </row>
    <row r="8" spans="1:19" ht="15">
      <c r="A8" s="116" t="s">
        <v>1009</v>
      </c>
      <c r="B8" s="190" t="s">
        <v>1010</v>
      </c>
      <c r="C8" s="190"/>
      <c r="E8" s="296" t="s">
        <v>1011</v>
      </c>
      <c r="F8" s="296"/>
      <c r="G8" s="296"/>
      <c r="H8" s="201" t="s">
        <v>1002</v>
      </c>
      <c r="I8" s="201"/>
      <c r="K8" s="201" t="s">
        <v>1003</v>
      </c>
      <c r="L8" s="201"/>
      <c r="N8" s="201" t="s">
        <v>1004</v>
      </c>
      <c r="O8" s="201"/>
      <c r="Q8" s="201" t="s">
        <v>1005</v>
      </c>
      <c r="R8" s="201"/>
    </row>
    <row r="9" spans="1:19" s="234" customFormat="1">
      <c r="A9" s="304" t="s">
        <v>1012</v>
      </c>
      <c r="B9" s="194" t="s">
        <v>400</v>
      </c>
      <c r="C9" s="194" t="s">
        <v>153</v>
      </c>
      <c r="D9" s="235"/>
      <c r="E9" s="196" t="s">
        <v>400</v>
      </c>
      <c r="F9" s="196" t="s">
        <v>153</v>
      </c>
      <c r="G9" s="791"/>
      <c r="H9" s="196" t="s">
        <v>400</v>
      </c>
      <c r="I9" s="196" t="s">
        <v>153</v>
      </c>
      <c r="J9" s="791"/>
      <c r="K9" s="196" t="s">
        <v>400</v>
      </c>
      <c r="L9" s="196" t="s">
        <v>153</v>
      </c>
      <c r="M9" s="791"/>
      <c r="N9" s="196" t="s">
        <v>400</v>
      </c>
      <c r="O9" s="196" t="s">
        <v>153</v>
      </c>
      <c r="P9" s="791"/>
      <c r="Q9" s="196" t="s">
        <v>400</v>
      </c>
      <c r="R9" s="196" t="s">
        <v>153</v>
      </c>
    </row>
    <row r="10" spans="1:19" s="234" customFormat="1" ht="14" thickBot="1">
      <c r="A10" s="305"/>
      <c r="B10" s="297"/>
      <c r="C10" s="297"/>
      <c r="D10" s="297"/>
      <c r="E10" s="297"/>
      <c r="F10" s="297"/>
      <c r="G10" s="297"/>
      <c r="H10" s="297"/>
      <c r="I10" s="297"/>
      <c r="J10" s="297"/>
      <c r="K10" s="297"/>
      <c r="L10" s="297"/>
      <c r="M10" s="297"/>
      <c r="N10" s="297"/>
      <c r="O10" s="297"/>
      <c r="P10" s="297"/>
      <c r="Q10" s="297"/>
      <c r="R10" s="297"/>
      <c r="S10" s="297"/>
    </row>
    <row r="11" spans="1:19" ht="9" customHeight="1">
      <c r="A11" s="116"/>
      <c r="B11" s="190"/>
      <c r="C11" s="190"/>
      <c r="E11" s="201"/>
      <c r="F11" s="201"/>
      <c r="H11" s="201"/>
      <c r="I11" s="201"/>
      <c r="K11" s="201"/>
      <c r="L11" s="201"/>
      <c r="N11" s="201"/>
      <c r="O11" s="201"/>
      <c r="Q11" s="201"/>
      <c r="R11" s="201"/>
    </row>
    <row r="12" spans="1:19" ht="13.25" customHeight="1">
      <c r="A12" s="55" t="s">
        <v>402</v>
      </c>
      <c r="B12" s="58">
        <f>B14+B99</f>
        <v>42584</v>
      </c>
      <c r="C12" s="204">
        <f>C14+C99</f>
        <v>100</v>
      </c>
      <c r="E12" s="72">
        <f>E14+E99</f>
        <v>5768</v>
      </c>
      <c r="F12" s="73">
        <f t="shared" ref="F12:F75" si="0">IF($A12&lt;&gt;"",E12/$B12*100,"")</f>
        <v>13.544993424760474</v>
      </c>
      <c r="H12" s="72">
        <f>H14+H99</f>
        <v>9748</v>
      </c>
      <c r="I12" s="73">
        <f t="shared" ref="I12:I75" si="1">IF($A12&lt;&gt;"",H12/$B12*100,"")</f>
        <v>22.891226751831674</v>
      </c>
      <c r="K12" s="72">
        <f>K14+K99</f>
        <v>11895</v>
      </c>
      <c r="L12" s="73">
        <f t="shared" ref="L12:L75" si="2">IF($A12&lt;&gt;"",K12/$B12*100,"")</f>
        <v>27.933026488822094</v>
      </c>
      <c r="N12" s="72">
        <f>N14+N99</f>
        <v>13660</v>
      </c>
      <c r="O12" s="73">
        <f t="shared" ref="O12:O75" si="3">IF($A12&lt;&gt;"",N12/$B12*100,"")</f>
        <v>32.077775690400152</v>
      </c>
      <c r="Q12" s="72">
        <f>Q14+Q99</f>
        <v>1513</v>
      </c>
      <c r="R12" s="73">
        <f>IF($A12&lt;&gt;"",Q12/$B12*100,"")</f>
        <v>3.55297764418561</v>
      </c>
    </row>
    <row r="13" spans="1:19" ht="9" customHeight="1">
      <c r="F13" s="73" t="str">
        <f t="shared" si="0"/>
        <v/>
      </c>
      <c r="I13" s="73" t="str">
        <f t="shared" si="1"/>
        <v/>
      </c>
      <c r="L13" s="73" t="str">
        <f t="shared" si="2"/>
        <v/>
      </c>
      <c r="O13" s="73" t="str">
        <f t="shared" si="3"/>
        <v/>
      </c>
      <c r="R13" s="73" t="str">
        <f t="shared" ref="R13:R76" si="4">IF($A13&lt;&gt;"",Q13/$B13*100,"")</f>
        <v/>
      </c>
    </row>
    <row r="14" spans="1:19" ht="13.25" customHeight="1">
      <c r="A14" s="55" t="s">
        <v>403</v>
      </c>
      <c r="B14" s="58">
        <f>B94+B16+B27+B35+B75+B82+B61+B106+B96+B97</f>
        <v>32804</v>
      </c>
      <c r="C14" s="204">
        <f>IF(A14&lt;&gt;0,B14/$B$12*100,"")</f>
        <v>77.033627653578804</v>
      </c>
      <c r="E14" s="72">
        <f>E94+E16+E27+E35+E75+E82+E61+E106+E96+E97</f>
        <v>4733</v>
      </c>
      <c r="F14" s="73">
        <f t="shared" si="0"/>
        <v>14.428118522131447</v>
      </c>
      <c r="H14" s="72">
        <f>H94+H16+H27+H35+H75+H82+H61+H106+H96+H97</f>
        <v>7769</v>
      </c>
      <c r="I14" s="73">
        <f t="shared" si="1"/>
        <v>23.683087428362395</v>
      </c>
      <c r="K14" s="72">
        <f>K94+K16+K27+K35+K75+K82+K61+K106+K96+K97</f>
        <v>8843</v>
      </c>
      <c r="L14" s="73">
        <f t="shared" si="2"/>
        <v>26.957078405072554</v>
      </c>
      <c r="N14" s="72">
        <f>N94+N16+N27+N35+N75+N82+N61+N106+N96+N97</f>
        <v>10167</v>
      </c>
      <c r="O14" s="73">
        <f t="shared" si="3"/>
        <v>30.993171564443362</v>
      </c>
      <c r="Q14" s="72">
        <f>Q94+Q16+Q27+Q35+Q75+Q82+Q61+Q106+Q96+Q97</f>
        <v>1292</v>
      </c>
      <c r="R14" s="73">
        <f t="shared" si="4"/>
        <v>3.9385440799902449</v>
      </c>
    </row>
    <row r="15" spans="1:19" ht="9" customHeight="1">
      <c r="C15" s="204" t="str">
        <f t="shared" ref="C15:C78" si="5">IF(A15&lt;&gt;0,B15/$B$12*100,"")</f>
        <v/>
      </c>
      <c r="F15" s="73" t="str">
        <f t="shared" si="0"/>
        <v/>
      </c>
      <c r="I15" s="73" t="str">
        <f t="shared" si="1"/>
        <v/>
      </c>
      <c r="L15" s="73" t="str">
        <f t="shared" si="2"/>
        <v/>
      </c>
      <c r="O15" s="73" t="str">
        <f t="shared" si="3"/>
        <v/>
      </c>
      <c r="R15" s="73" t="str">
        <f t="shared" si="4"/>
        <v/>
      </c>
    </row>
    <row r="16" spans="1:19" ht="13.25" customHeight="1">
      <c r="A16" s="55" t="s">
        <v>404</v>
      </c>
      <c r="B16" s="58">
        <f>SUM(B17+B22)</f>
        <v>3204</v>
      </c>
      <c r="C16" s="204">
        <f t="shared" si="5"/>
        <v>7.5239526582754079</v>
      </c>
      <c r="E16" s="72">
        <f>SUM(E17+E22)</f>
        <v>470</v>
      </c>
      <c r="F16" s="73">
        <f t="shared" si="0"/>
        <v>14.66916354556804</v>
      </c>
      <c r="H16" s="72">
        <f>SUM(H17+H22)</f>
        <v>924</v>
      </c>
      <c r="I16" s="73">
        <f t="shared" si="1"/>
        <v>28.838951310861422</v>
      </c>
      <c r="K16" s="72">
        <f>SUM(K17+K22)</f>
        <v>846</v>
      </c>
      <c r="L16" s="73">
        <f t="shared" si="2"/>
        <v>26.40449438202247</v>
      </c>
      <c r="N16" s="72">
        <f>SUM(N17+N22)</f>
        <v>892</v>
      </c>
      <c r="O16" s="73">
        <f t="shared" si="3"/>
        <v>27.840199750312109</v>
      </c>
      <c r="Q16" s="72">
        <f>SUM(Q17+Q22)</f>
        <v>72</v>
      </c>
      <c r="R16" s="73">
        <f t="shared" si="4"/>
        <v>2.2471910112359552</v>
      </c>
    </row>
    <row r="17" spans="1:18" ht="13.25" customHeight="1">
      <c r="A17" s="95" t="s">
        <v>162</v>
      </c>
      <c r="B17" s="58">
        <f>SUM(E17+H17+K17+N17+Q17)</f>
        <v>1189</v>
      </c>
      <c r="C17" s="204">
        <f t="shared" si="5"/>
        <v>2.7921284989667483</v>
      </c>
      <c r="E17" s="72">
        <f>SUM(E18:E20)</f>
        <v>140</v>
      </c>
      <c r="F17" s="73">
        <f t="shared" si="0"/>
        <v>11.774600504625736</v>
      </c>
      <c r="H17" s="72">
        <f>SUM(H18:H20)</f>
        <v>332</v>
      </c>
      <c r="I17" s="73">
        <f t="shared" si="1"/>
        <v>27.922624053826745</v>
      </c>
      <c r="K17" s="72">
        <f>SUM(K18:K20)</f>
        <v>361</v>
      </c>
      <c r="L17" s="73">
        <f t="shared" si="2"/>
        <v>30.361648444070649</v>
      </c>
      <c r="N17" s="72">
        <f>SUM(N18:N20)</f>
        <v>329</v>
      </c>
      <c r="O17" s="73">
        <f t="shared" si="3"/>
        <v>27.670311185870478</v>
      </c>
      <c r="Q17" s="72">
        <f>SUM(Q18:Q20)</f>
        <v>27</v>
      </c>
      <c r="R17" s="73">
        <f t="shared" si="4"/>
        <v>2.2708158116063917</v>
      </c>
    </row>
    <row r="18" spans="1:18" ht="13.25" customHeight="1">
      <c r="A18" s="95" t="s">
        <v>163</v>
      </c>
      <c r="B18" s="58">
        <f>SUM(E18+H18+K18+N18+Q18)</f>
        <v>175</v>
      </c>
      <c r="C18" s="204">
        <f t="shared" si="5"/>
        <v>0.41095247041142213</v>
      </c>
      <c r="E18" s="834">
        <v>22</v>
      </c>
      <c r="F18" s="73">
        <f t="shared" si="0"/>
        <v>12.571428571428573</v>
      </c>
      <c r="G18" s="834"/>
      <c r="H18" s="834">
        <v>55</v>
      </c>
      <c r="I18" s="73">
        <f t="shared" si="1"/>
        <v>31.428571428571427</v>
      </c>
      <c r="J18" s="834"/>
      <c r="K18" s="834">
        <v>52</v>
      </c>
      <c r="L18" s="73">
        <f t="shared" si="2"/>
        <v>29.714285714285715</v>
      </c>
      <c r="M18" s="834"/>
      <c r="N18" s="834">
        <v>42</v>
      </c>
      <c r="O18" s="73">
        <f t="shared" si="3"/>
        <v>24</v>
      </c>
      <c r="P18" s="834"/>
      <c r="Q18" s="834">
        <v>4</v>
      </c>
      <c r="R18" s="73">
        <f>IF($A18&lt;&gt;"",Q18/$B18*100,"")</f>
        <v>2.2857142857142856</v>
      </c>
    </row>
    <row r="19" spans="1:18" ht="13.25" customHeight="1">
      <c r="A19" s="95" t="s">
        <v>164</v>
      </c>
      <c r="B19" s="58">
        <f>SUM(E19+H19+K19+N19+Q19)</f>
        <v>267</v>
      </c>
      <c r="C19" s="204">
        <f t="shared" si="5"/>
        <v>0.62699605485628407</v>
      </c>
      <c r="E19" s="834">
        <v>20</v>
      </c>
      <c r="F19" s="73">
        <f t="shared" si="0"/>
        <v>7.4906367041198507</v>
      </c>
      <c r="G19" s="834"/>
      <c r="H19" s="834">
        <v>69</v>
      </c>
      <c r="I19" s="73">
        <f t="shared" si="1"/>
        <v>25.842696629213485</v>
      </c>
      <c r="J19" s="834"/>
      <c r="K19" s="834">
        <v>80</v>
      </c>
      <c r="L19" s="73">
        <f t="shared" si="2"/>
        <v>29.962546816479403</v>
      </c>
      <c r="M19" s="834"/>
      <c r="N19" s="834">
        <v>84</v>
      </c>
      <c r="O19" s="73">
        <f t="shared" si="3"/>
        <v>31.460674157303369</v>
      </c>
      <c r="P19" s="834"/>
      <c r="Q19" s="834">
        <v>14</v>
      </c>
      <c r="R19" s="73">
        <f>IF($A19&lt;&gt;"",Q19/$B19*100,"")</f>
        <v>5.2434456928838955</v>
      </c>
    </row>
    <row r="20" spans="1:18" ht="13.25" customHeight="1">
      <c r="A20" s="95" t="s">
        <v>165</v>
      </c>
      <c r="B20" s="58">
        <f>SUM(E20+H20+K20+N20+Q20)</f>
        <v>747</v>
      </c>
      <c r="C20" s="204">
        <f t="shared" si="5"/>
        <v>1.754179973699042</v>
      </c>
      <c r="E20" s="834">
        <v>98</v>
      </c>
      <c r="F20" s="73">
        <f t="shared" si="0"/>
        <v>13.119143239625167</v>
      </c>
      <c r="G20" s="834"/>
      <c r="H20" s="834">
        <v>208</v>
      </c>
      <c r="I20" s="73">
        <f t="shared" si="1"/>
        <v>27.844712182061581</v>
      </c>
      <c r="J20" s="834"/>
      <c r="K20" s="834">
        <v>229</v>
      </c>
      <c r="L20" s="73">
        <f t="shared" si="2"/>
        <v>30.655957161981256</v>
      </c>
      <c r="M20" s="834"/>
      <c r="N20" s="834">
        <v>203</v>
      </c>
      <c r="O20" s="73">
        <f t="shared" si="3"/>
        <v>27.175368139223561</v>
      </c>
      <c r="P20" s="834"/>
      <c r="Q20" s="834">
        <v>9</v>
      </c>
      <c r="R20" s="73">
        <f>IF($A20&lt;&gt;"",Q20/$B20*100,"")</f>
        <v>1.2048192771084338</v>
      </c>
    </row>
    <row r="21" spans="1:18" ht="9" customHeight="1">
      <c r="C21" s="204" t="str">
        <f t="shared" si="5"/>
        <v/>
      </c>
      <c r="F21" s="73" t="str">
        <f t="shared" si="0"/>
        <v/>
      </c>
      <c r="I21" s="73" t="str">
        <f t="shared" si="1"/>
        <v/>
      </c>
      <c r="L21" s="73" t="str">
        <f t="shared" si="2"/>
        <v/>
      </c>
      <c r="N21" s="301"/>
      <c r="O21" s="73" t="str">
        <f t="shared" si="3"/>
        <v/>
      </c>
      <c r="P21" s="301"/>
      <c r="R21" s="73" t="str">
        <f t="shared" si="4"/>
        <v/>
      </c>
    </row>
    <row r="22" spans="1:18" ht="13.25" customHeight="1">
      <c r="A22" s="95" t="s">
        <v>166</v>
      </c>
      <c r="B22" s="58">
        <f>SUM(E22+H22+K22+N22+Q22)</f>
        <v>2015</v>
      </c>
      <c r="C22" s="204">
        <f t="shared" si="5"/>
        <v>4.7318241593086601</v>
      </c>
      <c r="E22" s="72">
        <f>SUM(E23:E25)</f>
        <v>330</v>
      </c>
      <c r="F22" s="73">
        <f t="shared" si="0"/>
        <v>16.377171215880892</v>
      </c>
      <c r="H22" s="72">
        <f>SUM(H23:H25)</f>
        <v>592</v>
      </c>
      <c r="I22" s="73">
        <f t="shared" si="1"/>
        <v>29.379652605459057</v>
      </c>
      <c r="K22" s="72">
        <f>SUM(K23:K25)</f>
        <v>485</v>
      </c>
      <c r="L22" s="73">
        <f t="shared" si="2"/>
        <v>24.069478908188586</v>
      </c>
      <c r="N22" s="72">
        <f>SUM(N23:N25)</f>
        <v>563</v>
      </c>
      <c r="O22" s="73">
        <f t="shared" si="3"/>
        <v>27.940446650124066</v>
      </c>
      <c r="Q22" s="72">
        <f>SUM(Q23:Q25)</f>
        <v>45</v>
      </c>
      <c r="R22" s="73">
        <f t="shared" si="4"/>
        <v>2.2332506203473943</v>
      </c>
    </row>
    <row r="23" spans="1:18" ht="13.25" customHeight="1">
      <c r="A23" s="95" t="s">
        <v>167</v>
      </c>
      <c r="B23" s="58">
        <f>SUM(E23+H23+K23+N23+Q23)</f>
        <v>687</v>
      </c>
      <c r="C23" s="204">
        <f t="shared" si="5"/>
        <v>1.6132819838436971</v>
      </c>
      <c r="E23" s="834">
        <v>116</v>
      </c>
      <c r="F23" s="73">
        <f t="shared" si="0"/>
        <v>16.885007278020378</v>
      </c>
      <c r="G23" s="834"/>
      <c r="H23" s="834">
        <v>209</v>
      </c>
      <c r="I23" s="73">
        <f t="shared" si="1"/>
        <v>30.422125181950509</v>
      </c>
      <c r="J23" s="834"/>
      <c r="K23" s="834">
        <v>199</v>
      </c>
      <c r="L23" s="73">
        <f t="shared" si="2"/>
        <v>28.966521106259098</v>
      </c>
      <c r="M23" s="834"/>
      <c r="N23" s="834">
        <v>154</v>
      </c>
      <c r="O23" s="73">
        <f t="shared" si="3"/>
        <v>22.416302765647742</v>
      </c>
      <c r="P23" s="834"/>
      <c r="Q23" s="834">
        <v>9</v>
      </c>
      <c r="R23" s="73">
        <f t="shared" si="4"/>
        <v>1.3100436681222707</v>
      </c>
    </row>
    <row r="24" spans="1:18" ht="13.25" customHeight="1">
      <c r="A24" s="95" t="s">
        <v>168</v>
      </c>
      <c r="B24" s="58">
        <f>SUM(E24+H24+K24+N24+Q24)</f>
        <v>287</v>
      </c>
      <c r="C24" s="204">
        <f t="shared" si="5"/>
        <v>0.67396205147473232</v>
      </c>
      <c r="E24" s="834">
        <v>58</v>
      </c>
      <c r="F24" s="73">
        <f t="shared" si="0"/>
        <v>20.209059233449477</v>
      </c>
      <c r="G24" s="834"/>
      <c r="H24" s="834">
        <v>108</v>
      </c>
      <c r="I24" s="73">
        <f t="shared" si="1"/>
        <v>37.630662020905923</v>
      </c>
      <c r="J24" s="834"/>
      <c r="K24" s="834">
        <v>53</v>
      </c>
      <c r="L24" s="73">
        <f t="shared" si="2"/>
        <v>18.466898954703833</v>
      </c>
      <c r="M24" s="834"/>
      <c r="N24" s="834">
        <v>63</v>
      </c>
      <c r="O24" s="73">
        <f t="shared" si="3"/>
        <v>21.951219512195124</v>
      </c>
      <c r="P24" s="834"/>
      <c r="Q24" s="834">
        <v>5</v>
      </c>
      <c r="R24" s="73">
        <f t="shared" si="4"/>
        <v>1.7421602787456445</v>
      </c>
    </row>
    <row r="25" spans="1:18" ht="13.25" customHeight="1">
      <c r="A25" s="95" t="s">
        <v>169</v>
      </c>
      <c r="B25" s="58">
        <f>SUM(E25+H25+K25+N25+Q25)</f>
        <v>1041</v>
      </c>
      <c r="C25" s="204">
        <f t="shared" si="5"/>
        <v>2.4445801239902307</v>
      </c>
      <c r="E25" s="834">
        <v>156</v>
      </c>
      <c r="F25" s="73">
        <f t="shared" si="0"/>
        <v>14.985590778097983</v>
      </c>
      <c r="G25" s="834"/>
      <c r="H25" s="834">
        <v>275</v>
      </c>
      <c r="I25" s="73">
        <f t="shared" si="1"/>
        <v>26.416906820365032</v>
      </c>
      <c r="J25" s="834"/>
      <c r="K25" s="834">
        <v>233</v>
      </c>
      <c r="L25" s="73">
        <f t="shared" si="2"/>
        <v>22.382324687800192</v>
      </c>
      <c r="M25" s="834"/>
      <c r="N25" s="834">
        <v>346</v>
      </c>
      <c r="O25" s="73">
        <f t="shared" si="3"/>
        <v>33.237271853986549</v>
      </c>
      <c r="P25" s="834"/>
      <c r="Q25" s="834">
        <v>31</v>
      </c>
      <c r="R25" s="73">
        <f t="shared" si="4"/>
        <v>2.9779058597502401</v>
      </c>
    </row>
    <row r="26" spans="1:18" ht="9" customHeight="1">
      <c r="C26" s="204" t="str">
        <f t="shared" si="5"/>
        <v/>
      </c>
      <c r="F26" s="73" t="str">
        <f t="shared" si="0"/>
        <v/>
      </c>
      <c r="I26" s="73" t="str">
        <f t="shared" si="1"/>
        <v/>
      </c>
      <c r="L26" s="73" t="str">
        <f t="shared" si="2"/>
        <v/>
      </c>
      <c r="O26" s="73" t="str">
        <f t="shared" si="3"/>
        <v/>
      </c>
      <c r="R26" s="73" t="str">
        <f t="shared" si="4"/>
        <v/>
      </c>
    </row>
    <row r="27" spans="1:18" ht="13.25" customHeight="1">
      <c r="A27" s="55" t="s">
        <v>464</v>
      </c>
      <c r="B27" s="58">
        <f>SUM(B28)</f>
        <v>2129</v>
      </c>
      <c r="C27" s="204">
        <f t="shared" si="5"/>
        <v>4.9995303400338154</v>
      </c>
      <c r="E27" s="72">
        <f>SUM(E28)</f>
        <v>282</v>
      </c>
      <c r="F27" s="73">
        <f t="shared" si="0"/>
        <v>13.245655237200562</v>
      </c>
      <c r="H27" s="72">
        <f>SUM(H28)</f>
        <v>585</v>
      </c>
      <c r="I27" s="73">
        <f t="shared" si="1"/>
        <v>27.477689055894789</v>
      </c>
      <c r="K27" s="72">
        <f>SUM(K28)</f>
        <v>702</v>
      </c>
      <c r="L27" s="73">
        <f t="shared" si="2"/>
        <v>32.973226867073748</v>
      </c>
      <c r="N27" s="72">
        <f>SUM(N28)</f>
        <v>532</v>
      </c>
      <c r="O27" s="73">
        <f t="shared" si="3"/>
        <v>24.988257397839362</v>
      </c>
      <c r="Q27" s="72">
        <f>SUM(Q28)</f>
        <v>28</v>
      </c>
      <c r="R27" s="73">
        <f t="shared" si="4"/>
        <v>1.3151714419915452</v>
      </c>
    </row>
    <row r="28" spans="1:18" ht="13.25" customHeight="1">
      <c r="A28" s="95" t="s">
        <v>171</v>
      </c>
      <c r="B28" s="58">
        <f t="shared" ref="B28:B33" si="6">SUM(E28+H28+K28+N28+Q28)</f>
        <v>2129</v>
      </c>
      <c r="C28" s="204">
        <f t="shared" si="5"/>
        <v>4.9995303400338154</v>
      </c>
      <c r="E28" s="72">
        <f>SUM(E29:E33)</f>
        <v>282</v>
      </c>
      <c r="F28" s="73">
        <f t="shared" si="0"/>
        <v>13.245655237200562</v>
      </c>
      <c r="H28" s="72">
        <f>SUM(H29:H33)</f>
        <v>585</v>
      </c>
      <c r="I28" s="73">
        <f t="shared" si="1"/>
        <v>27.477689055894789</v>
      </c>
      <c r="K28" s="72">
        <f>SUM(K29:K33)</f>
        <v>702</v>
      </c>
      <c r="L28" s="73">
        <f t="shared" si="2"/>
        <v>32.973226867073748</v>
      </c>
      <c r="N28" s="72">
        <f>SUM(N29:N33)</f>
        <v>532</v>
      </c>
      <c r="O28" s="73">
        <f t="shared" si="3"/>
        <v>24.988257397839362</v>
      </c>
      <c r="Q28" s="72">
        <f>SUM(Q29:Q33)</f>
        <v>28</v>
      </c>
      <c r="R28" s="73">
        <f t="shared" si="4"/>
        <v>1.3151714419915452</v>
      </c>
    </row>
    <row r="29" spans="1:18" ht="13.25" customHeight="1">
      <c r="A29" s="95" t="s">
        <v>172</v>
      </c>
      <c r="B29" s="58">
        <f t="shared" si="6"/>
        <v>372</v>
      </c>
      <c r="C29" s="204">
        <f t="shared" si="5"/>
        <v>0.87356753710313739</v>
      </c>
      <c r="E29" s="834">
        <v>47</v>
      </c>
      <c r="F29" s="73">
        <f t="shared" si="0"/>
        <v>12.634408602150538</v>
      </c>
      <c r="G29" s="834"/>
      <c r="H29" s="834">
        <v>78</v>
      </c>
      <c r="I29" s="73">
        <f t="shared" si="1"/>
        <v>20.967741935483872</v>
      </c>
      <c r="J29" s="834"/>
      <c r="K29" s="834">
        <v>111</v>
      </c>
      <c r="L29" s="73">
        <f t="shared" si="2"/>
        <v>29.838709677419356</v>
      </c>
      <c r="M29" s="834"/>
      <c r="N29" s="834">
        <v>134</v>
      </c>
      <c r="O29" s="73">
        <f t="shared" si="3"/>
        <v>36.021505376344088</v>
      </c>
      <c r="P29" s="834"/>
      <c r="Q29" s="834">
        <v>2</v>
      </c>
      <c r="R29" s="73">
        <f t="shared" si="4"/>
        <v>0.53763440860215062</v>
      </c>
    </row>
    <row r="30" spans="1:18" ht="13.25" customHeight="1">
      <c r="A30" s="95" t="s">
        <v>173</v>
      </c>
      <c r="B30" s="58">
        <f t="shared" si="6"/>
        <v>533</v>
      </c>
      <c r="C30" s="204">
        <f t="shared" si="5"/>
        <v>1.2516438098816456</v>
      </c>
      <c r="E30" s="834">
        <v>72</v>
      </c>
      <c r="F30" s="73">
        <f t="shared" si="0"/>
        <v>13.50844277673546</v>
      </c>
      <c r="G30" s="834"/>
      <c r="H30" s="834">
        <v>164</v>
      </c>
      <c r="I30" s="73">
        <f t="shared" si="1"/>
        <v>30.76923076923077</v>
      </c>
      <c r="J30" s="834"/>
      <c r="K30" s="834">
        <v>196</v>
      </c>
      <c r="L30" s="73">
        <f t="shared" si="2"/>
        <v>36.772983114446525</v>
      </c>
      <c r="M30" s="834"/>
      <c r="N30" s="834">
        <v>93</v>
      </c>
      <c r="O30" s="73">
        <f t="shared" si="3"/>
        <v>17.448405253283301</v>
      </c>
      <c r="P30" s="834"/>
      <c r="Q30" s="834">
        <v>8</v>
      </c>
      <c r="R30" s="73">
        <f t="shared" si="4"/>
        <v>1.5009380863039399</v>
      </c>
    </row>
    <row r="31" spans="1:18" ht="13.25" customHeight="1">
      <c r="A31" s="95" t="s">
        <v>174</v>
      </c>
      <c r="B31" s="58">
        <f t="shared" si="6"/>
        <v>290</v>
      </c>
      <c r="C31" s="204">
        <f t="shared" si="5"/>
        <v>0.68100695096749952</v>
      </c>
      <c r="E31" s="834">
        <v>40</v>
      </c>
      <c r="F31" s="73">
        <f t="shared" si="0"/>
        <v>13.793103448275861</v>
      </c>
      <c r="G31" s="834"/>
      <c r="H31" s="834">
        <v>100</v>
      </c>
      <c r="I31" s="73">
        <f t="shared" si="1"/>
        <v>34.482758620689658</v>
      </c>
      <c r="J31" s="834"/>
      <c r="K31" s="834">
        <v>93</v>
      </c>
      <c r="L31" s="73">
        <f t="shared" si="2"/>
        <v>32.068965517241374</v>
      </c>
      <c r="M31" s="834"/>
      <c r="N31" s="834">
        <v>55</v>
      </c>
      <c r="O31" s="73">
        <f t="shared" si="3"/>
        <v>18.96551724137931</v>
      </c>
      <c r="P31" s="834"/>
      <c r="Q31" s="834">
        <v>2</v>
      </c>
      <c r="R31" s="73">
        <f t="shared" si="4"/>
        <v>0.68965517241379315</v>
      </c>
    </row>
    <row r="32" spans="1:18" ht="13.25" customHeight="1">
      <c r="A32" s="95" t="s">
        <v>175</v>
      </c>
      <c r="B32" s="58">
        <f t="shared" si="6"/>
        <v>476</v>
      </c>
      <c r="C32" s="204">
        <f t="shared" si="5"/>
        <v>1.1177907195190682</v>
      </c>
      <c r="E32" s="834">
        <v>74</v>
      </c>
      <c r="F32" s="73">
        <f t="shared" si="0"/>
        <v>15.546218487394958</v>
      </c>
      <c r="G32" s="834"/>
      <c r="H32" s="834">
        <v>124</v>
      </c>
      <c r="I32" s="73">
        <f t="shared" si="1"/>
        <v>26.05042016806723</v>
      </c>
      <c r="J32" s="834"/>
      <c r="K32" s="834">
        <v>141</v>
      </c>
      <c r="L32" s="73">
        <f t="shared" si="2"/>
        <v>29.6218487394958</v>
      </c>
      <c r="M32" s="834"/>
      <c r="N32" s="834">
        <v>126</v>
      </c>
      <c r="O32" s="73">
        <f t="shared" si="3"/>
        <v>26.47058823529412</v>
      </c>
      <c r="P32" s="834"/>
      <c r="Q32" s="834">
        <v>11</v>
      </c>
      <c r="R32" s="73">
        <f t="shared" si="4"/>
        <v>2.3109243697478994</v>
      </c>
    </row>
    <row r="33" spans="1:18" ht="13.25" customHeight="1">
      <c r="A33" s="95" t="s">
        <v>176</v>
      </c>
      <c r="B33" s="58">
        <f t="shared" si="6"/>
        <v>458</v>
      </c>
      <c r="C33" s="204">
        <f t="shared" si="5"/>
        <v>1.0755213225624647</v>
      </c>
      <c r="E33" s="834">
        <v>49</v>
      </c>
      <c r="F33" s="73">
        <f t="shared" si="0"/>
        <v>10.698689956331878</v>
      </c>
      <c r="G33" s="834"/>
      <c r="H33" s="834">
        <v>119</v>
      </c>
      <c r="I33" s="73">
        <f t="shared" si="1"/>
        <v>25.982532751091703</v>
      </c>
      <c r="J33" s="834"/>
      <c r="K33" s="834">
        <v>161</v>
      </c>
      <c r="L33" s="73">
        <f t="shared" si="2"/>
        <v>35.1528384279476</v>
      </c>
      <c r="M33" s="834"/>
      <c r="N33" s="834">
        <v>124</v>
      </c>
      <c r="O33" s="73">
        <f t="shared" si="3"/>
        <v>27.074235807860266</v>
      </c>
      <c r="P33" s="834"/>
      <c r="Q33" s="834">
        <v>5</v>
      </c>
      <c r="R33" s="73">
        <f t="shared" si="4"/>
        <v>1.0917030567685588</v>
      </c>
    </row>
    <row r="34" spans="1:18" ht="9" customHeight="1">
      <c r="C34" s="204" t="str">
        <f t="shared" si="5"/>
        <v/>
      </c>
      <c r="F34" s="73" t="str">
        <f t="shared" si="0"/>
        <v/>
      </c>
      <c r="I34" s="73" t="str">
        <f t="shared" si="1"/>
        <v/>
      </c>
      <c r="L34" s="73" t="str">
        <f t="shared" si="2"/>
        <v/>
      </c>
      <c r="O34" s="73" t="str">
        <f t="shared" si="3"/>
        <v/>
      </c>
      <c r="R34" s="73" t="str">
        <f t="shared" si="4"/>
        <v/>
      </c>
    </row>
    <row r="35" spans="1:18" ht="13.25" customHeight="1">
      <c r="A35" s="55" t="s">
        <v>406</v>
      </c>
      <c r="B35" s="58">
        <f>SUM(B36+B42+B52+B54)</f>
        <v>14164</v>
      </c>
      <c r="C35" s="204">
        <f t="shared" si="5"/>
        <v>33.261318805185049</v>
      </c>
      <c r="E35" s="72">
        <f>SUM(E36+E42+E52+E54)</f>
        <v>2333</v>
      </c>
      <c r="F35" s="73">
        <f t="shared" si="0"/>
        <v>16.471335780852865</v>
      </c>
      <c r="H35" s="72">
        <f>SUM(H36+H42+H52+H54)</f>
        <v>3322</v>
      </c>
      <c r="I35" s="73">
        <f t="shared" si="1"/>
        <v>23.453826602654619</v>
      </c>
      <c r="K35" s="72">
        <f>SUM(K36+K42+K52+K54)</f>
        <v>3364</v>
      </c>
      <c r="L35" s="73">
        <f t="shared" si="2"/>
        <v>23.750353007624962</v>
      </c>
      <c r="N35" s="72">
        <f>SUM(N36+N42+N52+N54)</f>
        <v>4571</v>
      </c>
      <c r="O35" s="73">
        <f t="shared" si="3"/>
        <v>32.271957074272805</v>
      </c>
      <c r="Q35" s="72">
        <f>SUM(Q36+Q42+Q52+Q54)</f>
        <v>574</v>
      </c>
      <c r="R35" s="73">
        <f t="shared" si="4"/>
        <v>4.0525275345947476</v>
      </c>
    </row>
    <row r="36" spans="1:18" ht="17.25" customHeight="1">
      <c r="A36" s="95" t="s">
        <v>178</v>
      </c>
      <c r="B36" s="58">
        <f>SUM(E36+H36+K36+N36+Q36)</f>
        <v>5225</v>
      </c>
      <c r="C36" s="204">
        <f t="shared" si="5"/>
        <v>12.269866616569605</v>
      </c>
      <c r="E36" s="72">
        <f>SUM(E37:E40)</f>
        <v>898</v>
      </c>
      <c r="F36" s="73">
        <f t="shared" si="0"/>
        <v>17.186602870813399</v>
      </c>
      <c r="H36" s="72">
        <f>SUM(H37:H40)</f>
        <v>1308</v>
      </c>
      <c r="I36" s="73">
        <f t="shared" si="1"/>
        <v>25.033492822966508</v>
      </c>
      <c r="K36" s="72">
        <f>SUM(K37:K40)</f>
        <v>1271</v>
      </c>
      <c r="L36" s="73">
        <f t="shared" si="2"/>
        <v>24.325358851674643</v>
      </c>
      <c r="N36" s="72">
        <f>SUM(N37:N40)</f>
        <v>1568</v>
      </c>
      <c r="O36" s="73">
        <f t="shared" si="3"/>
        <v>30.009569377990431</v>
      </c>
      <c r="Q36" s="72">
        <f>SUM(Q37:Q40)</f>
        <v>180</v>
      </c>
      <c r="R36" s="73">
        <f t="shared" si="4"/>
        <v>3.4449760765550237</v>
      </c>
    </row>
    <row r="37" spans="1:18" ht="13.25" customHeight="1">
      <c r="A37" s="95" t="s">
        <v>179</v>
      </c>
      <c r="B37" s="58">
        <f>SUM(E37+H37+K37+N37+Q37)</f>
        <v>3031</v>
      </c>
      <c r="C37" s="204">
        <f t="shared" si="5"/>
        <v>7.1176967875258317</v>
      </c>
      <c r="E37" s="834">
        <v>558</v>
      </c>
      <c r="F37" s="73">
        <f t="shared" si="0"/>
        <v>18.409765753876609</v>
      </c>
      <c r="G37" s="834"/>
      <c r="H37" s="834">
        <v>864</v>
      </c>
      <c r="I37" s="73">
        <f t="shared" si="1"/>
        <v>28.505443747937974</v>
      </c>
      <c r="J37" s="834"/>
      <c r="K37" s="834">
        <v>772</v>
      </c>
      <c r="L37" s="73">
        <f t="shared" si="2"/>
        <v>25.470141867370504</v>
      </c>
      <c r="M37" s="834"/>
      <c r="N37" s="834">
        <v>782</v>
      </c>
      <c r="O37" s="73">
        <f t="shared" si="3"/>
        <v>25.80006598482349</v>
      </c>
      <c r="P37" s="834"/>
      <c r="Q37" s="834">
        <v>55</v>
      </c>
      <c r="R37" s="73">
        <f t="shared" si="4"/>
        <v>1.8145826459914218</v>
      </c>
    </row>
    <row r="38" spans="1:18" ht="13.25" customHeight="1">
      <c r="A38" s="95" t="s">
        <v>180</v>
      </c>
      <c r="B38" s="58">
        <f>SUM(E38+H38+K38+N38+Q38)</f>
        <v>1193</v>
      </c>
      <c r="C38" s="204">
        <f t="shared" si="5"/>
        <v>2.8015216982904381</v>
      </c>
      <c r="E38" s="834">
        <v>188</v>
      </c>
      <c r="F38" s="73">
        <f t="shared" si="0"/>
        <v>15.758591785414922</v>
      </c>
      <c r="G38" s="834"/>
      <c r="H38" s="834">
        <v>197</v>
      </c>
      <c r="I38" s="73">
        <f t="shared" si="1"/>
        <v>16.512992455993295</v>
      </c>
      <c r="J38" s="834"/>
      <c r="K38" s="834">
        <v>191</v>
      </c>
      <c r="L38" s="73">
        <f t="shared" si="2"/>
        <v>16.010058675607709</v>
      </c>
      <c r="M38" s="834"/>
      <c r="N38" s="834">
        <v>518</v>
      </c>
      <c r="O38" s="73">
        <f t="shared" si="3"/>
        <v>43.419949706621964</v>
      </c>
      <c r="P38" s="834"/>
      <c r="Q38" s="834">
        <v>99</v>
      </c>
      <c r="R38" s="73">
        <f t="shared" si="4"/>
        <v>8.2984073763621122</v>
      </c>
    </row>
    <row r="39" spans="1:18" ht="13.25" customHeight="1">
      <c r="A39" s="95" t="s">
        <v>181</v>
      </c>
      <c r="B39" s="58">
        <f>SUM(E39+H39+K39+N39+Q39)</f>
        <v>528</v>
      </c>
      <c r="C39" s="204">
        <f t="shared" si="5"/>
        <v>1.2399023107270337</v>
      </c>
      <c r="E39" s="834">
        <v>87</v>
      </c>
      <c r="F39" s="73">
        <f t="shared" si="0"/>
        <v>16.477272727272727</v>
      </c>
      <c r="G39" s="834"/>
      <c r="H39" s="834">
        <v>114</v>
      </c>
      <c r="I39" s="73">
        <f t="shared" si="1"/>
        <v>21.59090909090909</v>
      </c>
      <c r="J39" s="834"/>
      <c r="K39" s="834">
        <v>145</v>
      </c>
      <c r="L39" s="73">
        <f t="shared" si="2"/>
        <v>27.462121212121211</v>
      </c>
      <c r="M39" s="834"/>
      <c r="N39" s="834">
        <v>166</v>
      </c>
      <c r="O39" s="73">
        <f t="shared" si="3"/>
        <v>31.439393939393938</v>
      </c>
      <c r="P39" s="834"/>
      <c r="Q39" s="834">
        <v>16</v>
      </c>
      <c r="R39" s="73">
        <f t="shared" si="4"/>
        <v>3.0303030303030303</v>
      </c>
    </row>
    <row r="40" spans="1:18" ht="13.25" customHeight="1">
      <c r="A40" s="95" t="s">
        <v>182</v>
      </c>
      <c r="B40" s="58">
        <f>SUM(E40+H40+K40+N40+Q40)</f>
        <v>473</v>
      </c>
      <c r="C40" s="204">
        <f t="shared" si="5"/>
        <v>1.110745820026301</v>
      </c>
      <c r="E40" s="834">
        <v>65</v>
      </c>
      <c r="F40" s="73">
        <f t="shared" si="0"/>
        <v>13.742071881606766</v>
      </c>
      <c r="G40" s="834"/>
      <c r="H40" s="834">
        <v>133</v>
      </c>
      <c r="I40" s="73">
        <f t="shared" si="1"/>
        <v>28.118393234672308</v>
      </c>
      <c r="J40" s="834"/>
      <c r="K40" s="834">
        <v>163</v>
      </c>
      <c r="L40" s="73">
        <f t="shared" si="2"/>
        <v>34.460887949260041</v>
      </c>
      <c r="M40" s="834"/>
      <c r="N40" s="834">
        <v>102</v>
      </c>
      <c r="O40" s="73">
        <f t="shared" si="3"/>
        <v>21.56448202959831</v>
      </c>
      <c r="P40" s="834"/>
      <c r="Q40" s="834">
        <v>10</v>
      </c>
      <c r="R40" s="73">
        <f t="shared" si="4"/>
        <v>2.1141649048625792</v>
      </c>
    </row>
    <row r="41" spans="1:18" ht="9" customHeight="1">
      <c r="C41" s="204" t="str">
        <f t="shared" si="5"/>
        <v/>
      </c>
      <c r="F41" s="73" t="str">
        <f t="shared" si="0"/>
        <v/>
      </c>
      <c r="I41" s="73" t="str">
        <f t="shared" si="1"/>
        <v/>
      </c>
      <c r="L41" s="73" t="str">
        <f t="shared" si="2"/>
        <v/>
      </c>
      <c r="O41" s="73" t="str">
        <f t="shared" si="3"/>
        <v/>
      </c>
      <c r="R41" s="73" t="str">
        <f t="shared" si="4"/>
        <v/>
      </c>
    </row>
    <row r="42" spans="1:18" ht="13.25" customHeight="1">
      <c r="A42" s="95" t="s">
        <v>183</v>
      </c>
      <c r="B42" s="58">
        <f t="shared" ref="B42:B50" si="7">SUM(E42+H42+K42+N42+Q42)</f>
        <v>4014</v>
      </c>
      <c r="C42" s="204">
        <f t="shared" si="5"/>
        <v>9.4260755213225611</v>
      </c>
      <c r="E42" s="72">
        <f>SUM(E43:E50)</f>
        <v>619</v>
      </c>
      <c r="F42" s="73">
        <f t="shared" si="0"/>
        <v>15.421026407573493</v>
      </c>
      <c r="H42" s="72">
        <f>SUM(H43:H50)</f>
        <v>903</v>
      </c>
      <c r="I42" s="73">
        <f t="shared" si="1"/>
        <v>22.496263079222718</v>
      </c>
      <c r="K42" s="72">
        <f>SUM(K43:K50)</f>
        <v>974</v>
      </c>
      <c r="L42" s="73">
        <f t="shared" si="2"/>
        <v>24.265072247135027</v>
      </c>
      <c r="N42" s="72">
        <f>SUM(N43:N50)</f>
        <v>1333</v>
      </c>
      <c r="O42" s="73">
        <f t="shared" si="3"/>
        <v>33.208769307424021</v>
      </c>
      <c r="Q42" s="72">
        <f>SUM(Q43:Q50)</f>
        <v>185</v>
      </c>
      <c r="R42" s="73">
        <f t="shared" si="4"/>
        <v>4.6088689586447433</v>
      </c>
    </row>
    <row r="43" spans="1:18" ht="13.25" customHeight="1">
      <c r="A43" s="95" t="s">
        <v>407</v>
      </c>
      <c r="B43" s="58">
        <f t="shared" si="7"/>
        <v>422</v>
      </c>
      <c r="C43" s="204">
        <f t="shared" si="5"/>
        <v>0.99098252864925807</v>
      </c>
      <c r="E43" s="834">
        <v>79</v>
      </c>
      <c r="F43" s="73">
        <f t="shared" si="0"/>
        <v>18.720379146919431</v>
      </c>
      <c r="G43" s="834"/>
      <c r="H43" s="834">
        <v>120</v>
      </c>
      <c r="I43" s="73">
        <f t="shared" si="1"/>
        <v>28.436018957345972</v>
      </c>
      <c r="J43" s="834"/>
      <c r="K43" s="834">
        <v>109</v>
      </c>
      <c r="L43" s="73">
        <f t="shared" si="2"/>
        <v>25.829383886255926</v>
      </c>
      <c r="M43" s="834"/>
      <c r="N43" s="834">
        <v>107</v>
      </c>
      <c r="O43" s="73">
        <f t="shared" si="3"/>
        <v>25.355450236966824</v>
      </c>
      <c r="P43" s="834"/>
      <c r="Q43" s="834">
        <v>7</v>
      </c>
      <c r="R43" s="73">
        <f t="shared" si="4"/>
        <v>1.6587677725118484</v>
      </c>
    </row>
    <row r="44" spans="1:18" ht="13.25" customHeight="1">
      <c r="A44" s="95" t="s">
        <v>184</v>
      </c>
      <c r="B44" s="58">
        <f t="shared" si="7"/>
        <v>425</v>
      </c>
      <c r="C44" s="204">
        <f t="shared" si="5"/>
        <v>0.99802742814202527</v>
      </c>
      <c r="E44" s="834">
        <v>71</v>
      </c>
      <c r="F44" s="73">
        <f t="shared" si="0"/>
        <v>16.705882352941178</v>
      </c>
      <c r="G44" s="834"/>
      <c r="H44" s="834">
        <v>113</v>
      </c>
      <c r="I44" s="73">
        <f t="shared" si="1"/>
        <v>26.588235294117645</v>
      </c>
      <c r="J44" s="834"/>
      <c r="K44" s="834">
        <v>105</v>
      </c>
      <c r="L44" s="73">
        <f t="shared" si="2"/>
        <v>24.705882352941178</v>
      </c>
      <c r="M44" s="834"/>
      <c r="N44" s="834">
        <v>118</v>
      </c>
      <c r="O44" s="73">
        <f t="shared" si="3"/>
        <v>27.764705882352942</v>
      </c>
      <c r="P44" s="834"/>
      <c r="Q44" s="834">
        <v>18</v>
      </c>
      <c r="R44" s="73">
        <f t="shared" si="4"/>
        <v>4.2352941176470589</v>
      </c>
    </row>
    <row r="45" spans="1:18" ht="13.25" customHeight="1">
      <c r="A45" s="95" t="s">
        <v>185</v>
      </c>
      <c r="B45" s="58">
        <f t="shared" si="7"/>
        <v>487</v>
      </c>
      <c r="C45" s="204">
        <f t="shared" si="5"/>
        <v>1.1436220176592147</v>
      </c>
      <c r="E45" s="834">
        <v>40</v>
      </c>
      <c r="F45" s="73">
        <f t="shared" si="0"/>
        <v>8.2135523613963031</v>
      </c>
      <c r="G45" s="834"/>
      <c r="H45" s="834">
        <v>107</v>
      </c>
      <c r="I45" s="73">
        <f t="shared" si="1"/>
        <v>21.971252566735114</v>
      </c>
      <c r="J45" s="834"/>
      <c r="K45" s="834">
        <v>101</v>
      </c>
      <c r="L45" s="73">
        <f t="shared" si="2"/>
        <v>20.739219712525667</v>
      </c>
      <c r="M45" s="834"/>
      <c r="N45" s="834">
        <v>182</v>
      </c>
      <c r="O45" s="73">
        <f t="shared" si="3"/>
        <v>37.371663244353179</v>
      </c>
      <c r="P45" s="834"/>
      <c r="Q45" s="834">
        <v>57</v>
      </c>
      <c r="R45" s="73">
        <f t="shared" si="4"/>
        <v>11.704312114989733</v>
      </c>
    </row>
    <row r="46" spans="1:18" ht="13.25" customHeight="1">
      <c r="A46" s="95" t="s">
        <v>186</v>
      </c>
      <c r="B46" s="58">
        <f t="shared" si="7"/>
        <v>617</v>
      </c>
      <c r="C46" s="204">
        <f t="shared" si="5"/>
        <v>1.4489009956791283</v>
      </c>
      <c r="E46" s="834">
        <v>80</v>
      </c>
      <c r="F46" s="73">
        <f t="shared" si="0"/>
        <v>12.965964343598054</v>
      </c>
      <c r="G46" s="834"/>
      <c r="H46" s="834">
        <v>128</v>
      </c>
      <c r="I46" s="73">
        <f t="shared" si="1"/>
        <v>20.745542949756889</v>
      </c>
      <c r="J46" s="834"/>
      <c r="K46" s="834">
        <v>154</v>
      </c>
      <c r="L46" s="73">
        <f t="shared" si="2"/>
        <v>24.959481361426256</v>
      </c>
      <c r="M46" s="834"/>
      <c r="N46" s="834">
        <v>234</v>
      </c>
      <c r="O46" s="73">
        <f t="shared" si="3"/>
        <v>37.925445705024316</v>
      </c>
      <c r="P46" s="834"/>
      <c r="Q46" s="834">
        <v>21</v>
      </c>
      <c r="R46" s="73">
        <f t="shared" si="4"/>
        <v>3.4035656401944889</v>
      </c>
    </row>
    <row r="47" spans="1:18" ht="13.25" customHeight="1">
      <c r="A47" s="95" t="s">
        <v>408</v>
      </c>
      <c r="B47" s="58">
        <f t="shared" si="7"/>
        <v>693</v>
      </c>
      <c r="C47" s="204">
        <f t="shared" si="5"/>
        <v>1.6273717828292318</v>
      </c>
      <c r="E47" s="834">
        <v>128</v>
      </c>
      <c r="F47" s="73">
        <f t="shared" si="0"/>
        <v>18.470418470418469</v>
      </c>
      <c r="G47" s="834"/>
      <c r="H47" s="834">
        <v>169</v>
      </c>
      <c r="I47" s="73">
        <f t="shared" si="1"/>
        <v>24.386724386724389</v>
      </c>
      <c r="J47" s="834"/>
      <c r="K47" s="834">
        <v>201</v>
      </c>
      <c r="L47" s="73">
        <f t="shared" si="2"/>
        <v>29.004329004329005</v>
      </c>
      <c r="M47" s="834"/>
      <c r="N47" s="834">
        <v>185</v>
      </c>
      <c r="O47" s="73">
        <f t="shared" si="3"/>
        <v>26.695526695526695</v>
      </c>
      <c r="P47" s="834"/>
      <c r="Q47" s="834">
        <v>10</v>
      </c>
      <c r="R47" s="73">
        <f t="shared" si="4"/>
        <v>1.4430014430014431</v>
      </c>
    </row>
    <row r="48" spans="1:18" ht="13.25" customHeight="1">
      <c r="A48" s="95" t="s">
        <v>190</v>
      </c>
      <c r="B48" s="58">
        <f t="shared" si="7"/>
        <v>301</v>
      </c>
      <c r="C48" s="204">
        <f t="shared" si="5"/>
        <v>0.70683824910764603</v>
      </c>
      <c r="E48" s="834">
        <v>46</v>
      </c>
      <c r="F48" s="73">
        <f t="shared" si="0"/>
        <v>15.282392026578073</v>
      </c>
      <c r="G48" s="834"/>
      <c r="H48" s="834">
        <v>70</v>
      </c>
      <c r="I48" s="73">
        <f t="shared" si="1"/>
        <v>23.255813953488371</v>
      </c>
      <c r="J48" s="834"/>
      <c r="K48" s="834">
        <v>89</v>
      </c>
      <c r="L48" s="73">
        <f t="shared" si="2"/>
        <v>29.568106312292358</v>
      </c>
      <c r="M48" s="834"/>
      <c r="N48" s="834">
        <v>94</v>
      </c>
      <c r="O48" s="73">
        <f t="shared" si="3"/>
        <v>31.229235880398669</v>
      </c>
      <c r="P48" s="834"/>
      <c r="Q48" s="834">
        <v>2</v>
      </c>
      <c r="R48" s="73">
        <f t="shared" si="4"/>
        <v>0.66445182724252494</v>
      </c>
    </row>
    <row r="49" spans="1:18" ht="13.25" customHeight="1">
      <c r="A49" s="95" t="s">
        <v>189</v>
      </c>
      <c r="B49" s="58">
        <f t="shared" si="7"/>
        <v>560</v>
      </c>
      <c r="C49" s="204">
        <f t="shared" si="5"/>
        <v>1.3150479053165509</v>
      </c>
      <c r="E49" s="834">
        <v>84</v>
      </c>
      <c r="F49" s="73">
        <f t="shared" si="0"/>
        <v>15</v>
      </c>
      <c r="G49" s="834"/>
      <c r="H49" s="834">
        <v>123</v>
      </c>
      <c r="I49" s="73">
        <f t="shared" si="1"/>
        <v>21.964285714285715</v>
      </c>
      <c r="J49" s="834"/>
      <c r="K49" s="834">
        <v>118</v>
      </c>
      <c r="L49" s="73">
        <f t="shared" si="2"/>
        <v>21.071428571428573</v>
      </c>
      <c r="M49" s="834"/>
      <c r="N49" s="834">
        <v>195</v>
      </c>
      <c r="O49" s="73">
        <f t="shared" si="3"/>
        <v>34.821428571428569</v>
      </c>
      <c r="P49" s="834"/>
      <c r="Q49" s="834">
        <v>40</v>
      </c>
      <c r="R49" s="73">
        <f t="shared" si="4"/>
        <v>7.1428571428571423</v>
      </c>
    </row>
    <row r="50" spans="1:18" ht="13.25" customHeight="1">
      <c r="A50" s="95" t="s">
        <v>188</v>
      </c>
      <c r="B50" s="58">
        <f t="shared" si="7"/>
        <v>509</v>
      </c>
      <c r="C50" s="204">
        <f t="shared" si="5"/>
        <v>1.1952846139395079</v>
      </c>
      <c r="E50" s="834">
        <v>91</v>
      </c>
      <c r="F50" s="73">
        <f t="shared" si="0"/>
        <v>17.878192534381139</v>
      </c>
      <c r="G50" s="834"/>
      <c r="H50" s="834">
        <v>73</v>
      </c>
      <c r="I50" s="73">
        <f t="shared" si="1"/>
        <v>14.341846758349705</v>
      </c>
      <c r="J50" s="834"/>
      <c r="K50" s="834">
        <v>97</v>
      </c>
      <c r="L50" s="73">
        <f t="shared" si="2"/>
        <v>19.056974459724952</v>
      </c>
      <c r="M50" s="834"/>
      <c r="N50" s="834">
        <v>218</v>
      </c>
      <c r="O50" s="73">
        <f t="shared" si="3"/>
        <v>42.829076620825148</v>
      </c>
      <c r="P50" s="834"/>
      <c r="Q50" s="834">
        <v>30</v>
      </c>
      <c r="R50" s="73">
        <f t="shared" si="4"/>
        <v>5.8939096267190569</v>
      </c>
    </row>
    <row r="51" spans="1:18" ht="9" customHeight="1">
      <c r="C51" s="204" t="str">
        <f t="shared" si="5"/>
        <v/>
      </c>
      <c r="E51" s="249"/>
      <c r="F51" s="73" t="str">
        <f t="shared" si="0"/>
        <v/>
      </c>
      <c r="G51" s="249"/>
      <c r="H51" s="249"/>
      <c r="I51" s="73" t="str">
        <f t="shared" si="1"/>
        <v/>
      </c>
      <c r="J51" s="249"/>
      <c r="K51" s="249"/>
      <c r="L51" s="73" t="str">
        <f t="shared" si="2"/>
        <v/>
      </c>
      <c r="M51" s="249"/>
      <c r="N51" s="249"/>
      <c r="O51" s="73" t="str">
        <f t="shared" si="3"/>
        <v/>
      </c>
      <c r="P51" s="249"/>
      <c r="Q51" s="249"/>
      <c r="R51" s="73" t="str">
        <f t="shared" si="4"/>
        <v/>
      </c>
    </row>
    <row r="52" spans="1:18" ht="13.25" customHeight="1">
      <c r="A52" s="95" t="s">
        <v>192</v>
      </c>
      <c r="B52" s="58">
        <f>SUM(E52+H52+K52+N52+Q52)</f>
        <v>1439</v>
      </c>
      <c r="C52" s="204">
        <f t="shared" si="5"/>
        <v>3.379203456697351</v>
      </c>
      <c r="E52" s="834">
        <v>293</v>
      </c>
      <c r="F52" s="73">
        <f t="shared" si="0"/>
        <v>20.361362056984017</v>
      </c>
      <c r="G52" s="834"/>
      <c r="H52" s="834">
        <v>278</v>
      </c>
      <c r="I52" s="73">
        <f t="shared" si="1"/>
        <v>19.318971507991662</v>
      </c>
      <c r="J52" s="834"/>
      <c r="K52" s="834">
        <v>288</v>
      </c>
      <c r="L52" s="73">
        <f t="shared" si="2"/>
        <v>20.013898540653233</v>
      </c>
      <c r="M52" s="834"/>
      <c r="N52" s="834">
        <v>538</v>
      </c>
      <c r="O52" s="73">
        <f t="shared" si="3"/>
        <v>37.387074357192496</v>
      </c>
      <c r="P52" s="834"/>
      <c r="Q52" s="834">
        <v>42</v>
      </c>
      <c r="R52" s="73">
        <f t="shared" si="4"/>
        <v>2.9186935371785965</v>
      </c>
    </row>
    <row r="53" spans="1:18" ht="9" customHeight="1">
      <c r="C53" s="204" t="str">
        <f t="shared" si="5"/>
        <v/>
      </c>
      <c r="F53" s="73" t="str">
        <f t="shared" si="0"/>
        <v/>
      </c>
      <c r="I53" s="73" t="str">
        <f t="shared" si="1"/>
        <v/>
      </c>
      <c r="L53" s="73" t="str">
        <f t="shared" si="2"/>
        <v/>
      </c>
      <c r="O53" s="73" t="str">
        <f t="shared" si="3"/>
        <v/>
      </c>
      <c r="R53" s="73" t="str">
        <f t="shared" si="4"/>
        <v/>
      </c>
    </row>
    <row r="54" spans="1:18" ht="13.25" customHeight="1">
      <c r="A54" s="95" t="s">
        <v>193</v>
      </c>
      <c r="B54" s="58">
        <f t="shared" ref="B54:B59" si="8">SUM(E54+H54+K54+N54+Q54)</f>
        <v>3486</v>
      </c>
      <c r="C54" s="204">
        <f t="shared" si="5"/>
        <v>8.1861732105955287</v>
      </c>
      <c r="E54" s="72">
        <f>SUM(E55:E59)</f>
        <v>523</v>
      </c>
      <c r="F54" s="73">
        <f t="shared" si="0"/>
        <v>15.002868617326449</v>
      </c>
      <c r="H54" s="72">
        <f>SUM(H55:H59)</f>
        <v>833</v>
      </c>
      <c r="I54" s="73">
        <f t="shared" si="1"/>
        <v>23.895582329317268</v>
      </c>
      <c r="K54" s="72">
        <f>SUM(K55:K59)</f>
        <v>831</v>
      </c>
      <c r="L54" s="73">
        <f t="shared" si="2"/>
        <v>23.838209982788296</v>
      </c>
      <c r="N54" s="72">
        <f>SUM(N55:N59)</f>
        <v>1132</v>
      </c>
      <c r="O54" s="73">
        <f t="shared" si="3"/>
        <v>32.472748135398739</v>
      </c>
      <c r="Q54" s="72">
        <f>SUM(Q55:Q59)</f>
        <v>167</v>
      </c>
      <c r="R54" s="73">
        <f t="shared" si="4"/>
        <v>4.7905909351692486</v>
      </c>
    </row>
    <row r="55" spans="1:18" ht="13.25" customHeight="1">
      <c r="A55" s="95" t="s">
        <v>194</v>
      </c>
      <c r="B55" s="58">
        <f t="shared" si="8"/>
        <v>181</v>
      </c>
      <c r="C55" s="204">
        <f t="shared" si="5"/>
        <v>0.42504226939695661</v>
      </c>
      <c r="E55" s="834">
        <v>39</v>
      </c>
      <c r="F55" s="73">
        <f t="shared" si="0"/>
        <v>21.546961325966851</v>
      </c>
      <c r="G55" s="834"/>
      <c r="H55" s="834">
        <v>63</v>
      </c>
      <c r="I55" s="73">
        <f t="shared" si="1"/>
        <v>34.806629834254146</v>
      </c>
      <c r="J55" s="834"/>
      <c r="K55" s="834">
        <v>58</v>
      </c>
      <c r="L55" s="73">
        <f t="shared" si="2"/>
        <v>32.044198895027627</v>
      </c>
      <c r="M55" s="834"/>
      <c r="N55" s="834">
        <v>18</v>
      </c>
      <c r="O55" s="73">
        <f t="shared" si="3"/>
        <v>9.94475138121547</v>
      </c>
      <c r="P55" s="834"/>
      <c r="Q55" s="834">
        <v>3</v>
      </c>
      <c r="R55" s="73">
        <f t="shared" si="4"/>
        <v>1.6574585635359116</v>
      </c>
    </row>
    <row r="56" spans="1:18" ht="13.25" customHeight="1">
      <c r="A56" s="95" t="s">
        <v>195</v>
      </c>
      <c r="B56" s="58">
        <f t="shared" si="8"/>
        <v>2118</v>
      </c>
      <c r="C56" s="204">
        <f t="shared" si="5"/>
        <v>4.9736990418936688</v>
      </c>
      <c r="E56" s="834">
        <v>287</v>
      </c>
      <c r="F56" s="73">
        <f t="shared" si="0"/>
        <v>13.550519357884797</v>
      </c>
      <c r="G56" s="834"/>
      <c r="H56" s="834">
        <v>563</v>
      </c>
      <c r="I56" s="73">
        <f t="shared" si="1"/>
        <v>26.581680830972616</v>
      </c>
      <c r="J56" s="834"/>
      <c r="K56" s="834">
        <v>511</v>
      </c>
      <c r="L56" s="73">
        <f t="shared" si="2"/>
        <v>24.126534466477807</v>
      </c>
      <c r="M56" s="834"/>
      <c r="N56" s="834">
        <v>669</v>
      </c>
      <c r="O56" s="73">
        <f t="shared" si="3"/>
        <v>31.586402266288953</v>
      </c>
      <c r="P56" s="834"/>
      <c r="Q56" s="834">
        <v>88</v>
      </c>
      <c r="R56" s="73">
        <f t="shared" si="4"/>
        <v>4.1548630783758265</v>
      </c>
    </row>
    <row r="57" spans="1:18" ht="13.25" customHeight="1">
      <c r="A57" s="95" t="s">
        <v>196</v>
      </c>
      <c r="B57" s="58">
        <f t="shared" si="8"/>
        <v>423</v>
      </c>
      <c r="C57" s="204">
        <f t="shared" si="5"/>
        <v>0.99333082848018039</v>
      </c>
      <c r="E57" s="834">
        <v>97</v>
      </c>
      <c r="F57" s="73">
        <f t="shared" si="0"/>
        <v>22.93144208037825</v>
      </c>
      <c r="G57" s="834"/>
      <c r="H57" s="834">
        <v>42</v>
      </c>
      <c r="I57" s="73">
        <f t="shared" si="1"/>
        <v>9.9290780141843982</v>
      </c>
      <c r="J57" s="834"/>
      <c r="K57" s="834">
        <v>50</v>
      </c>
      <c r="L57" s="73">
        <f t="shared" si="2"/>
        <v>11.82033096926714</v>
      </c>
      <c r="M57" s="834"/>
      <c r="N57" s="834">
        <v>200</v>
      </c>
      <c r="O57" s="73">
        <f t="shared" si="3"/>
        <v>47.281323877068559</v>
      </c>
      <c r="P57" s="834"/>
      <c r="Q57" s="834">
        <v>34</v>
      </c>
      <c r="R57" s="73">
        <f t="shared" si="4"/>
        <v>8.0378250591016549</v>
      </c>
    </row>
    <row r="58" spans="1:18" ht="13.25" customHeight="1">
      <c r="A58" s="95" t="s">
        <v>409</v>
      </c>
      <c r="B58" s="58">
        <f t="shared" si="8"/>
        <v>476</v>
      </c>
      <c r="C58" s="204">
        <f t="shared" si="5"/>
        <v>1.1177907195190682</v>
      </c>
      <c r="E58" s="834">
        <v>80</v>
      </c>
      <c r="F58" s="73">
        <f t="shared" si="0"/>
        <v>16.806722689075631</v>
      </c>
      <c r="G58" s="834"/>
      <c r="H58" s="834">
        <v>85</v>
      </c>
      <c r="I58" s="73">
        <f t="shared" si="1"/>
        <v>17.857142857142858</v>
      </c>
      <c r="J58" s="834"/>
      <c r="K58" s="834">
        <v>99</v>
      </c>
      <c r="L58" s="73">
        <f t="shared" si="2"/>
        <v>20.798319327731093</v>
      </c>
      <c r="M58" s="834"/>
      <c r="N58" s="834">
        <v>173</v>
      </c>
      <c r="O58" s="73">
        <f t="shared" si="3"/>
        <v>36.344537815126046</v>
      </c>
      <c r="P58" s="834"/>
      <c r="Q58" s="834">
        <v>39</v>
      </c>
      <c r="R58" s="73">
        <f t="shared" si="4"/>
        <v>8.1932773109243691</v>
      </c>
    </row>
    <row r="59" spans="1:18" ht="13.25" customHeight="1">
      <c r="A59" s="95" t="s">
        <v>198</v>
      </c>
      <c r="B59" s="58">
        <f t="shared" si="8"/>
        <v>288</v>
      </c>
      <c r="C59" s="204">
        <f t="shared" si="5"/>
        <v>0.67631035130565476</v>
      </c>
      <c r="E59" s="834">
        <v>20</v>
      </c>
      <c r="F59" s="73">
        <f t="shared" si="0"/>
        <v>6.9444444444444446</v>
      </c>
      <c r="G59" s="834"/>
      <c r="H59" s="834">
        <v>80</v>
      </c>
      <c r="I59" s="73">
        <f t="shared" si="1"/>
        <v>27.777777777777779</v>
      </c>
      <c r="J59" s="834"/>
      <c r="K59" s="834">
        <v>113</v>
      </c>
      <c r="L59" s="73">
        <f t="shared" si="2"/>
        <v>39.236111111111107</v>
      </c>
      <c r="M59" s="834"/>
      <c r="N59" s="834">
        <v>72</v>
      </c>
      <c r="O59" s="73">
        <f t="shared" si="3"/>
        <v>25</v>
      </c>
      <c r="P59" s="834"/>
      <c r="Q59" s="834">
        <v>3</v>
      </c>
      <c r="R59" s="73">
        <f t="shared" si="4"/>
        <v>1.0416666666666665</v>
      </c>
    </row>
    <row r="60" spans="1:18" ht="9" customHeight="1">
      <c r="C60" s="204" t="str">
        <f t="shared" si="5"/>
        <v/>
      </c>
      <c r="F60" s="73" t="str">
        <f t="shared" si="0"/>
        <v/>
      </c>
      <c r="I60" s="73" t="str">
        <f t="shared" si="1"/>
        <v/>
      </c>
      <c r="L60" s="73" t="str">
        <f t="shared" si="2"/>
        <v/>
      </c>
      <c r="O60" s="73" t="str">
        <f t="shared" si="3"/>
        <v/>
      </c>
      <c r="R60" s="73" t="str">
        <f t="shared" si="4"/>
        <v/>
      </c>
    </row>
    <row r="61" spans="1:18" ht="13.25" customHeight="1">
      <c r="A61" s="55" t="s">
        <v>410</v>
      </c>
      <c r="B61" s="58">
        <f>SUM(B62+B64+B71+B73)</f>
        <v>3940</v>
      </c>
      <c r="C61" s="204">
        <f t="shared" si="5"/>
        <v>9.2523013338343034</v>
      </c>
      <c r="E61" s="72">
        <f>SUM(E62+E64+E71+E73)</f>
        <v>388</v>
      </c>
      <c r="F61" s="73">
        <f t="shared" si="0"/>
        <v>9.8477157360406089</v>
      </c>
      <c r="H61" s="72">
        <f>SUM(H62+H64+H71+H73)</f>
        <v>655</v>
      </c>
      <c r="I61" s="73">
        <f t="shared" si="1"/>
        <v>16.624365482233504</v>
      </c>
      <c r="K61" s="72">
        <f>SUM(K62+K64+K71+K73)</f>
        <v>973</v>
      </c>
      <c r="L61" s="73">
        <f t="shared" si="2"/>
        <v>24.695431472081218</v>
      </c>
      <c r="N61" s="72">
        <f>SUM(N62+N64+N71+N73)</f>
        <v>1467</v>
      </c>
      <c r="O61" s="73">
        <f t="shared" si="3"/>
        <v>37.233502538071065</v>
      </c>
      <c r="Q61" s="72">
        <f>SUM(Q62+Q64+Q71+Q73)</f>
        <v>457</v>
      </c>
      <c r="R61" s="73">
        <f t="shared" si="4"/>
        <v>11.598984771573605</v>
      </c>
    </row>
    <row r="62" spans="1:18" ht="13.25" customHeight="1">
      <c r="A62" s="95" t="s">
        <v>411</v>
      </c>
      <c r="B62" s="58">
        <f>SUM(E62+H62+K62+N62+Q62)</f>
        <v>582</v>
      </c>
      <c r="C62" s="204">
        <f t="shared" si="5"/>
        <v>1.3667105015968439</v>
      </c>
      <c r="E62" s="834">
        <v>61</v>
      </c>
      <c r="F62" s="73">
        <f t="shared" si="0"/>
        <v>10.481099656357388</v>
      </c>
      <c r="G62" s="834"/>
      <c r="H62" s="834">
        <v>133</v>
      </c>
      <c r="I62" s="73">
        <f t="shared" si="1"/>
        <v>22.852233676975946</v>
      </c>
      <c r="J62" s="834"/>
      <c r="K62" s="834">
        <v>202</v>
      </c>
      <c r="L62" s="73">
        <f t="shared" si="2"/>
        <v>34.707903780068726</v>
      </c>
      <c r="M62" s="834"/>
      <c r="N62" s="834">
        <v>174</v>
      </c>
      <c r="O62" s="73">
        <f t="shared" si="3"/>
        <v>29.896907216494846</v>
      </c>
      <c r="P62" s="834"/>
      <c r="Q62" s="834">
        <v>12</v>
      </c>
      <c r="R62" s="73">
        <f t="shared" si="4"/>
        <v>2.0618556701030926</v>
      </c>
    </row>
    <row r="63" spans="1:18" ht="9" customHeight="1">
      <c r="C63" s="204" t="str">
        <f t="shared" si="5"/>
        <v/>
      </c>
      <c r="F63" s="73" t="str">
        <f t="shared" si="0"/>
        <v/>
      </c>
      <c r="I63" s="73" t="str">
        <f t="shared" si="1"/>
        <v/>
      </c>
      <c r="L63" s="73" t="str">
        <f t="shared" si="2"/>
        <v/>
      </c>
      <c r="O63" s="73" t="str">
        <f t="shared" si="3"/>
        <v/>
      </c>
      <c r="R63" s="73" t="str">
        <f t="shared" si="4"/>
        <v/>
      </c>
    </row>
    <row r="64" spans="1:18" ht="13.25" customHeight="1">
      <c r="A64" s="95" t="s">
        <v>202</v>
      </c>
      <c r="B64" s="58">
        <f t="shared" ref="B64:B69" si="9">SUM(E64+H64+K64+N64+Q64)</f>
        <v>2319</v>
      </c>
      <c r="C64" s="204">
        <f t="shared" si="5"/>
        <v>5.4457073079090739</v>
      </c>
      <c r="E64" s="72">
        <f>SUM(E65:E69)</f>
        <v>242</v>
      </c>
      <c r="F64" s="73">
        <f t="shared" si="0"/>
        <v>10.435532557136696</v>
      </c>
      <c r="H64" s="72">
        <f>SUM(H65:H69)</f>
        <v>264</v>
      </c>
      <c r="I64" s="73">
        <f t="shared" si="1"/>
        <v>11.384217335058215</v>
      </c>
      <c r="K64" s="72">
        <f>SUM(K65:K69)</f>
        <v>505</v>
      </c>
      <c r="L64" s="73">
        <f t="shared" si="2"/>
        <v>21.776627856834843</v>
      </c>
      <c r="N64" s="72">
        <f>SUM(N65:N69)</f>
        <v>931</v>
      </c>
      <c r="O64" s="73">
        <f t="shared" si="3"/>
        <v>40.146614920224231</v>
      </c>
      <c r="Q64" s="72">
        <f>SUM(Q65:Q69)</f>
        <v>377</v>
      </c>
      <c r="R64" s="73">
        <f t="shared" si="4"/>
        <v>16.257007330746013</v>
      </c>
    </row>
    <row r="65" spans="1:18" ht="13.25" customHeight="1">
      <c r="A65" s="95" t="s">
        <v>203</v>
      </c>
      <c r="B65" s="58">
        <f t="shared" si="9"/>
        <v>677</v>
      </c>
      <c r="C65" s="204">
        <f t="shared" si="5"/>
        <v>1.589798985534473</v>
      </c>
      <c r="E65" s="834">
        <v>24</v>
      </c>
      <c r="F65" s="73">
        <f t="shared" si="0"/>
        <v>3.5450516986706058</v>
      </c>
      <c r="G65" s="834"/>
      <c r="H65" s="834">
        <v>67</v>
      </c>
      <c r="I65" s="73">
        <f t="shared" si="1"/>
        <v>9.8966026587887743</v>
      </c>
      <c r="J65" s="834"/>
      <c r="K65" s="834">
        <v>116</v>
      </c>
      <c r="L65" s="73">
        <f t="shared" si="2"/>
        <v>17.134416543574595</v>
      </c>
      <c r="M65" s="834"/>
      <c r="N65" s="834">
        <v>182</v>
      </c>
      <c r="O65" s="73">
        <f t="shared" si="3"/>
        <v>26.883308714918758</v>
      </c>
      <c r="P65" s="834"/>
      <c r="Q65" s="834">
        <v>288</v>
      </c>
      <c r="R65" s="73">
        <f t="shared" si="4"/>
        <v>42.540620384047266</v>
      </c>
    </row>
    <row r="66" spans="1:18" ht="13.25" customHeight="1">
      <c r="A66" s="95" t="s">
        <v>204</v>
      </c>
      <c r="B66" s="58">
        <f t="shared" si="9"/>
        <v>436</v>
      </c>
      <c r="C66" s="204">
        <f t="shared" si="5"/>
        <v>1.0238587262821719</v>
      </c>
      <c r="E66" s="834">
        <v>39</v>
      </c>
      <c r="F66" s="73">
        <f t="shared" si="0"/>
        <v>8.9449541284403669</v>
      </c>
      <c r="G66" s="834"/>
      <c r="H66" s="834">
        <v>34</v>
      </c>
      <c r="I66" s="73">
        <f t="shared" si="1"/>
        <v>7.7981651376146797</v>
      </c>
      <c r="J66" s="834"/>
      <c r="K66" s="834">
        <v>111</v>
      </c>
      <c r="L66" s="73">
        <f t="shared" si="2"/>
        <v>25.458715596330272</v>
      </c>
      <c r="M66" s="834"/>
      <c r="N66" s="834">
        <v>235</v>
      </c>
      <c r="O66" s="73">
        <f t="shared" si="3"/>
        <v>53.899082568807344</v>
      </c>
      <c r="P66" s="834"/>
      <c r="Q66" s="834">
        <v>17</v>
      </c>
      <c r="R66" s="73">
        <f t="shared" si="4"/>
        <v>3.8990825688073398</v>
      </c>
    </row>
    <row r="67" spans="1:18" ht="13.25" customHeight="1">
      <c r="A67" s="95" t="s">
        <v>207</v>
      </c>
      <c r="B67" s="58">
        <f t="shared" si="9"/>
        <v>764</v>
      </c>
      <c r="C67" s="204">
        <f t="shared" si="5"/>
        <v>1.7941010708247229</v>
      </c>
      <c r="E67" s="834">
        <v>115</v>
      </c>
      <c r="F67" s="73">
        <f t="shared" si="0"/>
        <v>15.052356020942408</v>
      </c>
      <c r="G67" s="834"/>
      <c r="H67" s="834">
        <v>99</v>
      </c>
      <c r="I67" s="73">
        <f t="shared" si="1"/>
        <v>12.958115183246074</v>
      </c>
      <c r="J67" s="834"/>
      <c r="K67" s="834">
        <v>173</v>
      </c>
      <c r="L67" s="73">
        <f t="shared" si="2"/>
        <v>22.643979057591622</v>
      </c>
      <c r="M67" s="834"/>
      <c r="N67" s="834">
        <v>329</v>
      </c>
      <c r="O67" s="73">
        <f t="shared" si="3"/>
        <v>43.062827225130889</v>
      </c>
      <c r="P67" s="834"/>
      <c r="Q67" s="834">
        <v>48</v>
      </c>
      <c r="R67" s="73">
        <f t="shared" si="4"/>
        <v>6.2827225130890048</v>
      </c>
    </row>
    <row r="68" spans="1:18" ht="13.25" customHeight="1">
      <c r="A68" s="95" t="s">
        <v>205</v>
      </c>
      <c r="B68" s="58">
        <f t="shared" si="9"/>
        <v>149</v>
      </c>
      <c r="C68" s="204">
        <f t="shared" si="5"/>
        <v>0.34989667480743941</v>
      </c>
      <c r="E68" s="834">
        <v>29</v>
      </c>
      <c r="F68" s="73">
        <f t="shared" si="0"/>
        <v>19.463087248322147</v>
      </c>
      <c r="G68" s="834"/>
      <c r="H68" s="834">
        <v>13</v>
      </c>
      <c r="I68" s="73">
        <f t="shared" si="1"/>
        <v>8.724832214765101</v>
      </c>
      <c r="J68" s="834"/>
      <c r="K68" s="834">
        <v>26</v>
      </c>
      <c r="L68" s="73">
        <f t="shared" si="2"/>
        <v>17.449664429530202</v>
      </c>
      <c r="M68" s="834"/>
      <c r="N68" s="834">
        <v>65</v>
      </c>
      <c r="O68" s="73">
        <f t="shared" si="3"/>
        <v>43.624161073825505</v>
      </c>
      <c r="P68" s="834"/>
      <c r="Q68" s="834">
        <v>16</v>
      </c>
      <c r="R68" s="73">
        <f t="shared" si="4"/>
        <v>10.738255033557047</v>
      </c>
    </row>
    <row r="69" spans="1:18" ht="13.25" customHeight="1">
      <c r="A69" s="95" t="s">
        <v>206</v>
      </c>
      <c r="B69" s="58">
        <f t="shared" si="9"/>
        <v>293</v>
      </c>
      <c r="C69" s="204">
        <f t="shared" si="5"/>
        <v>0.68805185046026673</v>
      </c>
      <c r="E69" s="834">
        <v>35</v>
      </c>
      <c r="F69" s="73">
        <f t="shared" si="0"/>
        <v>11.945392491467576</v>
      </c>
      <c r="G69" s="834"/>
      <c r="H69" s="834">
        <v>51</v>
      </c>
      <c r="I69" s="73">
        <f t="shared" si="1"/>
        <v>17.4061433447099</v>
      </c>
      <c r="J69" s="834"/>
      <c r="K69" s="834">
        <v>79</v>
      </c>
      <c r="L69" s="73">
        <f t="shared" si="2"/>
        <v>26.962457337883961</v>
      </c>
      <c r="M69" s="834"/>
      <c r="N69" s="834">
        <v>120</v>
      </c>
      <c r="O69" s="73">
        <f t="shared" si="3"/>
        <v>40.955631399317404</v>
      </c>
      <c r="P69" s="834"/>
      <c r="Q69" s="834">
        <v>8</v>
      </c>
      <c r="R69" s="73">
        <f t="shared" si="4"/>
        <v>2.7303754266211606</v>
      </c>
    </row>
    <row r="70" spans="1:18" ht="9" customHeight="1">
      <c r="C70" s="204" t="str">
        <f t="shared" si="5"/>
        <v/>
      </c>
      <c r="E70" s="249"/>
      <c r="F70" s="73" t="str">
        <f t="shared" si="0"/>
        <v/>
      </c>
      <c r="G70" s="249"/>
      <c r="H70" s="249"/>
      <c r="I70" s="73" t="str">
        <f t="shared" si="1"/>
        <v/>
      </c>
      <c r="J70" s="249"/>
      <c r="K70" s="249"/>
      <c r="L70" s="73" t="str">
        <f t="shared" si="2"/>
        <v/>
      </c>
      <c r="M70" s="249"/>
      <c r="N70" s="249"/>
      <c r="O70" s="73" t="str">
        <f t="shared" si="3"/>
        <v/>
      </c>
      <c r="P70" s="249"/>
      <c r="Q70" s="249"/>
      <c r="R70" s="73" t="str">
        <f t="shared" si="4"/>
        <v/>
      </c>
    </row>
    <row r="71" spans="1:18" ht="13.25" customHeight="1">
      <c r="A71" s="95" t="s">
        <v>208</v>
      </c>
      <c r="B71" s="58">
        <f>SUM(E71+H71+K71+N71+Q71)</f>
        <v>481</v>
      </c>
      <c r="C71" s="204">
        <f t="shared" si="5"/>
        <v>1.1295322186736803</v>
      </c>
      <c r="E71" s="834">
        <v>59</v>
      </c>
      <c r="F71" s="73">
        <f t="shared" si="0"/>
        <v>12.266112266112266</v>
      </c>
      <c r="G71" s="834"/>
      <c r="H71" s="834">
        <v>68</v>
      </c>
      <c r="I71" s="73">
        <f t="shared" si="1"/>
        <v>14.137214137214137</v>
      </c>
      <c r="J71" s="834"/>
      <c r="K71" s="834">
        <v>99</v>
      </c>
      <c r="L71" s="73">
        <f t="shared" si="2"/>
        <v>20.582120582120584</v>
      </c>
      <c r="M71" s="834"/>
      <c r="N71" s="834">
        <v>220</v>
      </c>
      <c r="O71" s="73">
        <f t="shared" si="3"/>
        <v>45.738045738045741</v>
      </c>
      <c r="P71" s="834"/>
      <c r="Q71" s="834">
        <v>35</v>
      </c>
      <c r="R71" s="73">
        <f t="shared" si="4"/>
        <v>7.2765072765072771</v>
      </c>
    </row>
    <row r="72" spans="1:18" ht="9" customHeight="1">
      <c r="C72" s="204" t="str">
        <f t="shared" si="5"/>
        <v/>
      </c>
      <c r="E72" s="249"/>
      <c r="F72" s="73" t="str">
        <f t="shared" si="0"/>
        <v/>
      </c>
      <c r="G72" s="249"/>
      <c r="H72" s="249"/>
      <c r="I72" s="73" t="str">
        <f t="shared" si="1"/>
        <v/>
      </c>
      <c r="J72" s="249"/>
      <c r="K72" s="249"/>
      <c r="L72" s="73" t="str">
        <f t="shared" si="2"/>
        <v/>
      </c>
      <c r="M72" s="249"/>
      <c r="N72" s="249"/>
      <c r="O72" s="73" t="str">
        <f t="shared" si="3"/>
        <v/>
      </c>
      <c r="P72" s="249"/>
      <c r="Q72" s="249"/>
      <c r="R72" s="73" t="str">
        <f t="shared" si="4"/>
        <v/>
      </c>
    </row>
    <row r="73" spans="1:18" ht="13.25" customHeight="1">
      <c r="A73" s="95" t="s">
        <v>209</v>
      </c>
      <c r="B73" s="58">
        <f>SUM(E73+H73+K73+N73+Q73)</f>
        <v>558</v>
      </c>
      <c r="C73" s="204">
        <f t="shared" si="5"/>
        <v>1.310351305654706</v>
      </c>
      <c r="E73" s="834">
        <v>26</v>
      </c>
      <c r="F73" s="73">
        <f t="shared" si="0"/>
        <v>4.6594982078853047</v>
      </c>
      <c r="G73" s="834"/>
      <c r="H73" s="834">
        <v>190</v>
      </c>
      <c r="I73" s="73">
        <f t="shared" si="1"/>
        <v>34.050179211469533</v>
      </c>
      <c r="J73" s="834"/>
      <c r="K73" s="834">
        <v>167</v>
      </c>
      <c r="L73" s="73">
        <f t="shared" si="2"/>
        <v>29.928315412186379</v>
      </c>
      <c r="M73" s="834"/>
      <c r="N73" s="834">
        <v>142</v>
      </c>
      <c r="O73" s="73">
        <f t="shared" si="3"/>
        <v>25.448028673835125</v>
      </c>
      <c r="P73" s="834"/>
      <c r="Q73" s="834">
        <v>33</v>
      </c>
      <c r="R73" s="73">
        <f t="shared" si="4"/>
        <v>5.913978494623656</v>
      </c>
    </row>
    <row r="74" spans="1:18" ht="9" customHeight="1">
      <c r="C74" s="204" t="str">
        <f t="shared" si="5"/>
        <v/>
      </c>
      <c r="F74" s="73" t="str">
        <f t="shared" si="0"/>
        <v/>
      </c>
      <c r="I74" s="73" t="str">
        <f t="shared" si="1"/>
        <v/>
      </c>
      <c r="L74" s="73" t="str">
        <f t="shared" si="2"/>
        <v/>
      </c>
      <c r="O74" s="73" t="str">
        <f t="shared" si="3"/>
        <v/>
      </c>
      <c r="R74" s="73" t="str">
        <f t="shared" si="4"/>
        <v/>
      </c>
    </row>
    <row r="75" spans="1:18" ht="13.25" customHeight="1">
      <c r="A75" s="55" t="s">
        <v>413</v>
      </c>
      <c r="B75" s="58">
        <f>SUM(B76)</f>
        <v>1478</v>
      </c>
      <c r="C75" s="204">
        <f t="shared" si="5"/>
        <v>3.4707871501033249</v>
      </c>
      <c r="E75" s="72">
        <f>SUM(E76)</f>
        <v>215</v>
      </c>
      <c r="F75" s="73">
        <f t="shared" si="0"/>
        <v>14.546684709066307</v>
      </c>
      <c r="H75" s="72">
        <f>SUM(H76)</f>
        <v>372</v>
      </c>
      <c r="I75" s="73">
        <f t="shared" si="1"/>
        <v>25.16914749661705</v>
      </c>
      <c r="K75" s="72">
        <f>SUM(K76)</f>
        <v>461</v>
      </c>
      <c r="L75" s="73">
        <f t="shared" si="2"/>
        <v>31.190798376184031</v>
      </c>
      <c r="N75" s="72">
        <f>SUM(N76)</f>
        <v>411</v>
      </c>
      <c r="O75" s="73">
        <f t="shared" si="3"/>
        <v>27.807848443843032</v>
      </c>
      <c r="Q75" s="72">
        <f>SUM(Q76)</f>
        <v>19</v>
      </c>
      <c r="R75" s="73">
        <f t="shared" si="4"/>
        <v>1.2855209742895806</v>
      </c>
    </row>
    <row r="76" spans="1:18" ht="13.25" customHeight="1">
      <c r="A76" s="95" t="s">
        <v>414</v>
      </c>
      <c r="B76" s="58">
        <f>SUM(E76+H76+K76+N76+Q76)</f>
        <v>1478</v>
      </c>
      <c r="C76" s="204">
        <f t="shared" si="5"/>
        <v>3.4707871501033249</v>
      </c>
      <c r="E76" s="72">
        <f>SUM(E77:E80)</f>
        <v>215</v>
      </c>
      <c r="F76" s="73">
        <f t="shared" ref="F76:F106" si="10">IF($A76&lt;&gt;"",E76/$B76*100,"")</f>
        <v>14.546684709066307</v>
      </c>
      <c r="H76" s="72">
        <f>SUM(H77:H80)</f>
        <v>372</v>
      </c>
      <c r="I76" s="73">
        <f t="shared" ref="I76:I106" si="11">IF($A76&lt;&gt;"",H76/$B76*100,"")</f>
        <v>25.16914749661705</v>
      </c>
      <c r="K76" s="72">
        <f>SUM(K77:K80)</f>
        <v>461</v>
      </c>
      <c r="L76" s="73">
        <f t="shared" ref="L76:L106" si="12">IF($A76&lt;&gt;"",K76/$B76*100,"")</f>
        <v>31.190798376184031</v>
      </c>
      <c r="N76" s="72">
        <f>SUM(N77:N80)</f>
        <v>411</v>
      </c>
      <c r="O76" s="73">
        <f t="shared" ref="O76:O106" si="13">IF($A76&lt;&gt;"",N76/$B76*100,"")</f>
        <v>27.807848443843032</v>
      </c>
      <c r="Q76" s="72">
        <f>SUM(Q77:Q80)</f>
        <v>19</v>
      </c>
      <c r="R76" s="73">
        <f t="shared" si="4"/>
        <v>1.2855209742895806</v>
      </c>
    </row>
    <row r="77" spans="1:18" ht="13.25" customHeight="1">
      <c r="A77" s="95" t="s">
        <v>212</v>
      </c>
      <c r="B77" s="58">
        <f>SUM(E77+H77+K77+N77+Q77)</f>
        <v>372</v>
      </c>
      <c r="C77" s="204">
        <f t="shared" si="5"/>
        <v>0.87356753710313739</v>
      </c>
      <c r="E77" s="834">
        <v>60</v>
      </c>
      <c r="F77" s="73">
        <f t="shared" si="10"/>
        <v>16.129032258064516</v>
      </c>
      <c r="G77" s="834"/>
      <c r="H77" s="834">
        <v>88</v>
      </c>
      <c r="I77" s="73">
        <f t="shared" si="11"/>
        <v>23.655913978494624</v>
      </c>
      <c r="J77" s="834"/>
      <c r="K77" s="834">
        <v>112</v>
      </c>
      <c r="L77" s="73">
        <f t="shared" si="12"/>
        <v>30.107526881720432</v>
      </c>
      <c r="M77" s="834"/>
      <c r="N77" s="834">
        <v>109</v>
      </c>
      <c r="O77" s="73">
        <f t="shared" si="13"/>
        <v>29.301075268817208</v>
      </c>
      <c r="P77" s="834"/>
      <c r="Q77" s="834">
        <v>3</v>
      </c>
      <c r="R77" s="73">
        <f t="shared" ref="R77:R106" si="14">IF($A77&lt;&gt;"",Q77/$B77*100,"")</f>
        <v>0.80645161290322576</v>
      </c>
    </row>
    <row r="78" spans="1:18" ht="13.25" customHeight="1">
      <c r="A78" s="95" t="s">
        <v>213</v>
      </c>
      <c r="B78" s="58">
        <f>SUM(E78+H78+K78+N78+Q78)</f>
        <v>461</v>
      </c>
      <c r="C78" s="204">
        <f t="shared" si="5"/>
        <v>1.0825662220552321</v>
      </c>
      <c r="E78" s="834">
        <v>53</v>
      </c>
      <c r="F78" s="73">
        <f t="shared" si="10"/>
        <v>11.496746203904555</v>
      </c>
      <c r="G78" s="834"/>
      <c r="H78" s="834">
        <v>149</v>
      </c>
      <c r="I78" s="73">
        <f t="shared" si="11"/>
        <v>32.321041214750537</v>
      </c>
      <c r="J78" s="834"/>
      <c r="K78" s="834">
        <v>149</v>
      </c>
      <c r="L78" s="73">
        <f t="shared" si="12"/>
        <v>32.321041214750537</v>
      </c>
      <c r="M78" s="834"/>
      <c r="N78" s="834">
        <v>108</v>
      </c>
      <c r="O78" s="73">
        <f t="shared" si="13"/>
        <v>23.427331887201735</v>
      </c>
      <c r="P78" s="834"/>
      <c r="Q78" s="834">
        <v>2</v>
      </c>
      <c r="R78" s="73">
        <f t="shared" si="14"/>
        <v>0.43383947939262474</v>
      </c>
    </row>
    <row r="79" spans="1:18" ht="13.25" customHeight="1">
      <c r="A79" s="95" t="s">
        <v>214</v>
      </c>
      <c r="B79" s="58">
        <f>SUM(E79+H79+K79+N79+Q79)</f>
        <v>395</v>
      </c>
      <c r="C79" s="204">
        <f t="shared" ref="C79:C106" si="15">IF(A79&lt;&gt;0,B79/$B$12*100,"")</f>
        <v>0.92757843321435285</v>
      </c>
      <c r="E79" s="834">
        <v>75</v>
      </c>
      <c r="F79" s="73">
        <f t="shared" si="10"/>
        <v>18.9873417721519</v>
      </c>
      <c r="G79" s="834"/>
      <c r="H79" s="834">
        <v>96</v>
      </c>
      <c r="I79" s="73">
        <f t="shared" si="11"/>
        <v>24.303797468354428</v>
      </c>
      <c r="J79" s="834"/>
      <c r="K79" s="834">
        <v>121</v>
      </c>
      <c r="L79" s="73">
        <f t="shared" si="12"/>
        <v>30.632911392405067</v>
      </c>
      <c r="M79" s="834"/>
      <c r="N79" s="834">
        <v>92</v>
      </c>
      <c r="O79" s="73">
        <f t="shared" si="13"/>
        <v>23.291139240506329</v>
      </c>
      <c r="P79" s="834"/>
      <c r="Q79" s="834">
        <v>11</v>
      </c>
      <c r="R79" s="73">
        <f t="shared" si="14"/>
        <v>2.7848101265822782</v>
      </c>
    </row>
    <row r="80" spans="1:18" ht="13.25" customHeight="1">
      <c r="A80" s="95" t="s">
        <v>215</v>
      </c>
      <c r="B80" s="58">
        <f>SUM(E80+H80+K80+N80+Q80)</f>
        <v>250</v>
      </c>
      <c r="C80" s="204">
        <f t="shared" si="15"/>
        <v>0.58707495773060314</v>
      </c>
      <c r="E80" s="834">
        <v>27</v>
      </c>
      <c r="F80" s="73">
        <f t="shared" si="10"/>
        <v>10.8</v>
      </c>
      <c r="G80" s="834"/>
      <c r="H80" s="834">
        <v>39</v>
      </c>
      <c r="I80" s="73">
        <f t="shared" si="11"/>
        <v>15.6</v>
      </c>
      <c r="J80" s="834"/>
      <c r="K80" s="834">
        <v>79</v>
      </c>
      <c r="L80" s="73">
        <f t="shared" si="12"/>
        <v>31.6</v>
      </c>
      <c r="M80" s="834"/>
      <c r="N80" s="834">
        <v>102</v>
      </c>
      <c r="O80" s="73">
        <f t="shared" si="13"/>
        <v>40.799999999999997</v>
      </c>
      <c r="P80" s="834"/>
      <c r="Q80" s="834">
        <v>3</v>
      </c>
      <c r="R80" s="73">
        <f t="shared" si="14"/>
        <v>1.2</v>
      </c>
    </row>
    <row r="81" spans="1:18" ht="9" customHeight="1">
      <c r="C81" s="204" t="str">
        <f t="shared" si="15"/>
        <v/>
      </c>
      <c r="F81" s="73" t="str">
        <f t="shared" si="10"/>
        <v/>
      </c>
      <c r="I81" s="73" t="str">
        <f t="shared" si="11"/>
        <v/>
      </c>
      <c r="L81" s="73" t="str">
        <f t="shared" si="12"/>
        <v/>
      </c>
      <c r="O81" s="73" t="str">
        <f t="shared" si="13"/>
        <v/>
      </c>
      <c r="R81" s="73" t="str">
        <f t="shared" si="14"/>
        <v/>
      </c>
    </row>
    <row r="82" spans="1:18" ht="10.5" customHeight="1">
      <c r="A82" s="55" t="s">
        <v>216</v>
      </c>
      <c r="B82" s="58">
        <f>SUM(B83)</f>
        <v>6522</v>
      </c>
      <c r="C82" s="204">
        <f t="shared" si="15"/>
        <v>15.315611497275972</v>
      </c>
      <c r="E82" s="72">
        <f>SUM(E83)</f>
        <v>886</v>
      </c>
      <c r="F82" s="73">
        <f t="shared" si="10"/>
        <v>13.584789941735664</v>
      </c>
      <c r="H82" s="72">
        <f>SUM(H83)</f>
        <v>1563</v>
      </c>
      <c r="I82" s="73">
        <f t="shared" si="11"/>
        <v>23.965041398344066</v>
      </c>
      <c r="K82" s="72">
        <f>SUM(K83)</f>
        <v>2092</v>
      </c>
      <c r="L82" s="73">
        <f t="shared" si="12"/>
        <v>32.076050291321678</v>
      </c>
      <c r="N82" s="72">
        <f>SUM(N83)</f>
        <v>1863</v>
      </c>
      <c r="O82" s="73">
        <f t="shared" si="13"/>
        <v>28.564857405703769</v>
      </c>
      <c r="Q82" s="72">
        <f>SUM(Q83)</f>
        <v>118</v>
      </c>
      <c r="R82" s="73">
        <f t="shared" si="14"/>
        <v>1.8092609628948173</v>
      </c>
    </row>
    <row r="83" spans="1:18" ht="13.25" customHeight="1">
      <c r="A83" s="95" t="s">
        <v>217</v>
      </c>
      <c r="B83" s="58">
        <f t="shared" ref="B83:B92" si="16">SUM(E83+H83+K83+N83+Q83)</f>
        <v>6522</v>
      </c>
      <c r="C83" s="204">
        <f t="shared" si="15"/>
        <v>15.315611497275972</v>
      </c>
      <c r="E83" s="72">
        <f>SUM(E84:E92)</f>
        <v>886</v>
      </c>
      <c r="F83" s="73">
        <f t="shared" si="10"/>
        <v>13.584789941735664</v>
      </c>
      <c r="H83" s="72">
        <f>SUM(H84:H92)</f>
        <v>1563</v>
      </c>
      <c r="I83" s="73">
        <f t="shared" si="11"/>
        <v>23.965041398344066</v>
      </c>
      <c r="K83" s="72">
        <f>SUM(K84:K92)</f>
        <v>2092</v>
      </c>
      <c r="L83" s="73">
        <f t="shared" si="12"/>
        <v>32.076050291321678</v>
      </c>
      <c r="N83" s="72">
        <f>SUM(N84:N92)</f>
        <v>1863</v>
      </c>
      <c r="O83" s="73">
        <f t="shared" si="13"/>
        <v>28.564857405703769</v>
      </c>
      <c r="Q83" s="72">
        <f>SUM(Q84:Q92)</f>
        <v>118</v>
      </c>
      <c r="R83" s="73">
        <f t="shared" si="14"/>
        <v>1.8092609628948173</v>
      </c>
    </row>
    <row r="84" spans="1:18" ht="13.25" customHeight="1">
      <c r="A84" s="33" t="s">
        <v>1931</v>
      </c>
      <c r="B84" s="58">
        <f t="shared" si="16"/>
        <v>533</v>
      </c>
      <c r="C84" s="204">
        <f t="shared" si="15"/>
        <v>1.2516438098816456</v>
      </c>
      <c r="E84" s="834">
        <v>71</v>
      </c>
      <c r="F84" s="73">
        <f t="shared" si="10"/>
        <v>13.320825515947469</v>
      </c>
      <c r="G84" s="834"/>
      <c r="H84" s="834">
        <v>174</v>
      </c>
      <c r="I84" s="73">
        <f t="shared" si="11"/>
        <v>32.645403377110696</v>
      </c>
      <c r="J84" s="834"/>
      <c r="K84" s="834">
        <v>213</v>
      </c>
      <c r="L84" s="73">
        <f t="shared" si="12"/>
        <v>39.9624765478424</v>
      </c>
      <c r="M84" s="834"/>
      <c r="N84" s="834">
        <v>75</v>
      </c>
      <c r="O84" s="73">
        <f t="shared" si="13"/>
        <v>14.071294559099437</v>
      </c>
      <c r="P84" s="834"/>
      <c r="Q84" s="834">
        <v>0</v>
      </c>
      <c r="R84" s="73">
        <f t="shared" si="14"/>
        <v>0</v>
      </c>
    </row>
    <row r="85" spans="1:18" ht="13.25" customHeight="1">
      <c r="A85" s="95" t="s">
        <v>218</v>
      </c>
      <c r="B85" s="58">
        <f t="shared" si="16"/>
        <v>942</v>
      </c>
      <c r="C85" s="204">
        <f t="shared" si="15"/>
        <v>2.2120984407289122</v>
      </c>
      <c r="E85" s="834">
        <v>125</v>
      </c>
      <c r="F85" s="73">
        <f t="shared" si="10"/>
        <v>13.26963906581741</v>
      </c>
      <c r="G85" s="834"/>
      <c r="H85" s="834">
        <v>215</v>
      </c>
      <c r="I85" s="73">
        <f t="shared" si="11"/>
        <v>22.823779193205944</v>
      </c>
      <c r="J85" s="834"/>
      <c r="K85" s="834">
        <v>279</v>
      </c>
      <c r="L85" s="73">
        <f t="shared" si="12"/>
        <v>29.617834394904456</v>
      </c>
      <c r="M85" s="834"/>
      <c r="N85" s="834">
        <v>309</v>
      </c>
      <c r="O85" s="73">
        <f t="shared" si="13"/>
        <v>32.802547770700635</v>
      </c>
      <c r="P85" s="834"/>
      <c r="Q85" s="834">
        <v>14</v>
      </c>
      <c r="R85" s="73">
        <f t="shared" si="14"/>
        <v>1.48619957537155</v>
      </c>
    </row>
    <row r="86" spans="1:18" ht="13.25" customHeight="1">
      <c r="A86" s="95" t="s">
        <v>220</v>
      </c>
      <c r="B86" s="58">
        <f t="shared" si="16"/>
        <v>1200</v>
      </c>
      <c r="C86" s="204">
        <f t="shared" si="15"/>
        <v>2.8179597971068944</v>
      </c>
      <c r="E86" s="834">
        <v>141</v>
      </c>
      <c r="F86" s="73">
        <f t="shared" si="10"/>
        <v>11.75</v>
      </c>
      <c r="G86" s="834"/>
      <c r="H86" s="834">
        <v>365</v>
      </c>
      <c r="I86" s="73">
        <f t="shared" si="11"/>
        <v>30.416666666666664</v>
      </c>
      <c r="J86" s="834"/>
      <c r="K86" s="834">
        <v>461</v>
      </c>
      <c r="L86" s="73">
        <f t="shared" si="12"/>
        <v>38.416666666666664</v>
      </c>
      <c r="M86" s="834"/>
      <c r="N86" s="834">
        <v>219</v>
      </c>
      <c r="O86" s="73">
        <f t="shared" si="13"/>
        <v>18.25</v>
      </c>
      <c r="P86" s="834"/>
      <c r="Q86" s="834">
        <v>14</v>
      </c>
      <c r="R86" s="73">
        <f t="shared" si="14"/>
        <v>1.1666666666666667</v>
      </c>
    </row>
    <row r="87" spans="1:18" ht="13.25" customHeight="1">
      <c r="A87" s="95" t="s">
        <v>222</v>
      </c>
      <c r="B87" s="58">
        <f t="shared" si="16"/>
        <v>552</v>
      </c>
      <c r="C87" s="204">
        <f t="shared" si="15"/>
        <v>1.2962615066691714</v>
      </c>
      <c r="E87" s="834">
        <v>70</v>
      </c>
      <c r="F87" s="73">
        <f t="shared" si="10"/>
        <v>12.681159420289855</v>
      </c>
      <c r="G87" s="834"/>
      <c r="H87" s="834">
        <v>91</v>
      </c>
      <c r="I87" s="73">
        <f t="shared" si="11"/>
        <v>16.485507246376812</v>
      </c>
      <c r="J87" s="834"/>
      <c r="K87" s="834">
        <v>128</v>
      </c>
      <c r="L87" s="73">
        <f t="shared" si="12"/>
        <v>23.188405797101449</v>
      </c>
      <c r="M87" s="834"/>
      <c r="N87" s="834">
        <v>233</v>
      </c>
      <c r="O87" s="73">
        <f t="shared" si="13"/>
        <v>42.210144927536234</v>
      </c>
      <c r="P87" s="834"/>
      <c r="Q87" s="834">
        <v>30</v>
      </c>
      <c r="R87" s="73">
        <f t="shared" si="14"/>
        <v>5.4347826086956523</v>
      </c>
    </row>
    <row r="88" spans="1:18" ht="13.25" customHeight="1">
      <c r="A88" s="95" t="s">
        <v>221</v>
      </c>
      <c r="B88" s="58">
        <f t="shared" si="16"/>
        <v>592</v>
      </c>
      <c r="C88" s="204">
        <f t="shared" si="15"/>
        <v>1.3901934999060681</v>
      </c>
      <c r="E88" s="834">
        <v>64</v>
      </c>
      <c r="F88" s="73">
        <f t="shared" si="10"/>
        <v>10.810810810810811</v>
      </c>
      <c r="G88" s="834"/>
      <c r="H88" s="834">
        <v>151</v>
      </c>
      <c r="I88" s="73">
        <f t="shared" si="11"/>
        <v>25.506756756756754</v>
      </c>
      <c r="J88" s="834"/>
      <c r="K88" s="834">
        <v>186</v>
      </c>
      <c r="L88" s="73">
        <f t="shared" si="12"/>
        <v>31.418918918918919</v>
      </c>
      <c r="M88" s="834"/>
      <c r="N88" s="834">
        <v>186</v>
      </c>
      <c r="O88" s="73">
        <f t="shared" si="13"/>
        <v>31.418918918918919</v>
      </c>
      <c r="P88" s="834"/>
      <c r="Q88" s="834">
        <v>5</v>
      </c>
      <c r="R88" s="73">
        <f t="shared" si="14"/>
        <v>0.84459459459459463</v>
      </c>
    </row>
    <row r="89" spans="1:18" ht="13.25" customHeight="1">
      <c r="A89" s="95" t="s">
        <v>219</v>
      </c>
      <c r="B89" s="58">
        <f t="shared" si="16"/>
        <v>808</v>
      </c>
      <c r="C89" s="204">
        <f t="shared" si="15"/>
        <v>1.897426263385309</v>
      </c>
      <c r="E89" s="834">
        <v>132</v>
      </c>
      <c r="F89" s="73">
        <f t="shared" si="10"/>
        <v>16.336633663366339</v>
      </c>
      <c r="G89" s="834"/>
      <c r="H89" s="834">
        <v>151</v>
      </c>
      <c r="I89" s="73">
        <f t="shared" si="11"/>
        <v>18.688118811881189</v>
      </c>
      <c r="J89" s="834"/>
      <c r="K89" s="834">
        <v>225</v>
      </c>
      <c r="L89" s="73">
        <f t="shared" si="12"/>
        <v>27.846534653465348</v>
      </c>
      <c r="M89" s="834"/>
      <c r="N89" s="834">
        <v>287</v>
      </c>
      <c r="O89" s="73">
        <f t="shared" si="13"/>
        <v>35.519801980198018</v>
      </c>
      <c r="P89" s="834"/>
      <c r="Q89" s="834">
        <v>13</v>
      </c>
      <c r="R89" s="73">
        <f t="shared" si="14"/>
        <v>1.608910891089109</v>
      </c>
    </row>
    <row r="90" spans="1:18" ht="13.25" customHeight="1">
      <c r="A90" s="95" t="s">
        <v>223</v>
      </c>
      <c r="B90" s="58">
        <f t="shared" si="16"/>
        <v>735</v>
      </c>
      <c r="C90" s="204">
        <f t="shared" si="15"/>
        <v>1.7260003757279727</v>
      </c>
      <c r="E90" s="834">
        <v>133</v>
      </c>
      <c r="F90" s="73">
        <f t="shared" si="10"/>
        <v>18.095238095238095</v>
      </c>
      <c r="G90" s="834"/>
      <c r="H90" s="834">
        <v>148</v>
      </c>
      <c r="I90" s="73">
        <f t="shared" si="11"/>
        <v>20.136054421768705</v>
      </c>
      <c r="J90" s="834"/>
      <c r="K90" s="834">
        <v>250</v>
      </c>
      <c r="L90" s="73">
        <f t="shared" si="12"/>
        <v>34.013605442176868</v>
      </c>
      <c r="M90" s="834"/>
      <c r="N90" s="834">
        <v>202</v>
      </c>
      <c r="O90" s="73">
        <f t="shared" si="13"/>
        <v>27.482993197278908</v>
      </c>
      <c r="P90" s="834"/>
      <c r="Q90" s="834">
        <v>2</v>
      </c>
      <c r="R90" s="73">
        <f t="shared" si="14"/>
        <v>0.27210884353741494</v>
      </c>
    </row>
    <row r="91" spans="1:18" ht="13.25" customHeight="1">
      <c r="A91" s="95" t="s">
        <v>226</v>
      </c>
      <c r="B91" s="58">
        <f t="shared" si="16"/>
        <v>436</v>
      </c>
      <c r="C91" s="204">
        <f t="shared" si="15"/>
        <v>1.0238587262821719</v>
      </c>
      <c r="E91" s="834">
        <v>73</v>
      </c>
      <c r="F91" s="73">
        <f t="shared" si="10"/>
        <v>16.743119266055047</v>
      </c>
      <c r="G91" s="834"/>
      <c r="H91" s="834">
        <v>112</v>
      </c>
      <c r="I91" s="73">
        <f t="shared" si="11"/>
        <v>25.688073394495415</v>
      </c>
      <c r="J91" s="834"/>
      <c r="K91" s="834">
        <v>161</v>
      </c>
      <c r="L91" s="73">
        <f t="shared" si="12"/>
        <v>36.926605504587158</v>
      </c>
      <c r="M91" s="834"/>
      <c r="N91" s="834">
        <v>90</v>
      </c>
      <c r="O91" s="73">
        <f t="shared" si="13"/>
        <v>20.642201834862387</v>
      </c>
      <c r="P91" s="834"/>
      <c r="Q91" s="834">
        <v>0</v>
      </c>
      <c r="R91" s="73">
        <f t="shared" si="14"/>
        <v>0</v>
      </c>
    </row>
    <row r="92" spans="1:18" ht="13.25" customHeight="1">
      <c r="A92" s="95" t="s">
        <v>225</v>
      </c>
      <c r="B92" s="58">
        <f t="shared" si="16"/>
        <v>724</v>
      </c>
      <c r="C92" s="204">
        <f t="shared" si="15"/>
        <v>1.7001690775878264</v>
      </c>
      <c r="E92" s="834">
        <v>77</v>
      </c>
      <c r="F92" s="73">
        <f t="shared" si="10"/>
        <v>10.6353591160221</v>
      </c>
      <c r="G92" s="834"/>
      <c r="H92" s="834">
        <v>156</v>
      </c>
      <c r="I92" s="73">
        <f t="shared" si="11"/>
        <v>21.546961325966851</v>
      </c>
      <c r="J92" s="834"/>
      <c r="K92" s="834">
        <v>189</v>
      </c>
      <c r="L92" s="73">
        <f t="shared" si="12"/>
        <v>26.104972375690611</v>
      </c>
      <c r="M92" s="834"/>
      <c r="N92" s="834">
        <v>262</v>
      </c>
      <c r="O92" s="73">
        <f t="shared" si="13"/>
        <v>36.187845303867405</v>
      </c>
      <c r="P92" s="834"/>
      <c r="Q92" s="834">
        <v>40</v>
      </c>
      <c r="R92" s="73">
        <f t="shared" si="14"/>
        <v>5.5248618784530388</v>
      </c>
    </row>
    <row r="93" spans="1:18" ht="9" customHeight="1">
      <c r="C93" s="204" t="str">
        <f t="shared" si="15"/>
        <v/>
      </c>
      <c r="E93" s="249"/>
      <c r="F93" s="73" t="str">
        <f t="shared" si="10"/>
        <v/>
      </c>
      <c r="G93" s="249"/>
      <c r="H93" s="249"/>
      <c r="I93" s="73" t="str">
        <f t="shared" si="11"/>
        <v/>
      </c>
      <c r="J93" s="249"/>
      <c r="K93" s="249"/>
      <c r="L93" s="73" t="str">
        <f t="shared" si="12"/>
        <v/>
      </c>
      <c r="M93" s="249"/>
      <c r="N93" s="249"/>
      <c r="O93" s="73" t="str">
        <f t="shared" si="13"/>
        <v/>
      </c>
      <c r="P93" s="249"/>
      <c r="Q93" s="249"/>
      <c r="R93" s="73" t="str">
        <f t="shared" si="14"/>
        <v/>
      </c>
    </row>
    <row r="94" spans="1:18" ht="13.25" customHeight="1">
      <c r="A94" s="95" t="s">
        <v>992</v>
      </c>
      <c r="B94" s="58">
        <f t="shared" ref="B94:B104" si="17">SUM(E94+H94+K94+N94+Q94)</f>
        <v>10</v>
      </c>
      <c r="C94" s="204">
        <f t="shared" si="15"/>
        <v>2.3482998309224123E-2</v>
      </c>
      <c r="E94" s="833">
        <v>7</v>
      </c>
      <c r="F94" s="73">
        <f t="shared" si="10"/>
        <v>70</v>
      </c>
      <c r="G94" s="833"/>
      <c r="H94" s="833">
        <v>2</v>
      </c>
      <c r="I94" s="73">
        <f t="shared" si="11"/>
        <v>20</v>
      </c>
      <c r="J94" s="833"/>
      <c r="K94" s="833">
        <v>1</v>
      </c>
      <c r="L94" s="73">
        <f t="shared" si="12"/>
        <v>10</v>
      </c>
      <c r="M94" s="833"/>
      <c r="N94" s="833">
        <v>0</v>
      </c>
      <c r="O94" s="73">
        <f t="shared" si="13"/>
        <v>0</v>
      </c>
      <c r="P94" s="833"/>
      <c r="Q94" s="833">
        <v>0</v>
      </c>
      <c r="R94" s="73">
        <f t="shared" si="14"/>
        <v>0</v>
      </c>
    </row>
    <row r="95" spans="1:18" ht="8.25" customHeight="1">
      <c r="B95" s="58">
        <f t="shared" si="17"/>
        <v>0</v>
      </c>
      <c r="C95" s="204" t="str">
        <f t="shared" si="15"/>
        <v/>
      </c>
      <c r="E95" s="249"/>
      <c r="F95" s="73" t="str">
        <f t="shared" si="10"/>
        <v/>
      </c>
      <c r="G95" s="249"/>
      <c r="H95" s="249"/>
      <c r="I95" s="73" t="str">
        <f t="shared" si="11"/>
        <v/>
      </c>
      <c r="J95" s="249"/>
      <c r="K95" s="249"/>
      <c r="L95" s="73" t="str">
        <f t="shared" si="12"/>
        <v/>
      </c>
      <c r="M95" s="249"/>
      <c r="N95" s="249"/>
      <c r="O95" s="73" t="str">
        <f t="shared" si="13"/>
        <v/>
      </c>
      <c r="P95" s="249"/>
      <c r="Q95" s="249"/>
      <c r="R95" s="73" t="str">
        <f t="shared" si="14"/>
        <v/>
      </c>
    </row>
    <row r="96" spans="1:18" ht="13.25" customHeight="1">
      <c r="A96" s="95" t="s">
        <v>535</v>
      </c>
      <c r="B96" s="58">
        <f t="shared" si="17"/>
        <v>438</v>
      </c>
      <c r="C96" s="204">
        <f t="shared" si="15"/>
        <v>1.0285553259440166</v>
      </c>
      <c r="E96" s="834">
        <v>33</v>
      </c>
      <c r="F96" s="73">
        <f t="shared" si="10"/>
        <v>7.5342465753424657</v>
      </c>
      <c r="G96" s="834"/>
      <c r="H96" s="834">
        <v>86</v>
      </c>
      <c r="I96" s="73">
        <f t="shared" si="11"/>
        <v>19.634703196347029</v>
      </c>
      <c r="J96" s="834"/>
      <c r="K96" s="834">
        <v>128</v>
      </c>
      <c r="L96" s="73">
        <f t="shared" si="12"/>
        <v>29.223744292237441</v>
      </c>
      <c r="M96" s="834"/>
      <c r="N96" s="834">
        <v>179</v>
      </c>
      <c r="O96" s="73">
        <f t="shared" si="13"/>
        <v>40.8675799086758</v>
      </c>
      <c r="P96" s="834"/>
      <c r="Q96" s="834">
        <v>12</v>
      </c>
      <c r="R96" s="73">
        <f t="shared" si="14"/>
        <v>2.7397260273972601</v>
      </c>
    </row>
    <row r="97" spans="1:19" ht="13.25" customHeight="1">
      <c r="A97" s="33" t="s">
        <v>2224</v>
      </c>
      <c r="B97" s="58">
        <f t="shared" si="17"/>
        <v>755</v>
      </c>
      <c r="C97" s="204">
        <f t="shared" si="15"/>
        <v>1.7729663723464211</v>
      </c>
      <c r="E97" s="834">
        <v>115</v>
      </c>
      <c r="F97" s="73">
        <f t="shared" si="10"/>
        <v>15.231788079470199</v>
      </c>
      <c r="G97" s="834"/>
      <c r="H97" s="834">
        <v>146</v>
      </c>
      <c r="I97" s="73">
        <f t="shared" si="11"/>
        <v>19.337748344370862</v>
      </c>
      <c r="J97" s="834"/>
      <c r="K97" s="834">
        <v>232</v>
      </c>
      <c r="L97" s="73">
        <f t="shared" si="12"/>
        <v>30.728476821192054</v>
      </c>
      <c r="M97" s="834"/>
      <c r="N97" s="834">
        <v>250</v>
      </c>
      <c r="O97" s="73">
        <f t="shared" si="13"/>
        <v>33.112582781456958</v>
      </c>
      <c r="P97" s="834"/>
      <c r="Q97" s="834">
        <v>12</v>
      </c>
      <c r="R97" s="73">
        <f t="shared" si="14"/>
        <v>1.5894039735099337</v>
      </c>
    </row>
    <row r="98" spans="1:19" ht="9" customHeight="1">
      <c r="B98" s="58">
        <f t="shared" si="17"/>
        <v>0</v>
      </c>
      <c r="C98" s="204" t="str">
        <f t="shared" si="15"/>
        <v/>
      </c>
      <c r="F98" s="73" t="str">
        <f t="shared" si="10"/>
        <v/>
      </c>
      <c r="I98" s="73" t="str">
        <f t="shared" si="11"/>
        <v/>
      </c>
      <c r="L98" s="73" t="str">
        <f t="shared" si="12"/>
        <v/>
      </c>
      <c r="O98" s="73" t="str">
        <f t="shared" si="13"/>
        <v/>
      </c>
      <c r="R98" s="73" t="str">
        <f t="shared" si="14"/>
        <v/>
      </c>
    </row>
    <row r="99" spans="1:19" ht="13.25" customHeight="1">
      <c r="A99" s="55" t="s">
        <v>1013</v>
      </c>
      <c r="B99" s="58">
        <f t="shared" si="17"/>
        <v>9780</v>
      </c>
      <c r="C99" s="204">
        <f t="shared" si="15"/>
        <v>22.966372346421192</v>
      </c>
      <c r="E99" s="72">
        <f>SUM(E100:E104)</f>
        <v>1035</v>
      </c>
      <c r="F99" s="73">
        <f t="shared" si="10"/>
        <v>10.582822085889571</v>
      </c>
      <c r="H99" s="72">
        <f>SUM(H100:H104)</f>
        <v>1979</v>
      </c>
      <c r="I99" s="73">
        <f t="shared" si="11"/>
        <v>20.235173824130879</v>
      </c>
      <c r="K99" s="72">
        <f>SUM(K100:K104)</f>
        <v>3052</v>
      </c>
      <c r="L99" s="73">
        <f t="shared" si="12"/>
        <v>31.206543967280165</v>
      </c>
      <c r="N99" s="72">
        <f>SUM(N100:N104)</f>
        <v>3493</v>
      </c>
      <c r="O99" s="73">
        <f t="shared" si="13"/>
        <v>35.715746421267895</v>
      </c>
      <c r="Q99" s="72">
        <f>SUM(Q100:Q104)</f>
        <v>221</v>
      </c>
      <c r="R99" s="73">
        <f t="shared" si="14"/>
        <v>2.259713701431493</v>
      </c>
    </row>
    <row r="100" spans="1:19" ht="13.25" customHeight="1">
      <c r="A100" s="95" t="s">
        <v>424</v>
      </c>
      <c r="B100" s="58">
        <f t="shared" si="17"/>
        <v>3003</v>
      </c>
      <c r="C100" s="204">
        <f t="shared" si="15"/>
        <v>7.0519443922600038</v>
      </c>
      <c r="E100" s="834">
        <v>374</v>
      </c>
      <c r="F100" s="73">
        <f t="shared" si="10"/>
        <v>12.454212454212454</v>
      </c>
      <c r="G100" s="834"/>
      <c r="H100" s="834">
        <v>520</v>
      </c>
      <c r="I100" s="73">
        <f t="shared" si="11"/>
        <v>17.316017316017316</v>
      </c>
      <c r="J100" s="834"/>
      <c r="K100" s="834">
        <v>790</v>
      </c>
      <c r="L100" s="73">
        <f t="shared" si="12"/>
        <v>26.307026307026305</v>
      </c>
      <c r="M100" s="834"/>
      <c r="N100" s="834">
        <v>1244</v>
      </c>
      <c r="O100" s="73">
        <f t="shared" si="13"/>
        <v>41.425241425241424</v>
      </c>
      <c r="P100" s="834"/>
      <c r="Q100" s="834">
        <v>75</v>
      </c>
      <c r="R100" s="73">
        <f t="shared" si="14"/>
        <v>2.4975024975024978</v>
      </c>
    </row>
    <row r="101" spans="1:19" ht="13.25" customHeight="1">
      <c r="A101" s="95" t="s">
        <v>425</v>
      </c>
      <c r="B101" s="58">
        <f t="shared" si="17"/>
        <v>1995</v>
      </c>
      <c r="C101" s="204">
        <f t="shared" si="15"/>
        <v>4.6848581626902117</v>
      </c>
      <c r="E101" s="834">
        <v>183</v>
      </c>
      <c r="F101" s="73">
        <f t="shared" si="10"/>
        <v>9.1729323308270683</v>
      </c>
      <c r="G101" s="834"/>
      <c r="H101" s="834">
        <v>498</v>
      </c>
      <c r="I101" s="73">
        <f t="shared" si="11"/>
        <v>24.962406015037594</v>
      </c>
      <c r="J101" s="834"/>
      <c r="K101" s="834">
        <v>664</v>
      </c>
      <c r="L101" s="73">
        <f t="shared" si="12"/>
        <v>33.283208020050125</v>
      </c>
      <c r="M101" s="834"/>
      <c r="N101" s="834">
        <v>614</v>
      </c>
      <c r="O101" s="73">
        <f t="shared" si="13"/>
        <v>30.776942355889723</v>
      </c>
      <c r="P101" s="834"/>
      <c r="Q101" s="834">
        <v>36</v>
      </c>
      <c r="R101" s="73">
        <f t="shared" si="14"/>
        <v>1.8045112781954888</v>
      </c>
    </row>
    <row r="102" spans="1:19" ht="13.25" customHeight="1">
      <c r="A102" s="95" t="s">
        <v>426</v>
      </c>
      <c r="B102" s="58">
        <f t="shared" si="17"/>
        <v>2122</v>
      </c>
      <c r="C102" s="204">
        <f t="shared" si="15"/>
        <v>4.9830922412173591</v>
      </c>
      <c r="E102" s="834">
        <v>214</v>
      </c>
      <c r="F102" s="73">
        <f t="shared" si="10"/>
        <v>10.084825636192271</v>
      </c>
      <c r="G102" s="834"/>
      <c r="H102" s="834">
        <v>469</v>
      </c>
      <c r="I102" s="73">
        <f t="shared" si="11"/>
        <v>22.101790763430724</v>
      </c>
      <c r="J102" s="834"/>
      <c r="K102" s="834">
        <v>691</v>
      </c>
      <c r="L102" s="73">
        <f t="shared" si="12"/>
        <v>32.563619227144201</v>
      </c>
      <c r="M102" s="834"/>
      <c r="N102" s="834">
        <v>701</v>
      </c>
      <c r="O102" s="73">
        <f t="shared" si="13"/>
        <v>33.034872761545714</v>
      </c>
      <c r="P102" s="834"/>
      <c r="Q102" s="834">
        <v>47</v>
      </c>
      <c r="R102" s="73">
        <f t="shared" si="14"/>
        <v>2.2148916116870874</v>
      </c>
    </row>
    <row r="103" spans="1:19" ht="13.25" customHeight="1">
      <c r="A103" s="33" t="s">
        <v>1014</v>
      </c>
      <c r="B103" s="58">
        <f t="shared" si="17"/>
        <v>1324</v>
      </c>
      <c r="C103" s="204">
        <f t="shared" si="15"/>
        <v>3.1091489761412738</v>
      </c>
      <c r="E103" s="834">
        <v>143</v>
      </c>
      <c r="F103" s="73">
        <f t="shared" si="10"/>
        <v>10.80060422960725</v>
      </c>
      <c r="G103" s="834"/>
      <c r="H103" s="834">
        <v>306</v>
      </c>
      <c r="I103" s="73">
        <f t="shared" si="11"/>
        <v>23.111782477341389</v>
      </c>
      <c r="J103" s="834"/>
      <c r="K103" s="834">
        <v>471</v>
      </c>
      <c r="L103" s="73">
        <f t="shared" si="12"/>
        <v>35.57401812688822</v>
      </c>
      <c r="M103" s="834"/>
      <c r="N103" s="834">
        <v>385</v>
      </c>
      <c r="O103" s="73">
        <f t="shared" si="13"/>
        <v>29.078549848942597</v>
      </c>
      <c r="P103" s="834"/>
      <c r="Q103" s="834">
        <v>19</v>
      </c>
      <c r="R103" s="73">
        <f t="shared" si="14"/>
        <v>1.4350453172205437</v>
      </c>
    </row>
    <row r="104" spans="1:19" ht="13.25" customHeight="1">
      <c r="A104" s="95" t="s">
        <v>587</v>
      </c>
      <c r="B104" s="58">
        <f t="shared" si="17"/>
        <v>1336</v>
      </c>
      <c r="C104" s="204">
        <f t="shared" si="15"/>
        <v>3.1373285741123427</v>
      </c>
      <c r="E104" s="834">
        <v>121</v>
      </c>
      <c r="F104" s="73">
        <f t="shared" si="10"/>
        <v>9.0568862275449113</v>
      </c>
      <c r="G104" s="834"/>
      <c r="H104" s="834">
        <v>186</v>
      </c>
      <c r="I104" s="73">
        <f t="shared" si="11"/>
        <v>13.922155688622754</v>
      </c>
      <c r="J104" s="834"/>
      <c r="K104" s="834">
        <v>436</v>
      </c>
      <c r="L104" s="73">
        <f t="shared" si="12"/>
        <v>32.634730538922156</v>
      </c>
      <c r="M104" s="834"/>
      <c r="N104" s="834">
        <v>549</v>
      </c>
      <c r="O104" s="73">
        <f t="shared" si="13"/>
        <v>41.092814371257482</v>
      </c>
      <c r="P104" s="834"/>
      <c r="Q104" s="834">
        <v>44</v>
      </c>
      <c r="R104" s="73">
        <f t="shared" si="14"/>
        <v>3.293413173652695</v>
      </c>
    </row>
    <row r="105" spans="1:19" ht="9" customHeight="1">
      <c r="C105" s="204" t="str">
        <f t="shared" si="15"/>
        <v/>
      </c>
      <c r="E105" s="834"/>
      <c r="F105" s="73" t="str">
        <f t="shared" si="10"/>
        <v/>
      </c>
      <c r="G105" s="834"/>
      <c r="H105" s="834"/>
      <c r="I105" s="73" t="str">
        <f t="shared" si="11"/>
        <v/>
      </c>
      <c r="J105" s="834"/>
      <c r="K105" s="834"/>
      <c r="L105" s="73" t="str">
        <f t="shared" si="12"/>
        <v/>
      </c>
      <c r="M105" s="834"/>
      <c r="N105" s="834"/>
      <c r="O105" s="73" t="str">
        <f t="shared" si="13"/>
        <v/>
      </c>
      <c r="P105" s="834"/>
      <c r="Q105" s="834"/>
      <c r="R105" s="73" t="str">
        <f t="shared" si="14"/>
        <v/>
      </c>
    </row>
    <row r="106" spans="1:19" ht="13.25" customHeight="1">
      <c r="A106" s="95" t="s">
        <v>1015</v>
      </c>
      <c r="B106" s="58">
        <f>SUM(E106+H106+K106+N106+Q106)</f>
        <v>164</v>
      </c>
      <c r="C106" s="204">
        <f t="shared" si="15"/>
        <v>0.38512117227127562</v>
      </c>
      <c r="E106" s="202">
        <v>4</v>
      </c>
      <c r="F106" s="73">
        <f t="shared" si="10"/>
        <v>2.4390243902439024</v>
      </c>
      <c r="G106" s="202"/>
      <c r="H106" s="202">
        <v>114</v>
      </c>
      <c r="I106" s="73">
        <f t="shared" si="11"/>
        <v>69.512195121951208</v>
      </c>
      <c r="J106" s="202"/>
      <c r="K106" s="202">
        <v>44</v>
      </c>
      <c r="L106" s="73">
        <f t="shared" si="12"/>
        <v>26.829268292682929</v>
      </c>
      <c r="M106" s="202"/>
      <c r="N106" s="202">
        <v>2</v>
      </c>
      <c r="O106" s="73">
        <f t="shared" si="13"/>
        <v>1.2195121951219512</v>
      </c>
      <c r="P106" s="202"/>
      <c r="Q106" s="202">
        <v>0</v>
      </c>
      <c r="R106" s="73">
        <f t="shared" si="14"/>
        <v>0</v>
      </c>
    </row>
    <row r="107" spans="1:19" ht="9" customHeight="1" thickBot="1">
      <c r="A107" s="102"/>
      <c r="B107" s="197"/>
      <c r="C107" s="197"/>
      <c r="D107" s="197"/>
      <c r="E107" s="197"/>
      <c r="F107" s="197"/>
      <c r="G107" s="197"/>
      <c r="H107" s="197"/>
      <c r="I107" s="197"/>
      <c r="J107" s="197"/>
      <c r="K107" s="197"/>
      <c r="L107" s="197"/>
      <c r="M107" s="197"/>
      <c r="N107" s="197"/>
      <c r="O107" s="197"/>
      <c r="P107" s="197"/>
      <c r="Q107" s="197"/>
      <c r="R107" s="197"/>
      <c r="S107" s="197"/>
    </row>
    <row r="108" spans="1:19" ht="9" customHeight="1"/>
    <row r="109" spans="1:19" ht="11.25" customHeight="1">
      <c r="A109" s="116" t="s">
        <v>1016</v>
      </c>
    </row>
    <row r="110" spans="1:19" ht="9" customHeight="1"/>
    <row r="111" spans="1:19" ht="14.25" customHeight="1">
      <c r="A111" s="203" t="s">
        <v>1017</v>
      </c>
    </row>
    <row r="112" spans="1:19" ht="12.75" customHeight="1">
      <c r="A112" s="203" t="s">
        <v>1018</v>
      </c>
    </row>
    <row r="113" spans="1:18" ht="9" customHeight="1"/>
    <row r="114" spans="1:18">
      <c r="A114" s="14" t="s">
        <v>1932</v>
      </c>
    </row>
    <row r="115" spans="1:18" s="234" customFormat="1">
      <c r="A115" s="733" t="s">
        <v>452</v>
      </c>
      <c r="B115" s="229"/>
      <c r="C115" s="229"/>
      <c r="D115" s="302"/>
      <c r="E115" s="232"/>
      <c r="F115" s="232"/>
      <c r="G115" s="303"/>
      <c r="H115" s="232"/>
      <c r="I115" s="232"/>
      <c r="J115" s="303"/>
      <c r="K115" s="232"/>
      <c r="L115" s="232"/>
      <c r="M115" s="303"/>
      <c r="N115" s="232"/>
      <c r="O115" s="232"/>
      <c r="P115" s="303"/>
      <c r="Q115" s="232"/>
      <c r="R115" s="232"/>
    </row>
    <row r="116" spans="1:18" s="234" customFormat="1">
      <c r="B116" s="229"/>
      <c r="C116" s="229"/>
      <c r="D116" s="302"/>
      <c r="E116" s="232"/>
      <c r="F116" s="232"/>
      <c r="G116" s="303"/>
      <c r="H116" s="232"/>
      <c r="I116" s="232"/>
      <c r="J116" s="303"/>
      <c r="K116" s="232"/>
      <c r="L116" s="232"/>
      <c r="M116" s="303"/>
      <c r="N116" s="232"/>
      <c r="O116" s="232"/>
      <c r="P116" s="303"/>
      <c r="Q116" s="232"/>
      <c r="R116" s="232"/>
    </row>
    <row r="117" spans="1:18" s="234" customFormat="1">
      <c r="B117" s="229"/>
      <c r="C117" s="229"/>
      <c r="D117" s="302"/>
      <c r="E117" s="232"/>
      <c r="F117" s="232"/>
      <c r="G117" s="303"/>
      <c r="H117" s="232"/>
      <c r="I117" s="232"/>
      <c r="J117" s="303"/>
      <c r="K117" s="232"/>
      <c r="L117" s="232"/>
      <c r="M117" s="303"/>
      <c r="N117" s="232"/>
      <c r="O117" s="232"/>
      <c r="P117" s="303"/>
      <c r="Q117" s="232"/>
      <c r="R117" s="232"/>
    </row>
  </sheetData>
  <conditionalFormatting sqref="A1:XFD96 A98:XFD1048576 B97:XFD97">
    <cfRule type="cellIs" dxfId="63" priority="1" operator="equal">
      <formula>0</formula>
    </cfRule>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139"/>
  <sheetViews>
    <sheetView workbookViewId="0">
      <selection activeCell="A2" sqref="A2"/>
    </sheetView>
  </sheetViews>
  <sheetFormatPr baseColWidth="10" defaultColWidth="8.83203125" defaultRowHeight="13"/>
  <cols>
    <col min="1" max="1" width="33.83203125" style="33" customWidth="1"/>
    <col min="2" max="2" width="8.5" style="339" customWidth="1"/>
    <col min="3" max="3" width="2.5" style="340" customWidth="1"/>
    <col min="4" max="4" width="8.33203125" style="341" customWidth="1"/>
    <col min="5" max="5" width="2.6640625" style="342" customWidth="1"/>
    <col min="6" max="6" width="8.5" style="347" customWidth="1"/>
    <col min="7" max="7" width="8.33203125" style="348" customWidth="1"/>
    <col min="8" max="8" width="2.6640625" style="342" customWidth="1"/>
    <col min="9" max="9" width="8.33203125" style="347" customWidth="1"/>
    <col min="10" max="10" width="8.33203125" style="348" customWidth="1"/>
    <col min="11" max="11" width="2.6640625" style="342" customWidth="1"/>
    <col min="12" max="12" width="8.33203125" style="347" customWidth="1"/>
    <col min="13" max="13" width="8.33203125" style="348" customWidth="1"/>
    <col min="14" max="14" width="2.6640625" style="342" customWidth="1"/>
    <col min="15" max="15" width="8.33203125" style="347" customWidth="1"/>
    <col min="16" max="16" width="8.33203125" style="348" customWidth="1"/>
    <col min="17" max="17" width="2.6640625" style="342" customWidth="1"/>
    <col min="18" max="18" width="8.33203125" style="347" customWidth="1"/>
    <col min="19" max="19" width="8.33203125" style="348" customWidth="1"/>
    <col min="20" max="20" width="2.6640625" style="342" customWidth="1"/>
    <col min="21" max="21" width="4.1640625" style="342" customWidth="1"/>
    <col min="22" max="256" width="8.83203125" style="33"/>
    <col min="257" max="257" width="33.83203125" style="33" customWidth="1"/>
    <col min="258" max="258" width="8.5" style="33" customWidth="1"/>
    <col min="259" max="259" width="2.5" style="33" customWidth="1"/>
    <col min="260" max="260" width="8.33203125" style="33" customWidth="1"/>
    <col min="261" max="261" width="2.6640625" style="33" customWidth="1"/>
    <col min="262" max="262" width="8.5" style="33" customWidth="1"/>
    <col min="263" max="263" width="8.33203125" style="33" customWidth="1"/>
    <col min="264" max="264" width="2.6640625" style="33" customWidth="1"/>
    <col min="265" max="266" width="8.33203125" style="33" customWidth="1"/>
    <col min="267" max="267" width="2.6640625" style="33" customWidth="1"/>
    <col min="268" max="269" width="8.33203125" style="33" customWidth="1"/>
    <col min="270" max="270" width="2.6640625" style="33" customWidth="1"/>
    <col min="271" max="272" width="8.33203125" style="33" customWidth="1"/>
    <col min="273" max="273" width="2.6640625" style="33" customWidth="1"/>
    <col min="274" max="275" width="8.33203125" style="33" customWidth="1"/>
    <col min="276" max="276" width="2.6640625" style="33" customWidth="1"/>
    <col min="277" max="277" width="4.1640625" style="33" customWidth="1"/>
    <col min="278" max="512" width="8.83203125" style="33"/>
    <col min="513" max="513" width="33.83203125" style="33" customWidth="1"/>
    <col min="514" max="514" width="8.5" style="33" customWidth="1"/>
    <col min="515" max="515" width="2.5" style="33" customWidth="1"/>
    <col min="516" max="516" width="8.33203125" style="33" customWidth="1"/>
    <col min="517" max="517" width="2.6640625" style="33" customWidth="1"/>
    <col min="518" max="518" width="8.5" style="33" customWidth="1"/>
    <col min="519" max="519" width="8.33203125" style="33" customWidth="1"/>
    <col min="520" max="520" width="2.6640625" style="33" customWidth="1"/>
    <col min="521" max="522" width="8.33203125" style="33" customWidth="1"/>
    <col min="523" max="523" width="2.6640625" style="33" customWidth="1"/>
    <col min="524" max="525" width="8.33203125" style="33" customWidth="1"/>
    <col min="526" max="526" width="2.6640625" style="33" customWidth="1"/>
    <col min="527" max="528" width="8.33203125" style="33" customWidth="1"/>
    <col min="529" max="529" width="2.6640625" style="33" customWidth="1"/>
    <col min="530" max="531" width="8.33203125" style="33" customWidth="1"/>
    <col min="532" max="532" width="2.6640625" style="33" customWidth="1"/>
    <col min="533" max="533" width="4.1640625" style="33" customWidth="1"/>
    <col min="534" max="768" width="8.83203125" style="33"/>
    <col min="769" max="769" width="33.83203125" style="33" customWidth="1"/>
    <col min="770" max="770" width="8.5" style="33" customWidth="1"/>
    <col min="771" max="771" width="2.5" style="33" customWidth="1"/>
    <col min="772" max="772" width="8.33203125" style="33" customWidth="1"/>
    <col min="773" max="773" width="2.6640625" style="33" customWidth="1"/>
    <col min="774" max="774" width="8.5" style="33" customWidth="1"/>
    <col min="775" max="775" width="8.33203125" style="33" customWidth="1"/>
    <col min="776" max="776" width="2.6640625" style="33" customWidth="1"/>
    <col min="777" max="778" width="8.33203125" style="33" customWidth="1"/>
    <col min="779" max="779" width="2.6640625" style="33" customWidth="1"/>
    <col min="780" max="781" width="8.33203125" style="33" customWidth="1"/>
    <col min="782" max="782" width="2.6640625" style="33" customWidth="1"/>
    <col min="783" max="784" width="8.33203125" style="33" customWidth="1"/>
    <col min="785" max="785" width="2.6640625" style="33" customWidth="1"/>
    <col min="786" max="787" width="8.33203125" style="33" customWidth="1"/>
    <col min="788" max="788" width="2.6640625" style="33" customWidth="1"/>
    <col min="789" max="789" width="4.1640625" style="33" customWidth="1"/>
    <col min="790" max="1024" width="8.83203125" style="33"/>
    <col min="1025" max="1025" width="33.83203125" style="33" customWidth="1"/>
    <col min="1026" max="1026" width="8.5" style="33" customWidth="1"/>
    <col min="1027" max="1027" width="2.5" style="33" customWidth="1"/>
    <col min="1028" max="1028" width="8.33203125" style="33" customWidth="1"/>
    <col min="1029" max="1029" width="2.6640625" style="33" customWidth="1"/>
    <col min="1030" max="1030" width="8.5" style="33" customWidth="1"/>
    <col min="1031" max="1031" width="8.33203125" style="33" customWidth="1"/>
    <col min="1032" max="1032" width="2.6640625" style="33" customWidth="1"/>
    <col min="1033" max="1034" width="8.33203125" style="33" customWidth="1"/>
    <col min="1035" max="1035" width="2.6640625" style="33" customWidth="1"/>
    <col min="1036" max="1037" width="8.33203125" style="33" customWidth="1"/>
    <col min="1038" max="1038" width="2.6640625" style="33" customWidth="1"/>
    <col min="1039" max="1040" width="8.33203125" style="33" customWidth="1"/>
    <col min="1041" max="1041" width="2.6640625" style="33" customWidth="1"/>
    <col min="1042" max="1043" width="8.33203125" style="33" customWidth="1"/>
    <col min="1044" max="1044" width="2.6640625" style="33" customWidth="1"/>
    <col min="1045" max="1045" width="4.1640625" style="33" customWidth="1"/>
    <col min="1046" max="1280" width="8.83203125" style="33"/>
    <col min="1281" max="1281" width="33.83203125" style="33" customWidth="1"/>
    <col min="1282" max="1282" width="8.5" style="33" customWidth="1"/>
    <col min="1283" max="1283" width="2.5" style="33" customWidth="1"/>
    <col min="1284" max="1284" width="8.33203125" style="33" customWidth="1"/>
    <col min="1285" max="1285" width="2.6640625" style="33" customWidth="1"/>
    <col min="1286" max="1286" width="8.5" style="33" customWidth="1"/>
    <col min="1287" max="1287" width="8.33203125" style="33" customWidth="1"/>
    <col min="1288" max="1288" width="2.6640625" style="33" customWidth="1"/>
    <col min="1289" max="1290" width="8.33203125" style="33" customWidth="1"/>
    <col min="1291" max="1291" width="2.6640625" style="33" customWidth="1"/>
    <col min="1292" max="1293" width="8.33203125" style="33" customWidth="1"/>
    <col min="1294" max="1294" width="2.6640625" style="33" customWidth="1"/>
    <col min="1295" max="1296" width="8.33203125" style="33" customWidth="1"/>
    <col min="1297" max="1297" width="2.6640625" style="33" customWidth="1"/>
    <col min="1298" max="1299" width="8.33203125" style="33" customWidth="1"/>
    <col min="1300" max="1300" width="2.6640625" style="33" customWidth="1"/>
    <col min="1301" max="1301" width="4.1640625" style="33" customWidth="1"/>
    <col min="1302" max="1536" width="8.83203125" style="33"/>
    <col min="1537" max="1537" width="33.83203125" style="33" customWidth="1"/>
    <col min="1538" max="1538" width="8.5" style="33" customWidth="1"/>
    <col min="1539" max="1539" width="2.5" style="33" customWidth="1"/>
    <col min="1540" max="1540" width="8.33203125" style="33" customWidth="1"/>
    <col min="1541" max="1541" width="2.6640625" style="33" customWidth="1"/>
    <col min="1542" max="1542" width="8.5" style="33" customWidth="1"/>
    <col min="1543" max="1543" width="8.33203125" style="33" customWidth="1"/>
    <col min="1544" max="1544" width="2.6640625" style="33" customWidth="1"/>
    <col min="1545" max="1546" width="8.33203125" style="33" customWidth="1"/>
    <col min="1547" max="1547" width="2.6640625" style="33" customWidth="1"/>
    <col min="1548" max="1549" width="8.33203125" style="33" customWidth="1"/>
    <col min="1550" max="1550" width="2.6640625" style="33" customWidth="1"/>
    <col min="1551" max="1552" width="8.33203125" style="33" customWidth="1"/>
    <col min="1553" max="1553" width="2.6640625" style="33" customWidth="1"/>
    <col min="1554" max="1555" width="8.33203125" style="33" customWidth="1"/>
    <col min="1556" max="1556" width="2.6640625" style="33" customWidth="1"/>
    <col min="1557" max="1557" width="4.1640625" style="33" customWidth="1"/>
    <col min="1558" max="1792" width="8.83203125" style="33"/>
    <col min="1793" max="1793" width="33.83203125" style="33" customWidth="1"/>
    <col min="1794" max="1794" width="8.5" style="33" customWidth="1"/>
    <col min="1795" max="1795" width="2.5" style="33" customWidth="1"/>
    <col min="1796" max="1796" width="8.33203125" style="33" customWidth="1"/>
    <col min="1797" max="1797" width="2.6640625" style="33" customWidth="1"/>
    <col min="1798" max="1798" width="8.5" style="33" customWidth="1"/>
    <col min="1799" max="1799" width="8.33203125" style="33" customWidth="1"/>
    <col min="1800" max="1800" width="2.6640625" style="33" customWidth="1"/>
    <col min="1801" max="1802" width="8.33203125" style="33" customWidth="1"/>
    <col min="1803" max="1803" width="2.6640625" style="33" customWidth="1"/>
    <col min="1804" max="1805" width="8.33203125" style="33" customWidth="1"/>
    <col min="1806" max="1806" width="2.6640625" style="33" customWidth="1"/>
    <col min="1807" max="1808" width="8.33203125" style="33" customWidth="1"/>
    <col min="1809" max="1809" width="2.6640625" style="33" customWidth="1"/>
    <col min="1810" max="1811" width="8.33203125" style="33" customWidth="1"/>
    <col min="1812" max="1812" width="2.6640625" style="33" customWidth="1"/>
    <col min="1813" max="1813" width="4.1640625" style="33" customWidth="1"/>
    <col min="1814" max="2048" width="8.83203125" style="33"/>
    <col min="2049" max="2049" width="33.83203125" style="33" customWidth="1"/>
    <col min="2050" max="2050" width="8.5" style="33" customWidth="1"/>
    <col min="2051" max="2051" width="2.5" style="33" customWidth="1"/>
    <col min="2052" max="2052" width="8.33203125" style="33" customWidth="1"/>
    <col min="2053" max="2053" width="2.6640625" style="33" customWidth="1"/>
    <col min="2054" max="2054" width="8.5" style="33" customWidth="1"/>
    <col min="2055" max="2055" width="8.33203125" style="33" customWidth="1"/>
    <col min="2056" max="2056" width="2.6640625" style="33" customWidth="1"/>
    <col min="2057" max="2058" width="8.33203125" style="33" customWidth="1"/>
    <col min="2059" max="2059" width="2.6640625" style="33" customWidth="1"/>
    <col min="2060" max="2061" width="8.33203125" style="33" customWidth="1"/>
    <col min="2062" max="2062" width="2.6640625" style="33" customWidth="1"/>
    <col min="2063" max="2064" width="8.33203125" style="33" customWidth="1"/>
    <col min="2065" max="2065" width="2.6640625" style="33" customWidth="1"/>
    <col min="2066" max="2067" width="8.33203125" style="33" customWidth="1"/>
    <col min="2068" max="2068" width="2.6640625" style="33" customWidth="1"/>
    <col min="2069" max="2069" width="4.1640625" style="33" customWidth="1"/>
    <col min="2070" max="2304" width="8.83203125" style="33"/>
    <col min="2305" max="2305" width="33.83203125" style="33" customWidth="1"/>
    <col min="2306" max="2306" width="8.5" style="33" customWidth="1"/>
    <col min="2307" max="2307" width="2.5" style="33" customWidth="1"/>
    <col min="2308" max="2308" width="8.33203125" style="33" customWidth="1"/>
    <col min="2309" max="2309" width="2.6640625" style="33" customWidth="1"/>
    <col min="2310" max="2310" width="8.5" style="33" customWidth="1"/>
    <col min="2311" max="2311" width="8.33203125" style="33" customWidth="1"/>
    <col min="2312" max="2312" width="2.6640625" style="33" customWidth="1"/>
    <col min="2313" max="2314" width="8.33203125" style="33" customWidth="1"/>
    <col min="2315" max="2315" width="2.6640625" style="33" customWidth="1"/>
    <col min="2316" max="2317" width="8.33203125" style="33" customWidth="1"/>
    <col min="2318" max="2318" width="2.6640625" style="33" customWidth="1"/>
    <col min="2319" max="2320" width="8.33203125" style="33" customWidth="1"/>
    <col min="2321" max="2321" width="2.6640625" style="33" customWidth="1"/>
    <col min="2322" max="2323" width="8.33203125" style="33" customWidth="1"/>
    <col min="2324" max="2324" width="2.6640625" style="33" customWidth="1"/>
    <col min="2325" max="2325" width="4.1640625" style="33" customWidth="1"/>
    <col min="2326" max="2560" width="8.83203125" style="33"/>
    <col min="2561" max="2561" width="33.83203125" style="33" customWidth="1"/>
    <col min="2562" max="2562" width="8.5" style="33" customWidth="1"/>
    <col min="2563" max="2563" width="2.5" style="33" customWidth="1"/>
    <col min="2564" max="2564" width="8.33203125" style="33" customWidth="1"/>
    <col min="2565" max="2565" width="2.6640625" style="33" customWidth="1"/>
    <col min="2566" max="2566" width="8.5" style="33" customWidth="1"/>
    <col min="2567" max="2567" width="8.33203125" style="33" customWidth="1"/>
    <col min="2568" max="2568" width="2.6640625" style="33" customWidth="1"/>
    <col min="2569" max="2570" width="8.33203125" style="33" customWidth="1"/>
    <col min="2571" max="2571" width="2.6640625" style="33" customWidth="1"/>
    <col min="2572" max="2573" width="8.33203125" style="33" customWidth="1"/>
    <col min="2574" max="2574" width="2.6640625" style="33" customWidth="1"/>
    <col min="2575" max="2576" width="8.33203125" style="33" customWidth="1"/>
    <col min="2577" max="2577" width="2.6640625" style="33" customWidth="1"/>
    <col min="2578" max="2579" width="8.33203125" style="33" customWidth="1"/>
    <col min="2580" max="2580" width="2.6640625" style="33" customWidth="1"/>
    <col min="2581" max="2581" width="4.1640625" style="33" customWidth="1"/>
    <col min="2582" max="2816" width="8.83203125" style="33"/>
    <col min="2817" max="2817" width="33.83203125" style="33" customWidth="1"/>
    <col min="2818" max="2818" width="8.5" style="33" customWidth="1"/>
    <col min="2819" max="2819" width="2.5" style="33" customWidth="1"/>
    <col min="2820" max="2820" width="8.33203125" style="33" customWidth="1"/>
    <col min="2821" max="2821" width="2.6640625" style="33" customWidth="1"/>
    <col min="2822" max="2822" width="8.5" style="33" customWidth="1"/>
    <col min="2823" max="2823" width="8.33203125" style="33" customWidth="1"/>
    <col min="2824" max="2824" width="2.6640625" style="33" customWidth="1"/>
    <col min="2825" max="2826" width="8.33203125" style="33" customWidth="1"/>
    <col min="2827" max="2827" width="2.6640625" style="33" customWidth="1"/>
    <col min="2828" max="2829" width="8.33203125" style="33" customWidth="1"/>
    <col min="2830" max="2830" width="2.6640625" style="33" customWidth="1"/>
    <col min="2831" max="2832" width="8.33203125" style="33" customWidth="1"/>
    <col min="2833" max="2833" width="2.6640625" style="33" customWidth="1"/>
    <col min="2834" max="2835" width="8.33203125" style="33" customWidth="1"/>
    <col min="2836" max="2836" width="2.6640625" style="33" customWidth="1"/>
    <col min="2837" max="2837" width="4.1640625" style="33" customWidth="1"/>
    <col min="2838" max="3072" width="8.83203125" style="33"/>
    <col min="3073" max="3073" width="33.83203125" style="33" customWidth="1"/>
    <col min="3074" max="3074" width="8.5" style="33" customWidth="1"/>
    <col min="3075" max="3075" width="2.5" style="33" customWidth="1"/>
    <col min="3076" max="3076" width="8.33203125" style="33" customWidth="1"/>
    <col min="3077" max="3077" width="2.6640625" style="33" customWidth="1"/>
    <col min="3078" max="3078" width="8.5" style="33" customWidth="1"/>
    <col min="3079" max="3079" width="8.33203125" style="33" customWidth="1"/>
    <col min="3080" max="3080" width="2.6640625" style="33" customWidth="1"/>
    <col min="3081" max="3082" width="8.33203125" style="33" customWidth="1"/>
    <col min="3083" max="3083" width="2.6640625" style="33" customWidth="1"/>
    <col min="3084" max="3085" width="8.33203125" style="33" customWidth="1"/>
    <col min="3086" max="3086" width="2.6640625" style="33" customWidth="1"/>
    <col min="3087" max="3088" width="8.33203125" style="33" customWidth="1"/>
    <col min="3089" max="3089" width="2.6640625" style="33" customWidth="1"/>
    <col min="3090" max="3091" width="8.33203125" style="33" customWidth="1"/>
    <col min="3092" max="3092" width="2.6640625" style="33" customWidth="1"/>
    <col min="3093" max="3093" width="4.1640625" style="33" customWidth="1"/>
    <col min="3094" max="3328" width="8.83203125" style="33"/>
    <col min="3329" max="3329" width="33.83203125" style="33" customWidth="1"/>
    <col min="3330" max="3330" width="8.5" style="33" customWidth="1"/>
    <col min="3331" max="3331" width="2.5" style="33" customWidth="1"/>
    <col min="3332" max="3332" width="8.33203125" style="33" customWidth="1"/>
    <col min="3333" max="3333" width="2.6640625" style="33" customWidth="1"/>
    <col min="3334" max="3334" width="8.5" style="33" customWidth="1"/>
    <col min="3335" max="3335" width="8.33203125" style="33" customWidth="1"/>
    <col min="3336" max="3336" width="2.6640625" style="33" customWidth="1"/>
    <col min="3337" max="3338" width="8.33203125" style="33" customWidth="1"/>
    <col min="3339" max="3339" width="2.6640625" style="33" customWidth="1"/>
    <col min="3340" max="3341" width="8.33203125" style="33" customWidth="1"/>
    <col min="3342" max="3342" width="2.6640625" style="33" customWidth="1"/>
    <col min="3343" max="3344" width="8.33203125" style="33" customWidth="1"/>
    <col min="3345" max="3345" width="2.6640625" style="33" customWidth="1"/>
    <col min="3346" max="3347" width="8.33203125" style="33" customWidth="1"/>
    <col min="3348" max="3348" width="2.6640625" style="33" customWidth="1"/>
    <col min="3349" max="3349" width="4.1640625" style="33" customWidth="1"/>
    <col min="3350" max="3584" width="8.83203125" style="33"/>
    <col min="3585" max="3585" width="33.83203125" style="33" customWidth="1"/>
    <col min="3586" max="3586" width="8.5" style="33" customWidth="1"/>
    <col min="3587" max="3587" width="2.5" style="33" customWidth="1"/>
    <col min="3588" max="3588" width="8.33203125" style="33" customWidth="1"/>
    <col min="3589" max="3589" width="2.6640625" style="33" customWidth="1"/>
    <col min="3590" max="3590" width="8.5" style="33" customWidth="1"/>
    <col min="3591" max="3591" width="8.33203125" style="33" customWidth="1"/>
    <col min="3592" max="3592" width="2.6640625" style="33" customWidth="1"/>
    <col min="3593" max="3594" width="8.33203125" style="33" customWidth="1"/>
    <col min="3595" max="3595" width="2.6640625" style="33" customWidth="1"/>
    <col min="3596" max="3597" width="8.33203125" style="33" customWidth="1"/>
    <col min="3598" max="3598" width="2.6640625" style="33" customWidth="1"/>
    <col min="3599" max="3600" width="8.33203125" style="33" customWidth="1"/>
    <col min="3601" max="3601" width="2.6640625" style="33" customWidth="1"/>
    <col min="3602" max="3603" width="8.33203125" style="33" customWidth="1"/>
    <col min="3604" max="3604" width="2.6640625" style="33" customWidth="1"/>
    <col min="3605" max="3605" width="4.1640625" style="33" customWidth="1"/>
    <col min="3606" max="3840" width="8.83203125" style="33"/>
    <col min="3841" max="3841" width="33.83203125" style="33" customWidth="1"/>
    <col min="3842" max="3842" width="8.5" style="33" customWidth="1"/>
    <col min="3843" max="3843" width="2.5" style="33" customWidth="1"/>
    <col min="3844" max="3844" width="8.33203125" style="33" customWidth="1"/>
    <col min="3845" max="3845" width="2.6640625" style="33" customWidth="1"/>
    <col min="3846" max="3846" width="8.5" style="33" customWidth="1"/>
    <col min="3847" max="3847" width="8.33203125" style="33" customWidth="1"/>
    <col min="3848" max="3848" width="2.6640625" style="33" customWidth="1"/>
    <col min="3849" max="3850" width="8.33203125" style="33" customWidth="1"/>
    <col min="3851" max="3851" width="2.6640625" style="33" customWidth="1"/>
    <col min="3852" max="3853" width="8.33203125" style="33" customWidth="1"/>
    <col min="3854" max="3854" width="2.6640625" style="33" customWidth="1"/>
    <col min="3855" max="3856" width="8.33203125" style="33" customWidth="1"/>
    <col min="3857" max="3857" width="2.6640625" style="33" customWidth="1"/>
    <col min="3858" max="3859" width="8.33203125" style="33" customWidth="1"/>
    <col min="3860" max="3860" width="2.6640625" style="33" customWidth="1"/>
    <col min="3861" max="3861" width="4.1640625" style="33" customWidth="1"/>
    <col min="3862" max="4096" width="8.83203125" style="33"/>
    <col min="4097" max="4097" width="33.83203125" style="33" customWidth="1"/>
    <col min="4098" max="4098" width="8.5" style="33" customWidth="1"/>
    <col min="4099" max="4099" width="2.5" style="33" customWidth="1"/>
    <col min="4100" max="4100" width="8.33203125" style="33" customWidth="1"/>
    <col min="4101" max="4101" width="2.6640625" style="33" customWidth="1"/>
    <col min="4102" max="4102" width="8.5" style="33" customWidth="1"/>
    <col min="4103" max="4103" width="8.33203125" style="33" customWidth="1"/>
    <col min="4104" max="4104" width="2.6640625" style="33" customWidth="1"/>
    <col min="4105" max="4106" width="8.33203125" style="33" customWidth="1"/>
    <col min="4107" max="4107" width="2.6640625" style="33" customWidth="1"/>
    <col min="4108" max="4109" width="8.33203125" style="33" customWidth="1"/>
    <col min="4110" max="4110" width="2.6640625" style="33" customWidth="1"/>
    <col min="4111" max="4112" width="8.33203125" style="33" customWidth="1"/>
    <col min="4113" max="4113" width="2.6640625" style="33" customWidth="1"/>
    <col min="4114" max="4115" width="8.33203125" style="33" customWidth="1"/>
    <col min="4116" max="4116" width="2.6640625" style="33" customWidth="1"/>
    <col min="4117" max="4117" width="4.1640625" style="33" customWidth="1"/>
    <col min="4118" max="4352" width="8.83203125" style="33"/>
    <col min="4353" max="4353" width="33.83203125" style="33" customWidth="1"/>
    <col min="4354" max="4354" width="8.5" style="33" customWidth="1"/>
    <col min="4355" max="4355" width="2.5" style="33" customWidth="1"/>
    <col min="4356" max="4356" width="8.33203125" style="33" customWidth="1"/>
    <col min="4357" max="4357" width="2.6640625" style="33" customWidth="1"/>
    <col min="4358" max="4358" width="8.5" style="33" customWidth="1"/>
    <col min="4359" max="4359" width="8.33203125" style="33" customWidth="1"/>
    <col min="4360" max="4360" width="2.6640625" style="33" customWidth="1"/>
    <col min="4361" max="4362" width="8.33203125" style="33" customWidth="1"/>
    <col min="4363" max="4363" width="2.6640625" style="33" customWidth="1"/>
    <col min="4364" max="4365" width="8.33203125" style="33" customWidth="1"/>
    <col min="4366" max="4366" width="2.6640625" style="33" customWidth="1"/>
    <col min="4367" max="4368" width="8.33203125" style="33" customWidth="1"/>
    <col min="4369" max="4369" width="2.6640625" style="33" customWidth="1"/>
    <col min="4370" max="4371" width="8.33203125" style="33" customWidth="1"/>
    <col min="4372" max="4372" width="2.6640625" style="33" customWidth="1"/>
    <col min="4373" max="4373" width="4.1640625" style="33" customWidth="1"/>
    <col min="4374" max="4608" width="8.83203125" style="33"/>
    <col min="4609" max="4609" width="33.83203125" style="33" customWidth="1"/>
    <col min="4610" max="4610" width="8.5" style="33" customWidth="1"/>
    <col min="4611" max="4611" width="2.5" style="33" customWidth="1"/>
    <col min="4612" max="4612" width="8.33203125" style="33" customWidth="1"/>
    <col min="4613" max="4613" width="2.6640625" style="33" customWidth="1"/>
    <col min="4614" max="4614" width="8.5" style="33" customWidth="1"/>
    <col min="4615" max="4615" width="8.33203125" style="33" customWidth="1"/>
    <col min="4616" max="4616" width="2.6640625" style="33" customWidth="1"/>
    <col min="4617" max="4618" width="8.33203125" style="33" customWidth="1"/>
    <col min="4619" max="4619" width="2.6640625" style="33" customWidth="1"/>
    <col min="4620" max="4621" width="8.33203125" style="33" customWidth="1"/>
    <col min="4622" max="4622" width="2.6640625" style="33" customWidth="1"/>
    <col min="4623" max="4624" width="8.33203125" style="33" customWidth="1"/>
    <col min="4625" max="4625" width="2.6640625" style="33" customWidth="1"/>
    <col min="4626" max="4627" width="8.33203125" style="33" customWidth="1"/>
    <col min="4628" max="4628" width="2.6640625" style="33" customWidth="1"/>
    <col min="4629" max="4629" width="4.1640625" style="33" customWidth="1"/>
    <col min="4630" max="4864" width="8.83203125" style="33"/>
    <col min="4865" max="4865" width="33.83203125" style="33" customWidth="1"/>
    <col min="4866" max="4866" width="8.5" style="33" customWidth="1"/>
    <col min="4867" max="4867" width="2.5" style="33" customWidth="1"/>
    <col min="4868" max="4868" width="8.33203125" style="33" customWidth="1"/>
    <col min="4869" max="4869" width="2.6640625" style="33" customWidth="1"/>
    <col min="4870" max="4870" width="8.5" style="33" customWidth="1"/>
    <col min="4871" max="4871" width="8.33203125" style="33" customWidth="1"/>
    <col min="4872" max="4872" width="2.6640625" style="33" customWidth="1"/>
    <col min="4873" max="4874" width="8.33203125" style="33" customWidth="1"/>
    <col min="4875" max="4875" width="2.6640625" style="33" customWidth="1"/>
    <col min="4876" max="4877" width="8.33203125" style="33" customWidth="1"/>
    <col min="4878" max="4878" width="2.6640625" style="33" customWidth="1"/>
    <col min="4879" max="4880" width="8.33203125" style="33" customWidth="1"/>
    <col min="4881" max="4881" width="2.6640625" style="33" customWidth="1"/>
    <col min="4882" max="4883" width="8.33203125" style="33" customWidth="1"/>
    <col min="4884" max="4884" width="2.6640625" style="33" customWidth="1"/>
    <col min="4885" max="4885" width="4.1640625" style="33" customWidth="1"/>
    <col min="4886" max="5120" width="8.83203125" style="33"/>
    <col min="5121" max="5121" width="33.83203125" style="33" customWidth="1"/>
    <col min="5122" max="5122" width="8.5" style="33" customWidth="1"/>
    <col min="5123" max="5123" width="2.5" style="33" customWidth="1"/>
    <col min="5124" max="5124" width="8.33203125" style="33" customWidth="1"/>
    <col min="5125" max="5125" width="2.6640625" style="33" customWidth="1"/>
    <col min="5126" max="5126" width="8.5" style="33" customWidth="1"/>
    <col min="5127" max="5127" width="8.33203125" style="33" customWidth="1"/>
    <col min="5128" max="5128" width="2.6640625" style="33" customWidth="1"/>
    <col min="5129" max="5130" width="8.33203125" style="33" customWidth="1"/>
    <col min="5131" max="5131" width="2.6640625" style="33" customWidth="1"/>
    <col min="5132" max="5133" width="8.33203125" style="33" customWidth="1"/>
    <col min="5134" max="5134" width="2.6640625" style="33" customWidth="1"/>
    <col min="5135" max="5136" width="8.33203125" style="33" customWidth="1"/>
    <col min="5137" max="5137" width="2.6640625" style="33" customWidth="1"/>
    <col min="5138" max="5139" width="8.33203125" style="33" customWidth="1"/>
    <col min="5140" max="5140" width="2.6640625" style="33" customWidth="1"/>
    <col min="5141" max="5141" width="4.1640625" style="33" customWidth="1"/>
    <col min="5142" max="5376" width="8.83203125" style="33"/>
    <col min="5377" max="5377" width="33.83203125" style="33" customWidth="1"/>
    <col min="5378" max="5378" width="8.5" style="33" customWidth="1"/>
    <col min="5379" max="5379" width="2.5" style="33" customWidth="1"/>
    <col min="5380" max="5380" width="8.33203125" style="33" customWidth="1"/>
    <col min="5381" max="5381" width="2.6640625" style="33" customWidth="1"/>
    <col min="5382" max="5382" width="8.5" style="33" customWidth="1"/>
    <col min="5383" max="5383" width="8.33203125" style="33" customWidth="1"/>
    <col min="5384" max="5384" width="2.6640625" style="33" customWidth="1"/>
    <col min="5385" max="5386" width="8.33203125" style="33" customWidth="1"/>
    <col min="5387" max="5387" width="2.6640625" style="33" customWidth="1"/>
    <col min="5388" max="5389" width="8.33203125" style="33" customWidth="1"/>
    <col min="5390" max="5390" width="2.6640625" style="33" customWidth="1"/>
    <col min="5391" max="5392" width="8.33203125" style="33" customWidth="1"/>
    <col min="5393" max="5393" width="2.6640625" style="33" customWidth="1"/>
    <col min="5394" max="5395" width="8.33203125" style="33" customWidth="1"/>
    <col min="5396" max="5396" width="2.6640625" style="33" customWidth="1"/>
    <col min="5397" max="5397" width="4.1640625" style="33" customWidth="1"/>
    <col min="5398" max="5632" width="8.83203125" style="33"/>
    <col min="5633" max="5633" width="33.83203125" style="33" customWidth="1"/>
    <col min="5634" max="5634" width="8.5" style="33" customWidth="1"/>
    <col min="5635" max="5635" width="2.5" style="33" customWidth="1"/>
    <col min="5636" max="5636" width="8.33203125" style="33" customWidth="1"/>
    <col min="5637" max="5637" width="2.6640625" style="33" customWidth="1"/>
    <col min="5638" max="5638" width="8.5" style="33" customWidth="1"/>
    <col min="5639" max="5639" width="8.33203125" style="33" customWidth="1"/>
    <col min="5640" max="5640" width="2.6640625" style="33" customWidth="1"/>
    <col min="5641" max="5642" width="8.33203125" style="33" customWidth="1"/>
    <col min="5643" max="5643" width="2.6640625" style="33" customWidth="1"/>
    <col min="5644" max="5645" width="8.33203125" style="33" customWidth="1"/>
    <col min="5646" max="5646" width="2.6640625" style="33" customWidth="1"/>
    <col min="5647" max="5648" width="8.33203125" style="33" customWidth="1"/>
    <col min="5649" max="5649" width="2.6640625" style="33" customWidth="1"/>
    <col min="5650" max="5651" width="8.33203125" style="33" customWidth="1"/>
    <col min="5652" max="5652" width="2.6640625" style="33" customWidth="1"/>
    <col min="5653" max="5653" width="4.1640625" style="33" customWidth="1"/>
    <col min="5654" max="5888" width="8.83203125" style="33"/>
    <col min="5889" max="5889" width="33.83203125" style="33" customWidth="1"/>
    <col min="5890" max="5890" width="8.5" style="33" customWidth="1"/>
    <col min="5891" max="5891" width="2.5" style="33" customWidth="1"/>
    <col min="5892" max="5892" width="8.33203125" style="33" customWidth="1"/>
    <col min="5893" max="5893" width="2.6640625" style="33" customWidth="1"/>
    <col min="5894" max="5894" width="8.5" style="33" customWidth="1"/>
    <col min="5895" max="5895" width="8.33203125" style="33" customWidth="1"/>
    <col min="5896" max="5896" width="2.6640625" style="33" customWidth="1"/>
    <col min="5897" max="5898" width="8.33203125" style="33" customWidth="1"/>
    <col min="5899" max="5899" width="2.6640625" style="33" customWidth="1"/>
    <col min="5900" max="5901" width="8.33203125" style="33" customWidth="1"/>
    <col min="5902" max="5902" width="2.6640625" style="33" customWidth="1"/>
    <col min="5903" max="5904" width="8.33203125" style="33" customWidth="1"/>
    <col min="5905" max="5905" width="2.6640625" style="33" customWidth="1"/>
    <col min="5906" max="5907" width="8.33203125" style="33" customWidth="1"/>
    <col min="5908" max="5908" width="2.6640625" style="33" customWidth="1"/>
    <col min="5909" max="5909" width="4.1640625" style="33" customWidth="1"/>
    <col min="5910" max="6144" width="8.83203125" style="33"/>
    <col min="6145" max="6145" width="33.83203125" style="33" customWidth="1"/>
    <col min="6146" max="6146" width="8.5" style="33" customWidth="1"/>
    <col min="6147" max="6147" width="2.5" style="33" customWidth="1"/>
    <col min="6148" max="6148" width="8.33203125" style="33" customWidth="1"/>
    <col min="6149" max="6149" width="2.6640625" style="33" customWidth="1"/>
    <col min="6150" max="6150" width="8.5" style="33" customWidth="1"/>
    <col min="6151" max="6151" width="8.33203125" style="33" customWidth="1"/>
    <col min="6152" max="6152" width="2.6640625" style="33" customWidth="1"/>
    <col min="6153" max="6154" width="8.33203125" style="33" customWidth="1"/>
    <col min="6155" max="6155" width="2.6640625" style="33" customWidth="1"/>
    <col min="6156" max="6157" width="8.33203125" style="33" customWidth="1"/>
    <col min="6158" max="6158" width="2.6640625" style="33" customWidth="1"/>
    <col min="6159" max="6160" width="8.33203125" style="33" customWidth="1"/>
    <col min="6161" max="6161" width="2.6640625" style="33" customWidth="1"/>
    <col min="6162" max="6163" width="8.33203125" style="33" customWidth="1"/>
    <col min="6164" max="6164" width="2.6640625" style="33" customWidth="1"/>
    <col min="6165" max="6165" width="4.1640625" style="33" customWidth="1"/>
    <col min="6166" max="6400" width="8.83203125" style="33"/>
    <col min="6401" max="6401" width="33.83203125" style="33" customWidth="1"/>
    <col min="6402" max="6402" width="8.5" style="33" customWidth="1"/>
    <col min="6403" max="6403" width="2.5" style="33" customWidth="1"/>
    <col min="6404" max="6404" width="8.33203125" style="33" customWidth="1"/>
    <col min="6405" max="6405" width="2.6640625" style="33" customWidth="1"/>
    <col min="6406" max="6406" width="8.5" style="33" customWidth="1"/>
    <col min="6407" max="6407" width="8.33203125" style="33" customWidth="1"/>
    <col min="6408" max="6408" width="2.6640625" style="33" customWidth="1"/>
    <col min="6409" max="6410" width="8.33203125" style="33" customWidth="1"/>
    <col min="6411" max="6411" width="2.6640625" style="33" customWidth="1"/>
    <col min="6412" max="6413" width="8.33203125" style="33" customWidth="1"/>
    <col min="6414" max="6414" width="2.6640625" style="33" customWidth="1"/>
    <col min="6415" max="6416" width="8.33203125" style="33" customWidth="1"/>
    <col min="6417" max="6417" width="2.6640625" style="33" customWidth="1"/>
    <col min="6418" max="6419" width="8.33203125" style="33" customWidth="1"/>
    <col min="6420" max="6420" width="2.6640625" style="33" customWidth="1"/>
    <col min="6421" max="6421" width="4.1640625" style="33" customWidth="1"/>
    <col min="6422" max="6656" width="8.83203125" style="33"/>
    <col min="6657" max="6657" width="33.83203125" style="33" customWidth="1"/>
    <col min="6658" max="6658" width="8.5" style="33" customWidth="1"/>
    <col min="6659" max="6659" width="2.5" style="33" customWidth="1"/>
    <col min="6660" max="6660" width="8.33203125" style="33" customWidth="1"/>
    <col min="6661" max="6661" width="2.6640625" style="33" customWidth="1"/>
    <col min="6662" max="6662" width="8.5" style="33" customWidth="1"/>
    <col min="6663" max="6663" width="8.33203125" style="33" customWidth="1"/>
    <col min="6664" max="6664" width="2.6640625" style="33" customWidth="1"/>
    <col min="6665" max="6666" width="8.33203125" style="33" customWidth="1"/>
    <col min="6667" max="6667" width="2.6640625" style="33" customWidth="1"/>
    <col min="6668" max="6669" width="8.33203125" style="33" customWidth="1"/>
    <col min="6670" max="6670" width="2.6640625" style="33" customWidth="1"/>
    <col min="6671" max="6672" width="8.33203125" style="33" customWidth="1"/>
    <col min="6673" max="6673" width="2.6640625" style="33" customWidth="1"/>
    <col min="6674" max="6675" width="8.33203125" style="33" customWidth="1"/>
    <col min="6676" max="6676" width="2.6640625" style="33" customWidth="1"/>
    <col min="6677" max="6677" width="4.1640625" style="33" customWidth="1"/>
    <col min="6678" max="6912" width="8.83203125" style="33"/>
    <col min="6913" max="6913" width="33.83203125" style="33" customWidth="1"/>
    <col min="6914" max="6914" width="8.5" style="33" customWidth="1"/>
    <col min="6915" max="6915" width="2.5" style="33" customWidth="1"/>
    <col min="6916" max="6916" width="8.33203125" style="33" customWidth="1"/>
    <col min="6917" max="6917" width="2.6640625" style="33" customWidth="1"/>
    <col min="6918" max="6918" width="8.5" style="33" customWidth="1"/>
    <col min="6919" max="6919" width="8.33203125" style="33" customWidth="1"/>
    <col min="6920" max="6920" width="2.6640625" style="33" customWidth="1"/>
    <col min="6921" max="6922" width="8.33203125" style="33" customWidth="1"/>
    <col min="6923" max="6923" width="2.6640625" style="33" customWidth="1"/>
    <col min="6924" max="6925" width="8.33203125" style="33" customWidth="1"/>
    <col min="6926" max="6926" width="2.6640625" style="33" customWidth="1"/>
    <col min="6927" max="6928" width="8.33203125" style="33" customWidth="1"/>
    <col min="6929" max="6929" width="2.6640625" style="33" customWidth="1"/>
    <col min="6930" max="6931" width="8.33203125" style="33" customWidth="1"/>
    <col min="6932" max="6932" width="2.6640625" style="33" customWidth="1"/>
    <col min="6933" max="6933" width="4.1640625" style="33" customWidth="1"/>
    <col min="6934" max="7168" width="8.83203125" style="33"/>
    <col min="7169" max="7169" width="33.83203125" style="33" customWidth="1"/>
    <col min="7170" max="7170" width="8.5" style="33" customWidth="1"/>
    <col min="7171" max="7171" width="2.5" style="33" customWidth="1"/>
    <col min="7172" max="7172" width="8.33203125" style="33" customWidth="1"/>
    <col min="7173" max="7173" width="2.6640625" style="33" customWidth="1"/>
    <col min="7174" max="7174" width="8.5" style="33" customWidth="1"/>
    <col min="7175" max="7175" width="8.33203125" style="33" customWidth="1"/>
    <col min="7176" max="7176" width="2.6640625" style="33" customWidth="1"/>
    <col min="7177" max="7178" width="8.33203125" style="33" customWidth="1"/>
    <col min="7179" max="7179" width="2.6640625" style="33" customWidth="1"/>
    <col min="7180" max="7181" width="8.33203125" style="33" customWidth="1"/>
    <col min="7182" max="7182" width="2.6640625" style="33" customWidth="1"/>
    <col min="7183" max="7184" width="8.33203125" style="33" customWidth="1"/>
    <col min="7185" max="7185" width="2.6640625" style="33" customWidth="1"/>
    <col min="7186" max="7187" width="8.33203125" style="33" customWidth="1"/>
    <col min="7188" max="7188" width="2.6640625" style="33" customWidth="1"/>
    <col min="7189" max="7189" width="4.1640625" style="33" customWidth="1"/>
    <col min="7190" max="7424" width="8.83203125" style="33"/>
    <col min="7425" max="7425" width="33.83203125" style="33" customWidth="1"/>
    <col min="7426" max="7426" width="8.5" style="33" customWidth="1"/>
    <col min="7427" max="7427" width="2.5" style="33" customWidth="1"/>
    <col min="7428" max="7428" width="8.33203125" style="33" customWidth="1"/>
    <col min="7429" max="7429" width="2.6640625" style="33" customWidth="1"/>
    <col min="7430" max="7430" width="8.5" style="33" customWidth="1"/>
    <col min="7431" max="7431" width="8.33203125" style="33" customWidth="1"/>
    <col min="7432" max="7432" width="2.6640625" style="33" customWidth="1"/>
    <col min="7433" max="7434" width="8.33203125" style="33" customWidth="1"/>
    <col min="7435" max="7435" width="2.6640625" style="33" customWidth="1"/>
    <col min="7436" max="7437" width="8.33203125" style="33" customWidth="1"/>
    <col min="7438" max="7438" width="2.6640625" style="33" customWidth="1"/>
    <col min="7439" max="7440" width="8.33203125" style="33" customWidth="1"/>
    <col min="7441" max="7441" width="2.6640625" style="33" customWidth="1"/>
    <col min="7442" max="7443" width="8.33203125" style="33" customWidth="1"/>
    <col min="7444" max="7444" width="2.6640625" style="33" customWidth="1"/>
    <col min="7445" max="7445" width="4.1640625" style="33" customWidth="1"/>
    <col min="7446" max="7680" width="8.83203125" style="33"/>
    <col min="7681" max="7681" width="33.83203125" style="33" customWidth="1"/>
    <col min="7682" max="7682" width="8.5" style="33" customWidth="1"/>
    <col min="7683" max="7683" width="2.5" style="33" customWidth="1"/>
    <col min="7684" max="7684" width="8.33203125" style="33" customWidth="1"/>
    <col min="7685" max="7685" width="2.6640625" style="33" customWidth="1"/>
    <col min="7686" max="7686" width="8.5" style="33" customWidth="1"/>
    <col min="7687" max="7687" width="8.33203125" style="33" customWidth="1"/>
    <col min="7688" max="7688" width="2.6640625" style="33" customWidth="1"/>
    <col min="7689" max="7690" width="8.33203125" style="33" customWidth="1"/>
    <col min="7691" max="7691" width="2.6640625" style="33" customWidth="1"/>
    <col min="7692" max="7693" width="8.33203125" style="33" customWidth="1"/>
    <col min="7694" max="7694" width="2.6640625" style="33" customWidth="1"/>
    <col min="7695" max="7696" width="8.33203125" style="33" customWidth="1"/>
    <col min="7697" max="7697" width="2.6640625" style="33" customWidth="1"/>
    <col min="7698" max="7699" width="8.33203125" style="33" customWidth="1"/>
    <col min="7700" max="7700" width="2.6640625" style="33" customWidth="1"/>
    <col min="7701" max="7701" width="4.1640625" style="33" customWidth="1"/>
    <col min="7702" max="7936" width="8.83203125" style="33"/>
    <col min="7937" max="7937" width="33.83203125" style="33" customWidth="1"/>
    <col min="7938" max="7938" width="8.5" style="33" customWidth="1"/>
    <col min="7939" max="7939" width="2.5" style="33" customWidth="1"/>
    <col min="7940" max="7940" width="8.33203125" style="33" customWidth="1"/>
    <col min="7941" max="7941" width="2.6640625" style="33" customWidth="1"/>
    <col min="7942" max="7942" width="8.5" style="33" customWidth="1"/>
    <col min="7943" max="7943" width="8.33203125" style="33" customWidth="1"/>
    <col min="7944" max="7944" width="2.6640625" style="33" customWidth="1"/>
    <col min="7945" max="7946" width="8.33203125" style="33" customWidth="1"/>
    <col min="7947" max="7947" width="2.6640625" style="33" customWidth="1"/>
    <col min="7948" max="7949" width="8.33203125" style="33" customWidth="1"/>
    <col min="7950" max="7950" width="2.6640625" style="33" customWidth="1"/>
    <col min="7951" max="7952" width="8.33203125" style="33" customWidth="1"/>
    <col min="7953" max="7953" width="2.6640625" style="33" customWidth="1"/>
    <col min="7954" max="7955" width="8.33203125" style="33" customWidth="1"/>
    <col min="7956" max="7956" width="2.6640625" style="33" customWidth="1"/>
    <col min="7957" max="7957" width="4.1640625" style="33" customWidth="1"/>
    <col min="7958" max="8192" width="8.83203125" style="33"/>
    <col min="8193" max="8193" width="33.83203125" style="33" customWidth="1"/>
    <col min="8194" max="8194" width="8.5" style="33" customWidth="1"/>
    <col min="8195" max="8195" width="2.5" style="33" customWidth="1"/>
    <col min="8196" max="8196" width="8.33203125" style="33" customWidth="1"/>
    <col min="8197" max="8197" width="2.6640625" style="33" customWidth="1"/>
    <col min="8198" max="8198" width="8.5" style="33" customWidth="1"/>
    <col min="8199" max="8199" width="8.33203125" style="33" customWidth="1"/>
    <col min="8200" max="8200" width="2.6640625" style="33" customWidth="1"/>
    <col min="8201" max="8202" width="8.33203125" style="33" customWidth="1"/>
    <col min="8203" max="8203" width="2.6640625" style="33" customWidth="1"/>
    <col min="8204" max="8205" width="8.33203125" style="33" customWidth="1"/>
    <col min="8206" max="8206" width="2.6640625" style="33" customWidth="1"/>
    <col min="8207" max="8208" width="8.33203125" style="33" customWidth="1"/>
    <col min="8209" max="8209" width="2.6640625" style="33" customWidth="1"/>
    <col min="8210" max="8211" width="8.33203125" style="33" customWidth="1"/>
    <col min="8212" max="8212" width="2.6640625" style="33" customWidth="1"/>
    <col min="8213" max="8213" width="4.1640625" style="33" customWidth="1"/>
    <col min="8214" max="8448" width="8.83203125" style="33"/>
    <col min="8449" max="8449" width="33.83203125" style="33" customWidth="1"/>
    <col min="8450" max="8450" width="8.5" style="33" customWidth="1"/>
    <col min="8451" max="8451" width="2.5" style="33" customWidth="1"/>
    <col min="8452" max="8452" width="8.33203125" style="33" customWidth="1"/>
    <col min="8453" max="8453" width="2.6640625" style="33" customWidth="1"/>
    <col min="8454" max="8454" width="8.5" style="33" customWidth="1"/>
    <col min="8455" max="8455" width="8.33203125" style="33" customWidth="1"/>
    <col min="8456" max="8456" width="2.6640625" style="33" customWidth="1"/>
    <col min="8457" max="8458" width="8.33203125" style="33" customWidth="1"/>
    <col min="8459" max="8459" width="2.6640625" style="33" customWidth="1"/>
    <col min="8460" max="8461" width="8.33203125" style="33" customWidth="1"/>
    <col min="8462" max="8462" width="2.6640625" style="33" customWidth="1"/>
    <col min="8463" max="8464" width="8.33203125" style="33" customWidth="1"/>
    <col min="8465" max="8465" width="2.6640625" style="33" customWidth="1"/>
    <col min="8466" max="8467" width="8.33203125" style="33" customWidth="1"/>
    <col min="8468" max="8468" width="2.6640625" style="33" customWidth="1"/>
    <col min="8469" max="8469" width="4.1640625" style="33" customWidth="1"/>
    <col min="8470" max="8704" width="8.83203125" style="33"/>
    <col min="8705" max="8705" width="33.83203125" style="33" customWidth="1"/>
    <col min="8706" max="8706" width="8.5" style="33" customWidth="1"/>
    <col min="8707" max="8707" width="2.5" style="33" customWidth="1"/>
    <col min="8708" max="8708" width="8.33203125" style="33" customWidth="1"/>
    <col min="8709" max="8709" width="2.6640625" style="33" customWidth="1"/>
    <col min="8710" max="8710" width="8.5" style="33" customWidth="1"/>
    <col min="8711" max="8711" width="8.33203125" style="33" customWidth="1"/>
    <col min="8712" max="8712" width="2.6640625" style="33" customWidth="1"/>
    <col min="8713" max="8714" width="8.33203125" style="33" customWidth="1"/>
    <col min="8715" max="8715" width="2.6640625" style="33" customWidth="1"/>
    <col min="8716" max="8717" width="8.33203125" style="33" customWidth="1"/>
    <col min="8718" max="8718" width="2.6640625" style="33" customWidth="1"/>
    <col min="8719" max="8720" width="8.33203125" style="33" customWidth="1"/>
    <col min="8721" max="8721" width="2.6640625" style="33" customWidth="1"/>
    <col min="8722" max="8723" width="8.33203125" style="33" customWidth="1"/>
    <col min="8724" max="8724" width="2.6640625" style="33" customWidth="1"/>
    <col min="8725" max="8725" width="4.1640625" style="33" customWidth="1"/>
    <col min="8726" max="8960" width="8.83203125" style="33"/>
    <col min="8961" max="8961" width="33.83203125" style="33" customWidth="1"/>
    <col min="8962" max="8962" width="8.5" style="33" customWidth="1"/>
    <col min="8963" max="8963" width="2.5" style="33" customWidth="1"/>
    <col min="8964" max="8964" width="8.33203125" style="33" customWidth="1"/>
    <col min="8965" max="8965" width="2.6640625" style="33" customWidth="1"/>
    <col min="8966" max="8966" width="8.5" style="33" customWidth="1"/>
    <col min="8967" max="8967" width="8.33203125" style="33" customWidth="1"/>
    <col min="8968" max="8968" width="2.6640625" style="33" customWidth="1"/>
    <col min="8969" max="8970" width="8.33203125" style="33" customWidth="1"/>
    <col min="8971" max="8971" width="2.6640625" style="33" customWidth="1"/>
    <col min="8972" max="8973" width="8.33203125" style="33" customWidth="1"/>
    <col min="8974" max="8974" width="2.6640625" style="33" customWidth="1"/>
    <col min="8975" max="8976" width="8.33203125" style="33" customWidth="1"/>
    <col min="8977" max="8977" width="2.6640625" style="33" customWidth="1"/>
    <col min="8978" max="8979" width="8.33203125" style="33" customWidth="1"/>
    <col min="8980" max="8980" width="2.6640625" style="33" customWidth="1"/>
    <col min="8981" max="8981" width="4.1640625" style="33" customWidth="1"/>
    <col min="8982" max="9216" width="8.83203125" style="33"/>
    <col min="9217" max="9217" width="33.83203125" style="33" customWidth="1"/>
    <col min="9218" max="9218" width="8.5" style="33" customWidth="1"/>
    <col min="9219" max="9219" width="2.5" style="33" customWidth="1"/>
    <col min="9220" max="9220" width="8.33203125" style="33" customWidth="1"/>
    <col min="9221" max="9221" width="2.6640625" style="33" customWidth="1"/>
    <col min="9222" max="9222" width="8.5" style="33" customWidth="1"/>
    <col min="9223" max="9223" width="8.33203125" style="33" customWidth="1"/>
    <col min="9224" max="9224" width="2.6640625" style="33" customWidth="1"/>
    <col min="9225" max="9226" width="8.33203125" style="33" customWidth="1"/>
    <col min="9227" max="9227" width="2.6640625" style="33" customWidth="1"/>
    <col min="9228" max="9229" width="8.33203125" style="33" customWidth="1"/>
    <col min="9230" max="9230" width="2.6640625" style="33" customWidth="1"/>
    <col min="9231" max="9232" width="8.33203125" style="33" customWidth="1"/>
    <col min="9233" max="9233" width="2.6640625" style="33" customWidth="1"/>
    <col min="9234" max="9235" width="8.33203125" style="33" customWidth="1"/>
    <col min="9236" max="9236" width="2.6640625" style="33" customWidth="1"/>
    <col min="9237" max="9237" width="4.1640625" style="33" customWidth="1"/>
    <col min="9238" max="9472" width="8.83203125" style="33"/>
    <col min="9473" max="9473" width="33.83203125" style="33" customWidth="1"/>
    <col min="9474" max="9474" width="8.5" style="33" customWidth="1"/>
    <col min="9475" max="9475" width="2.5" style="33" customWidth="1"/>
    <col min="9476" max="9476" width="8.33203125" style="33" customWidth="1"/>
    <col min="9477" max="9477" width="2.6640625" style="33" customWidth="1"/>
    <col min="9478" max="9478" width="8.5" style="33" customWidth="1"/>
    <col min="9479" max="9479" width="8.33203125" style="33" customWidth="1"/>
    <col min="9480" max="9480" width="2.6640625" style="33" customWidth="1"/>
    <col min="9481" max="9482" width="8.33203125" style="33" customWidth="1"/>
    <col min="9483" max="9483" width="2.6640625" style="33" customWidth="1"/>
    <col min="9484" max="9485" width="8.33203125" style="33" customWidth="1"/>
    <col min="9486" max="9486" width="2.6640625" style="33" customWidth="1"/>
    <col min="9487" max="9488" width="8.33203125" style="33" customWidth="1"/>
    <col min="9489" max="9489" width="2.6640625" style="33" customWidth="1"/>
    <col min="9490" max="9491" width="8.33203125" style="33" customWidth="1"/>
    <col min="9492" max="9492" width="2.6640625" style="33" customWidth="1"/>
    <col min="9493" max="9493" width="4.1640625" style="33" customWidth="1"/>
    <col min="9494" max="9728" width="8.83203125" style="33"/>
    <col min="9729" max="9729" width="33.83203125" style="33" customWidth="1"/>
    <col min="9730" max="9730" width="8.5" style="33" customWidth="1"/>
    <col min="9731" max="9731" width="2.5" style="33" customWidth="1"/>
    <col min="9732" max="9732" width="8.33203125" style="33" customWidth="1"/>
    <col min="9733" max="9733" width="2.6640625" style="33" customWidth="1"/>
    <col min="9734" max="9734" width="8.5" style="33" customWidth="1"/>
    <col min="9735" max="9735" width="8.33203125" style="33" customWidth="1"/>
    <col min="9736" max="9736" width="2.6640625" style="33" customWidth="1"/>
    <col min="9737" max="9738" width="8.33203125" style="33" customWidth="1"/>
    <col min="9739" max="9739" width="2.6640625" style="33" customWidth="1"/>
    <col min="9740" max="9741" width="8.33203125" style="33" customWidth="1"/>
    <col min="9742" max="9742" width="2.6640625" style="33" customWidth="1"/>
    <col min="9743" max="9744" width="8.33203125" style="33" customWidth="1"/>
    <col min="9745" max="9745" width="2.6640625" style="33" customWidth="1"/>
    <col min="9746" max="9747" width="8.33203125" style="33" customWidth="1"/>
    <col min="9748" max="9748" width="2.6640625" style="33" customWidth="1"/>
    <col min="9749" max="9749" width="4.1640625" style="33" customWidth="1"/>
    <col min="9750" max="9984" width="8.83203125" style="33"/>
    <col min="9985" max="9985" width="33.83203125" style="33" customWidth="1"/>
    <col min="9986" max="9986" width="8.5" style="33" customWidth="1"/>
    <col min="9987" max="9987" width="2.5" style="33" customWidth="1"/>
    <col min="9988" max="9988" width="8.33203125" style="33" customWidth="1"/>
    <col min="9989" max="9989" width="2.6640625" style="33" customWidth="1"/>
    <col min="9990" max="9990" width="8.5" style="33" customWidth="1"/>
    <col min="9991" max="9991" width="8.33203125" style="33" customWidth="1"/>
    <col min="9992" max="9992" width="2.6640625" style="33" customWidth="1"/>
    <col min="9993" max="9994" width="8.33203125" style="33" customWidth="1"/>
    <col min="9995" max="9995" width="2.6640625" style="33" customWidth="1"/>
    <col min="9996" max="9997" width="8.33203125" style="33" customWidth="1"/>
    <col min="9998" max="9998" width="2.6640625" style="33" customWidth="1"/>
    <col min="9999" max="10000" width="8.33203125" style="33" customWidth="1"/>
    <col min="10001" max="10001" width="2.6640625" style="33" customWidth="1"/>
    <col min="10002" max="10003" width="8.33203125" style="33" customWidth="1"/>
    <col min="10004" max="10004" width="2.6640625" style="33" customWidth="1"/>
    <col min="10005" max="10005" width="4.1640625" style="33" customWidth="1"/>
    <col min="10006" max="10240" width="8.83203125" style="33"/>
    <col min="10241" max="10241" width="33.83203125" style="33" customWidth="1"/>
    <col min="10242" max="10242" width="8.5" style="33" customWidth="1"/>
    <col min="10243" max="10243" width="2.5" style="33" customWidth="1"/>
    <col min="10244" max="10244" width="8.33203125" style="33" customWidth="1"/>
    <col min="10245" max="10245" width="2.6640625" style="33" customWidth="1"/>
    <col min="10246" max="10246" width="8.5" style="33" customWidth="1"/>
    <col min="10247" max="10247" width="8.33203125" style="33" customWidth="1"/>
    <col min="10248" max="10248" width="2.6640625" style="33" customWidth="1"/>
    <col min="10249" max="10250" width="8.33203125" style="33" customWidth="1"/>
    <col min="10251" max="10251" width="2.6640625" style="33" customWidth="1"/>
    <col min="10252" max="10253" width="8.33203125" style="33" customWidth="1"/>
    <col min="10254" max="10254" width="2.6640625" style="33" customWidth="1"/>
    <col min="10255" max="10256" width="8.33203125" style="33" customWidth="1"/>
    <col min="10257" max="10257" width="2.6640625" style="33" customWidth="1"/>
    <col min="10258" max="10259" width="8.33203125" style="33" customWidth="1"/>
    <col min="10260" max="10260" width="2.6640625" style="33" customWidth="1"/>
    <col min="10261" max="10261" width="4.1640625" style="33" customWidth="1"/>
    <col min="10262" max="10496" width="8.83203125" style="33"/>
    <col min="10497" max="10497" width="33.83203125" style="33" customWidth="1"/>
    <col min="10498" max="10498" width="8.5" style="33" customWidth="1"/>
    <col min="10499" max="10499" width="2.5" style="33" customWidth="1"/>
    <col min="10500" max="10500" width="8.33203125" style="33" customWidth="1"/>
    <col min="10501" max="10501" width="2.6640625" style="33" customWidth="1"/>
    <col min="10502" max="10502" width="8.5" style="33" customWidth="1"/>
    <col min="10503" max="10503" width="8.33203125" style="33" customWidth="1"/>
    <col min="10504" max="10504" width="2.6640625" style="33" customWidth="1"/>
    <col min="10505" max="10506" width="8.33203125" style="33" customWidth="1"/>
    <col min="10507" max="10507" width="2.6640625" style="33" customWidth="1"/>
    <col min="10508" max="10509" width="8.33203125" style="33" customWidth="1"/>
    <col min="10510" max="10510" width="2.6640625" style="33" customWidth="1"/>
    <col min="10511" max="10512" width="8.33203125" style="33" customWidth="1"/>
    <col min="10513" max="10513" width="2.6640625" style="33" customWidth="1"/>
    <col min="10514" max="10515" width="8.33203125" style="33" customWidth="1"/>
    <col min="10516" max="10516" width="2.6640625" style="33" customWidth="1"/>
    <col min="10517" max="10517" width="4.1640625" style="33" customWidth="1"/>
    <col min="10518" max="10752" width="8.83203125" style="33"/>
    <col min="10753" max="10753" width="33.83203125" style="33" customWidth="1"/>
    <col min="10754" max="10754" width="8.5" style="33" customWidth="1"/>
    <col min="10755" max="10755" width="2.5" style="33" customWidth="1"/>
    <col min="10756" max="10756" width="8.33203125" style="33" customWidth="1"/>
    <col min="10757" max="10757" width="2.6640625" style="33" customWidth="1"/>
    <col min="10758" max="10758" width="8.5" style="33" customWidth="1"/>
    <col min="10759" max="10759" width="8.33203125" style="33" customWidth="1"/>
    <col min="10760" max="10760" width="2.6640625" style="33" customWidth="1"/>
    <col min="10761" max="10762" width="8.33203125" style="33" customWidth="1"/>
    <col min="10763" max="10763" width="2.6640625" style="33" customWidth="1"/>
    <col min="10764" max="10765" width="8.33203125" style="33" customWidth="1"/>
    <col min="10766" max="10766" width="2.6640625" style="33" customWidth="1"/>
    <col min="10767" max="10768" width="8.33203125" style="33" customWidth="1"/>
    <col min="10769" max="10769" width="2.6640625" style="33" customWidth="1"/>
    <col min="10770" max="10771" width="8.33203125" style="33" customWidth="1"/>
    <col min="10772" max="10772" width="2.6640625" style="33" customWidth="1"/>
    <col min="10773" max="10773" width="4.1640625" style="33" customWidth="1"/>
    <col min="10774" max="11008" width="8.83203125" style="33"/>
    <col min="11009" max="11009" width="33.83203125" style="33" customWidth="1"/>
    <col min="11010" max="11010" width="8.5" style="33" customWidth="1"/>
    <col min="11011" max="11011" width="2.5" style="33" customWidth="1"/>
    <col min="11012" max="11012" width="8.33203125" style="33" customWidth="1"/>
    <col min="11013" max="11013" width="2.6640625" style="33" customWidth="1"/>
    <col min="11014" max="11014" width="8.5" style="33" customWidth="1"/>
    <col min="11015" max="11015" width="8.33203125" style="33" customWidth="1"/>
    <col min="11016" max="11016" width="2.6640625" style="33" customWidth="1"/>
    <col min="11017" max="11018" width="8.33203125" style="33" customWidth="1"/>
    <col min="11019" max="11019" width="2.6640625" style="33" customWidth="1"/>
    <col min="11020" max="11021" width="8.33203125" style="33" customWidth="1"/>
    <col min="11022" max="11022" width="2.6640625" style="33" customWidth="1"/>
    <col min="11023" max="11024" width="8.33203125" style="33" customWidth="1"/>
    <col min="11025" max="11025" width="2.6640625" style="33" customWidth="1"/>
    <col min="11026" max="11027" width="8.33203125" style="33" customWidth="1"/>
    <col min="11028" max="11028" width="2.6640625" style="33" customWidth="1"/>
    <col min="11029" max="11029" width="4.1640625" style="33" customWidth="1"/>
    <col min="11030" max="11264" width="8.83203125" style="33"/>
    <col min="11265" max="11265" width="33.83203125" style="33" customWidth="1"/>
    <col min="11266" max="11266" width="8.5" style="33" customWidth="1"/>
    <col min="11267" max="11267" width="2.5" style="33" customWidth="1"/>
    <col min="11268" max="11268" width="8.33203125" style="33" customWidth="1"/>
    <col min="11269" max="11269" width="2.6640625" style="33" customWidth="1"/>
    <col min="11270" max="11270" width="8.5" style="33" customWidth="1"/>
    <col min="11271" max="11271" width="8.33203125" style="33" customWidth="1"/>
    <col min="11272" max="11272" width="2.6640625" style="33" customWidth="1"/>
    <col min="11273" max="11274" width="8.33203125" style="33" customWidth="1"/>
    <col min="11275" max="11275" width="2.6640625" style="33" customWidth="1"/>
    <col min="11276" max="11277" width="8.33203125" style="33" customWidth="1"/>
    <col min="11278" max="11278" width="2.6640625" style="33" customWidth="1"/>
    <col min="11279" max="11280" width="8.33203125" style="33" customWidth="1"/>
    <col min="11281" max="11281" width="2.6640625" style="33" customWidth="1"/>
    <col min="11282" max="11283" width="8.33203125" style="33" customWidth="1"/>
    <col min="11284" max="11284" width="2.6640625" style="33" customWidth="1"/>
    <col min="11285" max="11285" width="4.1640625" style="33" customWidth="1"/>
    <col min="11286" max="11520" width="8.83203125" style="33"/>
    <col min="11521" max="11521" width="33.83203125" style="33" customWidth="1"/>
    <col min="11522" max="11522" width="8.5" style="33" customWidth="1"/>
    <col min="11523" max="11523" width="2.5" style="33" customWidth="1"/>
    <col min="11524" max="11524" width="8.33203125" style="33" customWidth="1"/>
    <col min="11525" max="11525" width="2.6640625" style="33" customWidth="1"/>
    <col min="11526" max="11526" width="8.5" style="33" customWidth="1"/>
    <col min="11527" max="11527" width="8.33203125" style="33" customWidth="1"/>
    <col min="11528" max="11528" width="2.6640625" style="33" customWidth="1"/>
    <col min="11529" max="11530" width="8.33203125" style="33" customWidth="1"/>
    <col min="11531" max="11531" width="2.6640625" style="33" customWidth="1"/>
    <col min="11532" max="11533" width="8.33203125" style="33" customWidth="1"/>
    <col min="11534" max="11534" width="2.6640625" style="33" customWidth="1"/>
    <col min="11535" max="11536" width="8.33203125" style="33" customWidth="1"/>
    <col min="11537" max="11537" width="2.6640625" style="33" customWidth="1"/>
    <col min="11538" max="11539" width="8.33203125" style="33" customWidth="1"/>
    <col min="11540" max="11540" width="2.6640625" style="33" customWidth="1"/>
    <col min="11541" max="11541" width="4.1640625" style="33" customWidth="1"/>
    <col min="11542" max="11776" width="8.83203125" style="33"/>
    <col min="11777" max="11777" width="33.83203125" style="33" customWidth="1"/>
    <col min="11778" max="11778" width="8.5" style="33" customWidth="1"/>
    <col min="11779" max="11779" width="2.5" style="33" customWidth="1"/>
    <col min="11780" max="11780" width="8.33203125" style="33" customWidth="1"/>
    <col min="11781" max="11781" width="2.6640625" style="33" customWidth="1"/>
    <col min="11782" max="11782" width="8.5" style="33" customWidth="1"/>
    <col min="11783" max="11783" width="8.33203125" style="33" customWidth="1"/>
    <col min="11784" max="11784" width="2.6640625" style="33" customWidth="1"/>
    <col min="11785" max="11786" width="8.33203125" style="33" customWidth="1"/>
    <col min="11787" max="11787" width="2.6640625" style="33" customWidth="1"/>
    <col min="11788" max="11789" width="8.33203125" style="33" customWidth="1"/>
    <col min="11790" max="11790" width="2.6640625" style="33" customWidth="1"/>
    <col min="11791" max="11792" width="8.33203125" style="33" customWidth="1"/>
    <col min="11793" max="11793" width="2.6640625" style="33" customWidth="1"/>
    <col min="11794" max="11795" width="8.33203125" style="33" customWidth="1"/>
    <col min="11796" max="11796" width="2.6640625" style="33" customWidth="1"/>
    <col min="11797" max="11797" width="4.1640625" style="33" customWidth="1"/>
    <col min="11798" max="12032" width="8.83203125" style="33"/>
    <col min="12033" max="12033" width="33.83203125" style="33" customWidth="1"/>
    <col min="12034" max="12034" width="8.5" style="33" customWidth="1"/>
    <col min="12035" max="12035" width="2.5" style="33" customWidth="1"/>
    <col min="12036" max="12036" width="8.33203125" style="33" customWidth="1"/>
    <col min="12037" max="12037" width="2.6640625" style="33" customWidth="1"/>
    <col min="12038" max="12038" width="8.5" style="33" customWidth="1"/>
    <col min="12039" max="12039" width="8.33203125" style="33" customWidth="1"/>
    <col min="12040" max="12040" width="2.6640625" style="33" customWidth="1"/>
    <col min="12041" max="12042" width="8.33203125" style="33" customWidth="1"/>
    <col min="12043" max="12043" width="2.6640625" style="33" customWidth="1"/>
    <col min="12044" max="12045" width="8.33203125" style="33" customWidth="1"/>
    <col min="12046" max="12046" width="2.6640625" style="33" customWidth="1"/>
    <col min="12047" max="12048" width="8.33203125" style="33" customWidth="1"/>
    <col min="12049" max="12049" width="2.6640625" style="33" customWidth="1"/>
    <col min="12050" max="12051" width="8.33203125" style="33" customWidth="1"/>
    <col min="12052" max="12052" width="2.6640625" style="33" customWidth="1"/>
    <col min="12053" max="12053" width="4.1640625" style="33" customWidth="1"/>
    <col min="12054" max="12288" width="8.83203125" style="33"/>
    <col min="12289" max="12289" width="33.83203125" style="33" customWidth="1"/>
    <col min="12290" max="12290" width="8.5" style="33" customWidth="1"/>
    <col min="12291" max="12291" width="2.5" style="33" customWidth="1"/>
    <col min="12292" max="12292" width="8.33203125" style="33" customWidth="1"/>
    <col min="12293" max="12293" width="2.6640625" style="33" customWidth="1"/>
    <col min="12294" max="12294" width="8.5" style="33" customWidth="1"/>
    <col min="12295" max="12295" width="8.33203125" style="33" customWidth="1"/>
    <col min="12296" max="12296" width="2.6640625" style="33" customWidth="1"/>
    <col min="12297" max="12298" width="8.33203125" style="33" customWidth="1"/>
    <col min="12299" max="12299" width="2.6640625" style="33" customWidth="1"/>
    <col min="12300" max="12301" width="8.33203125" style="33" customWidth="1"/>
    <col min="12302" max="12302" width="2.6640625" style="33" customWidth="1"/>
    <col min="12303" max="12304" width="8.33203125" style="33" customWidth="1"/>
    <col min="12305" max="12305" width="2.6640625" style="33" customWidth="1"/>
    <col min="12306" max="12307" width="8.33203125" style="33" customWidth="1"/>
    <col min="12308" max="12308" width="2.6640625" style="33" customWidth="1"/>
    <col min="12309" max="12309" width="4.1640625" style="33" customWidth="1"/>
    <col min="12310" max="12544" width="8.83203125" style="33"/>
    <col min="12545" max="12545" width="33.83203125" style="33" customWidth="1"/>
    <col min="12546" max="12546" width="8.5" style="33" customWidth="1"/>
    <col min="12547" max="12547" width="2.5" style="33" customWidth="1"/>
    <col min="12548" max="12548" width="8.33203125" style="33" customWidth="1"/>
    <col min="12549" max="12549" width="2.6640625" style="33" customWidth="1"/>
    <col min="12550" max="12550" width="8.5" style="33" customWidth="1"/>
    <col min="12551" max="12551" width="8.33203125" style="33" customWidth="1"/>
    <col min="12552" max="12552" width="2.6640625" style="33" customWidth="1"/>
    <col min="12553" max="12554" width="8.33203125" style="33" customWidth="1"/>
    <col min="12555" max="12555" width="2.6640625" style="33" customWidth="1"/>
    <col min="12556" max="12557" width="8.33203125" style="33" customWidth="1"/>
    <col min="12558" max="12558" width="2.6640625" style="33" customWidth="1"/>
    <col min="12559" max="12560" width="8.33203125" style="33" customWidth="1"/>
    <col min="12561" max="12561" width="2.6640625" style="33" customWidth="1"/>
    <col min="12562" max="12563" width="8.33203125" style="33" customWidth="1"/>
    <col min="12564" max="12564" width="2.6640625" style="33" customWidth="1"/>
    <col min="12565" max="12565" width="4.1640625" style="33" customWidth="1"/>
    <col min="12566" max="12800" width="8.83203125" style="33"/>
    <col min="12801" max="12801" width="33.83203125" style="33" customWidth="1"/>
    <col min="12802" max="12802" width="8.5" style="33" customWidth="1"/>
    <col min="12803" max="12803" width="2.5" style="33" customWidth="1"/>
    <col min="12804" max="12804" width="8.33203125" style="33" customWidth="1"/>
    <col min="12805" max="12805" width="2.6640625" style="33" customWidth="1"/>
    <col min="12806" max="12806" width="8.5" style="33" customWidth="1"/>
    <col min="12807" max="12807" width="8.33203125" style="33" customWidth="1"/>
    <col min="12808" max="12808" width="2.6640625" style="33" customWidth="1"/>
    <col min="12809" max="12810" width="8.33203125" style="33" customWidth="1"/>
    <col min="12811" max="12811" width="2.6640625" style="33" customWidth="1"/>
    <col min="12812" max="12813" width="8.33203125" style="33" customWidth="1"/>
    <col min="12814" max="12814" width="2.6640625" style="33" customWidth="1"/>
    <col min="12815" max="12816" width="8.33203125" style="33" customWidth="1"/>
    <col min="12817" max="12817" width="2.6640625" style="33" customWidth="1"/>
    <col min="12818" max="12819" width="8.33203125" style="33" customWidth="1"/>
    <col min="12820" max="12820" width="2.6640625" style="33" customWidth="1"/>
    <col min="12821" max="12821" width="4.1640625" style="33" customWidth="1"/>
    <col min="12822" max="13056" width="8.83203125" style="33"/>
    <col min="13057" max="13057" width="33.83203125" style="33" customWidth="1"/>
    <col min="13058" max="13058" width="8.5" style="33" customWidth="1"/>
    <col min="13059" max="13059" width="2.5" style="33" customWidth="1"/>
    <col min="13060" max="13060" width="8.33203125" style="33" customWidth="1"/>
    <col min="13061" max="13061" width="2.6640625" style="33" customWidth="1"/>
    <col min="13062" max="13062" width="8.5" style="33" customWidth="1"/>
    <col min="13063" max="13063" width="8.33203125" style="33" customWidth="1"/>
    <col min="13064" max="13064" width="2.6640625" style="33" customWidth="1"/>
    <col min="13065" max="13066" width="8.33203125" style="33" customWidth="1"/>
    <col min="13067" max="13067" width="2.6640625" style="33" customWidth="1"/>
    <col min="13068" max="13069" width="8.33203125" style="33" customWidth="1"/>
    <col min="13070" max="13070" width="2.6640625" style="33" customWidth="1"/>
    <col min="13071" max="13072" width="8.33203125" style="33" customWidth="1"/>
    <col min="13073" max="13073" width="2.6640625" style="33" customWidth="1"/>
    <col min="13074" max="13075" width="8.33203125" style="33" customWidth="1"/>
    <col min="13076" max="13076" width="2.6640625" style="33" customWidth="1"/>
    <col min="13077" max="13077" width="4.1640625" style="33" customWidth="1"/>
    <col min="13078" max="13312" width="8.83203125" style="33"/>
    <col min="13313" max="13313" width="33.83203125" style="33" customWidth="1"/>
    <col min="13314" max="13314" width="8.5" style="33" customWidth="1"/>
    <col min="13315" max="13315" width="2.5" style="33" customWidth="1"/>
    <col min="13316" max="13316" width="8.33203125" style="33" customWidth="1"/>
    <col min="13317" max="13317" width="2.6640625" style="33" customWidth="1"/>
    <col min="13318" max="13318" width="8.5" style="33" customWidth="1"/>
    <col min="13319" max="13319" width="8.33203125" style="33" customWidth="1"/>
    <col min="13320" max="13320" width="2.6640625" style="33" customWidth="1"/>
    <col min="13321" max="13322" width="8.33203125" style="33" customWidth="1"/>
    <col min="13323" max="13323" width="2.6640625" style="33" customWidth="1"/>
    <col min="13324" max="13325" width="8.33203125" style="33" customWidth="1"/>
    <col min="13326" max="13326" width="2.6640625" style="33" customWidth="1"/>
    <col min="13327" max="13328" width="8.33203125" style="33" customWidth="1"/>
    <col min="13329" max="13329" width="2.6640625" style="33" customWidth="1"/>
    <col min="13330" max="13331" width="8.33203125" style="33" customWidth="1"/>
    <col min="13332" max="13332" width="2.6640625" style="33" customWidth="1"/>
    <col min="13333" max="13333" width="4.1640625" style="33" customWidth="1"/>
    <col min="13334" max="13568" width="8.83203125" style="33"/>
    <col min="13569" max="13569" width="33.83203125" style="33" customWidth="1"/>
    <col min="13570" max="13570" width="8.5" style="33" customWidth="1"/>
    <col min="13571" max="13571" width="2.5" style="33" customWidth="1"/>
    <col min="13572" max="13572" width="8.33203125" style="33" customWidth="1"/>
    <col min="13573" max="13573" width="2.6640625" style="33" customWidth="1"/>
    <col min="13574" max="13574" width="8.5" style="33" customWidth="1"/>
    <col min="13575" max="13575" width="8.33203125" style="33" customWidth="1"/>
    <col min="13576" max="13576" width="2.6640625" style="33" customWidth="1"/>
    <col min="13577" max="13578" width="8.33203125" style="33" customWidth="1"/>
    <col min="13579" max="13579" width="2.6640625" style="33" customWidth="1"/>
    <col min="13580" max="13581" width="8.33203125" style="33" customWidth="1"/>
    <col min="13582" max="13582" width="2.6640625" style="33" customWidth="1"/>
    <col min="13583" max="13584" width="8.33203125" style="33" customWidth="1"/>
    <col min="13585" max="13585" width="2.6640625" style="33" customWidth="1"/>
    <col min="13586" max="13587" width="8.33203125" style="33" customWidth="1"/>
    <col min="13588" max="13588" width="2.6640625" style="33" customWidth="1"/>
    <col min="13589" max="13589" width="4.1640625" style="33" customWidth="1"/>
    <col min="13590" max="13824" width="8.83203125" style="33"/>
    <col min="13825" max="13825" width="33.83203125" style="33" customWidth="1"/>
    <col min="13826" max="13826" width="8.5" style="33" customWidth="1"/>
    <col min="13827" max="13827" width="2.5" style="33" customWidth="1"/>
    <col min="13828" max="13828" width="8.33203125" style="33" customWidth="1"/>
    <col min="13829" max="13829" width="2.6640625" style="33" customWidth="1"/>
    <col min="13830" max="13830" width="8.5" style="33" customWidth="1"/>
    <col min="13831" max="13831" width="8.33203125" style="33" customWidth="1"/>
    <col min="13832" max="13832" width="2.6640625" style="33" customWidth="1"/>
    <col min="13833" max="13834" width="8.33203125" style="33" customWidth="1"/>
    <col min="13835" max="13835" width="2.6640625" style="33" customWidth="1"/>
    <col min="13836" max="13837" width="8.33203125" style="33" customWidth="1"/>
    <col min="13838" max="13838" width="2.6640625" style="33" customWidth="1"/>
    <col min="13839" max="13840" width="8.33203125" style="33" customWidth="1"/>
    <col min="13841" max="13841" width="2.6640625" style="33" customWidth="1"/>
    <col min="13842" max="13843" width="8.33203125" style="33" customWidth="1"/>
    <col min="13844" max="13844" width="2.6640625" style="33" customWidth="1"/>
    <col min="13845" max="13845" width="4.1640625" style="33" customWidth="1"/>
    <col min="13846" max="14080" width="8.83203125" style="33"/>
    <col min="14081" max="14081" width="33.83203125" style="33" customWidth="1"/>
    <col min="14082" max="14082" width="8.5" style="33" customWidth="1"/>
    <col min="14083" max="14083" width="2.5" style="33" customWidth="1"/>
    <col min="14084" max="14084" width="8.33203125" style="33" customWidth="1"/>
    <col min="14085" max="14085" width="2.6640625" style="33" customWidth="1"/>
    <col min="14086" max="14086" width="8.5" style="33" customWidth="1"/>
    <col min="14087" max="14087" width="8.33203125" style="33" customWidth="1"/>
    <col min="14088" max="14088" width="2.6640625" style="33" customWidth="1"/>
    <col min="14089" max="14090" width="8.33203125" style="33" customWidth="1"/>
    <col min="14091" max="14091" width="2.6640625" style="33" customWidth="1"/>
    <col min="14092" max="14093" width="8.33203125" style="33" customWidth="1"/>
    <col min="14094" max="14094" width="2.6640625" style="33" customWidth="1"/>
    <col min="14095" max="14096" width="8.33203125" style="33" customWidth="1"/>
    <col min="14097" max="14097" width="2.6640625" style="33" customWidth="1"/>
    <col min="14098" max="14099" width="8.33203125" style="33" customWidth="1"/>
    <col min="14100" max="14100" width="2.6640625" style="33" customWidth="1"/>
    <col min="14101" max="14101" width="4.1640625" style="33" customWidth="1"/>
    <col min="14102" max="14336" width="8.83203125" style="33"/>
    <col min="14337" max="14337" width="33.83203125" style="33" customWidth="1"/>
    <col min="14338" max="14338" width="8.5" style="33" customWidth="1"/>
    <col min="14339" max="14339" width="2.5" style="33" customWidth="1"/>
    <col min="14340" max="14340" width="8.33203125" style="33" customWidth="1"/>
    <col min="14341" max="14341" width="2.6640625" style="33" customWidth="1"/>
    <col min="14342" max="14342" width="8.5" style="33" customWidth="1"/>
    <col min="14343" max="14343" width="8.33203125" style="33" customWidth="1"/>
    <col min="14344" max="14344" width="2.6640625" style="33" customWidth="1"/>
    <col min="14345" max="14346" width="8.33203125" style="33" customWidth="1"/>
    <col min="14347" max="14347" width="2.6640625" style="33" customWidth="1"/>
    <col min="14348" max="14349" width="8.33203125" style="33" customWidth="1"/>
    <col min="14350" max="14350" width="2.6640625" style="33" customWidth="1"/>
    <col min="14351" max="14352" width="8.33203125" style="33" customWidth="1"/>
    <col min="14353" max="14353" width="2.6640625" style="33" customWidth="1"/>
    <col min="14354" max="14355" width="8.33203125" style="33" customWidth="1"/>
    <col min="14356" max="14356" width="2.6640625" style="33" customWidth="1"/>
    <col min="14357" max="14357" width="4.1640625" style="33" customWidth="1"/>
    <col min="14358" max="14592" width="8.83203125" style="33"/>
    <col min="14593" max="14593" width="33.83203125" style="33" customWidth="1"/>
    <col min="14594" max="14594" width="8.5" style="33" customWidth="1"/>
    <col min="14595" max="14595" width="2.5" style="33" customWidth="1"/>
    <col min="14596" max="14596" width="8.33203125" style="33" customWidth="1"/>
    <col min="14597" max="14597" width="2.6640625" style="33" customWidth="1"/>
    <col min="14598" max="14598" width="8.5" style="33" customWidth="1"/>
    <col min="14599" max="14599" width="8.33203125" style="33" customWidth="1"/>
    <col min="14600" max="14600" width="2.6640625" style="33" customWidth="1"/>
    <col min="14601" max="14602" width="8.33203125" style="33" customWidth="1"/>
    <col min="14603" max="14603" width="2.6640625" style="33" customWidth="1"/>
    <col min="14604" max="14605" width="8.33203125" style="33" customWidth="1"/>
    <col min="14606" max="14606" width="2.6640625" style="33" customWidth="1"/>
    <col min="14607" max="14608" width="8.33203125" style="33" customWidth="1"/>
    <col min="14609" max="14609" width="2.6640625" style="33" customWidth="1"/>
    <col min="14610" max="14611" width="8.33203125" style="33" customWidth="1"/>
    <col min="14612" max="14612" width="2.6640625" style="33" customWidth="1"/>
    <col min="14613" max="14613" width="4.1640625" style="33" customWidth="1"/>
    <col min="14614" max="14848" width="8.83203125" style="33"/>
    <col min="14849" max="14849" width="33.83203125" style="33" customWidth="1"/>
    <col min="14850" max="14850" width="8.5" style="33" customWidth="1"/>
    <col min="14851" max="14851" width="2.5" style="33" customWidth="1"/>
    <col min="14852" max="14852" width="8.33203125" style="33" customWidth="1"/>
    <col min="14853" max="14853" width="2.6640625" style="33" customWidth="1"/>
    <col min="14854" max="14854" width="8.5" style="33" customWidth="1"/>
    <col min="14855" max="14855" width="8.33203125" style="33" customWidth="1"/>
    <col min="14856" max="14856" width="2.6640625" style="33" customWidth="1"/>
    <col min="14857" max="14858" width="8.33203125" style="33" customWidth="1"/>
    <col min="14859" max="14859" width="2.6640625" style="33" customWidth="1"/>
    <col min="14860" max="14861" width="8.33203125" style="33" customWidth="1"/>
    <col min="14862" max="14862" width="2.6640625" style="33" customWidth="1"/>
    <col min="14863" max="14864" width="8.33203125" style="33" customWidth="1"/>
    <col min="14865" max="14865" width="2.6640625" style="33" customWidth="1"/>
    <col min="14866" max="14867" width="8.33203125" style="33" customWidth="1"/>
    <col min="14868" max="14868" width="2.6640625" style="33" customWidth="1"/>
    <col min="14869" max="14869" width="4.1640625" style="33" customWidth="1"/>
    <col min="14870" max="15104" width="8.83203125" style="33"/>
    <col min="15105" max="15105" width="33.83203125" style="33" customWidth="1"/>
    <col min="15106" max="15106" width="8.5" style="33" customWidth="1"/>
    <col min="15107" max="15107" width="2.5" style="33" customWidth="1"/>
    <col min="15108" max="15108" width="8.33203125" style="33" customWidth="1"/>
    <col min="15109" max="15109" width="2.6640625" style="33" customWidth="1"/>
    <col min="15110" max="15110" width="8.5" style="33" customWidth="1"/>
    <col min="15111" max="15111" width="8.33203125" style="33" customWidth="1"/>
    <col min="15112" max="15112" width="2.6640625" style="33" customWidth="1"/>
    <col min="15113" max="15114" width="8.33203125" style="33" customWidth="1"/>
    <col min="15115" max="15115" width="2.6640625" style="33" customWidth="1"/>
    <col min="15116" max="15117" width="8.33203125" style="33" customWidth="1"/>
    <col min="15118" max="15118" width="2.6640625" style="33" customWidth="1"/>
    <col min="15119" max="15120" width="8.33203125" style="33" customWidth="1"/>
    <col min="15121" max="15121" width="2.6640625" style="33" customWidth="1"/>
    <col min="15122" max="15123" width="8.33203125" style="33" customWidth="1"/>
    <col min="15124" max="15124" width="2.6640625" style="33" customWidth="1"/>
    <col min="15125" max="15125" width="4.1640625" style="33" customWidth="1"/>
    <col min="15126" max="15360" width="8.83203125" style="33"/>
    <col min="15361" max="15361" width="33.83203125" style="33" customWidth="1"/>
    <col min="15362" max="15362" width="8.5" style="33" customWidth="1"/>
    <col min="15363" max="15363" width="2.5" style="33" customWidth="1"/>
    <col min="15364" max="15364" width="8.33203125" style="33" customWidth="1"/>
    <col min="15365" max="15365" width="2.6640625" style="33" customWidth="1"/>
    <col min="15366" max="15366" width="8.5" style="33" customWidth="1"/>
    <col min="15367" max="15367" width="8.33203125" style="33" customWidth="1"/>
    <col min="15368" max="15368" width="2.6640625" style="33" customWidth="1"/>
    <col min="15369" max="15370" width="8.33203125" style="33" customWidth="1"/>
    <col min="15371" max="15371" width="2.6640625" style="33" customWidth="1"/>
    <col min="15372" max="15373" width="8.33203125" style="33" customWidth="1"/>
    <col min="15374" max="15374" width="2.6640625" style="33" customWidth="1"/>
    <col min="15375" max="15376" width="8.33203125" style="33" customWidth="1"/>
    <col min="15377" max="15377" width="2.6640625" style="33" customWidth="1"/>
    <col min="15378" max="15379" width="8.33203125" style="33" customWidth="1"/>
    <col min="15380" max="15380" width="2.6640625" style="33" customWidth="1"/>
    <col min="15381" max="15381" width="4.1640625" style="33" customWidth="1"/>
    <col min="15382" max="15616" width="8.83203125" style="33"/>
    <col min="15617" max="15617" width="33.83203125" style="33" customWidth="1"/>
    <col min="15618" max="15618" width="8.5" style="33" customWidth="1"/>
    <col min="15619" max="15619" width="2.5" style="33" customWidth="1"/>
    <col min="15620" max="15620" width="8.33203125" style="33" customWidth="1"/>
    <col min="15621" max="15621" width="2.6640625" style="33" customWidth="1"/>
    <col min="15622" max="15622" width="8.5" style="33" customWidth="1"/>
    <col min="15623" max="15623" width="8.33203125" style="33" customWidth="1"/>
    <col min="15624" max="15624" width="2.6640625" style="33" customWidth="1"/>
    <col min="15625" max="15626" width="8.33203125" style="33" customWidth="1"/>
    <col min="15627" max="15627" width="2.6640625" style="33" customWidth="1"/>
    <col min="15628" max="15629" width="8.33203125" style="33" customWidth="1"/>
    <col min="15630" max="15630" width="2.6640625" style="33" customWidth="1"/>
    <col min="15631" max="15632" width="8.33203125" style="33" customWidth="1"/>
    <col min="15633" max="15633" width="2.6640625" style="33" customWidth="1"/>
    <col min="15634" max="15635" width="8.33203125" style="33" customWidth="1"/>
    <col min="15636" max="15636" width="2.6640625" style="33" customWidth="1"/>
    <col min="15637" max="15637" width="4.1640625" style="33" customWidth="1"/>
    <col min="15638" max="15872" width="8.83203125" style="33"/>
    <col min="15873" max="15873" width="33.83203125" style="33" customWidth="1"/>
    <col min="15874" max="15874" width="8.5" style="33" customWidth="1"/>
    <col min="15875" max="15875" width="2.5" style="33" customWidth="1"/>
    <col min="15876" max="15876" width="8.33203125" style="33" customWidth="1"/>
    <col min="15877" max="15877" width="2.6640625" style="33" customWidth="1"/>
    <col min="15878" max="15878" width="8.5" style="33" customWidth="1"/>
    <col min="15879" max="15879" width="8.33203125" style="33" customWidth="1"/>
    <col min="15880" max="15880" width="2.6640625" style="33" customWidth="1"/>
    <col min="15881" max="15882" width="8.33203125" style="33" customWidth="1"/>
    <col min="15883" max="15883" width="2.6640625" style="33" customWidth="1"/>
    <col min="15884" max="15885" width="8.33203125" style="33" customWidth="1"/>
    <col min="15886" max="15886" width="2.6640625" style="33" customWidth="1"/>
    <col min="15887" max="15888" width="8.33203125" style="33" customWidth="1"/>
    <col min="15889" max="15889" width="2.6640625" style="33" customWidth="1"/>
    <col min="15890" max="15891" width="8.33203125" style="33" customWidth="1"/>
    <col min="15892" max="15892" width="2.6640625" style="33" customWidth="1"/>
    <col min="15893" max="15893" width="4.1640625" style="33" customWidth="1"/>
    <col min="15894" max="16128" width="8.83203125" style="33"/>
    <col min="16129" max="16129" width="33.83203125" style="33" customWidth="1"/>
    <col min="16130" max="16130" width="8.5" style="33" customWidth="1"/>
    <col min="16131" max="16131" width="2.5" style="33" customWidth="1"/>
    <col min="16132" max="16132" width="8.33203125" style="33" customWidth="1"/>
    <col min="16133" max="16133" width="2.6640625" style="33" customWidth="1"/>
    <col min="16134" max="16134" width="8.5" style="33" customWidth="1"/>
    <col min="16135" max="16135" width="8.33203125" style="33" customWidth="1"/>
    <col min="16136" max="16136" width="2.6640625" style="33" customWidth="1"/>
    <col min="16137" max="16138" width="8.33203125" style="33" customWidth="1"/>
    <col min="16139" max="16139" width="2.6640625" style="33" customWidth="1"/>
    <col min="16140" max="16141" width="8.33203125" style="33" customWidth="1"/>
    <col min="16142" max="16142" width="2.6640625" style="33" customWidth="1"/>
    <col min="16143" max="16144" width="8.33203125" style="33" customWidth="1"/>
    <col min="16145" max="16145" width="2.6640625" style="33" customWidth="1"/>
    <col min="16146" max="16147" width="8.33203125" style="33" customWidth="1"/>
    <col min="16148" max="16148" width="2.6640625" style="33" customWidth="1"/>
    <col min="16149" max="16149" width="4.1640625" style="33" customWidth="1"/>
    <col min="16150" max="16384" width="8.83203125" style="33"/>
  </cols>
  <sheetData>
    <row r="1" spans="1:21">
      <c r="A1" s="33" t="s">
        <v>388</v>
      </c>
      <c r="B1" s="306"/>
      <c r="C1" s="307"/>
      <c r="D1" s="308"/>
      <c r="E1" s="55"/>
      <c r="F1" s="309"/>
      <c r="G1" s="310"/>
      <c r="H1" s="55"/>
      <c r="I1" s="309"/>
      <c r="J1" s="310"/>
      <c r="K1" s="55"/>
      <c r="L1" s="309"/>
      <c r="M1" s="310"/>
      <c r="N1" s="55"/>
      <c r="O1" s="309"/>
      <c r="P1" s="310"/>
      <c r="Q1" s="55"/>
      <c r="R1" s="309"/>
      <c r="S1" s="310"/>
      <c r="T1" s="55"/>
      <c r="U1" s="55"/>
    </row>
    <row r="2" spans="1:21">
      <c r="A2" s="33" t="s">
        <v>389</v>
      </c>
      <c r="B2" s="306"/>
      <c r="C2" s="307"/>
      <c r="D2" s="308"/>
      <c r="E2" s="55"/>
      <c r="F2" s="309"/>
      <c r="G2" s="310"/>
      <c r="H2" s="55"/>
      <c r="I2" s="309"/>
      <c r="J2" s="310"/>
      <c r="K2" s="55"/>
      <c r="L2" s="309"/>
      <c r="M2" s="310"/>
      <c r="N2" s="55"/>
      <c r="O2" s="309"/>
      <c r="P2" s="310"/>
      <c r="Q2" s="55"/>
      <c r="R2" s="309"/>
      <c r="S2" s="310"/>
      <c r="T2" s="55"/>
      <c r="U2" s="55"/>
    </row>
    <row r="3" spans="1:21" ht="7" customHeight="1">
      <c r="B3" s="306"/>
      <c r="C3" s="307"/>
      <c r="D3" s="308"/>
      <c r="E3" s="55"/>
      <c r="F3" s="309"/>
      <c r="G3" s="310"/>
      <c r="H3" s="55"/>
      <c r="I3" s="309"/>
      <c r="J3" s="310"/>
      <c r="K3" s="55"/>
      <c r="L3" s="309"/>
      <c r="M3" s="310"/>
      <c r="N3" s="55"/>
      <c r="O3" s="309"/>
      <c r="P3" s="310"/>
      <c r="Q3" s="55"/>
      <c r="R3" s="309"/>
      <c r="S3" s="310"/>
      <c r="T3" s="55"/>
      <c r="U3" s="55"/>
    </row>
    <row r="4" spans="1:21">
      <c r="A4" s="14" t="s">
        <v>2231</v>
      </c>
      <c r="B4" s="306"/>
      <c r="C4" s="307"/>
      <c r="D4" s="308"/>
      <c r="E4" s="55"/>
      <c r="F4" s="309"/>
      <c r="G4" s="310"/>
      <c r="H4" s="55"/>
      <c r="I4" s="309"/>
      <c r="J4" s="310"/>
      <c r="K4" s="55"/>
      <c r="L4" s="309"/>
      <c r="M4" s="310"/>
      <c r="N4" s="55"/>
      <c r="O4" s="309"/>
      <c r="P4" s="310"/>
      <c r="Q4" s="55"/>
      <c r="R4" s="309"/>
      <c r="S4" s="310"/>
      <c r="T4" s="55"/>
      <c r="U4" s="55"/>
    </row>
    <row r="5" spans="1:21" ht="10.5" customHeight="1" thickBot="1">
      <c r="B5" s="306"/>
      <c r="C5" s="307"/>
      <c r="D5" s="308"/>
      <c r="E5" s="55"/>
      <c r="F5" s="309"/>
      <c r="G5" s="310"/>
      <c r="H5" s="55"/>
      <c r="I5" s="309"/>
      <c r="J5" s="310"/>
      <c r="K5" s="55"/>
      <c r="L5" s="309"/>
      <c r="M5" s="310"/>
      <c r="N5" s="55"/>
      <c r="O5" s="309"/>
      <c r="P5" s="310"/>
      <c r="Q5" s="55"/>
      <c r="R5" s="309"/>
      <c r="S5" s="310"/>
      <c r="T5" s="308"/>
      <c r="U5" s="55"/>
    </row>
    <row r="6" spans="1:21" ht="7" customHeight="1">
      <c r="A6" s="188"/>
      <c r="B6" s="311"/>
      <c r="C6" s="65"/>
      <c r="D6" s="66"/>
      <c r="E6" s="67"/>
      <c r="F6" s="312"/>
      <c r="G6" s="313"/>
      <c r="H6" s="67"/>
      <c r="I6" s="312"/>
      <c r="J6" s="313"/>
      <c r="K6" s="67"/>
      <c r="L6" s="312"/>
      <c r="M6" s="313"/>
      <c r="N6" s="67"/>
      <c r="O6" s="312"/>
      <c r="P6" s="313"/>
      <c r="Q6" s="67"/>
      <c r="R6" s="312"/>
      <c r="S6" s="313"/>
      <c r="T6" s="66"/>
      <c r="U6" s="55"/>
    </row>
    <row r="7" spans="1:21" ht="15">
      <c r="A7" s="57" t="s">
        <v>995</v>
      </c>
      <c r="B7" s="314"/>
      <c r="C7" s="315"/>
      <c r="D7" s="74"/>
      <c r="E7" s="68"/>
      <c r="F7" s="316"/>
      <c r="G7" s="76"/>
      <c r="H7" s="57"/>
      <c r="I7" s="316" t="s">
        <v>996</v>
      </c>
      <c r="J7" s="76"/>
      <c r="K7" s="57"/>
      <c r="L7" s="316" t="s">
        <v>997</v>
      </c>
      <c r="M7" s="76"/>
      <c r="N7" s="57"/>
      <c r="O7" s="316" t="s">
        <v>998</v>
      </c>
      <c r="P7" s="76"/>
      <c r="Q7" s="57"/>
      <c r="R7" s="316"/>
      <c r="S7" s="317"/>
      <c r="T7" s="59"/>
      <c r="U7" s="203"/>
    </row>
    <row r="8" spans="1:21" ht="15">
      <c r="A8" s="57" t="s">
        <v>1009</v>
      </c>
      <c r="B8" s="318" t="s">
        <v>1019</v>
      </c>
      <c r="C8" s="319"/>
      <c r="D8" s="320"/>
      <c r="E8" s="71"/>
      <c r="F8" s="321" t="s">
        <v>1001</v>
      </c>
      <c r="G8" s="322"/>
      <c r="H8" s="57"/>
      <c r="I8" s="321" t="s">
        <v>1002</v>
      </c>
      <c r="J8" s="322"/>
      <c r="K8" s="57"/>
      <c r="L8" s="321" t="s">
        <v>1003</v>
      </c>
      <c r="M8" s="322"/>
      <c r="N8" s="57"/>
      <c r="O8" s="321" t="s">
        <v>1004</v>
      </c>
      <c r="P8" s="322"/>
      <c r="Q8" s="57"/>
      <c r="R8" s="321" t="s">
        <v>1005</v>
      </c>
      <c r="S8" s="317"/>
      <c r="T8" s="203"/>
      <c r="U8" s="203"/>
    </row>
    <row r="9" spans="1:21" ht="15">
      <c r="A9" s="57" t="s">
        <v>1020</v>
      </c>
      <c r="B9" s="323" t="s">
        <v>400</v>
      </c>
      <c r="C9" s="324"/>
      <c r="D9" s="325" t="s">
        <v>401</v>
      </c>
      <c r="E9" s="71"/>
      <c r="F9" s="316" t="s">
        <v>400</v>
      </c>
      <c r="G9" s="76" t="s">
        <v>401</v>
      </c>
      <c r="H9" s="57"/>
      <c r="I9" s="316" t="s">
        <v>400</v>
      </c>
      <c r="J9" s="76" t="s">
        <v>401</v>
      </c>
      <c r="K9" s="57"/>
      <c r="L9" s="316" t="s">
        <v>400</v>
      </c>
      <c r="M9" s="76" t="s">
        <v>401</v>
      </c>
      <c r="N9" s="57"/>
      <c r="O9" s="316" t="s">
        <v>400</v>
      </c>
      <c r="P9" s="76" t="s">
        <v>401</v>
      </c>
      <c r="Q9" s="57"/>
      <c r="R9" s="316" t="s">
        <v>400</v>
      </c>
      <c r="S9" s="326" t="s">
        <v>401</v>
      </c>
      <c r="T9" s="59"/>
      <c r="U9" s="203"/>
    </row>
    <row r="10" spans="1:21" ht="7" customHeight="1" thickBot="1">
      <c r="A10" s="199"/>
      <c r="B10" s="327"/>
      <c r="C10" s="328"/>
      <c r="D10" s="329"/>
      <c r="E10" s="330"/>
      <c r="F10" s="331"/>
      <c r="G10" s="332"/>
      <c r="H10" s="333"/>
      <c r="I10" s="331"/>
      <c r="J10" s="332"/>
      <c r="K10" s="333"/>
      <c r="L10" s="331"/>
      <c r="M10" s="332"/>
      <c r="N10" s="333"/>
      <c r="O10" s="331"/>
      <c r="P10" s="332"/>
      <c r="Q10" s="333"/>
      <c r="R10" s="331"/>
      <c r="S10" s="332"/>
      <c r="T10" s="334"/>
      <c r="U10" s="203"/>
    </row>
    <row r="11" spans="1:21" ht="7" customHeight="1">
      <c r="A11" s="57"/>
      <c r="B11" s="318"/>
      <c r="C11" s="319"/>
      <c r="D11" s="320"/>
      <c r="E11" s="71"/>
      <c r="F11" s="335"/>
      <c r="G11" s="16"/>
      <c r="H11" s="68"/>
      <c r="I11" s="335"/>
      <c r="J11" s="16"/>
      <c r="K11" s="68"/>
      <c r="L11" s="335"/>
      <c r="M11" s="16"/>
      <c r="N11" s="68"/>
      <c r="O11" s="335"/>
      <c r="P11" s="16"/>
      <c r="Q11" s="68"/>
      <c r="R11" s="335"/>
      <c r="S11" s="16"/>
      <c r="T11" s="74"/>
      <c r="U11" s="55"/>
    </row>
    <row r="12" spans="1:21" ht="13.25" customHeight="1">
      <c r="A12" s="55" t="s">
        <v>290</v>
      </c>
      <c r="B12" s="306">
        <f t="shared" ref="B12:B75" si="0">IF($A12&lt;&gt;0,F12+I12+L12+O12+R12,"")</f>
        <v>2907</v>
      </c>
      <c r="C12" s="307"/>
      <c r="D12" s="310">
        <f>IF($A12&lt;&gt;0,D14+D89)</f>
        <v>94.564843481252154</v>
      </c>
      <c r="E12" s="55" t="s">
        <v>128</v>
      </c>
      <c r="F12" s="336">
        <f>IF($A12&lt;&gt;0,F14+F87)</f>
        <v>422</v>
      </c>
      <c r="G12" s="337">
        <f t="shared" ref="G12:G75" si="1">IF($A12&lt;&gt;0,F12/$B12*100,"")</f>
        <v>14.516683866529068</v>
      </c>
      <c r="H12" s="338"/>
      <c r="I12" s="336">
        <f>IF($A12&lt;&gt;0,I14+I87)</f>
        <v>1543</v>
      </c>
      <c r="J12" s="337">
        <f t="shared" ref="J12:J75" si="2">IF($A12&lt;&gt;0,I12/$B12*100,"")</f>
        <v>53.078775369797036</v>
      </c>
      <c r="K12" s="338"/>
      <c r="L12" s="336">
        <f>IF($A12&lt;&gt;0,L14+L87)</f>
        <v>624</v>
      </c>
      <c r="M12" s="337">
        <f>IF($A12&lt;&gt;0,L12/$B12*100,"")</f>
        <v>21.465428276573785</v>
      </c>
      <c r="N12" s="338"/>
      <c r="O12" s="336">
        <f>IF($A12&lt;&gt;0,O14+O87)</f>
        <v>303</v>
      </c>
      <c r="P12" s="337">
        <f t="shared" ref="P12:P75" si="3">IF($A12&lt;&gt;0,O12/$B12*100,"")</f>
        <v>10.42311661506708</v>
      </c>
      <c r="Q12" s="338"/>
      <c r="R12" s="336">
        <f>IF($A12&lt;&gt;0,R14+R87)</f>
        <v>15</v>
      </c>
      <c r="S12" s="337">
        <f t="shared" ref="S12:S75" si="4">IF($A12&lt;&gt;0,R12/$B12*100,"")</f>
        <v>0.51599587203302377</v>
      </c>
      <c r="T12" s="339"/>
      <c r="U12" s="339"/>
    </row>
    <row r="13" spans="1:21" ht="7" customHeight="1">
      <c r="A13" s="55"/>
      <c r="B13" s="339" t="str">
        <f t="shared" si="0"/>
        <v/>
      </c>
      <c r="D13" s="341" t="str">
        <f t="shared" ref="D13:D76" si="5">IF(A13&lt;&gt;0,B13/$B$12*100,"")</f>
        <v/>
      </c>
      <c r="F13" s="343"/>
      <c r="G13" s="287" t="str">
        <f t="shared" si="1"/>
        <v/>
      </c>
      <c r="H13" s="339"/>
      <c r="I13" s="306"/>
      <c r="J13" s="287" t="str">
        <f t="shared" si="2"/>
        <v/>
      </c>
      <c r="K13" s="339"/>
      <c r="L13" s="343"/>
      <c r="M13" s="287" t="str">
        <f>IF($A13&lt;&gt;0,L13/$B13*100,"")</f>
        <v/>
      </c>
      <c r="N13" s="339"/>
      <c r="O13" s="343"/>
      <c r="P13" s="287" t="str">
        <f t="shared" si="3"/>
        <v/>
      </c>
      <c r="Q13" s="339"/>
      <c r="R13" s="343"/>
      <c r="S13" s="287" t="str">
        <f t="shared" si="4"/>
        <v/>
      </c>
      <c r="T13" s="339"/>
      <c r="U13" s="339"/>
    </row>
    <row r="14" spans="1:21" ht="13.25" customHeight="1">
      <c r="A14" s="55" t="s">
        <v>403</v>
      </c>
      <c r="B14" s="338">
        <f t="shared" si="0"/>
        <v>2747</v>
      </c>
      <c r="C14" s="344"/>
      <c r="D14" s="345">
        <f t="shared" si="5"/>
        <v>94.496044031647756</v>
      </c>
      <c r="E14" s="346"/>
      <c r="F14" s="336">
        <f>IF($A14&lt;&gt;0,F16+F22+F82,"")</f>
        <v>405</v>
      </c>
      <c r="G14" s="337">
        <f t="shared" si="1"/>
        <v>14.743356388787769</v>
      </c>
      <c r="H14" s="338"/>
      <c r="I14" s="336">
        <f>IF($A14&lt;&gt;0,I16+I22+I82,"")</f>
        <v>1434</v>
      </c>
      <c r="J14" s="337">
        <f t="shared" si="2"/>
        <v>52.202402621041131</v>
      </c>
      <c r="K14" s="338"/>
      <c r="L14" s="336">
        <f>IF($A14&lt;&gt;0,L16+L22+L82,"")</f>
        <v>609</v>
      </c>
      <c r="M14" s="337">
        <f>IF($A14&lt;&gt;0,L14/$B14*100,"")</f>
        <v>22.16963960684383</v>
      </c>
      <c r="N14" s="338"/>
      <c r="O14" s="336">
        <f>IF($A14&lt;&gt;0,O16+O22+O82,"")</f>
        <v>284</v>
      </c>
      <c r="P14" s="337">
        <f t="shared" si="3"/>
        <v>10.338551146705496</v>
      </c>
      <c r="Q14" s="338"/>
      <c r="R14" s="336">
        <f>IF($A14&lt;&gt;0,R16+R22+R82,"")</f>
        <v>15</v>
      </c>
      <c r="S14" s="337">
        <f t="shared" si="4"/>
        <v>0.54605023662176921</v>
      </c>
      <c r="T14" s="338"/>
      <c r="U14" s="339"/>
    </row>
    <row r="15" spans="1:21" ht="7" customHeight="1">
      <c r="A15" s="95"/>
      <c r="B15" s="339" t="str">
        <f t="shared" si="0"/>
        <v/>
      </c>
      <c r="D15" s="341" t="str">
        <f t="shared" si="5"/>
        <v/>
      </c>
      <c r="F15" s="343"/>
      <c r="G15" s="287" t="str">
        <f t="shared" si="1"/>
        <v/>
      </c>
      <c r="H15" s="339"/>
      <c r="I15" s="343"/>
      <c r="J15" s="287" t="str">
        <f t="shared" si="2"/>
        <v/>
      </c>
      <c r="K15" s="339"/>
      <c r="L15" s="343"/>
      <c r="M15" s="287"/>
      <c r="N15" s="339"/>
      <c r="O15" s="343"/>
      <c r="P15" s="337" t="str">
        <f t="shared" si="3"/>
        <v/>
      </c>
      <c r="Q15" s="339"/>
      <c r="R15" s="343"/>
      <c r="S15" s="337" t="str">
        <f t="shared" si="4"/>
        <v/>
      </c>
      <c r="T15" s="339"/>
      <c r="U15" s="339"/>
    </row>
    <row r="16" spans="1:21" ht="13.25" customHeight="1">
      <c r="A16" s="55" t="s">
        <v>709</v>
      </c>
      <c r="B16" s="338">
        <f t="shared" si="0"/>
        <v>94</v>
      </c>
      <c r="C16" s="344"/>
      <c r="D16" s="345">
        <f t="shared" si="5"/>
        <v>3.2335741314069488</v>
      </c>
      <c r="E16" s="346"/>
      <c r="F16" s="336">
        <f>SUM(F17:F20)</f>
        <v>24</v>
      </c>
      <c r="G16" s="337">
        <f t="shared" si="1"/>
        <v>25.531914893617021</v>
      </c>
      <c r="H16" s="338"/>
      <c r="I16" s="336">
        <f>SUM(I17:I20)</f>
        <v>42</v>
      </c>
      <c r="J16" s="337">
        <f t="shared" si="2"/>
        <v>44.680851063829785</v>
      </c>
      <c r="K16" s="338"/>
      <c r="L16" s="336">
        <f>SUM(L17:L20)</f>
        <v>25</v>
      </c>
      <c r="M16" s="337">
        <f t="shared" ref="M16:M79" si="6">IF($A16&lt;&gt;0,L16/$B16*100,"")</f>
        <v>26.595744680851062</v>
      </c>
      <c r="N16" s="338"/>
      <c r="O16" s="336">
        <f>SUM(O17:O20)</f>
        <v>3</v>
      </c>
      <c r="P16" s="337">
        <f t="shared" si="3"/>
        <v>3.1914893617021276</v>
      </c>
      <c r="Q16" s="338"/>
      <c r="R16" s="336">
        <f>SUM(R17:R20)</f>
        <v>0</v>
      </c>
      <c r="S16" s="337">
        <f t="shared" si="4"/>
        <v>0</v>
      </c>
      <c r="T16" s="339"/>
      <c r="U16" s="339"/>
    </row>
    <row r="17" spans="1:21" ht="12.75" customHeight="1">
      <c r="A17" s="95" t="s">
        <v>710</v>
      </c>
      <c r="B17" s="339">
        <f t="shared" si="0"/>
        <v>25</v>
      </c>
      <c r="D17" s="341">
        <f t="shared" si="5"/>
        <v>0.85999312005503958</v>
      </c>
      <c r="F17" s="834">
        <v>12</v>
      </c>
      <c r="G17" s="287">
        <f t="shared" si="1"/>
        <v>48</v>
      </c>
      <c r="H17" s="834"/>
      <c r="I17" s="834">
        <v>12</v>
      </c>
      <c r="J17" s="287">
        <f t="shared" si="2"/>
        <v>48</v>
      </c>
      <c r="K17" s="834"/>
      <c r="L17" s="834">
        <v>1</v>
      </c>
      <c r="M17" s="287">
        <f t="shared" si="6"/>
        <v>4</v>
      </c>
      <c r="N17" s="834"/>
      <c r="O17" s="834">
        <v>0</v>
      </c>
      <c r="P17" s="287">
        <f t="shared" si="3"/>
        <v>0</v>
      </c>
      <c r="Q17" s="834"/>
      <c r="R17" s="834">
        <v>0</v>
      </c>
      <c r="S17" s="287">
        <f t="shared" si="4"/>
        <v>0</v>
      </c>
      <c r="T17" s="339"/>
      <c r="U17" s="339"/>
    </row>
    <row r="18" spans="1:21" ht="13.25" customHeight="1">
      <c r="A18" s="95" t="s">
        <v>711</v>
      </c>
      <c r="B18" s="339">
        <f t="shared" si="0"/>
        <v>11</v>
      </c>
      <c r="D18" s="341">
        <f t="shared" si="5"/>
        <v>0.37839697282421741</v>
      </c>
      <c r="F18" s="834">
        <v>0</v>
      </c>
      <c r="G18" s="287">
        <f t="shared" si="1"/>
        <v>0</v>
      </c>
      <c r="H18" s="834"/>
      <c r="I18" s="834">
        <v>1</v>
      </c>
      <c r="J18" s="287">
        <f t="shared" si="2"/>
        <v>9.0909090909090917</v>
      </c>
      <c r="K18" s="834"/>
      <c r="L18" s="834">
        <v>7</v>
      </c>
      <c r="M18" s="287">
        <f t="shared" si="6"/>
        <v>63.636363636363633</v>
      </c>
      <c r="N18" s="834"/>
      <c r="O18" s="834">
        <v>3</v>
      </c>
      <c r="P18" s="287">
        <f t="shared" si="3"/>
        <v>27.27272727272727</v>
      </c>
      <c r="Q18" s="834"/>
      <c r="R18" s="834">
        <v>0</v>
      </c>
      <c r="S18" s="287">
        <f t="shared" si="4"/>
        <v>0</v>
      </c>
    </row>
    <row r="19" spans="1:21" ht="13.25" customHeight="1">
      <c r="A19" s="95" t="s">
        <v>712</v>
      </c>
      <c r="B19" s="339">
        <f t="shared" si="0"/>
        <v>50</v>
      </c>
      <c r="F19" s="834">
        <v>11</v>
      </c>
      <c r="G19" s="287">
        <f t="shared" si="1"/>
        <v>22</v>
      </c>
      <c r="H19" s="834"/>
      <c r="I19" s="834">
        <v>25</v>
      </c>
      <c r="J19" s="287">
        <f t="shared" si="2"/>
        <v>50</v>
      </c>
      <c r="K19" s="834"/>
      <c r="L19" s="834">
        <v>14</v>
      </c>
      <c r="M19" s="287">
        <f t="shared" si="6"/>
        <v>28.000000000000004</v>
      </c>
      <c r="N19" s="834"/>
      <c r="O19" s="834">
        <v>0</v>
      </c>
      <c r="P19" s="287">
        <f t="shared" si="3"/>
        <v>0</v>
      </c>
      <c r="Q19" s="834"/>
      <c r="R19" s="834">
        <v>0</v>
      </c>
      <c r="S19" s="287">
        <f t="shared" si="4"/>
        <v>0</v>
      </c>
    </row>
    <row r="20" spans="1:21" ht="13.25" customHeight="1">
      <c r="A20" s="95" t="s">
        <v>713</v>
      </c>
      <c r="B20" s="339">
        <f t="shared" si="0"/>
        <v>8</v>
      </c>
      <c r="D20" s="341">
        <f t="shared" si="5"/>
        <v>0.27519779841761266</v>
      </c>
      <c r="F20" s="834">
        <v>1</v>
      </c>
      <c r="G20" s="287">
        <f t="shared" si="1"/>
        <v>12.5</v>
      </c>
      <c r="H20" s="834"/>
      <c r="I20" s="834">
        <v>4</v>
      </c>
      <c r="J20" s="287">
        <f t="shared" si="2"/>
        <v>50</v>
      </c>
      <c r="K20" s="834"/>
      <c r="L20" s="834">
        <v>3</v>
      </c>
      <c r="M20" s="287">
        <f t="shared" si="6"/>
        <v>37.5</v>
      </c>
      <c r="N20" s="834"/>
      <c r="O20" s="834">
        <v>0</v>
      </c>
      <c r="P20" s="287">
        <f t="shared" si="3"/>
        <v>0</v>
      </c>
      <c r="Q20" s="834"/>
      <c r="R20" s="834">
        <v>0</v>
      </c>
      <c r="S20" s="287">
        <f t="shared" si="4"/>
        <v>0</v>
      </c>
    </row>
    <row r="21" spans="1:21" ht="6.75" customHeight="1">
      <c r="A21" s="95"/>
      <c r="B21" s="339" t="str">
        <f t="shared" si="0"/>
        <v/>
      </c>
      <c r="D21" s="341" t="str">
        <f t="shared" si="5"/>
        <v/>
      </c>
      <c r="G21" s="287" t="str">
        <f t="shared" si="1"/>
        <v/>
      </c>
      <c r="J21" s="287" t="str">
        <f t="shared" si="2"/>
        <v/>
      </c>
      <c r="K21" s="341"/>
      <c r="M21" s="287" t="str">
        <f t="shared" si="6"/>
        <v/>
      </c>
      <c r="N21" s="341"/>
      <c r="P21" s="287" t="str">
        <f t="shared" si="3"/>
        <v/>
      </c>
      <c r="S21" s="348" t="str">
        <f t="shared" si="4"/>
        <v/>
      </c>
    </row>
    <row r="22" spans="1:21" ht="13.25" customHeight="1">
      <c r="A22" s="55" t="s">
        <v>714</v>
      </c>
      <c r="B22" s="338">
        <f t="shared" si="0"/>
        <v>2067</v>
      </c>
      <c r="C22" s="344"/>
      <c r="D22" s="345">
        <f t="shared" si="5"/>
        <v>71.104231166150669</v>
      </c>
      <c r="E22" s="346"/>
      <c r="F22" s="349">
        <f>SUM(F23:F81)</f>
        <v>297</v>
      </c>
      <c r="G22" s="337">
        <f t="shared" si="1"/>
        <v>14.368650217706822</v>
      </c>
      <c r="H22" s="345"/>
      <c r="I22" s="349">
        <f>SUM(I23:I81)</f>
        <v>1076</v>
      </c>
      <c r="J22" s="337">
        <f t="shared" si="2"/>
        <v>52.056119980648283</v>
      </c>
      <c r="K22" s="345"/>
      <c r="L22" s="349">
        <f>SUM(L23:L81)</f>
        <v>492</v>
      </c>
      <c r="M22" s="337">
        <f t="shared" si="6"/>
        <v>23.802612481857764</v>
      </c>
      <c r="N22" s="345"/>
      <c r="O22" s="349">
        <f>SUM(O23:O81)</f>
        <v>194</v>
      </c>
      <c r="P22" s="337">
        <f t="shared" si="3"/>
        <v>9.3855829704886311</v>
      </c>
      <c r="Q22" s="345"/>
      <c r="R22" s="349">
        <f>SUM(R23:R81)</f>
        <v>8</v>
      </c>
      <c r="S22" s="345">
        <f t="shared" si="4"/>
        <v>0.38703434929850022</v>
      </c>
    </row>
    <row r="23" spans="1:21" ht="13.25" customHeight="1">
      <c r="A23" s="95" t="s">
        <v>715</v>
      </c>
      <c r="B23" s="339">
        <f t="shared" si="0"/>
        <v>74</v>
      </c>
      <c r="D23" s="341">
        <f t="shared" si="5"/>
        <v>2.545579635362917</v>
      </c>
      <c r="F23" s="834">
        <v>3</v>
      </c>
      <c r="G23" s="287">
        <f t="shared" si="1"/>
        <v>4.0540540540540544</v>
      </c>
      <c r="H23" s="834"/>
      <c r="I23" s="834">
        <v>35</v>
      </c>
      <c r="J23" s="287">
        <f t="shared" si="2"/>
        <v>47.297297297297298</v>
      </c>
      <c r="K23" s="834"/>
      <c r="L23" s="834">
        <v>25</v>
      </c>
      <c r="M23" s="287">
        <f t="shared" si="6"/>
        <v>33.783783783783782</v>
      </c>
      <c r="N23" s="834"/>
      <c r="O23" s="834">
        <v>11</v>
      </c>
      <c r="P23" s="287">
        <f t="shared" si="3"/>
        <v>14.864864864864865</v>
      </c>
      <c r="Q23" s="834"/>
      <c r="R23" s="834">
        <v>0</v>
      </c>
      <c r="S23" s="348">
        <f t="shared" si="4"/>
        <v>0</v>
      </c>
    </row>
    <row r="24" spans="1:21" ht="13.25" customHeight="1">
      <c r="A24" s="95" t="s">
        <v>716</v>
      </c>
      <c r="B24" s="339">
        <f t="shared" si="0"/>
        <v>13</v>
      </c>
      <c r="D24" s="341">
        <f t="shared" si="5"/>
        <v>0.44719642242862062</v>
      </c>
      <c r="F24" s="834">
        <v>1</v>
      </c>
      <c r="G24" s="287">
        <f t="shared" si="1"/>
        <v>7.6923076923076925</v>
      </c>
      <c r="H24" s="834"/>
      <c r="I24" s="834">
        <v>5</v>
      </c>
      <c r="J24" s="287">
        <f t="shared" si="2"/>
        <v>38.461538461538467</v>
      </c>
      <c r="K24" s="834"/>
      <c r="L24" s="834">
        <v>7</v>
      </c>
      <c r="M24" s="287">
        <f t="shared" si="6"/>
        <v>53.846153846153847</v>
      </c>
      <c r="N24" s="834"/>
      <c r="O24" s="834">
        <v>0</v>
      </c>
      <c r="P24" s="287">
        <f t="shared" si="3"/>
        <v>0</v>
      </c>
      <c r="Q24" s="834"/>
      <c r="R24" s="834">
        <v>0</v>
      </c>
      <c r="S24" s="348">
        <f t="shared" si="4"/>
        <v>0</v>
      </c>
    </row>
    <row r="25" spans="1:21" ht="13.25" customHeight="1">
      <c r="A25" s="95" t="s">
        <v>717</v>
      </c>
      <c r="B25" s="339">
        <f t="shared" si="0"/>
        <v>102</v>
      </c>
      <c r="D25" s="341">
        <f t="shared" si="5"/>
        <v>3.5087719298245612</v>
      </c>
      <c r="F25" s="834">
        <v>8</v>
      </c>
      <c r="G25" s="287">
        <f t="shared" si="1"/>
        <v>7.8431372549019605</v>
      </c>
      <c r="H25" s="834"/>
      <c r="I25" s="834">
        <v>57</v>
      </c>
      <c r="J25" s="287">
        <f t="shared" si="2"/>
        <v>55.882352941176471</v>
      </c>
      <c r="K25" s="834"/>
      <c r="L25" s="834">
        <v>33</v>
      </c>
      <c r="M25" s="287">
        <f t="shared" si="6"/>
        <v>32.352941176470587</v>
      </c>
      <c r="N25" s="834"/>
      <c r="O25" s="834">
        <v>4</v>
      </c>
      <c r="P25" s="287">
        <f t="shared" si="3"/>
        <v>3.9215686274509802</v>
      </c>
      <c r="Q25" s="834"/>
      <c r="R25" s="834">
        <v>0</v>
      </c>
      <c r="S25" s="348">
        <f t="shared" si="4"/>
        <v>0</v>
      </c>
    </row>
    <row r="26" spans="1:21" ht="13.25" customHeight="1">
      <c r="A26" s="95" t="s">
        <v>718</v>
      </c>
      <c r="B26" s="339">
        <f t="shared" si="0"/>
        <v>29</v>
      </c>
      <c r="D26" s="341">
        <f t="shared" si="5"/>
        <v>0.99759201926384578</v>
      </c>
      <c r="F26" s="834">
        <v>3</v>
      </c>
      <c r="G26" s="287">
        <f t="shared" si="1"/>
        <v>10.344827586206897</v>
      </c>
      <c r="H26" s="834"/>
      <c r="I26" s="834">
        <v>8</v>
      </c>
      <c r="J26" s="287">
        <f t="shared" si="2"/>
        <v>27.586206896551722</v>
      </c>
      <c r="K26" s="834"/>
      <c r="L26" s="834">
        <v>8</v>
      </c>
      <c r="M26" s="287">
        <f t="shared" si="6"/>
        <v>27.586206896551722</v>
      </c>
      <c r="N26" s="834"/>
      <c r="O26" s="834">
        <v>10</v>
      </c>
      <c r="P26" s="287">
        <f t="shared" si="3"/>
        <v>34.482758620689658</v>
      </c>
      <c r="Q26" s="834"/>
      <c r="R26" s="834">
        <v>0</v>
      </c>
      <c r="S26" s="348">
        <f t="shared" si="4"/>
        <v>0</v>
      </c>
    </row>
    <row r="27" spans="1:21" ht="13.25" customHeight="1">
      <c r="A27" s="95" t="s">
        <v>719</v>
      </c>
      <c r="B27" s="339">
        <f t="shared" si="0"/>
        <v>55</v>
      </c>
      <c r="D27" s="341">
        <f t="shared" si="5"/>
        <v>1.8919848641210868</v>
      </c>
      <c r="F27" s="834">
        <v>1</v>
      </c>
      <c r="G27" s="287">
        <f t="shared" si="1"/>
        <v>1.8181818181818181</v>
      </c>
      <c r="H27" s="834"/>
      <c r="I27" s="834">
        <v>25</v>
      </c>
      <c r="J27" s="287">
        <f t="shared" si="2"/>
        <v>45.454545454545453</v>
      </c>
      <c r="K27" s="834"/>
      <c r="L27" s="834">
        <v>21</v>
      </c>
      <c r="M27" s="287">
        <f t="shared" si="6"/>
        <v>38.181818181818187</v>
      </c>
      <c r="N27" s="834"/>
      <c r="O27" s="834">
        <v>8</v>
      </c>
      <c r="P27" s="287">
        <f t="shared" si="3"/>
        <v>14.545454545454545</v>
      </c>
      <c r="Q27" s="834"/>
      <c r="R27" s="834">
        <v>0</v>
      </c>
      <c r="S27" s="348">
        <f t="shared" si="4"/>
        <v>0</v>
      </c>
    </row>
    <row r="28" spans="1:21" ht="13.25" customHeight="1">
      <c r="A28" s="95" t="s">
        <v>720</v>
      </c>
      <c r="B28" s="339">
        <f t="shared" si="0"/>
        <v>53</v>
      </c>
      <c r="D28" s="341">
        <f t="shared" si="5"/>
        <v>1.8231854145166839</v>
      </c>
      <c r="F28" s="834">
        <v>10</v>
      </c>
      <c r="G28" s="287">
        <f t="shared" si="1"/>
        <v>18.867924528301888</v>
      </c>
      <c r="H28" s="834"/>
      <c r="I28" s="834">
        <v>16</v>
      </c>
      <c r="J28" s="287">
        <f t="shared" si="2"/>
        <v>30.188679245283019</v>
      </c>
      <c r="K28" s="834"/>
      <c r="L28" s="834">
        <v>17</v>
      </c>
      <c r="M28" s="287">
        <f t="shared" si="6"/>
        <v>32.075471698113205</v>
      </c>
      <c r="N28" s="834"/>
      <c r="O28" s="834">
        <v>10</v>
      </c>
      <c r="P28" s="287">
        <f t="shared" si="3"/>
        <v>18.867924528301888</v>
      </c>
      <c r="Q28" s="834"/>
      <c r="R28" s="834">
        <v>0</v>
      </c>
      <c r="S28" s="348">
        <f t="shared" si="4"/>
        <v>0</v>
      </c>
    </row>
    <row r="29" spans="1:21" ht="13.25" customHeight="1">
      <c r="A29" s="95" t="s">
        <v>721</v>
      </c>
      <c r="B29" s="339">
        <f t="shared" si="0"/>
        <v>1</v>
      </c>
      <c r="D29" s="341">
        <f t="shared" si="5"/>
        <v>3.4399724802201583E-2</v>
      </c>
      <c r="F29" s="834">
        <v>0</v>
      </c>
      <c r="G29" s="287">
        <f t="shared" si="1"/>
        <v>0</v>
      </c>
      <c r="H29" s="834"/>
      <c r="I29" s="834">
        <v>1</v>
      </c>
      <c r="J29" s="287">
        <f t="shared" si="2"/>
        <v>100</v>
      </c>
      <c r="K29" s="834"/>
      <c r="L29" s="834">
        <v>0</v>
      </c>
      <c r="M29" s="287">
        <f t="shared" si="6"/>
        <v>0</v>
      </c>
      <c r="N29" s="834"/>
      <c r="O29" s="834">
        <v>0</v>
      </c>
      <c r="P29" s="287">
        <f t="shared" si="3"/>
        <v>0</v>
      </c>
      <c r="Q29" s="834"/>
      <c r="R29" s="834">
        <v>0</v>
      </c>
      <c r="S29" s="348">
        <f t="shared" si="4"/>
        <v>0</v>
      </c>
    </row>
    <row r="30" spans="1:21" ht="13.25" customHeight="1">
      <c r="A30" s="95" t="s">
        <v>722</v>
      </c>
      <c r="B30" s="339">
        <f t="shared" si="0"/>
        <v>67</v>
      </c>
      <c r="D30" s="341">
        <f t="shared" si="5"/>
        <v>2.304781561747506</v>
      </c>
      <c r="F30" s="834">
        <v>15</v>
      </c>
      <c r="G30" s="287">
        <f t="shared" si="1"/>
        <v>22.388059701492537</v>
      </c>
      <c r="H30" s="834"/>
      <c r="I30" s="834">
        <v>24</v>
      </c>
      <c r="J30" s="287">
        <f t="shared" si="2"/>
        <v>35.820895522388057</v>
      </c>
      <c r="K30" s="834"/>
      <c r="L30" s="834">
        <v>21</v>
      </c>
      <c r="M30" s="287">
        <f t="shared" si="6"/>
        <v>31.343283582089555</v>
      </c>
      <c r="N30" s="834"/>
      <c r="O30" s="834">
        <v>6</v>
      </c>
      <c r="P30" s="287">
        <f t="shared" si="3"/>
        <v>8.9552238805970141</v>
      </c>
      <c r="Q30" s="834"/>
      <c r="R30" s="834">
        <v>1</v>
      </c>
      <c r="S30" s="348">
        <f t="shared" si="4"/>
        <v>1.4925373134328357</v>
      </c>
    </row>
    <row r="31" spans="1:21" ht="13.25" customHeight="1">
      <c r="A31" s="95" t="s">
        <v>723</v>
      </c>
      <c r="B31" s="339">
        <f t="shared" si="0"/>
        <v>5</v>
      </c>
      <c r="D31" s="341">
        <f t="shared" si="5"/>
        <v>0.17199862401100791</v>
      </c>
      <c r="F31" s="834">
        <v>1</v>
      </c>
      <c r="G31" s="287">
        <f t="shared" si="1"/>
        <v>20</v>
      </c>
      <c r="H31" s="834"/>
      <c r="I31" s="834">
        <v>0</v>
      </c>
      <c r="J31" s="287">
        <f t="shared" si="2"/>
        <v>0</v>
      </c>
      <c r="K31" s="834"/>
      <c r="L31" s="834">
        <v>4</v>
      </c>
      <c r="M31" s="287">
        <f t="shared" si="6"/>
        <v>80</v>
      </c>
      <c r="N31" s="834"/>
      <c r="O31" s="834">
        <v>0</v>
      </c>
      <c r="P31" s="287">
        <f t="shared" si="3"/>
        <v>0</v>
      </c>
      <c r="Q31" s="834"/>
      <c r="R31" s="834">
        <v>0</v>
      </c>
      <c r="S31" s="348">
        <f t="shared" si="4"/>
        <v>0</v>
      </c>
    </row>
    <row r="32" spans="1:21" ht="13.25" customHeight="1">
      <c r="A32" s="95" t="s">
        <v>724</v>
      </c>
      <c r="B32" s="339">
        <f t="shared" si="0"/>
        <v>28</v>
      </c>
      <c r="D32" s="341">
        <f t="shared" si="5"/>
        <v>0.96319229446164434</v>
      </c>
      <c r="F32" s="834">
        <v>7</v>
      </c>
      <c r="G32" s="287">
        <f t="shared" si="1"/>
        <v>25</v>
      </c>
      <c r="H32" s="834"/>
      <c r="I32" s="834">
        <v>17</v>
      </c>
      <c r="J32" s="287">
        <f t="shared" si="2"/>
        <v>60.714285714285708</v>
      </c>
      <c r="K32" s="834"/>
      <c r="L32" s="834">
        <v>4</v>
      </c>
      <c r="M32" s="287">
        <f t="shared" si="6"/>
        <v>14.285714285714285</v>
      </c>
      <c r="N32" s="834"/>
      <c r="O32" s="834">
        <v>0</v>
      </c>
      <c r="P32" s="287">
        <f t="shared" si="3"/>
        <v>0</v>
      </c>
      <c r="Q32" s="834"/>
      <c r="R32" s="834">
        <v>0</v>
      </c>
      <c r="S32" s="348">
        <f t="shared" si="4"/>
        <v>0</v>
      </c>
    </row>
    <row r="33" spans="1:19" ht="13.25" customHeight="1">
      <c r="A33" s="95" t="s">
        <v>725</v>
      </c>
      <c r="B33" s="339">
        <f t="shared" si="0"/>
        <v>26</v>
      </c>
      <c r="D33" s="341">
        <f t="shared" si="5"/>
        <v>0.89439284485724124</v>
      </c>
      <c r="F33" s="834">
        <v>10</v>
      </c>
      <c r="G33" s="287">
        <f t="shared" si="1"/>
        <v>38.461538461538467</v>
      </c>
      <c r="H33" s="834"/>
      <c r="I33" s="834">
        <v>14</v>
      </c>
      <c r="J33" s="287">
        <f t="shared" si="2"/>
        <v>53.846153846153847</v>
      </c>
      <c r="K33" s="834"/>
      <c r="L33" s="834">
        <v>2</v>
      </c>
      <c r="M33" s="287">
        <f t="shared" si="6"/>
        <v>7.6923076923076925</v>
      </c>
      <c r="N33" s="834"/>
      <c r="O33" s="834">
        <v>0</v>
      </c>
      <c r="P33" s="287">
        <f t="shared" si="3"/>
        <v>0</v>
      </c>
      <c r="Q33" s="834"/>
      <c r="R33" s="834">
        <v>0</v>
      </c>
      <c r="S33" s="348">
        <f t="shared" si="4"/>
        <v>0</v>
      </c>
    </row>
    <row r="34" spans="1:19" ht="13.25" customHeight="1">
      <c r="A34" s="95" t="s">
        <v>726</v>
      </c>
      <c r="B34" s="339">
        <f t="shared" si="0"/>
        <v>21</v>
      </c>
      <c r="D34" s="341">
        <f t="shared" si="5"/>
        <v>0.72239422084623317</v>
      </c>
      <c r="F34" s="834">
        <v>4</v>
      </c>
      <c r="G34" s="287">
        <f t="shared" si="1"/>
        <v>19.047619047619047</v>
      </c>
      <c r="H34" s="834"/>
      <c r="I34" s="834">
        <v>15</v>
      </c>
      <c r="J34" s="287">
        <f t="shared" si="2"/>
        <v>71.428571428571431</v>
      </c>
      <c r="K34" s="834"/>
      <c r="L34" s="834">
        <v>2</v>
      </c>
      <c r="M34" s="287">
        <f t="shared" si="6"/>
        <v>9.5238095238095237</v>
      </c>
      <c r="N34" s="834"/>
      <c r="O34" s="834">
        <v>0</v>
      </c>
      <c r="P34" s="287">
        <f t="shared" si="3"/>
        <v>0</v>
      </c>
      <c r="Q34" s="834"/>
      <c r="R34" s="834">
        <v>0</v>
      </c>
      <c r="S34" s="348">
        <f t="shared" si="4"/>
        <v>0</v>
      </c>
    </row>
    <row r="35" spans="1:19" ht="13.25" customHeight="1">
      <c r="A35" s="127" t="s">
        <v>727</v>
      </c>
      <c r="B35" s="339">
        <f t="shared" si="0"/>
        <v>3</v>
      </c>
      <c r="D35" s="341">
        <f t="shared" si="5"/>
        <v>0.10319917440660474</v>
      </c>
      <c r="F35" s="834">
        <v>1</v>
      </c>
      <c r="G35" s="287">
        <f t="shared" si="1"/>
        <v>33.333333333333329</v>
      </c>
      <c r="H35" s="834"/>
      <c r="I35" s="834">
        <v>2</v>
      </c>
      <c r="J35" s="287">
        <f t="shared" si="2"/>
        <v>66.666666666666657</v>
      </c>
      <c r="K35" s="834"/>
      <c r="L35" s="834">
        <v>0</v>
      </c>
      <c r="M35" s="287">
        <f t="shared" si="6"/>
        <v>0</v>
      </c>
      <c r="N35" s="834"/>
      <c r="O35" s="834">
        <v>0</v>
      </c>
      <c r="P35" s="287">
        <f t="shared" si="3"/>
        <v>0</v>
      </c>
      <c r="Q35" s="834"/>
      <c r="R35" s="834">
        <v>0</v>
      </c>
      <c r="S35" s="348">
        <f t="shared" si="4"/>
        <v>0</v>
      </c>
    </row>
    <row r="36" spans="1:19" ht="13.5" customHeight="1">
      <c r="A36" s="127" t="s">
        <v>728</v>
      </c>
      <c r="B36" s="339">
        <f t="shared" si="0"/>
        <v>46</v>
      </c>
      <c r="D36" s="341">
        <f t="shared" si="5"/>
        <v>1.5823873409012728</v>
      </c>
      <c r="F36" s="834">
        <v>8</v>
      </c>
      <c r="G36" s="287">
        <f t="shared" si="1"/>
        <v>17.391304347826086</v>
      </c>
      <c r="H36" s="834"/>
      <c r="I36" s="834">
        <v>24</v>
      </c>
      <c r="J36" s="287">
        <f t="shared" si="2"/>
        <v>52.173913043478258</v>
      </c>
      <c r="K36" s="834"/>
      <c r="L36" s="834">
        <v>6</v>
      </c>
      <c r="M36" s="287">
        <f t="shared" si="6"/>
        <v>13.043478260869565</v>
      </c>
      <c r="N36" s="834"/>
      <c r="O36" s="834">
        <v>8</v>
      </c>
      <c r="P36" s="287">
        <f t="shared" si="3"/>
        <v>17.391304347826086</v>
      </c>
      <c r="Q36" s="834"/>
      <c r="R36" s="834">
        <v>0</v>
      </c>
      <c r="S36" s="348">
        <f t="shared" si="4"/>
        <v>0</v>
      </c>
    </row>
    <row r="37" spans="1:19" ht="13.25" customHeight="1">
      <c r="A37" s="127" t="s">
        <v>729</v>
      </c>
      <c r="B37" s="339">
        <f t="shared" si="0"/>
        <v>31</v>
      </c>
      <c r="D37" s="341">
        <f t="shared" si="5"/>
        <v>1.0663914688682492</v>
      </c>
      <c r="F37" s="834">
        <v>3</v>
      </c>
      <c r="G37" s="287">
        <f t="shared" si="1"/>
        <v>9.67741935483871</v>
      </c>
      <c r="H37" s="834"/>
      <c r="I37" s="834">
        <v>24</v>
      </c>
      <c r="J37" s="287">
        <f t="shared" si="2"/>
        <v>77.41935483870968</v>
      </c>
      <c r="K37" s="834"/>
      <c r="L37" s="834">
        <v>4</v>
      </c>
      <c r="M37" s="287">
        <f t="shared" si="6"/>
        <v>12.903225806451612</v>
      </c>
      <c r="N37" s="834"/>
      <c r="O37" s="834">
        <v>0</v>
      </c>
      <c r="P37" s="287">
        <f t="shared" si="3"/>
        <v>0</v>
      </c>
      <c r="Q37" s="834"/>
      <c r="R37" s="834">
        <v>0</v>
      </c>
      <c r="S37" s="348">
        <f t="shared" si="4"/>
        <v>0</v>
      </c>
    </row>
    <row r="38" spans="1:19" ht="13.25" customHeight="1">
      <c r="A38" s="95" t="s">
        <v>730</v>
      </c>
      <c r="B38" s="339">
        <f t="shared" si="0"/>
        <v>13</v>
      </c>
      <c r="D38" s="341">
        <f t="shared" si="5"/>
        <v>0.44719642242862062</v>
      </c>
      <c r="F38" s="834">
        <v>0</v>
      </c>
      <c r="G38" s="287">
        <f t="shared" si="1"/>
        <v>0</v>
      </c>
      <c r="H38" s="834"/>
      <c r="I38" s="834">
        <v>7</v>
      </c>
      <c r="J38" s="287">
        <f t="shared" si="2"/>
        <v>53.846153846153847</v>
      </c>
      <c r="K38" s="834"/>
      <c r="L38" s="834">
        <v>5</v>
      </c>
      <c r="M38" s="287">
        <f t="shared" si="6"/>
        <v>38.461538461538467</v>
      </c>
      <c r="N38" s="834"/>
      <c r="O38" s="834">
        <v>0</v>
      </c>
      <c r="P38" s="287">
        <f t="shared" si="3"/>
        <v>0</v>
      </c>
      <c r="Q38" s="834"/>
      <c r="R38" s="834">
        <v>1</v>
      </c>
      <c r="S38" s="348">
        <f t="shared" si="4"/>
        <v>7.6923076923076925</v>
      </c>
    </row>
    <row r="39" spans="1:19" ht="13.25" customHeight="1">
      <c r="A39" s="95" t="s">
        <v>731</v>
      </c>
      <c r="B39" s="339">
        <f t="shared" si="0"/>
        <v>71</v>
      </c>
      <c r="D39" s="341">
        <f t="shared" si="5"/>
        <v>2.4423804609563122</v>
      </c>
      <c r="F39" s="834">
        <v>15</v>
      </c>
      <c r="G39" s="287">
        <f t="shared" si="1"/>
        <v>21.12676056338028</v>
      </c>
      <c r="H39" s="834"/>
      <c r="I39" s="834">
        <v>35</v>
      </c>
      <c r="J39" s="287">
        <f t="shared" si="2"/>
        <v>49.295774647887328</v>
      </c>
      <c r="K39" s="834"/>
      <c r="L39" s="834">
        <v>17</v>
      </c>
      <c r="M39" s="287">
        <f t="shared" si="6"/>
        <v>23.943661971830984</v>
      </c>
      <c r="N39" s="834"/>
      <c r="O39" s="834">
        <v>4</v>
      </c>
      <c r="P39" s="287">
        <f t="shared" si="3"/>
        <v>5.6338028169014089</v>
      </c>
      <c r="Q39" s="834"/>
      <c r="R39" s="834">
        <v>0</v>
      </c>
      <c r="S39" s="348">
        <f t="shared" si="4"/>
        <v>0</v>
      </c>
    </row>
    <row r="40" spans="1:19" ht="13.25" customHeight="1">
      <c r="A40" s="95" t="s">
        <v>732</v>
      </c>
      <c r="B40" s="339">
        <f t="shared" si="0"/>
        <v>59</v>
      </c>
      <c r="D40" s="341">
        <f t="shared" si="5"/>
        <v>2.0295837633298937</v>
      </c>
      <c r="F40" s="834">
        <v>13</v>
      </c>
      <c r="G40" s="287">
        <f t="shared" si="1"/>
        <v>22.033898305084744</v>
      </c>
      <c r="H40" s="834"/>
      <c r="I40" s="834">
        <v>21</v>
      </c>
      <c r="J40" s="287">
        <f t="shared" si="2"/>
        <v>35.593220338983052</v>
      </c>
      <c r="K40" s="834"/>
      <c r="L40" s="834">
        <v>24</v>
      </c>
      <c r="M40" s="287">
        <f t="shared" si="6"/>
        <v>40.677966101694921</v>
      </c>
      <c r="N40" s="834"/>
      <c r="O40" s="834">
        <v>0</v>
      </c>
      <c r="P40" s="287">
        <f t="shared" si="3"/>
        <v>0</v>
      </c>
      <c r="Q40" s="834"/>
      <c r="R40" s="834">
        <v>1</v>
      </c>
      <c r="S40" s="348">
        <f t="shared" si="4"/>
        <v>1.6949152542372881</v>
      </c>
    </row>
    <row r="41" spans="1:19" ht="13.25" customHeight="1">
      <c r="A41" s="95" t="s">
        <v>733</v>
      </c>
      <c r="B41" s="339">
        <f t="shared" si="0"/>
        <v>34</v>
      </c>
      <c r="D41" s="341">
        <f t="shared" si="5"/>
        <v>1.1695906432748537</v>
      </c>
      <c r="F41" s="834">
        <v>3</v>
      </c>
      <c r="G41" s="287">
        <f t="shared" si="1"/>
        <v>8.8235294117647065</v>
      </c>
      <c r="H41" s="834"/>
      <c r="I41" s="834">
        <v>29</v>
      </c>
      <c r="J41" s="287">
        <f t="shared" si="2"/>
        <v>85.294117647058826</v>
      </c>
      <c r="K41" s="834"/>
      <c r="L41" s="834">
        <v>2</v>
      </c>
      <c r="M41" s="287">
        <f t="shared" si="6"/>
        <v>5.8823529411764701</v>
      </c>
      <c r="N41" s="834"/>
      <c r="O41" s="834">
        <v>0</v>
      </c>
      <c r="P41" s="287">
        <f t="shared" si="3"/>
        <v>0</v>
      </c>
      <c r="Q41" s="834"/>
      <c r="R41" s="834">
        <v>0</v>
      </c>
      <c r="S41" s="348">
        <f t="shared" si="4"/>
        <v>0</v>
      </c>
    </row>
    <row r="42" spans="1:19" ht="13.25" customHeight="1">
      <c r="A42" s="95" t="s">
        <v>734</v>
      </c>
      <c r="B42" s="339">
        <f t="shared" si="0"/>
        <v>42</v>
      </c>
      <c r="D42" s="341">
        <f t="shared" si="5"/>
        <v>1.4447884416924663</v>
      </c>
      <c r="F42" s="834">
        <v>18</v>
      </c>
      <c r="G42" s="287">
        <f t="shared" si="1"/>
        <v>42.857142857142854</v>
      </c>
      <c r="H42" s="834"/>
      <c r="I42" s="834">
        <v>12</v>
      </c>
      <c r="J42" s="287">
        <f t="shared" si="2"/>
        <v>28.571428571428569</v>
      </c>
      <c r="K42" s="834"/>
      <c r="L42" s="834">
        <v>11</v>
      </c>
      <c r="M42" s="287">
        <f t="shared" si="6"/>
        <v>26.190476190476193</v>
      </c>
      <c r="N42" s="834"/>
      <c r="O42" s="834">
        <v>1</v>
      </c>
      <c r="P42" s="287">
        <f t="shared" si="3"/>
        <v>2.3809523809523809</v>
      </c>
      <c r="Q42" s="834"/>
      <c r="R42" s="834">
        <v>0</v>
      </c>
      <c r="S42" s="348">
        <f t="shared" si="4"/>
        <v>0</v>
      </c>
    </row>
    <row r="43" spans="1:19" ht="13.25" customHeight="1">
      <c r="A43" s="95" t="s">
        <v>735</v>
      </c>
      <c r="B43" s="339">
        <f t="shared" si="0"/>
        <v>66</v>
      </c>
      <c r="D43" s="341">
        <f t="shared" si="5"/>
        <v>2.2703818369453046</v>
      </c>
      <c r="F43" s="834">
        <v>8</v>
      </c>
      <c r="G43" s="287">
        <f t="shared" si="1"/>
        <v>12.121212121212121</v>
      </c>
      <c r="H43" s="834"/>
      <c r="I43" s="834">
        <v>53</v>
      </c>
      <c r="J43" s="287">
        <f t="shared" si="2"/>
        <v>80.303030303030297</v>
      </c>
      <c r="K43" s="834"/>
      <c r="L43" s="834">
        <v>5</v>
      </c>
      <c r="M43" s="287">
        <f t="shared" si="6"/>
        <v>7.5757575757575761</v>
      </c>
      <c r="N43" s="834"/>
      <c r="O43" s="834">
        <v>0</v>
      </c>
      <c r="P43" s="287">
        <f t="shared" si="3"/>
        <v>0</v>
      </c>
      <c r="Q43" s="834"/>
      <c r="R43" s="834">
        <v>0</v>
      </c>
      <c r="S43" s="348">
        <f t="shared" si="4"/>
        <v>0</v>
      </c>
    </row>
    <row r="44" spans="1:19" ht="13.25" customHeight="1">
      <c r="A44" s="95" t="s">
        <v>736</v>
      </c>
      <c r="B44" s="339">
        <f t="shared" si="0"/>
        <v>21</v>
      </c>
      <c r="D44" s="341">
        <f t="shared" si="5"/>
        <v>0.72239422084623317</v>
      </c>
      <c r="F44" s="834">
        <v>3</v>
      </c>
      <c r="G44" s="287">
        <f t="shared" si="1"/>
        <v>14.285714285714285</v>
      </c>
      <c r="H44" s="834"/>
      <c r="I44" s="834">
        <v>17</v>
      </c>
      <c r="J44" s="287">
        <f t="shared" si="2"/>
        <v>80.952380952380949</v>
      </c>
      <c r="K44" s="834"/>
      <c r="L44" s="834">
        <v>1</v>
      </c>
      <c r="M44" s="287">
        <f t="shared" si="6"/>
        <v>4.7619047619047619</v>
      </c>
      <c r="N44" s="834"/>
      <c r="O44" s="834">
        <v>0</v>
      </c>
      <c r="P44" s="287">
        <f t="shared" si="3"/>
        <v>0</v>
      </c>
      <c r="Q44" s="834"/>
      <c r="R44" s="834">
        <v>0</v>
      </c>
      <c r="S44" s="348">
        <f t="shared" si="4"/>
        <v>0</v>
      </c>
    </row>
    <row r="45" spans="1:19" ht="13.25" customHeight="1">
      <c r="A45" s="95" t="s">
        <v>737</v>
      </c>
      <c r="B45" s="339">
        <f t="shared" si="0"/>
        <v>125</v>
      </c>
      <c r="D45" s="341">
        <f t="shared" si="5"/>
        <v>4.2999656002751978</v>
      </c>
      <c r="F45" s="834">
        <v>5</v>
      </c>
      <c r="G45" s="287">
        <f t="shared" si="1"/>
        <v>4</v>
      </c>
      <c r="H45" s="834"/>
      <c r="I45" s="834">
        <v>56</v>
      </c>
      <c r="J45" s="287">
        <f t="shared" si="2"/>
        <v>44.800000000000004</v>
      </c>
      <c r="K45" s="834"/>
      <c r="L45" s="834">
        <v>15</v>
      </c>
      <c r="M45" s="287">
        <f t="shared" si="6"/>
        <v>12</v>
      </c>
      <c r="N45" s="834"/>
      <c r="O45" s="834">
        <v>48</v>
      </c>
      <c r="P45" s="287">
        <f t="shared" si="3"/>
        <v>38.4</v>
      </c>
      <c r="Q45" s="834"/>
      <c r="R45" s="834">
        <v>1</v>
      </c>
      <c r="S45" s="348">
        <f t="shared" si="4"/>
        <v>0.8</v>
      </c>
    </row>
    <row r="46" spans="1:19" ht="13.25" customHeight="1">
      <c r="A46" s="95" t="s">
        <v>738</v>
      </c>
      <c r="B46" s="339">
        <f t="shared" si="0"/>
        <v>50</v>
      </c>
      <c r="D46" s="341">
        <f t="shared" si="5"/>
        <v>1.7199862401100792</v>
      </c>
      <c r="F46" s="834">
        <v>2</v>
      </c>
      <c r="G46" s="287">
        <f t="shared" si="1"/>
        <v>4</v>
      </c>
      <c r="H46" s="834"/>
      <c r="I46" s="834">
        <v>26</v>
      </c>
      <c r="J46" s="287">
        <f t="shared" si="2"/>
        <v>52</v>
      </c>
      <c r="K46" s="834"/>
      <c r="L46" s="834">
        <v>17</v>
      </c>
      <c r="M46" s="287">
        <f t="shared" si="6"/>
        <v>34</v>
      </c>
      <c r="N46" s="834"/>
      <c r="O46" s="834">
        <v>5</v>
      </c>
      <c r="P46" s="287">
        <f t="shared" si="3"/>
        <v>10</v>
      </c>
      <c r="Q46" s="834"/>
      <c r="R46" s="834">
        <v>0</v>
      </c>
      <c r="S46" s="348">
        <f t="shared" si="4"/>
        <v>0</v>
      </c>
    </row>
    <row r="47" spans="1:19" ht="13.25" customHeight="1">
      <c r="A47" s="95" t="s">
        <v>739</v>
      </c>
      <c r="B47" s="339">
        <f t="shared" si="0"/>
        <v>4</v>
      </c>
      <c r="D47" s="341">
        <f t="shared" si="5"/>
        <v>0.13759889920880633</v>
      </c>
      <c r="F47" s="834">
        <v>0</v>
      </c>
      <c r="G47" s="287">
        <f t="shared" si="1"/>
        <v>0</v>
      </c>
      <c r="H47" s="834"/>
      <c r="I47" s="834">
        <v>2</v>
      </c>
      <c r="J47" s="287">
        <f t="shared" si="2"/>
        <v>50</v>
      </c>
      <c r="K47" s="834"/>
      <c r="L47" s="834">
        <v>2</v>
      </c>
      <c r="M47" s="287">
        <f t="shared" si="6"/>
        <v>50</v>
      </c>
      <c r="N47" s="834"/>
      <c r="O47" s="834">
        <v>0</v>
      </c>
      <c r="P47" s="287">
        <f t="shared" si="3"/>
        <v>0</v>
      </c>
      <c r="Q47" s="834"/>
      <c r="R47" s="834">
        <v>0</v>
      </c>
      <c r="S47" s="348">
        <f t="shared" si="4"/>
        <v>0</v>
      </c>
    </row>
    <row r="48" spans="1:19" ht="13.25" customHeight="1">
      <c r="A48" s="95" t="s">
        <v>740</v>
      </c>
      <c r="B48" s="339">
        <f t="shared" si="0"/>
        <v>71</v>
      </c>
      <c r="D48" s="341">
        <f>IF(A48&lt;&gt;0,B48/$B$12*100,"")</f>
        <v>2.4423804609563122</v>
      </c>
      <c r="F48" s="834">
        <v>6</v>
      </c>
      <c r="G48" s="287">
        <f t="shared" si="1"/>
        <v>8.4507042253521121</v>
      </c>
      <c r="H48" s="834"/>
      <c r="I48" s="834">
        <v>44</v>
      </c>
      <c r="J48" s="287">
        <f t="shared" si="2"/>
        <v>61.971830985915489</v>
      </c>
      <c r="K48" s="834"/>
      <c r="L48" s="834">
        <v>21</v>
      </c>
      <c r="M48" s="287">
        <f t="shared" si="6"/>
        <v>29.577464788732392</v>
      </c>
      <c r="N48" s="834"/>
      <c r="O48" s="834">
        <v>0</v>
      </c>
      <c r="P48" s="287">
        <f t="shared" si="3"/>
        <v>0</v>
      </c>
      <c r="Q48" s="834"/>
      <c r="R48" s="834">
        <v>0</v>
      </c>
    </row>
    <row r="49" spans="1:21" ht="13.25" customHeight="1">
      <c r="A49" s="95" t="s">
        <v>741</v>
      </c>
      <c r="B49" s="339">
        <f t="shared" si="0"/>
        <v>27</v>
      </c>
      <c r="D49" s="341">
        <f t="shared" si="5"/>
        <v>0.92879256965944268</v>
      </c>
      <c r="F49" s="834">
        <v>1</v>
      </c>
      <c r="G49" s="287">
        <f t="shared" si="1"/>
        <v>3.7037037037037033</v>
      </c>
      <c r="H49" s="834"/>
      <c r="I49" s="834">
        <v>20</v>
      </c>
      <c r="J49" s="287">
        <f t="shared" si="2"/>
        <v>74.074074074074076</v>
      </c>
      <c r="K49" s="834"/>
      <c r="L49" s="834">
        <v>4</v>
      </c>
      <c r="M49" s="287">
        <f t="shared" si="6"/>
        <v>14.814814814814813</v>
      </c>
      <c r="N49" s="834"/>
      <c r="O49" s="834">
        <v>1</v>
      </c>
      <c r="P49" s="287">
        <f t="shared" si="3"/>
        <v>3.7037037037037033</v>
      </c>
      <c r="Q49" s="834"/>
      <c r="R49" s="834">
        <v>1</v>
      </c>
      <c r="S49" s="348">
        <f t="shared" si="4"/>
        <v>3.7037037037037033</v>
      </c>
    </row>
    <row r="50" spans="1:21" ht="13.25" customHeight="1">
      <c r="A50" s="95" t="s">
        <v>743</v>
      </c>
      <c r="B50" s="339">
        <f t="shared" si="0"/>
        <v>24</v>
      </c>
      <c r="D50" s="341">
        <f t="shared" si="5"/>
        <v>0.82559339525283792</v>
      </c>
      <c r="F50" s="833">
        <v>0</v>
      </c>
      <c r="G50" s="287">
        <f t="shared" si="1"/>
        <v>0</v>
      </c>
      <c r="H50" s="833"/>
      <c r="I50" s="833">
        <v>24</v>
      </c>
      <c r="J50" s="287">
        <f t="shared" si="2"/>
        <v>100</v>
      </c>
      <c r="K50" s="833"/>
      <c r="L50" s="833">
        <v>0</v>
      </c>
      <c r="M50" s="287">
        <f t="shared" si="6"/>
        <v>0</v>
      </c>
      <c r="N50" s="833"/>
      <c r="O50" s="833">
        <v>0</v>
      </c>
      <c r="P50" s="287">
        <f t="shared" si="3"/>
        <v>0</v>
      </c>
      <c r="Q50" s="833"/>
      <c r="R50" s="833">
        <v>0</v>
      </c>
      <c r="S50" s="348">
        <f t="shared" si="4"/>
        <v>0</v>
      </c>
    </row>
    <row r="51" spans="1:21" ht="13.25" customHeight="1">
      <c r="A51" s="95" t="s">
        <v>742</v>
      </c>
      <c r="B51" s="339">
        <f t="shared" si="0"/>
        <v>14</v>
      </c>
      <c r="D51" s="341">
        <f t="shared" si="5"/>
        <v>0.48159614723082217</v>
      </c>
      <c r="F51" s="834">
        <v>2</v>
      </c>
      <c r="G51" s="287">
        <f t="shared" si="1"/>
        <v>14.285714285714285</v>
      </c>
      <c r="H51" s="834"/>
      <c r="I51" s="834">
        <v>0</v>
      </c>
      <c r="J51" s="287">
        <f t="shared" si="2"/>
        <v>0</v>
      </c>
      <c r="K51" s="834"/>
      <c r="L51" s="834">
        <v>12</v>
      </c>
      <c r="M51" s="287">
        <f t="shared" si="6"/>
        <v>85.714285714285708</v>
      </c>
      <c r="N51" s="834"/>
      <c r="O51" s="834">
        <v>0</v>
      </c>
      <c r="P51" s="287">
        <f t="shared" si="3"/>
        <v>0</v>
      </c>
      <c r="Q51" s="834"/>
      <c r="R51" s="834">
        <v>0</v>
      </c>
      <c r="S51" s="348">
        <f t="shared" si="4"/>
        <v>0</v>
      </c>
    </row>
    <row r="52" spans="1:21" ht="13.25" customHeight="1">
      <c r="A52" s="95" t="s">
        <v>744</v>
      </c>
      <c r="B52" s="339">
        <f t="shared" si="0"/>
        <v>43</v>
      </c>
      <c r="D52" s="341">
        <f t="shared" si="5"/>
        <v>1.479188166494668</v>
      </c>
      <c r="F52" s="834">
        <v>3</v>
      </c>
      <c r="G52" s="287">
        <f t="shared" si="1"/>
        <v>6.9767441860465116</v>
      </c>
      <c r="H52" s="834"/>
      <c r="I52" s="834">
        <v>25</v>
      </c>
      <c r="J52" s="287">
        <f t="shared" si="2"/>
        <v>58.139534883720934</v>
      </c>
      <c r="K52" s="834"/>
      <c r="L52" s="834">
        <v>3</v>
      </c>
      <c r="M52" s="287">
        <f t="shared" si="6"/>
        <v>6.9767441860465116</v>
      </c>
      <c r="N52" s="834"/>
      <c r="O52" s="834">
        <v>12</v>
      </c>
      <c r="P52" s="287">
        <f t="shared" si="3"/>
        <v>27.906976744186046</v>
      </c>
      <c r="Q52" s="834"/>
      <c r="R52" s="834">
        <v>0</v>
      </c>
      <c r="S52" s="348">
        <f t="shared" si="4"/>
        <v>0</v>
      </c>
    </row>
    <row r="53" spans="1:21" ht="13.25" customHeight="1">
      <c r="A53" s="95" t="s">
        <v>746</v>
      </c>
      <c r="B53" s="339">
        <f t="shared" si="0"/>
        <v>52</v>
      </c>
      <c r="D53" s="341">
        <f t="shared" si="5"/>
        <v>1.7887856897144825</v>
      </c>
      <c r="F53" s="834">
        <v>7</v>
      </c>
      <c r="G53" s="287">
        <f t="shared" si="1"/>
        <v>13.461538461538462</v>
      </c>
      <c r="H53" s="834"/>
      <c r="I53" s="834">
        <v>27</v>
      </c>
      <c r="J53" s="287">
        <f t="shared" si="2"/>
        <v>51.923076923076927</v>
      </c>
      <c r="K53" s="834"/>
      <c r="L53" s="834">
        <v>13</v>
      </c>
      <c r="M53" s="287">
        <f t="shared" si="6"/>
        <v>25</v>
      </c>
      <c r="N53" s="834"/>
      <c r="O53" s="834">
        <v>5</v>
      </c>
      <c r="P53" s="287">
        <f t="shared" si="3"/>
        <v>9.6153846153846168</v>
      </c>
      <c r="Q53" s="834"/>
      <c r="R53" s="834">
        <v>0</v>
      </c>
      <c r="S53" s="348">
        <f t="shared" si="4"/>
        <v>0</v>
      </c>
    </row>
    <row r="54" spans="1:21" ht="13.25" customHeight="1">
      <c r="A54" s="95" t="s">
        <v>747</v>
      </c>
      <c r="B54" s="339">
        <f t="shared" si="0"/>
        <v>14</v>
      </c>
      <c r="D54" s="341">
        <f t="shared" si="5"/>
        <v>0.48159614723082217</v>
      </c>
      <c r="F54" s="834">
        <v>2</v>
      </c>
      <c r="G54" s="287">
        <f t="shared" si="1"/>
        <v>14.285714285714285</v>
      </c>
      <c r="H54" s="834"/>
      <c r="I54" s="834">
        <v>9</v>
      </c>
      <c r="J54" s="287">
        <f t="shared" si="2"/>
        <v>64.285714285714292</v>
      </c>
      <c r="K54" s="834"/>
      <c r="L54" s="834">
        <v>3</v>
      </c>
      <c r="M54" s="287">
        <f t="shared" si="6"/>
        <v>21.428571428571427</v>
      </c>
      <c r="N54" s="834"/>
      <c r="O54" s="834">
        <v>0</v>
      </c>
      <c r="P54" s="287">
        <f t="shared" si="3"/>
        <v>0</v>
      </c>
      <c r="Q54" s="834"/>
      <c r="R54" s="834">
        <v>0</v>
      </c>
      <c r="S54" s="348">
        <f t="shared" si="4"/>
        <v>0</v>
      </c>
    </row>
    <row r="55" spans="1:21" ht="13.25" customHeight="1">
      <c r="A55" s="95" t="s">
        <v>748</v>
      </c>
      <c r="B55" s="339">
        <f t="shared" si="0"/>
        <v>25</v>
      </c>
      <c r="D55" s="341">
        <f t="shared" si="5"/>
        <v>0.85999312005503958</v>
      </c>
      <c r="F55" s="834">
        <v>0</v>
      </c>
      <c r="G55" s="287">
        <f t="shared" si="1"/>
        <v>0</v>
      </c>
      <c r="H55" s="834"/>
      <c r="I55" s="834">
        <v>10</v>
      </c>
      <c r="J55" s="287">
        <f t="shared" si="2"/>
        <v>40</v>
      </c>
      <c r="K55" s="834"/>
      <c r="L55" s="834">
        <v>14</v>
      </c>
      <c r="M55" s="287">
        <f t="shared" si="6"/>
        <v>56.000000000000007</v>
      </c>
      <c r="N55" s="834"/>
      <c r="O55" s="834">
        <v>1</v>
      </c>
      <c r="P55" s="287">
        <f t="shared" si="3"/>
        <v>4</v>
      </c>
      <c r="Q55" s="834"/>
      <c r="R55" s="834">
        <v>0</v>
      </c>
      <c r="S55" s="348">
        <f t="shared" si="4"/>
        <v>0</v>
      </c>
    </row>
    <row r="56" spans="1:21" ht="13.25" customHeight="1">
      <c r="A56" s="95" t="s">
        <v>749</v>
      </c>
      <c r="B56" s="339">
        <f t="shared" si="0"/>
        <v>20</v>
      </c>
      <c r="C56" s="319"/>
      <c r="D56" s="320">
        <f t="shared" si="5"/>
        <v>0.68799449604403162</v>
      </c>
      <c r="E56" s="71"/>
      <c r="F56" s="834">
        <v>3</v>
      </c>
      <c r="G56" s="287">
        <f t="shared" si="1"/>
        <v>15</v>
      </c>
      <c r="H56" s="834"/>
      <c r="I56" s="834">
        <v>3</v>
      </c>
      <c r="J56" s="287">
        <f t="shared" si="2"/>
        <v>15</v>
      </c>
      <c r="K56" s="834"/>
      <c r="L56" s="834">
        <v>11</v>
      </c>
      <c r="M56" s="287">
        <f t="shared" si="6"/>
        <v>55.000000000000007</v>
      </c>
      <c r="N56" s="834"/>
      <c r="O56" s="834">
        <v>3</v>
      </c>
      <c r="P56" s="287">
        <f t="shared" si="3"/>
        <v>15</v>
      </c>
      <c r="Q56" s="834"/>
      <c r="R56" s="834">
        <v>0</v>
      </c>
      <c r="S56" s="350">
        <f t="shared" si="4"/>
        <v>0</v>
      </c>
      <c r="T56" s="71"/>
      <c r="U56" s="71"/>
    </row>
    <row r="57" spans="1:21" ht="12.75" customHeight="1">
      <c r="A57" s="95" t="s">
        <v>750</v>
      </c>
      <c r="B57" s="339">
        <f t="shared" si="0"/>
        <v>13</v>
      </c>
      <c r="C57" s="319"/>
      <c r="D57" s="320">
        <f t="shared" si="5"/>
        <v>0.44719642242862062</v>
      </c>
      <c r="E57" s="71"/>
      <c r="F57" s="834">
        <v>0</v>
      </c>
      <c r="G57" s="287">
        <f t="shared" si="1"/>
        <v>0</v>
      </c>
      <c r="H57" s="834"/>
      <c r="I57" s="834">
        <v>7</v>
      </c>
      <c r="J57" s="287">
        <f t="shared" si="2"/>
        <v>53.846153846153847</v>
      </c>
      <c r="K57" s="834"/>
      <c r="L57" s="834">
        <v>6</v>
      </c>
      <c r="M57" s="287">
        <f t="shared" si="6"/>
        <v>46.153846153846153</v>
      </c>
      <c r="N57" s="834"/>
      <c r="O57" s="834">
        <v>0</v>
      </c>
      <c r="P57" s="287">
        <f t="shared" si="3"/>
        <v>0</v>
      </c>
      <c r="Q57" s="834"/>
      <c r="R57" s="834">
        <v>0</v>
      </c>
      <c r="S57" s="350">
        <f t="shared" si="4"/>
        <v>0</v>
      </c>
      <c r="T57" s="71"/>
      <c r="U57" s="71"/>
    </row>
    <row r="58" spans="1:21" ht="12.75" customHeight="1">
      <c r="A58" s="95" t="s">
        <v>751</v>
      </c>
      <c r="B58" s="339">
        <f t="shared" si="0"/>
        <v>35</v>
      </c>
      <c r="C58" s="319"/>
      <c r="D58" s="320">
        <f t="shared" si="5"/>
        <v>1.2039903680770554</v>
      </c>
      <c r="E58" s="71"/>
      <c r="F58" s="834">
        <v>12</v>
      </c>
      <c r="G58" s="287">
        <f t="shared" si="1"/>
        <v>34.285714285714285</v>
      </c>
      <c r="H58" s="834"/>
      <c r="I58" s="834">
        <v>12</v>
      </c>
      <c r="J58" s="287">
        <f t="shared" si="2"/>
        <v>34.285714285714285</v>
      </c>
      <c r="K58" s="834"/>
      <c r="L58" s="834">
        <v>4</v>
      </c>
      <c r="M58" s="287">
        <f t="shared" si="6"/>
        <v>11.428571428571429</v>
      </c>
      <c r="N58" s="834"/>
      <c r="O58" s="834">
        <v>7</v>
      </c>
      <c r="P58" s="287">
        <f t="shared" si="3"/>
        <v>20</v>
      </c>
      <c r="Q58" s="834"/>
      <c r="R58" s="834">
        <v>0</v>
      </c>
      <c r="S58" s="350">
        <f t="shared" si="4"/>
        <v>0</v>
      </c>
      <c r="T58" s="71"/>
      <c r="U58" s="71"/>
    </row>
    <row r="59" spans="1:21" ht="13.25" customHeight="1">
      <c r="A59" s="95" t="s">
        <v>752</v>
      </c>
      <c r="B59" s="339">
        <f t="shared" si="0"/>
        <v>13</v>
      </c>
      <c r="C59" s="319"/>
      <c r="D59" s="320">
        <f t="shared" si="5"/>
        <v>0.44719642242862062</v>
      </c>
      <c r="E59" s="71"/>
      <c r="F59" s="834">
        <v>2</v>
      </c>
      <c r="G59" s="287">
        <f t="shared" si="1"/>
        <v>15.384615384615385</v>
      </c>
      <c r="H59" s="834"/>
      <c r="I59" s="834">
        <v>3</v>
      </c>
      <c r="J59" s="287">
        <f t="shared" si="2"/>
        <v>23.076923076923077</v>
      </c>
      <c r="K59" s="834"/>
      <c r="L59" s="834">
        <v>2</v>
      </c>
      <c r="M59" s="287">
        <f t="shared" si="6"/>
        <v>15.384615384615385</v>
      </c>
      <c r="N59" s="834"/>
      <c r="O59" s="834">
        <v>6</v>
      </c>
      <c r="P59" s="287">
        <f t="shared" si="3"/>
        <v>46.153846153846153</v>
      </c>
      <c r="Q59" s="834"/>
      <c r="R59" s="834">
        <v>0</v>
      </c>
      <c r="S59" s="350">
        <f t="shared" si="4"/>
        <v>0</v>
      </c>
      <c r="T59" s="71"/>
      <c r="U59" s="71"/>
    </row>
    <row r="60" spans="1:21" ht="13.25" customHeight="1">
      <c r="A60" s="111" t="s">
        <v>753</v>
      </c>
      <c r="B60" s="339">
        <f t="shared" si="0"/>
        <v>2</v>
      </c>
      <c r="C60" s="319"/>
      <c r="D60" s="320">
        <f t="shared" si="5"/>
        <v>6.8799449604403165E-2</v>
      </c>
      <c r="E60" s="71"/>
      <c r="F60" s="834">
        <v>0</v>
      </c>
      <c r="G60" s="287">
        <f t="shared" si="1"/>
        <v>0</v>
      </c>
      <c r="H60" s="834"/>
      <c r="I60" s="834">
        <v>2</v>
      </c>
      <c r="J60" s="287">
        <f t="shared" si="2"/>
        <v>100</v>
      </c>
      <c r="K60" s="834"/>
      <c r="L60" s="834">
        <v>0</v>
      </c>
      <c r="M60" s="287">
        <f t="shared" si="6"/>
        <v>0</v>
      </c>
      <c r="N60" s="834"/>
      <c r="O60" s="834">
        <v>0</v>
      </c>
      <c r="P60" s="287">
        <f t="shared" si="3"/>
        <v>0</v>
      </c>
      <c r="Q60" s="834"/>
      <c r="R60" s="834">
        <v>0</v>
      </c>
      <c r="S60" s="350">
        <f t="shared" si="4"/>
        <v>0</v>
      </c>
      <c r="T60" s="71"/>
      <c r="U60" s="71"/>
    </row>
    <row r="61" spans="1:21" ht="13.25" customHeight="1">
      <c r="A61" s="106" t="s">
        <v>754</v>
      </c>
      <c r="B61" s="339">
        <f t="shared" si="0"/>
        <v>22</v>
      </c>
      <c r="C61" s="319"/>
      <c r="D61" s="320">
        <f t="shared" si="5"/>
        <v>0.75679394564843483</v>
      </c>
      <c r="E61" s="71"/>
      <c r="F61" s="834">
        <v>8</v>
      </c>
      <c r="G61" s="287">
        <f t="shared" si="1"/>
        <v>36.363636363636367</v>
      </c>
      <c r="H61" s="834"/>
      <c r="I61" s="834">
        <v>14</v>
      </c>
      <c r="J61" s="287">
        <f t="shared" si="2"/>
        <v>63.636363636363633</v>
      </c>
      <c r="K61" s="834"/>
      <c r="L61" s="834">
        <v>0</v>
      </c>
      <c r="M61" s="287">
        <f t="shared" si="6"/>
        <v>0</v>
      </c>
      <c r="N61" s="834"/>
      <c r="O61" s="834">
        <v>0</v>
      </c>
      <c r="P61" s="287">
        <f t="shared" si="3"/>
        <v>0</v>
      </c>
      <c r="Q61" s="834"/>
      <c r="R61" s="834">
        <v>0</v>
      </c>
      <c r="S61" s="350">
        <f t="shared" si="4"/>
        <v>0</v>
      </c>
      <c r="T61" s="71"/>
      <c r="U61" s="71"/>
    </row>
    <row r="62" spans="1:21" ht="13.25" customHeight="1">
      <c r="A62" s="95" t="s">
        <v>755</v>
      </c>
      <c r="B62" s="339">
        <f t="shared" si="0"/>
        <v>59</v>
      </c>
      <c r="C62" s="319"/>
      <c r="D62" s="320">
        <f t="shared" si="5"/>
        <v>2.0295837633298937</v>
      </c>
      <c r="E62" s="71"/>
      <c r="F62" s="834">
        <v>14</v>
      </c>
      <c r="G62" s="287">
        <f t="shared" si="1"/>
        <v>23.728813559322035</v>
      </c>
      <c r="H62" s="834"/>
      <c r="I62" s="834">
        <v>27</v>
      </c>
      <c r="J62" s="287">
        <f t="shared" si="2"/>
        <v>45.762711864406782</v>
      </c>
      <c r="K62" s="834"/>
      <c r="L62" s="834">
        <v>16</v>
      </c>
      <c r="M62" s="287">
        <f t="shared" si="6"/>
        <v>27.118644067796609</v>
      </c>
      <c r="N62" s="834"/>
      <c r="O62" s="834">
        <v>2</v>
      </c>
      <c r="P62" s="287">
        <f t="shared" si="3"/>
        <v>3.3898305084745761</v>
      </c>
      <c r="Q62" s="834"/>
      <c r="R62" s="834">
        <v>0</v>
      </c>
      <c r="S62" s="350">
        <f t="shared" si="4"/>
        <v>0</v>
      </c>
      <c r="T62" s="71"/>
      <c r="U62" s="71"/>
    </row>
    <row r="63" spans="1:21" ht="13.25" customHeight="1">
      <c r="A63" s="95" t="s">
        <v>756</v>
      </c>
      <c r="B63" s="339">
        <f t="shared" si="0"/>
        <v>70</v>
      </c>
      <c r="C63" s="319"/>
      <c r="D63" s="320">
        <f t="shared" si="5"/>
        <v>2.4079807361541108</v>
      </c>
      <c r="E63" s="71"/>
      <c r="F63" s="834">
        <v>11</v>
      </c>
      <c r="G63" s="287">
        <f t="shared" si="1"/>
        <v>15.714285714285714</v>
      </c>
      <c r="H63" s="834"/>
      <c r="I63" s="834">
        <v>53</v>
      </c>
      <c r="J63" s="287">
        <f t="shared" si="2"/>
        <v>75.714285714285708</v>
      </c>
      <c r="K63" s="834"/>
      <c r="L63" s="834">
        <v>5</v>
      </c>
      <c r="M63" s="287">
        <f t="shared" si="6"/>
        <v>7.1428571428571423</v>
      </c>
      <c r="N63" s="834"/>
      <c r="O63" s="834">
        <v>1</v>
      </c>
      <c r="P63" s="287">
        <f t="shared" si="3"/>
        <v>1.4285714285714286</v>
      </c>
      <c r="Q63" s="834"/>
      <c r="R63" s="834">
        <v>0</v>
      </c>
      <c r="S63" s="350">
        <f t="shared" si="4"/>
        <v>0</v>
      </c>
      <c r="T63" s="71"/>
      <c r="U63" s="71"/>
    </row>
    <row r="64" spans="1:21" ht="13.25" customHeight="1">
      <c r="A64" s="95" t="s">
        <v>757</v>
      </c>
      <c r="B64" s="339">
        <f t="shared" si="0"/>
        <v>22</v>
      </c>
      <c r="C64" s="319"/>
      <c r="D64" s="320">
        <f t="shared" si="5"/>
        <v>0.75679394564843483</v>
      </c>
      <c r="E64" s="71"/>
      <c r="F64" s="834">
        <v>1</v>
      </c>
      <c r="G64" s="287">
        <f t="shared" si="1"/>
        <v>4.5454545454545459</v>
      </c>
      <c r="H64" s="834"/>
      <c r="I64" s="834">
        <v>3</v>
      </c>
      <c r="J64" s="287">
        <f t="shared" si="2"/>
        <v>13.636363636363635</v>
      </c>
      <c r="K64" s="834"/>
      <c r="L64" s="834">
        <v>4</v>
      </c>
      <c r="M64" s="287">
        <f t="shared" si="6"/>
        <v>18.181818181818183</v>
      </c>
      <c r="N64" s="834"/>
      <c r="O64" s="834">
        <v>13</v>
      </c>
      <c r="P64" s="287">
        <f t="shared" si="3"/>
        <v>59.090909090909093</v>
      </c>
      <c r="Q64" s="834"/>
      <c r="R64" s="834">
        <v>1</v>
      </c>
      <c r="S64" s="350">
        <f t="shared" si="4"/>
        <v>4.5454545454545459</v>
      </c>
      <c r="T64" s="71"/>
      <c r="U64" s="71"/>
    </row>
    <row r="65" spans="1:21" ht="13.25" customHeight="1">
      <c r="A65" s="95" t="s">
        <v>758</v>
      </c>
      <c r="B65" s="339">
        <f t="shared" si="0"/>
        <v>38</v>
      </c>
      <c r="C65" s="319"/>
      <c r="D65" s="320">
        <f t="shared" si="5"/>
        <v>1.3071895424836601</v>
      </c>
      <c r="E65" s="71"/>
      <c r="F65" s="834">
        <v>8</v>
      </c>
      <c r="G65" s="287">
        <f t="shared" si="1"/>
        <v>21.052631578947366</v>
      </c>
      <c r="H65" s="834"/>
      <c r="I65" s="834">
        <v>23</v>
      </c>
      <c r="J65" s="287">
        <f t="shared" si="2"/>
        <v>60.526315789473685</v>
      </c>
      <c r="K65" s="834"/>
      <c r="L65" s="834">
        <v>7</v>
      </c>
      <c r="M65" s="287">
        <f t="shared" si="6"/>
        <v>18.421052631578945</v>
      </c>
      <c r="N65" s="834"/>
      <c r="O65" s="834">
        <v>0</v>
      </c>
      <c r="P65" s="287">
        <f t="shared" si="3"/>
        <v>0</v>
      </c>
      <c r="Q65" s="834"/>
      <c r="R65" s="834">
        <v>0</v>
      </c>
      <c r="S65" s="350">
        <f t="shared" si="4"/>
        <v>0</v>
      </c>
      <c r="T65" s="71"/>
      <c r="U65" s="71"/>
    </row>
    <row r="66" spans="1:21" ht="13.25" customHeight="1">
      <c r="A66" s="33" t="s">
        <v>759</v>
      </c>
      <c r="B66" s="339">
        <f t="shared" si="0"/>
        <v>22</v>
      </c>
      <c r="C66" s="319"/>
      <c r="D66" s="320">
        <f t="shared" si="5"/>
        <v>0.75679394564843483</v>
      </c>
      <c r="E66" s="71"/>
      <c r="F66" s="834">
        <v>5</v>
      </c>
      <c r="G66" s="287">
        <f t="shared" si="1"/>
        <v>22.727272727272727</v>
      </c>
      <c r="H66" s="834"/>
      <c r="I66" s="834">
        <v>14</v>
      </c>
      <c r="J66" s="287">
        <f t="shared" si="2"/>
        <v>63.636363636363633</v>
      </c>
      <c r="K66" s="834"/>
      <c r="L66" s="834">
        <v>1</v>
      </c>
      <c r="M66" s="287">
        <f t="shared" si="6"/>
        <v>4.5454545454545459</v>
      </c>
      <c r="N66" s="834"/>
      <c r="O66" s="834">
        <v>2</v>
      </c>
      <c r="P66" s="287">
        <f t="shared" si="3"/>
        <v>9.0909090909090917</v>
      </c>
      <c r="Q66" s="834"/>
      <c r="R66" s="834">
        <v>0</v>
      </c>
      <c r="S66" s="350">
        <f t="shared" si="4"/>
        <v>0</v>
      </c>
      <c r="T66" s="71"/>
      <c r="U66" s="71"/>
    </row>
    <row r="67" spans="1:21" ht="13.25" customHeight="1">
      <c r="A67" s="95" t="s">
        <v>760</v>
      </c>
      <c r="B67" s="339">
        <f t="shared" si="0"/>
        <v>6</v>
      </c>
      <c r="C67" s="319"/>
      <c r="D67" s="320">
        <f t="shared" si="5"/>
        <v>0.20639834881320948</v>
      </c>
      <c r="E67" s="71"/>
      <c r="F67" s="834">
        <v>0</v>
      </c>
      <c r="G67" s="287">
        <f t="shared" si="1"/>
        <v>0</v>
      </c>
      <c r="H67" s="834"/>
      <c r="I67" s="834">
        <v>6</v>
      </c>
      <c r="J67" s="287">
        <f t="shared" si="2"/>
        <v>100</v>
      </c>
      <c r="K67" s="834"/>
      <c r="L67" s="834">
        <v>0</v>
      </c>
      <c r="M67" s="287">
        <f t="shared" si="6"/>
        <v>0</v>
      </c>
      <c r="N67" s="834"/>
      <c r="O67" s="834">
        <v>0</v>
      </c>
      <c r="P67" s="287">
        <f t="shared" si="3"/>
        <v>0</v>
      </c>
      <c r="Q67" s="834"/>
      <c r="R67" s="834">
        <v>0</v>
      </c>
      <c r="S67" s="350">
        <f t="shared" si="4"/>
        <v>0</v>
      </c>
      <c r="T67" s="71"/>
      <c r="U67" s="71"/>
    </row>
    <row r="68" spans="1:21" ht="13.25" customHeight="1">
      <c r="A68" s="95" t="s">
        <v>761</v>
      </c>
      <c r="B68" s="339">
        <f t="shared" si="0"/>
        <v>44</v>
      </c>
      <c r="C68" s="319"/>
      <c r="D68" s="320">
        <f t="shared" si="5"/>
        <v>1.5135878912968697</v>
      </c>
      <c r="E68" s="71"/>
      <c r="F68" s="834">
        <v>3</v>
      </c>
      <c r="G68" s="287">
        <f t="shared" si="1"/>
        <v>6.8181818181818175</v>
      </c>
      <c r="H68" s="834"/>
      <c r="I68" s="834">
        <v>29</v>
      </c>
      <c r="J68" s="287">
        <f t="shared" si="2"/>
        <v>65.909090909090907</v>
      </c>
      <c r="K68" s="834"/>
      <c r="L68" s="834">
        <v>9</v>
      </c>
      <c r="M68" s="287">
        <f t="shared" si="6"/>
        <v>20.454545454545457</v>
      </c>
      <c r="N68" s="834"/>
      <c r="O68" s="834">
        <v>3</v>
      </c>
      <c r="P68" s="287">
        <f t="shared" si="3"/>
        <v>6.8181818181818175</v>
      </c>
      <c r="Q68" s="834"/>
      <c r="R68" s="834">
        <v>0</v>
      </c>
      <c r="S68" s="350">
        <f t="shared" si="4"/>
        <v>0</v>
      </c>
      <c r="T68" s="71"/>
      <c r="U68" s="71"/>
    </row>
    <row r="69" spans="1:21" ht="13.25" customHeight="1">
      <c r="A69" s="95" t="s">
        <v>762</v>
      </c>
      <c r="B69" s="339">
        <f t="shared" si="0"/>
        <v>81</v>
      </c>
      <c r="C69" s="319"/>
      <c r="D69" s="320">
        <f t="shared" si="5"/>
        <v>2.7863777089783279</v>
      </c>
      <c r="E69" s="71"/>
      <c r="F69" s="834">
        <v>16</v>
      </c>
      <c r="G69" s="287">
        <f t="shared" si="1"/>
        <v>19.753086419753085</v>
      </c>
      <c r="H69" s="834"/>
      <c r="I69" s="834">
        <v>52</v>
      </c>
      <c r="J69" s="287">
        <f t="shared" si="2"/>
        <v>64.197530864197532</v>
      </c>
      <c r="K69" s="834"/>
      <c r="L69" s="834">
        <v>8</v>
      </c>
      <c r="M69" s="287">
        <f t="shared" si="6"/>
        <v>9.8765432098765427</v>
      </c>
      <c r="N69" s="834"/>
      <c r="O69" s="834">
        <v>5</v>
      </c>
      <c r="P69" s="287">
        <f t="shared" si="3"/>
        <v>6.1728395061728394</v>
      </c>
      <c r="Q69" s="834"/>
      <c r="R69" s="834">
        <v>0</v>
      </c>
      <c r="S69" s="350">
        <f t="shared" si="4"/>
        <v>0</v>
      </c>
      <c r="T69" s="71"/>
      <c r="U69" s="71"/>
    </row>
    <row r="70" spans="1:21" ht="13.25" customHeight="1">
      <c r="A70" s="95" t="s">
        <v>763</v>
      </c>
      <c r="B70" s="339">
        <f t="shared" si="0"/>
        <v>52</v>
      </c>
      <c r="D70" s="341">
        <f t="shared" si="5"/>
        <v>1.7887856897144825</v>
      </c>
      <c r="F70" s="834">
        <v>7</v>
      </c>
      <c r="G70" s="287">
        <f t="shared" si="1"/>
        <v>13.461538461538462</v>
      </c>
      <c r="H70" s="834"/>
      <c r="I70" s="834">
        <v>22</v>
      </c>
      <c r="J70" s="287">
        <f t="shared" si="2"/>
        <v>42.307692307692307</v>
      </c>
      <c r="K70" s="834"/>
      <c r="L70" s="834">
        <v>22</v>
      </c>
      <c r="M70" s="287">
        <f t="shared" si="6"/>
        <v>42.307692307692307</v>
      </c>
      <c r="N70" s="834"/>
      <c r="O70" s="834">
        <v>1</v>
      </c>
      <c r="P70" s="287">
        <f t="shared" si="3"/>
        <v>1.9230769230769231</v>
      </c>
      <c r="Q70" s="834"/>
      <c r="R70" s="834">
        <v>0</v>
      </c>
      <c r="S70" s="350">
        <f t="shared" si="4"/>
        <v>0</v>
      </c>
    </row>
    <row r="71" spans="1:21" ht="13.25" customHeight="1">
      <c r="A71" s="95" t="s">
        <v>764</v>
      </c>
      <c r="B71" s="339">
        <f t="shared" si="0"/>
        <v>40</v>
      </c>
      <c r="D71" s="341">
        <f t="shared" si="5"/>
        <v>1.3759889920880632</v>
      </c>
      <c r="F71" s="834">
        <v>9</v>
      </c>
      <c r="G71" s="287">
        <f t="shared" si="1"/>
        <v>22.5</v>
      </c>
      <c r="H71" s="834"/>
      <c r="I71" s="834">
        <v>21</v>
      </c>
      <c r="J71" s="287">
        <f t="shared" si="2"/>
        <v>52.5</v>
      </c>
      <c r="K71" s="834"/>
      <c r="L71" s="834">
        <v>8</v>
      </c>
      <c r="M71" s="287">
        <f t="shared" si="6"/>
        <v>20</v>
      </c>
      <c r="N71" s="834"/>
      <c r="O71" s="834">
        <v>2</v>
      </c>
      <c r="P71" s="287">
        <f t="shared" si="3"/>
        <v>5</v>
      </c>
      <c r="Q71" s="834"/>
      <c r="R71" s="834">
        <v>0</v>
      </c>
      <c r="S71" s="350">
        <f t="shared" si="4"/>
        <v>0</v>
      </c>
    </row>
    <row r="72" spans="1:21" ht="13.25" customHeight="1">
      <c r="A72" s="95" t="s">
        <v>765</v>
      </c>
      <c r="B72" s="339">
        <f t="shared" si="0"/>
        <v>20</v>
      </c>
      <c r="D72" s="341">
        <f t="shared" si="5"/>
        <v>0.68799449604403162</v>
      </c>
      <c r="F72" s="834">
        <v>9</v>
      </c>
      <c r="G72" s="287">
        <f t="shared" si="1"/>
        <v>45</v>
      </c>
      <c r="H72" s="834"/>
      <c r="I72" s="834">
        <v>4</v>
      </c>
      <c r="J72" s="287">
        <f t="shared" si="2"/>
        <v>20</v>
      </c>
      <c r="K72" s="834"/>
      <c r="L72" s="834">
        <v>7</v>
      </c>
      <c r="M72" s="287">
        <f t="shared" si="6"/>
        <v>35</v>
      </c>
      <c r="N72" s="834"/>
      <c r="O72" s="834">
        <v>0</v>
      </c>
      <c r="P72" s="287">
        <f t="shared" si="3"/>
        <v>0</v>
      </c>
      <c r="Q72" s="834"/>
      <c r="R72" s="834">
        <v>0</v>
      </c>
      <c r="S72" s="350">
        <f t="shared" si="4"/>
        <v>0</v>
      </c>
    </row>
    <row r="73" spans="1:21" ht="13.25" customHeight="1">
      <c r="A73" s="95" t="s">
        <v>766</v>
      </c>
      <c r="B73" s="339">
        <f t="shared" si="0"/>
        <v>19</v>
      </c>
      <c r="D73" s="341">
        <f t="shared" si="5"/>
        <v>0.65359477124183007</v>
      </c>
      <c r="F73" s="834">
        <v>0</v>
      </c>
      <c r="G73" s="287">
        <f t="shared" si="1"/>
        <v>0</v>
      </c>
      <c r="H73" s="834"/>
      <c r="I73" s="834">
        <v>0</v>
      </c>
      <c r="J73" s="287">
        <f t="shared" si="2"/>
        <v>0</v>
      </c>
      <c r="K73" s="834"/>
      <c r="L73" s="834">
        <v>14</v>
      </c>
      <c r="M73" s="287">
        <f t="shared" si="6"/>
        <v>73.68421052631578</v>
      </c>
      <c r="N73" s="834"/>
      <c r="O73" s="834">
        <v>5</v>
      </c>
      <c r="P73" s="287">
        <f t="shared" si="3"/>
        <v>26.315789473684209</v>
      </c>
      <c r="Q73" s="834"/>
      <c r="R73" s="834">
        <v>0</v>
      </c>
      <c r="S73" s="350">
        <f t="shared" si="4"/>
        <v>0</v>
      </c>
    </row>
    <row r="74" spans="1:21" ht="13.25" customHeight="1">
      <c r="A74" s="95" t="s">
        <v>767</v>
      </c>
      <c r="B74" s="339">
        <f t="shared" si="0"/>
        <v>10</v>
      </c>
      <c r="D74" s="341">
        <f t="shared" si="5"/>
        <v>0.34399724802201581</v>
      </c>
      <c r="F74" s="834">
        <v>0</v>
      </c>
      <c r="G74" s="287">
        <f t="shared" si="1"/>
        <v>0</v>
      </c>
      <c r="H74" s="834"/>
      <c r="I74" s="834">
        <v>1</v>
      </c>
      <c r="J74" s="287">
        <f t="shared" si="2"/>
        <v>10</v>
      </c>
      <c r="K74" s="834"/>
      <c r="L74" s="834">
        <v>8</v>
      </c>
      <c r="M74" s="287">
        <f t="shared" si="6"/>
        <v>80</v>
      </c>
      <c r="N74" s="834"/>
      <c r="O74" s="834">
        <v>1</v>
      </c>
      <c r="P74" s="287">
        <f t="shared" si="3"/>
        <v>10</v>
      </c>
      <c r="Q74" s="834"/>
      <c r="R74" s="834">
        <v>0</v>
      </c>
      <c r="S74" s="350">
        <f t="shared" si="4"/>
        <v>0</v>
      </c>
    </row>
    <row r="75" spans="1:21" ht="13.25" customHeight="1">
      <c r="A75" s="95" t="s">
        <v>768</v>
      </c>
      <c r="B75" s="339">
        <f t="shared" si="0"/>
        <v>52</v>
      </c>
      <c r="D75" s="341">
        <f t="shared" si="5"/>
        <v>1.7887856897144825</v>
      </c>
      <c r="F75" s="834">
        <v>7</v>
      </c>
      <c r="G75" s="287">
        <f t="shared" si="1"/>
        <v>13.461538461538462</v>
      </c>
      <c r="H75" s="834"/>
      <c r="I75" s="834">
        <v>30</v>
      </c>
      <c r="J75" s="287">
        <f t="shared" si="2"/>
        <v>57.692307692307686</v>
      </c>
      <c r="K75" s="834"/>
      <c r="L75" s="834">
        <v>7</v>
      </c>
      <c r="M75" s="287">
        <f t="shared" si="6"/>
        <v>13.461538461538462</v>
      </c>
      <c r="N75" s="834"/>
      <c r="O75" s="834">
        <v>7</v>
      </c>
      <c r="P75" s="287">
        <f t="shared" si="3"/>
        <v>13.461538461538462</v>
      </c>
      <c r="Q75" s="834"/>
      <c r="R75" s="834">
        <v>1</v>
      </c>
      <c r="S75" s="350">
        <f t="shared" si="4"/>
        <v>1.9230769230769231</v>
      </c>
    </row>
    <row r="76" spans="1:21" ht="13.25" customHeight="1">
      <c r="A76" s="95" t="s">
        <v>769</v>
      </c>
      <c r="B76" s="339">
        <f t="shared" ref="B76:B101" si="7">IF($A76&lt;&gt;0,F76+I76+L76+O76+R76,"")</f>
        <v>30</v>
      </c>
      <c r="D76" s="341">
        <f t="shared" si="5"/>
        <v>1.0319917440660475</v>
      </c>
      <c r="F76" s="834">
        <v>7</v>
      </c>
      <c r="G76" s="287">
        <f t="shared" ref="G76:G101" si="8">IF($A76&lt;&gt;0,F76/$B76*100,"")</f>
        <v>23.333333333333332</v>
      </c>
      <c r="H76" s="834"/>
      <c r="I76" s="834">
        <v>15</v>
      </c>
      <c r="J76" s="287">
        <f t="shared" ref="J76:J101" si="9">IF($A76&lt;&gt;0,I76/$B76*100,"")</f>
        <v>50</v>
      </c>
      <c r="K76" s="834"/>
      <c r="L76" s="834">
        <v>6</v>
      </c>
      <c r="M76" s="287">
        <f t="shared" si="6"/>
        <v>20</v>
      </c>
      <c r="N76" s="834"/>
      <c r="O76" s="834">
        <v>1</v>
      </c>
      <c r="P76" s="287">
        <f t="shared" ref="P76:P101" si="10">IF($A76&lt;&gt;0,O76/$B76*100,"")</f>
        <v>3.3333333333333335</v>
      </c>
      <c r="Q76" s="834"/>
      <c r="R76" s="834">
        <v>1</v>
      </c>
      <c r="S76" s="350">
        <f t="shared" ref="S76:S88" si="11">IF($A76&lt;&gt;0,R76/$B76*100,"")</f>
        <v>3.3333333333333335</v>
      </c>
    </row>
    <row r="77" spans="1:21" ht="13.25" customHeight="1">
      <c r="A77" s="95" t="s">
        <v>770</v>
      </c>
      <c r="B77" s="339">
        <f t="shared" si="7"/>
        <v>30</v>
      </c>
      <c r="D77" s="341">
        <f t="shared" ref="D77:D101" si="12">IF(A77&lt;&gt;0,B77/$B$12*100,"")</f>
        <v>1.0319917440660475</v>
      </c>
      <c r="F77" s="834">
        <v>0</v>
      </c>
      <c r="G77" s="287">
        <f t="shared" si="8"/>
        <v>0</v>
      </c>
      <c r="H77" s="834"/>
      <c r="I77" s="834">
        <v>29</v>
      </c>
      <c r="J77" s="287">
        <f t="shared" si="9"/>
        <v>96.666666666666671</v>
      </c>
      <c r="K77" s="834"/>
      <c r="L77" s="834">
        <v>0</v>
      </c>
      <c r="M77" s="287">
        <f t="shared" si="6"/>
        <v>0</v>
      </c>
      <c r="N77" s="834"/>
      <c r="O77" s="834">
        <v>1</v>
      </c>
      <c r="P77" s="287">
        <f t="shared" si="10"/>
        <v>3.3333333333333335</v>
      </c>
      <c r="Q77" s="834"/>
      <c r="R77" s="834">
        <v>0</v>
      </c>
      <c r="S77" s="350">
        <f t="shared" si="11"/>
        <v>0</v>
      </c>
    </row>
    <row r="78" spans="1:21" ht="13.25" customHeight="1">
      <c r="A78" s="95" t="s">
        <v>771</v>
      </c>
      <c r="B78" s="339">
        <f t="shared" si="7"/>
        <v>26</v>
      </c>
      <c r="D78" s="341">
        <f t="shared" si="12"/>
        <v>0.89439284485724124</v>
      </c>
      <c r="F78" s="834">
        <v>10</v>
      </c>
      <c r="G78" s="287">
        <f t="shared" si="8"/>
        <v>38.461538461538467</v>
      </c>
      <c r="H78" s="834"/>
      <c r="I78" s="834">
        <v>8</v>
      </c>
      <c r="J78" s="287">
        <f t="shared" si="9"/>
        <v>30.76923076923077</v>
      </c>
      <c r="K78" s="834"/>
      <c r="L78" s="834">
        <v>8</v>
      </c>
      <c r="M78" s="287">
        <f t="shared" si="6"/>
        <v>30.76923076923077</v>
      </c>
      <c r="N78" s="834"/>
      <c r="O78" s="834">
        <v>0</v>
      </c>
      <c r="P78" s="287">
        <f t="shared" si="10"/>
        <v>0</v>
      </c>
      <c r="Q78" s="834"/>
      <c r="R78" s="834">
        <v>0</v>
      </c>
      <c r="S78" s="350">
        <f t="shared" si="11"/>
        <v>0</v>
      </c>
    </row>
    <row r="79" spans="1:21" ht="13.25" customHeight="1">
      <c r="A79" s="95" t="s">
        <v>772</v>
      </c>
      <c r="B79" s="339">
        <f t="shared" si="7"/>
        <v>31</v>
      </c>
      <c r="D79" s="341">
        <f t="shared" si="12"/>
        <v>1.0663914688682492</v>
      </c>
      <c r="F79" s="834">
        <v>1</v>
      </c>
      <c r="G79" s="287">
        <f t="shared" si="8"/>
        <v>3.225806451612903</v>
      </c>
      <c r="H79" s="834"/>
      <c r="I79" s="834">
        <v>14</v>
      </c>
      <c r="J79" s="287">
        <f t="shared" si="9"/>
        <v>45.161290322580641</v>
      </c>
      <c r="K79" s="834"/>
      <c r="L79" s="834">
        <v>16</v>
      </c>
      <c r="M79" s="287">
        <f t="shared" si="6"/>
        <v>51.612903225806448</v>
      </c>
      <c r="N79" s="834"/>
      <c r="O79" s="834">
        <v>0</v>
      </c>
      <c r="P79" s="287">
        <f t="shared" si="10"/>
        <v>0</v>
      </c>
      <c r="Q79" s="834"/>
      <c r="R79" s="834">
        <v>0</v>
      </c>
      <c r="S79" s="350">
        <f t="shared" si="11"/>
        <v>0</v>
      </c>
    </row>
    <row r="80" spans="1:21" ht="13.25" customHeight="1">
      <c r="A80" s="95" t="s">
        <v>773</v>
      </c>
      <c r="B80" s="339">
        <f t="shared" si="7"/>
        <v>1</v>
      </c>
      <c r="D80" s="341">
        <f t="shared" si="12"/>
        <v>3.4399724802201583E-2</v>
      </c>
      <c r="F80" s="834">
        <v>1</v>
      </c>
      <c r="G80" s="287">
        <f t="shared" si="8"/>
        <v>100</v>
      </c>
      <c r="H80" s="834"/>
      <c r="I80" s="834">
        <v>0</v>
      </c>
      <c r="J80" s="287">
        <f t="shared" si="9"/>
        <v>0</v>
      </c>
      <c r="K80" s="834"/>
      <c r="L80" s="834">
        <v>0</v>
      </c>
      <c r="M80" s="287">
        <f t="shared" ref="M80:M101" si="13">IF($A80&lt;&gt;0,L80/$B80*100,"")</f>
        <v>0</v>
      </c>
      <c r="N80" s="834"/>
      <c r="O80" s="834">
        <v>0</v>
      </c>
      <c r="P80" s="287">
        <f t="shared" si="10"/>
        <v>0</v>
      </c>
      <c r="Q80" s="834"/>
      <c r="R80" s="834">
        <v>0</v>
      </c>
      <c r="S80" s="350"/>
    </row>
    <row r="81" spans="1:19" ht="13.25" customHeight="1">
      <c r="A81" s="95"/>
      <c r="B81" s="339" t="str">
        <f t="shared" si="7"/>
        <v/>
      </c>
      <c r="D81" s="341" t="str">
        <f t="shared" si="12"/>
        <v/>
      </c>
      <c r="F81" s="298"/>
      <c r="G81" s="287" t="str">
        <f t="shared" si="8"/>
        <v/>
      </c>
      <c r="H81" s="298"/>
      <c r="I81" s="299"/>
      <c r="J81" s="287" t="str">
        <f t="shared" si="9"/>
        <v/>
      </c>
      <c r="K81" s="299"/>
      <c r="L81" s="300">
        <v>0</v>
      </c>
      <c r="M81" s="287" t="str">
        <f t="shared" si="13"/>
        <v/>
      </c>
      <c r="N81" s="300"/>
      <c r="O81" s="299">
        <v>0</v>
      </c>
      <c r="P81" s="287" t="str">
        <f t="shared" si="10"/>
        <v/>
      </c>
      <c r="Q81" s="299"/>
      <c r="R81" s="300">
        <v>0</v>
      </c>
      <c r="S81" s="350"/>
    </row>
    <row r="82" spans="1:19" ht="13.25" customHeight="1">
      <c r="A82" s="55" t="s">
        <v>774</v>
      </c>
      <c r="B82" s="338">
        <f t="shared" si="7"/>
        <v>586</v>
      </c>
      <c r="C82" s="344"/>
      <c r="D82" s="345">
        <f t="shared" si="12"/>
        <v>20.158238734090126</v>
      </c>
      <c r="E82" s="346"/>
      <c r="F82" s="351">
        <f>SUM(F83:F85)</f>
        <v>84</v>
      </c>
      <c r="G82" s="337">
        <f t="shared" si="8"/>
        <v>14.334470989761092</v>
      </c>
      <c r="H82" s="351"/>
      <c r="I82" s="351">
        <f>SUM(I83:I85)</f>
        <v>316</v>
      </c>
      <c r="J82" s="337">
        <f t="shared" si="9"/>
        <v>53.924914675767923</v>
      </c>
      <c r="K82" s="351"/>
      <c r="L82" s="351">
        <f>SUM(L83:L85)</f>
        <v>92</v>
      </c>
      <c r="M82" s="337">
        <f t="shared" si="13"/>
        <v>15.699658703071673</v>
      </c>
      <c r="N82" s="351"/>
      <c r="O82" s="351">
        <f>SUM(O83:O85)</f>
        <v>87</v>
      </c>
      <c r="P82" s="337">
        <f t="shared" si="10"/>
        <v>14.846416382252558</v>
      </c>
      <c r="Q82" s="351"/>
      <c r="R82" s="351">
        <f>SUM(R83:R85)</f>
        <v>7</v>
      </c>
      <c r="S82" s="354">
        <f t="shared" si="11"/>
        <v>1.1945392491467577</v>
      </c>
    </row>
    <row r="83" spans="1:19" ht="13.25" customHeight="1">
      <c r="A83" s="95" t="s">
        <v>775</v>
      </c>
      <c r="B83" s="339">
        <f t="shared" si="7"/>
        <v>170</v>
      </c>
      <c r="D83" s="228">
        <f t="shared" si="12"/>
        <v>5.8479532163742682</v>
      </c>
      <c r="E83" s="228"/>
      <c r="F83" s="834">
        <v>11</v>
      </c>
      <c r="G83" s="287">
        <f t="shared" si="8"/>
        <v>6.4705882352941186</v>
      </c>
      <c r="H83" s="834"/>
      <c r="I83" s="834">
        <v>66</v>
      </c>
      <c r="J83" s="287">
        <f t="shared" si="9"/>
        <v>38.82352941176471</v>
      </c>
      <c r="K83" s="834"/>
      <c r="L83" s="834">
        <v>19</v>
      </c>
      <c r="M83" s="287">
        <f t="shared" si="13"/>
        <v>11.176470588235295</v>
      </c>
      <c r="N83" s="834"/>
      <c r="O83" s="834">
        <v>67</v>
      </c>
      <c r="P83" s="287">
        <f t="shared" si="10"/>
        <v>39.411764705882355</v>
      </c>
      <c r="Q83" s="834"/>
      <c r="R83" s="834">
        <v>7</v>
      </c>
      <c r="S83" s="228">
        <f t="shared" si="11"/>
        <v>4.117647058823529</v>
      </c>
    </row>
    <row r="84" spans="1:19" ht="13.25" customHeight="1">
      <c r="A84" s="95" t="s">
        <v>776</v>
      </c>
      <c r="B84" s="339">
        <f t="shared" si="7"/>
        <v>330</v>
      </c>
      <c r="D84" s="341">
        <f t="shared" si="12"/>
        <v>11.351909184726521</v>
      </c>
      <c r="F84" s="834">
        <v>73</v>
      </c>
      <c r="G84" s="287">
        <f t="shared" si="8"/>
        <v>22.121212121212121</v>
      </c>
      <c r="H84" s="834"/>
      <c r="I84" s="834">
        <v>246</v>
      </c>
      <c r="J84" s="287">
        <f t="shared" si="9"/>
        <v>74.545454545454547</v>
      </c>
      <c r="K84" s="834"/>
      <c r="L84" s="834">
        <v>11</v>
      </c>
      <c r="M84" s="287">
        <f t="shared" si="13"/>
        <v>3.3333333333333335</v>
      </c>
      <c r="N84" s="834"/>
      <c r="O84" s="834">
        <v>0</v>
      </c>
      <c r="P84" s="287">
        <f t="shared" si="10"/>
        <v>0</v>
      </c>
      <c r="Q84" s="834"/>
      <c r="R84" s="834">
        <v>0</v>
      </c>
      <c r="S84" s="350">
        <f t="shared" si="11"/>
        <v>0</v>
      </c>
    </row>
    <row r="85" spans="1:19" ht="13.25" customHeight="1">
      <c r="A85" s="95" t="s">
        <v>778</v>
      </c>
      <c r="B85" s="339">
        <f t="shared" si="7"/>
        <v>86</v>
      </c>
      <c r="D85" s="341">
        <f t="shared" si="12"/>
        <v>2.958376332989336</v>
      </c>
      <c r="F85" s="834">
        <v>0</v>
      </c>
      <c r="G85" s="287">
        <f t="shared" si="8"/>
        <v>0</v>
      </c>
      <c r="H85" s="834"/>
      <c r="I85" s="834">
        <v>4</v>
      </c>
      <c r="J85" s="287">
        <f t="shared" si="9"/>
        <v>4.6511627906976747</v>
      </c>
      <c r="K85" s="834"/>
      <c r="L85" s="834">
        <v>62</v>
      </c>
      <c r="M85" s="287">
        <f t="shared" si="13"/>
        <v>72.093023255813947</v>
      </c>
      <c r="N85" s="834"/>
      <c r="O85" s="834">
        <v>20</v>
      </c>
      <c r="P85" s="287">
        <f t="shared" si="10"/>
        <v>23.255813953488371</v>
      </c>
      <c r="Q85" s="834"/>
      <c r="R85" s="834">
        <v>0</v>
      </c>
      <c r="S85" s="350">
        <f t="shared" si="11"/>
        <v>0</v>
      </c>
    </row>
    <row r="86" spans="1:19" ht="13.25" customHeight="1">
      <c r="A86" s="95"/>
      <c r="B86" s="339" t="str">
        <f t="shared" si="7"/>
        <v/>
      </c>
      <c r="D86" s="341" t="str">
        <f t="shared" si="12"/>
        <v/>
      </c>
      <c r="F86" s="834">
        <v>0</v>
      </c>
      <c r="G86" s="287" t="str">
        <f t="shared" si="8"/>
        <v/>
      </c>
      <c r="H86" s="834"/>
      <c r="I86" s="834"/>
      <c r="J86" s="287" t="str">
        <f t="shared" si="9"/>
        <v/>
      </c>
      <c r="K86" s="834"/>
      <c r="L86" s="834"/>
      <c r="M86" s="287" t="str">
        <f t="shared" si="13"/>
        <v/>
      </c>
      <c r="N86" s="834"/>
      <c r="O86" s="834"/>
      <c r="P86" s="287" t="str">
        <f t="shared" si="10"/>
        <v/>
      </c>
      <c r="Q86" s="834"/>
      <c r="R86" s="834">
        <v>0</v>
      </c>
      <c r="S86" s="350"/>
    </row>
    <row r="87" spans="1:19" ht="13.25" customHeight="1">
      <c r="A87" s="68" t="s">
        <v>423</v>
      </c>
      <c r="B87" s="338">
        <f t="shared" si="7"/>
        <v>160</v>
      </c>
      <c r="C87" s="344"/>
      <c r="D87" s="345">
        <f t="shared" si="12"/>
        <v>5.503955968352253</v>
      </c>
      <c r="E87" s="346"/>
      <c r="F87" s="842">
        <f>F89+F93</f>
        <v>17</v>
      </c>
      <c r="G87" s="337">
        <f t="shared" si="8"/>
        <v>10.625</v>
      </c>
      <c r="H87" s="842"/>
      <c r="I87" s="842">
        <f>I89+I93</f>
        <v>109</v>
      </c>
      <c r="J87" s="337">
        <f t="shared" si="9"/>
        <v>68.125</v>
      </c>
      <c r="K87" s="843"/>
      <c r="L87" s="842">
        <f>L89+L93</f>
        <v>15</v>
      </c>
      <c r="M87" s="337">
        <f t="shared" si="13"/>
        <v>9.375</v>
      </c>
      <c r="N87" s="844"/>
      <c r="O87" s="842">
        <f>O89+O93</f>
        <v>19</v>
      </c>
      <c r="P87" s="337">
        <f t="shared" si="10"/>
        <v>11.875</v>
      </c>
      <c r="Q87" s="843"/>
      <c r="R87" s="842">
        <f>R89+R93</f>
        <v>0</v>
      </c>
      <c r="S87" s="354">
        <f t="shared" si="11"/>
        <v>0</v>
      </c>
    </row>
    <row r="88" spans="1:19" ht="7" customHeight="1">
      <c r="A88" s="68"/>
      <c r="B88" s="339" t="str">
        <f t="shared" si="7"/>
        <v/>
      </c>
      <c r="D88" s="341" t="str">
        <f t="shared" si="12"/>
        <v/>
      </c>
      <c r="F88" s="352">
        <v>0</v>
      </c>
      <c r="G88" s="287" t="str">
        <f t="shared" si="8"/>
        <v/>
      </c>
      <c r="H88" s="228"/>
      <c r="I88" s="352">
        <v>0</v>
      </c>
      <c r="J88" s="287" t="str">
        <f t="shared" si="9"/>
        <v/>
      </c>
      <c r="K88" s="228"/>
      <c r="L88" s="352"/>
      <c r="M88" s="287" t="str">
        <f t="shared" si="13"/>
        <v/>
      </c>
      <c r="N88" s="228"/>
      <c r="O88" s="352"/>
      <c r="P88" s="287" t="str">
        <f t="shared" si="10"/>
        <v/>
      </c>
      <c r="Q88" s="228"/>
      <c r="R88" s="352"/>
      <c r="S88" s="350" t="str">
        <f t="shared" si="11"/>
        <v/>
      </c>
    </row>
    <row r="89" spans="1:19" ht="12.75" customHeight="1">
      <c r="A89" s="68" t="s">
        <v>678</v>
      </c>
      <c r="B89" s="338">
        <f>IF($A89&lt;&gt;0,F89+I89+L89+O89+R89,"")</f>
        <v>2</v>
      </c>
      <c r="C89" s="344"/>
      <c r="D89" s="345">
        <f t="shared" si="12"/>
        <v>6.8799449604403165E-2</v>
      </c>
      <c r="E89" s="346"/>
      <c r="F89" s="353">
        <f>SUM(F91)</f>
        <v>0</v>
      </c>
      <c r="G89" s="287">
        <f t="shared" si="8"/>
        <v>0</v>
      </c>
      <c r="H89" s="351"/>
      <c r="I89" s="353">
        <f>SUM(I91)</f>
        <v>1</v>
      </c>
      <c r="J89" s="287">
        <f t="shared" si="9"/>
        <v>50</v>
      </c>
      <c r="K89" s="351"/>
      <c r="L89" s="353">
        <f>SUM(L91)</f>
        <v>1</v>
      </c>
      <c r="M89" s="287">
        <f t="shared" si="13"/>
        <v>50</v>
      </c>
      <c r="N89" s="351"/>
      <c r="O89" s="353">
        <f>SUM(O91)</f>
        <v>0</v>
      </c>
      <c r="P89" s="287">
        <f t="shared" si="10"/>
        <v>0</v>
      </c>
      <c r="Q89" s="351"/>
      <c r="R89" s="353">
        <f>SUM(R91)</f>
        <v>0</v>
      </c>
      <c r="S89" s="354"/>
    </row>
    <row r="90" spans="1:19" ht="13.25" customHeight="1">
      <c r="A90" s="68"/>
      <c r="B90" s="338" t="str">
        <f t="shared" si="7"/>
        <v/>
      </c>
      <c r="C90" s="344"/>
      <c r="D90" s="345" t="str">
        <f t="shared" si="12"/>
        <v/>
      </c>
      <c r="E90" s="346"/>
      <c r="F90" s="353"/>
      <c r="G90" s="287" t="str">
        <f t="shared" si="8"/>
        <v/>
      </c>
      <c r="H90" s="351"/>
      <c r="I90" s="353"/>
      <c r="J90" s="287" t="str">
        <f t="shared" si="9"/>
        <v/>
      </c>
      <c r="K90" s="351"/>
      <c r="L90" s="353"/>
      <c r="M90" s="287" t="str">
        <f t="shared" si="13"/>
        <v/>
      </c>
      <c r="N90" s="351"/>
      <c r="O90" s="353"/>
      <c r="P90" s="287" t="str">
        <f t="shared" si="10"/>
        <v/>
      </c>
      <c r="Q90" s="351"/>
      <c r="R90" s="353"/>
      <c r="S90" s="355"/>
    </row>
    <row r="91" spans="1:19" ht="13.25" customHeight="1">
      <c r="A91" s="95" t="s">
        <v>712</v>
      </c>
      <c r="B91" s="339">
        <f>IF($A91&lt;&gt;0,F91+I91+L91+O91+R91,"")</f>
        <v>2</v>
      </c>
      <c r="D91" s="341">
        <f t="shared" si="12"/>
        <v>6.8799449604403165E-2</v>
      </c>
      <c r="F91" s="845">
        <v>0</v>
      </c>
      <c r="G91" s="287">
        <f t="shared" si="8"/>
        <v>0</v>
      </c>
      <c r="H91" s="845"/>
      <c r="I91" s="845">
        <v>1</v>
      </c>
      <c r="J91" s="287">
        <f t="shared" si="9"/>
        <v>50</v>
      </c>
      <c r="K91" s="845"/>
      <c r="L91" s="845">
        <v>1</v>
      </c>
      <c r="M91" s="287">
        <f t="shared" si="13"/>
        <v>50</v>
      </c>
      <c r="N91" s="845"/>
      <c r="O91" s="845">
        <v>0</v>
      </c>
      <c r="P91" s="287">
        <f t="shared" si="10"/>
        <v>0</v>
      </c>
      <c r="Q91" s="845"/>
      <c r="R91" s="601"/>
    </row>
    <row r="92" spans="1:19" ht="13.25" customHeight="1">
      <c r="A92" s="68"/>
      <c r="B92" s="339" t="str">
        <f t="shared" si="7"/>
        <v/>
      </c>
      <c r="D92" s="341" t="str">
        <f t="shared" si="12"/>
        <v/>
      </c>
      <c r="F92" s="298"/>
      <c r="G92" s="287" t="str">
        <f t="shared" si="8"/>
        <v/>
      </c>
      <c r="H92" s="298"/>
      <c r="I92" s="299"/>
      <c r="J92" s="287" t="str">
        <f t="shared" si="9"/>
        <v/>
      </c>
      <c r="K92" s="299"/>
      <c r="L92" s="300"/>
      <c r="M92" s="287" t="str">
        <f t="shared" si="13"/>
        <v/>
      </c>
      <c r="N92" s="300"/>
      <c r="O92" s="299"/>
      <c r="P92" s="287" t="str">
        <f t="shared" si="10"/>
        <v/>
      </c>
      <c r="Q92" s="356"/>
      <c r="R92" s="1003"/>
    </row>
    <row r="93" spans="1:19" ht="13.25" customHeight="1">
      <c r="A93" s="55" t="s">
        <v>714</v>
      </c>
      <c r="B93" s="338">
        <f t="shared" si="7"/>
        <v>158</v>
      </c>
      <c r="C93" s="344"/>
      <c r="D93" s="345">
        <f t="shared" si="12"/>
        <v>5.4351565187478501</v>
      </c>
      <c r="E93" s="346"/>
      <c r="F93" s="842">
        <f>SUM(F94:F101)</f>
        <v>17</v>
      </c>
      <c r="G93" s="337">
        <f t="shared" si="8"/>
        <v>10.759493670886076</v>
      </c>
      <c r="H93" s="842">
        <f>SUM(H94:H101)</f>
        <v>0</v>
      </c>
      <c r="I93" s="842">
        <f>SUM(I94:I101)</f>
        <v>108</v>
      </c>
      <c r="J93" s="337">
        <f t="shared" si="9"/>
        <v>68.35443037974683</v>
      </c>
      <c r="K93" s="843"/>
      <c r="L93" s="842">
        <f>SUM(L94:L101)</f>
        <v>14</v>
      </c>
      <c r="M93" s="337">
        <f t="shared" si="13"/>
        <v>8.8607594936708853</v>
      </c>
      <c r="N93" s="844"/>
      <c r="O93" s="842">
        <f>SUM(O94:O101)</f>
        <v>19</v>
      </c>
      <c r="P93" s="337">
        <f t="shared" si="10"/>
        <v>12.025316455696203</v>
      </c>
      <c r="Q93" s="846"/>
      <c r="R93" s="842">
        <f>SUM(R94:R101)</f>
        <v>0</v>
      </c>
      <c r="S93" s="355"/>
    </row>
    <row r="94" spans="1:19" ht="13.25" customHeight="1">
      <c r="A94" s="95" t="s">
        <v>715</v>
      </c>
      <c r="B94" s="339">
        <f t="shared" si="7"/>
        <v>1</v>
      </c>
      <c r="D94" s="341">
        <f t="shared" si="12"/>
        <v>3.4399724802201583E-2</v>
      </c>
      <c r="F94" s="845">
        <v>1</v>
      </c>
      <c r="G94" s="287">
        <f t="shared" si="8"/>
        <v>100</v>
      </c>
      <c r="H94" s="845"/>
      <c r="I94" s="845">
        <v>0</v>
      </c>
      <c r="J94" s="287">
        <f t="shared" si="9"/>
        <v>0</v>
      </c>
      <c r="K94" s="845"/>
      <c r="L94" s="845">
        <v>0</v>
      </c>
      <c r="M94" s="287">
        <f t="shared" si="13"/>
        <v>0</v>
      </c>
      <c r="N94" s="845"/>
      <c r="O94" s="845">
        <v>0</v>
      </c>
      <c r="P94" s="287">
        <f t="shared" si="10"/>
        <v>0</v>
      </c>
      <c r="Q94" s="845"/>
      <c r="R94" s="601"/>
    </row>
    <row r="95" spans="1:19" ht="13.25" customHeight="1">
      <c r="A95" s="33" t="s">
        <v>779</v>
      </c>
      <c r="B95" s="339">
        <f>IF($A95&lt;&gt;0,F95+I95+L95+O95+R95,"")</f>
        <v>28</v>
      </c>
      <c r="D95" s="341">
        <f t="shared" si="12"/>
        <v>0.96319229446164434</v>
      </c>
      <c r="F95" s="845">
        <v>1</v>
      </c>
      <c r="G95" s="287">
        <f t="shared" si="8"/>
        <v>3.5714285714285712</v>
      </c>
      <c r="H95" s="845"/>
      <c r="I95" s="845">
        <v>21</v>
      </c>
      <c r="J95" s="287">
        <f t="shared" si="9"/>
        <v>75</v>
      </c>
      <c r="K95" s="845"/>
      <c r="L95" s="845">
        <v>4</v>
      </c>
      <c r="M95" s="287">
        <f t="shared" si="13"/>
        <v>14.285714285714285</v>
      </c>
      <c r="N95" s="845"/>
      <c r="O95" s="845">
        <v>2</v>
      </c>
      <c r="P95" s="287">
        <f t="shared" si="10"/>
        <v>7.1428571428571423</v>
      </c>
      <c r="Q95" s="845"/>
      <c r="R95" s="601"/>
    </row>
    <row r="96" spans="1:19" ht="13.25" customHeight="1">
      <c r="A96" s="75" t="s">
        <v>780</v>
      </c>
      <c r="B96" s="339">
        <f t="shared" si="7"/>
        <v>11</v>
      </c>
      <c r="D96" s="341">
        <f t="shared" si="12"/>
        <v>0.37839697282421741</v>
      </c>
      <c r="F96" s="845">
        <v>2</v>
      </c>
      <c r="G96" s="287">
        <f t="shared" si="8"/>
        <v>18.181818181818183</v>
      </c>
      <c r="H96" s="845"/>
      <c r="I96" s="845">
        <v>1</v>
      </c>
      <c r="J96" s="287">
        <f t="shared" si="9"/>
        <v>9.0909090909090917</v>
      </c>
      <c r="K96" s="845"/>
      <c r="L96" s="845">
        <v>2</v>
      </c>
      <c r="M96" s="287">
        <f t="shared" si="13"/>
        <v>18.181818181818183</v>
      </c>
      <c r="N96" s="845"/>
      <c r="O96" s="845">
        <v>6</v>
      </c>
      <c r="P96" s="287">
        <f t="shared" si="10"/>
        <v>54.54545454545454</v>
      </c>
      <c r="Q96" s="845"/>
      <c r="R96" s="601"/>
    </row>
    <row r="97" spans="1:21" ht="13.25" customHeight="1">
      <c r="A97" s="33" t="s">
        <v>781</v>
      </c>
      <c r="B97" s="339">
        <f t="shared" si="7"/>
        <v>12</v>
      </c>
      <c r="D97" s="341">
        <f t="shared" si="12"/>
        <v>0.41279669762641896</v>
      </c>
      <c r="F97" s="845">
        <v>0</v>
      </c>
      <c r="G97" s="287">
        <f t="shared" si="8"/>
        <v>0</v>
      </c>
      <c r="H97" s="845"/>
      <c r="I97" s="845">
        <v>12</v>
      </c>
      <c r="J97" s="287">
        <f t="shared" si="9"/>
        <v>100</v>
      </c>
      <c r="K97" s="845"/>
      <c r="L97" s="845">
        <v>0</v>
      </c>
      <c r="M97" s="287">
        <f t="shared" si="13"/>
        <v>0</v>
      </c>
      <c r="N97" s="845"/>
      <c r="O97" s="845">
        <v>0</v>
      </c>
      <c r="P97" s="287">
        <f t="shared" si="10"/>
        <v>0</v>
      </c>
      <c r="Q97" s="845"/>
      <c r="R97" s="601"/>
    </row>
    <row r="98" spans="1:21" ht="13.25" customHeight="1">
      <c r="A98" s="95" t="s">
        <v>782</v>
      </c>
      <c r="B98" s="339">
        <f t="shared" si="7"/>
        <v>19</v>
      </c>
      <c r="D98" s="341">
        <f t="shared" si="12"/>
        <v>0.65359477124183007</v>
      </c>
      <c r="F98" s="845">
        <v>2</v>
      </c>
      <c r="G98" s="287">
        <f t="shared" si="8"/>
        <v>10.526315789473683</v>
      </c>
      <c r="H98" s="845"/>
      <c r="I98" s="845">
        <v>9</v>
      </c>
      <c r="J98" s="287">
        <f t="shared" si="9"/>
        <v>47.368421052631575</v>
      </c>
      <c r="K98" s="845"/>
      <c r="L98" s="845">
        <v>3</v>
      </c>
      <c r="M98" s="287">
        <f t="shared" si="13"/>
        <v>15.789473684210526</v>
      </c>
      <c r="N98" s="845"/>
      <c r="O98" s="845">
        <v>5</v>
      </c>
      <c r="P98" s="287">
        <f t="shared" si="10"/>
        <v>26.315789473684209</v>
      </c>
      <c r="Q98" s="845"/>
      <c r="R98" s="601"/>
    </row>
    <row r="99" spans="1:21" ht="13.25" customHeight="1">
      <c r="A99" s="95" t="s">
        <v>783</v>
      </c>
      <c r="B99" s="339">
        <f t="shared" si="7"/>
        <v>27</v>
      </c>
      <c r="D99" s="341">
        <f t="shared" si="12"/>
        <v>0.92879256965944268</v>
      </c>
      <c r="F99" s="845">
        <v>10</v>
      </c>
      <c r="G99" s="287">
        <f t="shared" si="8"/>
        <v>37.037037037037038</v>
      </c>
      <c r="H99" s="845"/>
      <c r="I99" s="845">
        <v>6</v>
      </c>
      <c r="J99" s="287">
        <f t="shared" si="9"/>
        <v>22.222222222222221</v>
      </c>
      <c r="K99" s="845"/>
      <c r="L99" s="845">
        <v>5</v>
      </c>
      <c r="M99" s="287">
        <f t="shared" si="13"/>
        <v>18.518518518518519</v>
      </c>
      <c r="N99" s="845"/>
      <c r="O99" s="845">
        <v>6</v>
      </c>
      <c r="P99" s="287">
        <f t="shared" si="10"/>
        <v>22.222222222222221</v>
      </c>
      <c r="Q99" s="845"/>
      <c r="R99" s="601"/>
    </row>
    <row r="100" spans="1:21" ht="13.25" customHeight="1">
      <c r="A100" s="75" t="s">
        <v>168</v>
      </c>
      <c r="B100" s="339">
        <f t="shared" si="7"/>
        <v>2</v>
      </c>
      <c r="D100" s="341">
        <f t="shared" si="12"/>
        <v>6.8799449604403165E-2</v>
      </c>
      <c r="F100" s="847">
        <v>1</v>
      </c>
      <c r="G100" s="287">
        <f t="shared" si="8"/>
        <v>50</v>
      </c>
      <c r="H100" s="847"/>
      <c r="I100" s="847">
        <v>1</v>
      </c>
      <c r="J100" s="287">
        <f t="shared" si="9"/>
        <v>50</v>
      </c>
      <c r="K100" s="847"/>
      <c r="L100" s="847">
        <v>0</v>
      </c>
      <c r="M100" s="287">
        <f t="shared" si="13"/>
        <v>0</v>
      </c>
      <c r="N100" s="847"/>
      <c r="O100" s="847">
        <v>0</v>
      </c>
      <c r="P100" s="287">
        <f t="shared" si="10"/>
        <v>0</v>
      </c>
      <c r="Q100" s="847"/>
      <c r="R100" s="601"/>
    </row>
    <row r="101" spans="1:21" ht="13.25" customHeight="1">
      <c r="A101" s="75" t="s">
        <v>785</v>
      </c>
      <c r="B101" s="339">
        <f t="shared" si="7"/>
        <v>58</v>
      </c>
      <c r="D101" s="341">
        <f t="shared" si="12"/>
        <v>1.9951840385276916</v>
      </c>
      <c r="F101" s="845">
        <v>0</v>
      </c>
      <c r="G101" s="287">
        <f t="shared" si="8"/>
        <v>0</v>
      </c>
      <c r="H101" s="845"/>
      <c r="I101" s="845">
        <v>58</v>
      </c>
      <c r="J101" s="287">
        <f t="shared" si="9"/>
        <v>100</v>
      </c>
      <c r="K101" s="845"/>
      <c r="L101" s="845">
        <v>0</v>
      </c>
      <c r="M101" s="287">
        <f t="shared" si="13"/>
        <v>0</v>
      </c>
      <c r="N101" s="845"/>
      <c r="O101" s="845">
        <v>0</v>
      </c>
      <c r="P101" s="287">
        <f t="shared" si="10"/>
        <v>0</v>
      </c>
      <c r="Q101" s="845"/>
      <c r="R101" s="601"/>
    </row>
    <row r="102" spans="1:21" ht="7" customHeight="1" thickBot="1">
      <c r="A102" s="199"/>
      <c r="B102" s="327"/>
      <c r="C102" s="328"/>
      <c r="D102" s="329"/>
      <c r="E102" s="330"/>
      <c r="F102" s="357"/>
      <c r="G102" s="358"/>
      <c r="H102" s="330"/>
      <c r="I102" s="357"/>
      <c r="J102" s="358"/>
      <c r="K102" s="330"/>
      <c r="L102" s="357"/>
      <c r="M102" s="358"/>
      <c r="N102" s="330"/>
      <c r="O102" s="330"/>
      <c r="P102" s="358"/>
      <c r="Q102" s="330"/>
      <c r="R102" s="357"/>
      <c r="S102" s="358"/>
      <c r="T102" s="320"/>
    </row>
    <row r="103" spans="1:21" ht="7" customHeight="1"/>
    <row r="104" spans="1:21" ht="11.25" customHeight="1">
      <c r="A104" s="57" t="s">
        <v>1016</v>
      </c>
    </row>
    <row r="105" spans="1:21" ht="6.75" customHeight="1"/>
    <row r="106" spans="1:21" ht="15" customHeight="1">
      <c r="A106" s="33" t="s">
        <v>1021</v>
      </c>
      <c r="C106" s="341"/>
      <c r="D106" s="342"/>
      <c r="E106" s="340"/>
      <c r="H106" s="340"/>
      <c r="K106" s="340"/>
      <c r="N106" s="340"/>
      <c r="Q106" s="340"/>
    </row>
    <row r="107" spans="1:21" ht="15" customHeight="1">
      <c r="A107" s="33" t="s">
        <v>1022</v>
      </c>
      <c r="C107" s="341"/>
      <c r="D107" s="342"/>
      <c r="E107" s="340"/>
      <c r="H107" s="340"/>
      <c r="K107" s="340"/>
      <c r="N107" s="340"/>
      <c r="Q107" s="340"/>
    </row>
    <row r="108" spans="1:21" ht="8.25" customHeight="1"/>
    <row r="109" spans="1:21" ht="15" customHeight="1">
      <c r="A109" s="14" t="s">
        <v>1933</v>
      </c>
    </row>
    <row r="110" spans="1:21" ht="15" customHeight="1">
      <c r="A110" s="14" t="s">
        <v>452</v>
      </c>
    </row>
    <row r="111" spans="1:21" s="231" customFormat="1" ht="15" customHeight="1">
      <c r="B111" s="359"/>
      <c r="C111" s="360"/>
      <c r="D111" s="361"/>
      <c r="E111" s="362"/>
      <c r="F111" s="363"/>
      <c r="G111" s="364"/>
      <c r="H111" s="362"/>
      <c r="I111" s="363"/>
      <c r="J111" s="364"/>
      <c r="K111" s="362"/>
      <c r="L111" s="363"/>
      <c r="M111" s="364"/>
      <c r="N111" s="362"/>
      <c r="O111" s="363"/>
      <c r="P111" s="364"/>
      <c r="Q111" s="362"/>
      <c r="R111" s="363"/>
      <c r="S111" s="364"/>
      <c r="T111" s="362"/>
      <c r="U111" s="362"/>
    </row>
    <row r="112" spans="1:21" ht="15" customHeight="1"/>
    <row r="113" spans="2:21" ht="15" customHeight="1"/>
    <row r="114" spans="2:21" ht="15" customHeight="1"/>
    <row r="115" spans="2:21" ht="15" customHeight="1"/>
    <row r="116" spans="2:21" ht="15" customHeight="1"/>
    <row r="117" spans="2:21" ht="15" customHeight="1"/>
    <row r="118" spans="2:21" ht="15" customHeight="1"/>
    <row r="119" spans="2:21" ht="15" customHeight="1"/>
    <row r="120" spans="2:21" ht="15" customHeight="1"/>
    <row r="121" spans="2:21" ht="15" customHeight="1"/>
    <row r="122" spans="2:21" ht="15" customHeight="1"/>
    <row r="123" spans="2:21" s="231" customFormat="1" ht="15" customHeight="1">
      <c r="B123" s="359"/>
      <c r="C123" s="360"/>
      <c r="D123" s="361"/>
      <c r="E123" s="362"/>
      <c r="F123" s="363"/>
      <c r="G123" s="364"/>
      <c r="H123" s="362"/>
      <c r="I123" s="363"/>
      <c r="J123" s="364"/>
      <c r="K123" s="362"/>
      <c r="L123" s="363"/>
      <c r="M123" s="364"/>
      <c r="N123" s="362"/>
      <c r="O123" s="363"/>
      <c r="P123" s="364"/>
      <c r="Q123" s="362"/>
      <c r="R123" s="363"/>
      <c r="S123" s="364"/>
      <c r="T123" s="362"/>
      <c r="U123" s="362"/>
    </row>
    <row r="124" spans="2:21" s="231" customFormat="1" ht="15" customHeight="1">
      <c r="B124" s="359"/>
      <c r="C124" s="360"/>
      <c r="D124" s="361"/>
      <c r="E124" s="362"/>
      <c r="F124" s="363"/>
      <c r="G124" s="364"/>
      <c r="H124" s="362"/>
      <c r="I124" s="363"/>
      <c r="J124" s="364"/>
      <c r="K124" s="362"/>
      <c r="L124" s="363"/>
      <c r="M124" s="364"/>
      <c r="N124" s="362"/>
      <c r="O124" s="363"/>
      <c r="P124" s="364"/>
      <c r="Q124" s="362"/>
      <c r="R124" s="363"/>
      <c r="S124" s="364"/>
      <c r="T124" s="362"/>
      <c r="U124" s="362"/>
    </row>
    <row r="125" spans="2:21" ht="15" customHeight="1"/>
    <row r="126" spans="2:21" ht="15" customHeight="1"/>
    <row r="127" spans="2:21" ht="15" customHeight="1"/>
    <row r="128" spans="2:21" ht="15" customHeight="1"/>
    <row r="129" ht="15" customHeight="1"/>
    <row r="130" ht="15" customHeight="1"/>
    <row r="139" ht="14.25" customHeight="1"/>
  </sheetData>
  <conditionalFormatting sqref="A1:XFD1048576">
    <cfRule type="cellIs" dxfId="62" priority="1" operator="equal">
      <formula>0</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249977111117893"/>
  </sheetPr>
  <dimension ref="A2:P33"/>
  <sheetViews>
    <sheetView workbookViewId="0">
      <selection activeCell="K7" sqref="K7"/>
    </sheetView>
  </sheetViews>
  <sheetFormatPr baseColWidth="10" defaultRowHeight="15"/>
  <sheetData>
    <row r="2" spans="2:16">
      <c r="G2" s="58"/>
      <c r="H2" s="72"/>
      <c r="I2" s="72"/>
      <c r="J2" s="72"/>
      <c r="K2" s="72"/>
      <c r="L2" s="33"/>
    </row>
    <row r="3" spans="2:16">
      <c r="D3" t="s">
        <v>1138</v>
      </c>
      <c r="E3" t="s">
        <v>1139</v>
      </c>
      <c r="G3" s="61"/>
      <c r="H3" s="61"/>
      <c r="I3" s="61"/>
      <c r="J3" s="61"/>
      <c r="K3" s="61"/>
      <c r="L3" s="61"/>
    </row>
    <row r="4" spans="2:16">
      <c r="C4" t="s">
        <v>1140</v>
      </c>
      <c r="D4" s="35">
        <v>2412</v>
      </c>
      <c r="E4" s="35">
        <v>6190</v>
      </c>
      <c r="F4" s="72"/>
      <c r="G4" s="72"/>
      <c r="H4" s="72"/>
      <c r="I4" s="72"/>
      <c r="J4" s="72"/>
      <c r="K4" s="72"/>
      <c r="L4" s="72"/>
      <c r="N4" s="35"/>
    </row>
    <row r="5" spans="2:16">
      <c r="C5" t="s">
        <v>1141</v>
      </c>
      <c r="D5" s="35">
        <v>9133</v>
      </c>
      <c r="E5" s="35">
        <v>11291</v>
      </c>
      <c r="F5" s="72"/>
      <c r="G5" s="336"/>
      <c r="H5" s="336"/>
      <c r="I5" s="336"/>
      <c r="J5" s="336"/>
      <c r="K5" s="336"/>
      <c r="L5" s="72"/>
      <c r="N5" s="35"/>
    </row>
    <row r="6" spans="2:16">
      <c r="C6" t="s">
        <v>1142</v>
      </c>
      <c r="D6" s="35">
        <v>11626</v>
      </c>
      <c r="E6" s="35">
        <v>12519</v>
      </c>
      <c r="F6" s="72"/>
      <c r="G6" s="336"/>
      <c r="H6" s="336"/>
      <c r="I6" s="336"/>
      <c r="J6" s="336"/>
      <c r="K6" s="336"/>
      <c r="L6" s="72"/>
      <c r="N6" s="35"/>
      <c r="O6" s="72"/>
      <c r="P6" s="72"/>
    </row>
    <row r="7" spans="2:16">
      <c r="C7" t="s">
        <v>1143</v>
      </c>
      <c r="D7" s="35">
        <v>19679</v>
      </c>
      <c r="E7" s="35">
        <v>13963</v>
      </c>
      <c r="F7" s="72"/>
      <c r="G7" s="336"/>
      <c r="H7" s="35"/>
      <c r="I7" s="72"/>
      <c r="K7" s="35"/>
      <c r="L7" s="72"/>
      <c r="N7" s="35"/>
    </row>
    <row r="8" spans="2:16">
      <c r="C8" t="s">
        <v>990</v>
      </c>
      <c r="D8" s="35">
        <v>2641</v>
      </c>
      <c r="E8" s="35">
        <v>1528</v>
      </c>
      <c r="F8" s="72"/>
      <c r="G8" s="336"/>
      <c r="H8" s="35"/>
      <c r="I8" s="72"/>
      <c r="K8" s="35"/>
      <c r="L8" s="72"/>
      <c r="N8" s="35"/>
    </row>
    <row r="9" spans="2:16">
      <c r="B9" s="28"/>
      <c r="C9" s="28"/>
      <c r="D9" s="28"/>
      <c r="E9" s="28"/>
      <c r="F9" s="84"/>
    </row>
    <row r="18" spans="1:14">
      <c r="N18" s="35"/>
    </row>
    <row r="19" spans="1:14">
      <c r="N19" s="35"/>
    </row>
    <row r="20" spans="1:14">
      <c r="N20" s="35"/>
    </row>
    <row r="21" spans="1:14">
      <c r="N21" s="35"/>
    </row>
    <row r="22" spans="1:14">
      <c r="N22" s="35"/>
    </row>
    <row r="23" spans="1:14">
      <c r="B23" t="s">
        <v>1144</v>
      </c>
      <c r="C23" t="s">
        <v>1145</v>
      </c>
      <c r="D23" t="s">
        <v>1146</v>
      </c>
      <c r="E23" t="s">
        <v>1147</v>
      </c>
      <c r="F23" t="s">
        <v>1148</v>
      </c>
    </row>
    <row r="24" spans="1:14">
      <c r="A24" t="s">
        <v>1149</v>
      </c>
      <c r="B24" s="290">
        <v>2006</v>
      </c>
      <c r="C24" s="288">
        <v>7325</v>
      </c>
      <c r="D24" s="288">
        <v>10381</v>
      </c>
      <c r="E24" s="288">
        <v>18549</v>
      </c>
      <c r="F24" s="288">
        <v>3123</v>
      </c>
    </row>
    <row r="25" spans="1:14">
      <c r="A25" t="s">
        <v>1150</v>
      </c>
      <c r="B25" s="288">
        <v>79</v>
      </c>
      <c r="C25" s="288">
        <v>1586</v>
      </c>
      <c r="D25" s="288">
        <v>871</v>
      </c>
      <c r="E25" s="288">
        <v>322</v>
      </c>
      <c r="F25" s="288">
        <v>15</v>
      </c>
    </row>
    <row r="26" spans="1:14">
      <c r="B26" s="35">
        <v>2085</v>
      </c>
      <c r="C26" s="35">
        <v>8911</v>
      </c>
      <c r="D26" s="35">
        <v>11252</v>
      </c>
      <c r="E26" s="35">
        <v>18871</v>
      </c>
      <c r="F26" s="35">
        <v>3138</v>
      </c>
    </row>
    <row r="31" spans="1:14">
      <c r="A31" t="s">
        <v>1151</v>
      </c>
      <c r="B31" s="72">
        <v>5487</v>
      </c>
      <c r="C31" s="72">
        <v>9454</v>
      </c>
      <c r="D31" s="72">
        <v>11863</v>
      </c>
      <c r="E31" s="72">
        <v>13130</v>
      </c>
      <c r="F31" s="72">
        <v>1450</v>
      </c>
    </row>
    <row r="32" spans="1:14">
      <c r="B32" s="343">
        <v>375</v>
      </c>
      <c r="C32" s="58">
        <v>1555</v>
      </c>
      <c r="D32" s="343">
        <v>679</v>
      </c>
      <c r="E32" s="343">
        <v>255</v>
      </c>
      <c r="F32" s="343">
        <v>9</v>
      </c>
    </row>
    <row r="33" spans="2:6">
      <c r="B33" s="35">
        <v>5862</v>
      </c>
      <c r="C33" s="35">
        <v>11009</v>
      </c>
      <c r="D33" s="35">
        <v>12542</v>
      </c>
      <c r="E33" s="35">
        <v>13385</v>
      </c>
      <c r="F33" s="35">
        <v>1459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K35"/>
  <sheetViews>
    <sheetView workbookViewId="0">
      <selection activeCell="B4" sqref="B4"/>
    </sheetView>
  </sheetViews>
  <sheetFormatPr baseColWidth="10" defaultRowHeight="15"/>
  <sheetData>
    <row r="1" spans="1:11">
      <c r="A1" t="s">
        <v>149</v>
      </c>
      <c r="B1" t="s">
        <v>151</v>
      </c>
      <c r="C1" t="s">
        <v>150</v>
      </c>
    </row>
    <row r="2" spans="1:11" ht="23">
      <c r="A2" s="28">
        <v>46.79</v>
      </c>
      <c r="B2" s="28">
        <v>40.94</v>
      </c>
      <c r="C2" s="28">
        <v>12.26</v>
      </c>
      <c r="J2" s="29"/>
    </row>
    <row r="3" spans="1:11" ht="23">
      <c r="B3" t="s">
        <v>154</v>
      </c>
      <c r="H3" s="30"/>
    </row>
    <row r="4" spans="1:11" ht="23">
      <c r="H4" s="31"/>
      <c r="K4" s="32"/>
    </row>
    <row r="23" spans="1:3">
      <c r="A23" s="13"/>
      <c r="B23" s="13"/>
      <c r="C23" s="13"/>
    </row>
    <row r="35" spans="1:3">
      <c r="A35" s="28"/>
      <c r="B35" s="28"/>
      <c r="C35" s="28"/>
    </row>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43"/>
  <sheetViews>
    <sheetView zoomScale="90" zoomScaleNormal="90" workbookViewId="0"/>
  </sheetViews>
  <sheetFormatPr baseColWidth="10" defaultColWidth="8.83203125" defaultRowHeight="13"/>
  <cols>
    <col min="1" max="1" width="29.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8.33203125" style="140" customWidth="1"/>
    <col min="9" max="9" width="8.33203125" style="105" customWidth="1"/>
    <col min="10" max="10" width="2.6640625" style="95" customWidth="1"/>
    <col min="11" max="11" width="8.33203125" style="140" customWidth="1"/>
    <col min="12" max="12" width="8.33203125" style="105" customWidth="1"/>
    <col min="13" max="13" width="2.6640625" style="95" customWidth="1"/>
    <col min="14" max="14" width="8.33203125" style="140" customWidth="1"/>
    <col min="15" max="15" width="8.33203125" style="105" customWidth="1"/>
    <col min="16" max="16" width="2.6640625" style="95" customWidth="1"/>
    <col min="17" max="17" width="8.33203125" style="140" customWidth="1"/>
    <col min="18" max="18" width="8.33203125" style="105" customWidth="1"/>
    <col min="19" max="256" width="8.83203125" style="95"/>
    <col min="257" max="257" width="29.5" style="95" customWidth="1"/>
    <col min="258" max="259" width="8.33203125" style="95" customWidth="1"/>
    <col min="260" max="260" width="2.6640625" style="95" customWidth="1"/>
    <col min="261" max="262" width="8.33203125" style="95" customWidth="1"/>
    <col min="263" max="263" width="2.6640625" style="95" customWidth="1"/>
    <col min="264" max="265" width="8.33203125" style="95" customWidth="1"/>
    <col min="266" max="266" width="2.6640625" style="95" customWidth="1"/>
    <col min="267" max="268" width="8.33203125" style="95" customWidth="1"/>
    <col min="269" max="269" width="2.6640625" style="95" customWidth="1"/>
    <col min="270" max="271" width="8.33203125" style="95" customWidth="1"/>
    <col min="272" max="272" width="2.6640625" style="95" customWidth="1"/>
    <col min="273" max="274" width="8.33203125" style="95" customWidth="1"/>
    <col min="275" max="512" width="8.83203125" style="95"/>
    <col min="513" max="513" width="29.5" style="95" customWidth="1"/>
    <col min="514" max="515" width="8.33203125" style="95" customWidth="1"/>
    <col min="516" max="516" width="2.6640625" style="95" customWidth="1"/>
    <col min="517" max="518" width="8.33203125" style="95" customWidth="1"/>
    <col min="519" max="519" width="2.6640625" style="95" customWidth="1"/>
    <col min="520" max="521" width="8.33203125" style="95" customWidth="1"/>
    <col min="522" max="522" width="2.6640625" style="95" customWidth="1"/>
    <col min="523" max="524" width="8.33203125" style="95" customWidth="1"/>
    <col min="525" max="525" width="2.6640625" style="95" customWidth="1"/>
    <col min="526" max="527" width="8.33203125" style="95" customWidth="1"/>
    <col min="528" max="528" width="2.6640625" style="95" customWidth="1"/>
    <col min="529" max="530" width="8.33203125" style="95" customWidth="1"/>
    <col min="531" max="768" width="8.83203125" style="95"/>
    <col min="769" max="769" width="29.5" style="95" customWidth="1"/>
    <col min="770" max="771" width="8.33203125" style="95" customWidth="1"/>
    <col min="772" max="772" width="2.6640625" style="95" customWidth="1"/>
    <col min="773" max="774" width="8.33203125" style="95" customWidth="1"/>
    <col min="775" max="775" width="2.6640625" style="95" customWidth="1"/>
    <col min="776" max="777" width="8.33203125" style="95" customWidth="1"/>
    <col min="778" max="778" width="2.6640625" style="95" customWidth="1"/>
    <col min="779" max="780" width="8.33203125" style="95" customWidth="1"/>
    <col min="781" max="781" width="2.6640625" style="95" customWidth="1"/>
    <col min="782" max="783" width="8.33203125" style="95" customWidth="1"/>
    <col min="784" max="784" width="2.6640625" style="95" customWidth="1"/>
    <col min="785" max="786" width="8.33203125" style="95" customWidth="1"/>
    <col min="787" max="1024" width="8.83203125" style="95"/>
    <col min="1025" max="1025" width="29.5" style="95" customWidth="1"/>
    <col min="1026" max="1027" width="8.33203125" style="95" customWidth="1"/>
    <col min="1028" max="1028" width="2.6640625" style="95" customWidth="1"/>
    <col min="1029" max="1030" width="8.33203125" style="95" customWidth="1"/>
    <col min="1031" max="1031" width="2.6640625" style="95" customWidth="1"/>
    <col min="1032" max="1033" width="8.33203125" style="95" customWidth="1"/>
    <col min="1034" max="1034" width="2.6640625" style="95" customWidth="1"/>
    <col min="1035" max="1036" width="8.33203125" style="95" customWidth="1"/>
    <col min="1037" max="1037" width="2.6640625" style="95" customWidth="1"/>
    <col min="1038" max="1039" width="8.33203125" style="95" customWidth="1"/>
    <col min="1040" max="1040" width="2.6640625" style="95" customWidth="1"/>
    <col min="1041" max="1042" width="8.33203125" style="95" customWidth="1"/>
    <col min="1043" max="1280" width="8.83203125" style="95"/>
    <col min="1281" max="1281" width="29.5" style="95" customWidth="1"/>
    <col min="1282" max="1283" width="8.33203125" style="95" customWidth="1"/>
    <col min="1284" max="1284" width="2.6640625" style="95" customWidth="1"/>
    <col min="1285" max="1286" width="8.33203125" style="95" customWidth="1"/>
    <col min="1287" max="1287" width="2.6640625" style="95" customWidth="1"/>
    <col min="1288" max="1289" width="8.33203125" style="95" customWidth="1"/>
    <col min="1290" max="1290" width="2.6640625" style="95" customWidth="1"/>
    <col min="1291" max="1292" width="8.33203125" style="95" customWidth="1"/>
    <col min="1293" max="1293" width="2.6640625" style="95" customWidth="1"/>
    <col min="1294" max="1295" width="8.33203125" style="95" customWidth="1"/>
    <col min="1296" max="1296" width="2.6640625" style="95" customWidth="1"/>
    <col min="1297" max="1298" width="8.33203125" style="95" customWidth="1"/>
    <col min="1299" max="1536" width="8.83203125" style="95"/>
    <col min="1537" max="1537" width="29.5" style="95" customWidth="1"/>
    <col min="1538" max="1539" width="8.33203125" style="95" customWidth="1"/>
    <col min="1540" max="1540" width="2.6640625" style="95" customWidth="1"/>
    <col min="1541" max="1542" width="8.33203125" style="95" customWidth="1"/>
    <col min="1543" max="1543" width="2.6640625" style="95" customWidth="1"/>
    <col min="1544" max="1545" width="8.33203125" style="95" customWidth="1"/>
    <col min="1546" max="1546" width="2.6640625" style="95" customWidth="1"/>
    <col min="1547" max="1548" width="8.33203125" style="95" customWidth="1"/>
    <col min="1549" max="1549" width="2.6640625" style="95" customWidth="1"/>
    <col min="1550" max="1551" width="8.33203125" style="95" customWidth="1"/>
    <col min="1552" max="1552" width="2.6640625" style="95" customWidth="1"/>
    <col min="1553" max="1554" width="8.33203125" style="95" customWidth="1"/>
    <col min="1555" max="1792" width="8.83203125" style="95"/>
    <col min="1793" max="1793" width="29.5" style="95" customWidth="1"/>
    <col min="1794" max="1795" width="8.33203125" style="95" customWidth="1"/>
    <col min="1796" max="1796" width="2.6640625" style="95" customWidth="1"/>
    <col min="1797" max="1798" width="8.33203125" style="95" customWidth="1"/>
    <col min="1799" max="1799" width="2.6640625" style="95" customWidth="1"/>
    <col min="1800" max="1801" width="8.33203125" style="95" customWidth="1"/>
    <col min="1802" max="1802" width="2.6640625" style="95" customWidth="1"/>
    <col min="1803" max="1804" width="8.33203125" style="95" customWidth="1"/>
    <col min="1805" max="1805" width="2.6640625" style="95" customWidth="1"/>
    <col min="1806" max="1807" width="8.33203125" style="95" customWidth="1"/>
    <col min="1808" max="1808" width="2.6640625" style="95" customWidth="1"/>
    <col min="1809" max="1810" width="8.33203125" style="95" customWidth="1"/>
    <col min="1811" max="2048" width="8.83203125" style="95"/>
    <col min="2049" max="2049" width="29.5" style="95" customWidth="1"/>
    <col min="2050" max="2051" width="8.33203125" style="95" customWidth="1"/>
    <col min="2052" max="2052" width="2.6640625" style="95" customWidth="1"/>
    <col min="2053" max="2054" width="8.33203125" style="95" customWidth="1"/>
    <col min="2055" max="2055" width="2.6640625" style="95" customWidth="1"/>
    <col min="2056" max="2057" width="8.33203125" style="95" customWidth="1"/>
    <col min="2058" max="2058" width="2.6640625" style="95" customWidth="1"/>
    <col min="2059" max="2060" width="8.33203125" style="95" customWidth="1"/>
    <col min="2061" max="2061" width="2.6640625" style="95" customWidth="1"/>
    <col min="2062" max="2063" width="8.33203125" style="95" customWidth="1"/>
    <col min="2064" max="2064" width="2.6640625" style="95" customWidth="1"/>
    <col min="2065" max="2066" width="8.33203125" style="95" customWidth="1"/>
    <col min="2067" max="2304" width="8.83203125" style="95"/>
    <col min="2305" max="2305" width="29.5" style="95" customWidth="1"/>
    <col min="2306" max="2307" width="8.33203125" style="95" customWidth="1"/>
    <col min="2308" max="2308" width="2.6640625" style="95" customWidth="1"/>
    <col min="2309" max="2310" width="8.33203125" style="95" customWidth="1"/>
    <col min="2311" max="2311" width="2.6640625" style="95" customWidth="1"/>
    <col min="2312" max="2313" width="8.33203125" style="95" customWidth="1"/>
    <col min="2314" max="2314" width="2.6640625" style="95" customWidth="1"/>
    <col min="2315" max="2316" width="8.33203125" style="95" customWidth="1"/>
    <col min="2317" max="2317" width="2.6640625" style="95" customWidth="1"/>
    <col min="2318" max="2319" width="8.33203125" style="95" customWidth="1"/>
    <col min="2320" max="2320" width="2.6640625" style="95" customWidth="1"/>
    <col min="2321" max="2322" width="8.33203125" style="95" customWidth="1"/>
    <col min="2323" max="2560" width="8.83203125" style="95"/>
    <col min="2561" max="2561" width="29.5" style="95" customWidth="1"/>
    <col min="2562" max="2563" width="8.33203125" style="95" customWidth="1"/>
    <col min="2564" max="2564" width="2.6640625" style="95" customWidth="1"/>
    <col min="2565" max="2566" width="8.33203125" style="95" customWidth="1"/>
    <col min="2567" max="2567" width="2.6640625" style="95" customWidth="1"/>
    <col min="2568" max="2569" width="8.33203125" style="95" customWidth="1"/>
    <col min="2570" max="2570" width="2.6640625" style="95" customWidth="1"/>
    <col min="2571" max="2572" width="8.33203125" style="95" customWidth="1"/>
    <col min="2573" max="2573" width="2.6640625" style="95" customWidth="1"/>
    <col min="2574" max="2575" width="8.33203125" style="95" customWidth="1"/>
    <col min="2576" max="2576" width="2.6640625" style="95" customWidth="1"/>
    <col min="2577" max="2578" width="8.33203125" style="95" customWidth="1"/>
    <col min="2579" max="2816" width="8.83203125" style="95"/>
    <col min="2817" max="2817" width="29.5" style="95" customWidth="1"/>
    <col min="2818" max="2819" width="8.33203125" style="95" customWidth="1"/>
    <col min="2820" max="2820" width="2.6640625" style="95" customWidth="1"/>
    <col min="2821" max="2822" width="8.33203125" style="95" customWidth="1"/>
    <col min="2823" max="2823" width="2.6640625" style="95" customWidth="1"/>
    <col min="2824" max="2825" width="8.33203125" style="95" customWidth="1"/>
    <col min="2826" max="2826" width="2.6640625" style="95" customWidth="1"/>
    <col min="2827" max="2828" width="8.33203125" style="95" customWidth="1"/>
    <col min="2829" max="2829" width="2.6640625" style="95" customWidth="1"/>
    <col min="2830" max="2831" width="8.33203125" style="95" customWidth="1"/>
    <col min="2832" max="2832" width="2.6640625" style="95" customWidth="1"/>
    <col min="2833" max="2834" width="8.33203125" style="95" customWidth="1"/>
    <col min="2835" max="3072" width="8.83203125" style="95"/>
    <col min="3073" max="3073" width="29.5" style="95" customWidth="1"/>
    <col min="3074" max="3075" width="8.33203125" style="95" customWidth="1"/>
    <col min="3076" max="3076" width="2.6640625" style="95" customWidth="1"/>
    <col min="3077" max="3078" width="8.33203125" style="95" customWidth="1"/>
    <col min="3079" max="3079" width="2.6640625" style="95" customWidth="1"/>
    <col min="3080" max="3081" width="8.33203125" style="95" customWidth="1"/>
    <col min="3082" max="3082" width="2.6640625" style="95" customWidth="1"/>
    <col min="3083" max="3084" width="8.33203125" style="95" customWidth="1"/>
    <col min="3085" max="3085" width="2.6640625" style="95" customWidth="1"/>
    <col min="3086" max="3087" width="8.33203125" style="95" customWidth="1"/>
    <col min="3088" max="3088" width="2.6640625" style="95" customWidth="1"/>
    <col min="3089" max="3090" width="8.33203125" style="95" customWidth="1"/>
    <col min="3091" max="3328" width="8.83203125" style="95"/>
    <col min="3329" max="3329" width="29.5" style="95" customWidth="1"/>
    <col min="3330" max="3331" width="8.33203125" style="95" customWidth="1"/>
    <col min="3332" max="3332" width="2.6640625" style="95" customWidth="1"/>
    <col min="3333" max="3334" width="8.33203125" style="95" customWidth="1"/>
    <col min="3335" max="3335" width="2.6640625" style="95" customWidth="1"/>
    <col min="3336" max="3337" width="8.33203125" style="95" customWidth="1"/>
    <col min="3338" max="3338" width="2.6640625" style="95" customWidth="1"/>
    <col min="3339" max="3340" width="8.33203125" style="95" customWidth="1"/>
    <col min="3341" max="3341" width="2.6640625" style="95" customWidth="1"/>
    <col min="3342" max="3343" width="8.33203125" style="95" customWidth="1"/>
    <col min="3344" max="3344" width="2.6640625" style="95" customWidth="1"/>
    <col min="3345" max="3346" width="8.33203125" style="95" customWidth="1"/>
    <col min="3347" max="3584" width="8.83203125" style="95"/>
    <col min="3585" max="3585" width="29.5" style="95" customWidth="1"/>
    <col min="3586" max="3587" width="8.33203125" style="95" customWidth="1"/>
    <col min="3588" max="3588" width="2.6640625" style="95" customWidth="1"/>
    <col min="3589" max="3590" width="8.33203125" style="95" customWidth="1"/>
    <col min="3591" max="3591" width="2.6640625" style="95" customWidth="1"/>
    <col min="3592" max="3593" width="8.33203125" style="95" customWidth="1"/>
    <col min="3594" max="3594" width="2.6640625" style="95" customWidth="1"/>
    <col min="3595" max="3596" width="8.33203125" style="95" customWidth="1"/>
    <col min="3597" max="3597" width="2.6640625" style="95" customWidth="1"/>
    <col min="3598" max="3599" width="8.33203125" style="95" customWidth="1"/>
    <col min="3600" max="3600" width="2.6640625" style="95" customWidth="1"/>
    <col min="3601" max="3602" width="8.33203125" style="95" customWidth="1"/>
    <col min="3603" max="3840" width="8.83203125" style="95"/>
    <col min="3841" max="3841" width="29.5" style="95" customWidth="1"/>
    <col min="3842" max="3843" width="8.33203125" style="95" customWidth="1"/>
    <col min="3844" max="3844" width="2.6640625" style="95" customWidth="1"/>
    <col min="3845" max="3846" width="8.33203125" style="95" customWidth="1"/>
    <col min="3847" max="3847" width="2.6640625" style="95" customWidth="1"/>
    <col min="3848" max="3849" width="8.33203125" style="95" customWidth="1"/>
    <col min="3850" max="3850" width="2.6640625" style="95" customWidth="1"/>
    <col min="3851" max="3852" width="8.33203125" style="95" customWidth="1"/>
    <col min="3853" max="3853" width="2.6640625" style="95" customWidth="1"/>
    <col min="3854" max="3855" width="8.33203125" style="95" customWidth="1"/>
    <col min="3856" max="3856" width="2.6640625" style="95" customWidth="1"/>
    <col min="3857" max="3858" width="8.33203125" style="95" customWidth="1"/>
    <col min="3859" max="4096" width="8.83203125" style="95"/>
    <col min="4097" max="4097" width="29.5" style="95" customWidth="1"/>
    <col min="4098" max="4099" width="8.33203125" style="95" customWidth="1"/>
    <col min="4100" max="4100" width="2.6640625" style="95" customWidth="1"/>
    <col min="4101" max="4102" width="8.33203125" style="95" customWidth="1"/>
    <col min="4103" max="4103" width="2.6640625" style="95" customWidth="1"/>
    <col min="4104" max="4105" width="8.33203125" style="95" customWidth="1"/>
    <col min="4106" max="4106" width="2.6640625" style="95" customWidth="1"/>
    <col min="4107" max="4108" width="8.33203125" style="95" customWidth="1"/>
    <col min="4109" max="4109" width="2.6640625" style="95" customWidth="1"/>
    <col min="4110" max="4111" width="8.33203125" style="95" customWidth="1"/>
    <col min="4112" max="4112" width="2.6640625" style="95" customWidth="1"/>
    <col min="4113" max="4114" width="8.33203125" style="95" customWidth="1"/>
    <col min="4115" max="4352" width="8.83203125" style="95"/>
    <col min="4353" max="4353" width="29.5" style="95" customWidth="1"/>
    <col min="4354" max="4355" width="8.33203125" style="95" customWidth="1"/>
    <col min="4356" max="4356" width="2.6640625" style="95" customWidth="1"/>
    <col min="4357" max="4358" width="8.33203125" style="95" customWidth="1"/>
    <col min="4359" max="4359" width="2.6640625" style="95" customWidth="1"/>
    <col min="4360" max="4361" width="8.33203125" style="95" customWidth="1"/>
    <col min="4362" max="4362" width="2.6640625" style="95" customWidth="1"/>
    <col min="4363" max="4364" width="8.33203125" style="95" customWidth="1"/>
    <col min="4365" max="4365" width="2.6640625" style="95" customWidth="1"/>
    <col min="4366" max="4367" width="8.33203125" style="95" customWidth="1"/>
    <col min="4368" max="4368" width="2.6640625" style="95" customWidth="1"/>
    <col min="4369" max="4370" width="8.33203125" style="95" customWidth="1"/>
    <col min="4371" max="4608" width="8.83203125" style="95"/>
    <col min="4609" max="4609" width="29.5" style="95" customWidth="1"/>
    <col min="4610" max="4611" width="8.33203125" style="95" customWidth="1"/>
    <col min="4612" max="4612" width="2.6640625" style="95" customWidth="1"/>
    <col min="4613" max="4614" width="8.33203125" style="95" customWidth="1"/>
    <col min="4615" max="4615" width="2.6640625" style="95" customWidth="1"/>
    <col min="4616" max="4617" width="8.33203125" style="95" customWidth="1"/>
    <col min="4618" max="4618" width="2.6640625" style="95" customWidth="1"/>
    <col min="4619" max="4620" width="8.33203125" style="95" customWidth="1"/>
    <col min="4621" max="4621" width="2.6640625" style="95" customWidth="1"/>
    <col min="4622" max="4623" width="8.33203125" style="95" customWidth="1"/>
    <col min="4624" max="4624" width="2.6640625" style="95" customWidth="1"/>
    <col min="4625" max="4626" width="8.33203125" style="95" customWidth="1"/>
    <col min="4627" max="4864" width="8.83203125" style="95"/>
    <col min="4865" max="4865" width="29.5" style="95" customWidth="1"/>
    <col min="4866" max="4867" width="8.33203125" style="95" customWidth="1"/>
    <col min="4868" max="4868" width="2.6640625" style="95" customWidth="1"/>
    <col min="4869" max="4870" width="8.33203125" style="95" customWidth="1"/>
    <col min="4871" max="4871" width="2.6640625" style="95" customWidth="1"/>
    <col min="4872" max="4873" width="8.33203125" style="95" customWidth="1"/>
    <col min="4874" max="4874" width="2.6640625" style="95" customWidth="1"/>
    <col min="4875" max="4876" width="8.33203125" style="95" customWidth="1"/>
    <col min="4877" max="4877" width="2.6640625" style="95" customWidth="1"/>
    <col min="4878" max="4879" width="8.33203125" style="95" customWidth="1"/>
    <col min="4880" max="4880" width="2.6640625" style="95" customWidth="1"/>
    <col min="4881" max="4882" width="8.33203125" style="95" customWidth="1"/>
    <col min="4883" max="5120" width="8.83203125" style="95"/>
    <col min="5121" max="5121" width="29.5" style="95" customWidth="1"/>
    <col min="5122" max="5123" width="8.33203125" style="95" customWidth="1"/>
    <col min="5124" max="5124" width="2.6640625" style="95" customWidth="1"/>
    <col min="5125" max="5126" width="8.33203125" style="95" customWidth="1"/>
    <col min="5127" max="5127" width="2.6640625" style="95" customWidth="1"/>
    <col min="5128" max="5129" width="8.33203125" style="95" customWidth="1"/>
    <col min="5130" max="5130" width="2.6640625" style="95" customWidth="1"/>
    <col min="5131" max="5132" width="8.33203125" style="95" customWidth="1"/>
    <col min="5133" max="5133" width="2.6640625" style="95" customWidth="1"/>
    <col min="5134" max="5135" width="8.33203125" style="95" customWidth="1"/>
    <col min="5136" max="5136" width="2.6640625" style="95" customWidth="1"/>
    <col min="5137" max="5138" width="8.33203125" style="95" customWidth="1"/>
    <col min="5139" max="5376" width="8.83203125" style="95"/>
    <col min="5377" max="5377" width="29.5" style="95" customWidth="1"/>
    <col min="5378" max="5379" width="8.33203125" style="95" customWidth="1"/>
    <col min="5380" max="5380" width="2.6640625" style="95" customWidth="1"/>
    <col min="5381" max="5382" width="8.33203125" style="95" customWidth="1"/>
    <col min="5383" max="5383" width="2.6640625" style="95" customWidth="1"/>
    <col min="5384" max="5385" width="8.33203125" style="95" customWidth="1"/>
    <col min="5386" max="5386" width="2.6640625" style="95" customWidth="1"/>
    <col min="5387" max="5388" width="8.33203125" style="95" customWidth="1"/>
    <col min="5389" max="5389" width="2.6640625" style="95" customWidth="1"/>
    <col min="5390" max="5391" width="8.33203125" style="95" customWidth="1"/>
    <col min="5392" max="5392" width="2.6640625" style="95" customWidth="1"/>
    <col min="5393" max="5394" width="8.33203125" style="95" customWidth="1"/>
    <col min="5395" max="5632" width="8.83203125" style="95"/>
    <col min="5633" max="5633" width="29.5" style="95" customWidth="1"/>
    <col min="5634" max="5635" width="8.33203125" style="95" customWidth="1"/>
    <col min="5636" max="5636" width="2.6640625" style="95" customWidth="1"/>
    <col min="5637" max="5638" width="8.33203125" style="95" customWidth="1"/>
    <col min="5639" max="5639" width="2.6640625" style="95" customWidth="1"/>
    <col min="5640" max="5641" width="8.33203125" style="95" customWidth="1"/>
    <col min="5642" max="5642" width="2.6640625" style="95" customWidth="1"/>
    <col min="5643" max="5644" width="8.33203125" style="95" customWidth="1"/>
    <col min="5645" max="5645" width="2.6640625" style="95" customWidth="1"/>
    <col min="5646" max="5647" width="8.33203125" style="95" customWidth="1"/>
    <col min="5648" max="5648" width="2.6640625" style="95" customWidth="1"/>
    <col min="5649" max="5650" width="8.33203125" style="95" customWidth="1"/>
    <col min="5651" max="5888" width="8.83203125" style="95"/>
    <col min="5889" max="5889" width="29.5" style="95" customWidth="1"/>
    <col min="5890" max="5891" width="8.33203125" style="95" customWidth="1"/>
    <col min="5892" max="5892" width="2.6640625" style="95" customWidth="1"/>
    <col min="5893" max="5894" width="8.33203125" style="95" customWidth="1"/>
    <col min="5895" max="5895" width="2.6640625" style="95" customWidth="1"/>
    <col min="5896" max="5897" width="8.33203125" style="95" customWidth="1"/>
    <col min="5898" max="5898" width="2.6640625" style="95" customWidth="1"/>
    <col min="5899" max="5900" width="8.33203125" style="95" customWidth="1"/>
    <col min="5901" max="5901" width="2.6640625" style="95" customWidth="1"/>
    <col min="5902" max="5903" width="8.33203125" style="95" customWidth="1"/>
    <col min="5904" max="5904" width="2.6640625" style="95" customWidth="1"/>
    <col min="5905" max="5906" width="8.33203125" style="95" customWidth="1"/>
    <col min="5907" max="6144" width="8.83203125" style="95"/>
    <col min="6145" max="6145" width="29.5" style="95" customWidth="1"/>
    <col min="6146" max="6147" width="8.33203125" style="95" customWidth="1"/>
    <col min="6148" max="6148" width="2.6640625" style="95" customWidth="1"/>
    <col min="6149" max="6150" width="8.33203125" style="95" customWidth="1"/>
    <col min="6151" max="6151" width="2.6640625" style="95" customWidth="1"/>
    <col min="6152" max="6153" width="8.33203125" style="95" customWidth="1"/>
    <col min="6154" max="6154" width="2.6640625" style="95" customWidth="1"/>
    <col min="6155" max="6156" width="8.33203125" style="95" customWidth="1"/>
    <col min="6157" max="6157" width="2.6640625" style="95" customWidth="1"/>
    <col min="6158" max="6159" width="8.33203125" style="95" customWidth="1"/>
    <col min="6160" max="6160" width="2.6640625" style="95" customWidth="1"/>
    <col min="6161" max="6162" width="8.33203125" style="95" customWidth="1"/>
    <col min="6163" max="6400" width="8.83203125" style="95"/>
    <col min="6401" max="6401" width="29.5" style="95" customWidth="1"/>
    <col min="6402" max="6403" width="8.33203125" style="95" customWidth="1"/>
    <col min="6404" max="6404" width="2.6640625" style="95" customWidth="1"/>
    <col min="6405" max="6406" width="8.33203125" style="95" customWidth="1"/>
    <col min="6407" max="6407" width="2.6640625" style="95" customWidth="1"/>
    <col min="6408" max="6409" width="8.33203125" style="95" customWidth="1"/>
    <col min="6410" max="6410" width="2.6640625" style="95" customWidth="1"/>
    <col min="6411" max="6412" width="8.33203125" style="95" customWidth="1"/>
    <col min="6413" max="6413" width="2.6640625" style="95" customWidth="1"/>
    <col min="6414" max="6415" width="8.33203125" style="95" customWidth="1"/>
    <col min="6416" max="6416" width="2.6640625" style="95" customWidth="1"/>
    <col min="6417" max="6418" width="8.33203125" style="95" customWidth="1"/>
    <col min="6419" max="6656" width="8.83203125" style="95"/>
    <col min="6657" max="6657" width="29.5" style="95" customWidth="1"/>
    <col min="6658" max="6659" width="8.33203125" style="95" customWidth="1"/>
    <col min="6660" max="6660" width="2.6640625" style="95" customWidth="1"/>
    <col min="6661" max="6662" width="8.33203125" style="95" customWidth="1"/>
    <col min="6663" max="6663" width="2.6640625" style="95" customWidth="1"/>
    <col min="6664" max="6665" width="8.33203125" style="95" customWidth="1"/>
    <col min="6666" max="6666" width="2.6640625" style="95" customWidth="1"/>
    <col min="6667" max="6668" width="8.33203125" style="95" customWidth="1"/>
    <col min="6669" max="6669" width="2.6640625" style="95" customWidth="1"/>
    <col min="6670" max="6671" width="8.33203125" style="95" customWidth="1"/>
    <col min="6672" max="6672" width="2.6640625" style="95" customWidth="1"/>
    <col min="6673" max="6674" width="8.33203125" style="95" customWidth="1"/>
    <col min="6675" max="6912" width="8.83203125" style="95"/>
    <col min="6913" max="6913" width="29.5" style="95" customWidth="1"/>
    <col min="6914" max="6915" width="8.33203125" style="95" customWidth="1"/>
    <col min="6916" max="6916" width="2.6640625" style="95" customWidth="1"/>
    <col min="6917" max="6918" width="8.33203125" style="95" customWidth="1"/>
    <col min="6919" max="6919" width="2.6640625" style="95" customWidth="1"/>
    <col min="6920" max="6921" width="8.33203125" style="95" customWidth="1"/>
    <col min="6922" max="6922" width="2.6640625" style="95" customWidth="1"/>
    <col min="6923" max="6924" width="8.33203125" style="95" customWidth="1"/>
    <col min="6925" max="6925" width="2.6640625" style="95" customWidth="1"/>
    <col min="6926" max="6927" width="8.33203125" style="95" customWidth="1"/>
    <col min="6928" max="6928" width="2.6640625" style="95" customWidth="1"/>
    <col min="6929" max="6930" width="8.33203125" style="95" customWidth="1"/>
    <col min="6931" max="7168" width="8.83203125" style="95"/>
    <col min="7169" max="7169" width="29.5" style="95" customWidth="1"/>
    <col min="7170" max="7171" width="8.33203125" style="95" customWidth="1"/>
    <col min="7172" max="7172" width="2.6640625" style="95" customWidth="1"/>
    <col min="7173" max="7174" width="8.33203125" style="95" customWidth="1"/>
    <col min="7175" max="7175" width="2.6640625" style="95" customWidth="1"/>
    <col min="7176" max="7177" width="8.33203125" style="95" customWidth="1"/>
    <col min="7178" max="7178" width="2.6640625" style="95" customWidth="1"/>
    <col min="7179" max="7180" width="8.33203125" style="95" customWidth="1"/>
    <col min="7181" max="7181" width="2.6640625" style="95" customWidth="1"/>
    <col min="7182" max="7183" width="8.33203125" style="95" customWidth="1"/>
    <col min="7184" max="7184" width="2.6640625" style="95" customWidth="1"/>
    <col min="7185" max="7186" width="8.33203125" style="95" customWidth="1"/>
    <col min="7187" max="7424" width="8.83203125" style="95"/>
    <col min="7425" max="7425" width="29.5" style="95" customWidth="1"/>
    <col min="7426" max="7427" width="8.33203125" style="95" customWidth="1"/>
    <col min="7428" max="7428" width="2.6640625" style="95" customWidth="1"/>
    <col min="7429" max="7430" width="8.33203125" style="95" customWidth="1"/>
    <col min="7431" max="7431" width="2.6640625" style="95" customWidth="1"/>
    <col min="7432" max="7433" width="8.33203125" style="95" customWidth="1"/>
    <col min="7434" max="7434" width="2.6640625" style="95" customWidth="1"/>
    <col min="7435" max="7436" width="8.33203125" style="95" customWidth="1"/>
    <col min="7437" max="7437" width="2.6640625" style="95" customWidth="1"/>
    <col min="7438" max="7439" width="8.33203125" style="95" customWidth="1"/>
    <col min="7440" max="7440" width="2.6640625" style="95" customWidth="1"/>
    <col min="7441" max="7442" width="8.33203125" style="95" customWidth="1"/>
    <col min="7443" max="7680" width="8.83203125" style="95"/>
    <col min="7681" max="7681" width="29.5" style="95" customWidth="1"/>
    <col min="7682" max="7683" width="8.33203125" style="95" customWidth="1"/>
    <col min="7684" max="7684" width="2.6640625" style="95" customWidth="1"/>
    <col min="7685" max="7686" width="8.33203125" style="95" customWidth="1"/>
    <col min="7687" max="7687" width="2.6640625" style="95" customWidth="1"/>
    <col min="7688" max="7689" width="8.33203125" style="95" customWidth="1"/>
    <col min="7690" max="7690" width="2.6640625" style="95" customWidth="1"/>
    <col min="7691" max="7692" width="8.33203125" style="95" customWidth="1"/>
    <col min="7693" max="7693" width="2.6640625" style="95" customWidth="1"/>
    <col min="7694" max="7695" width="8.33203125" style="95" customWidth="1"/>
    <col min="7696" max="7696" width="2.6640625" style="95" customWidth="1"/>
    <col min="7697" max="7698" width="8.33203125" style="95" customWidth="1"/>
    <col min="7699" max="7936" width="8.83203125" style="95"/>
    <col min="7937" max="7937" width="29.5" style="95" customWidth="1"/>
    <col min="7938" max="7939" width="8.33203125" style="95" customWidth="1"/>
    <col min="7940" max="7940" width="2.6640625" style="95" customWidth="1"/>
    <col min="7941" max="7942" width="8.33203125" style="95" customWidth="1"/>
    <col min="7943" max="7943" width="2.6640625" style="95" customWidth="1"/>
    <col min="7944" max="7945" width="8.33203125" style="95" customWidth="1"/>
    <col min="7946" max="7946" width="2.6640625" style="95" customWidth="1"/>
    <col min="7947" max="7948" width="8.33203125" style="95" customWidth="1"/>
    <col min="7949" max="7949" width="2.6640625" style="95" customWidth="1"/>
    <col min="7950" max="7951" width="8.33203125" style="95" customWidth="1"/>
    <col min="7952" max="7952" width="2.6640625" style="95" customWidth="1"/>
    <col min="7953" max="7954" width="8.33203125" style="95" customWidth="1"/>
    <col min="7955" max="8192" width="8.83203125" style="95"/>
    <col min="8193" max="8193" width="29.5" style="95" customWidth="1"/>
    <col min="8194" max="8195" width="8.33203125" style="95" customWidth="1"/>
    <col min="8196" max="8196" width="2.6640625" style="95" customWidth="1"/>
    <col min="8197" max="8198" width="8.33203125" style="95" customWidth="1"/>
    <col min="8199" max="8199" width="2.6640625" style="95" customWidth="1"/>
    <col min="8200" max="8201" width="8.33203125" style="95" customWidth="1"/>
    <col min="8202" max="8202" width="2.6640625" style="95" customWidth="1"/>
    <col min="8203" max="8204" width="8.33203125" style="95" customWidth="1"/>
    <col min="8205" max="8205" width="2.6640625" style="95" customWidth="1"/>
    <col min="8206" max="8207" width="8.33203125" style="95" customWidth="1"/>
    <col min="8208" max="8208" width="2.6640625" style="95" customWidth="1"/>
    <col min="8209" max="8210" width="8.33203125" style="95" customWidth="1"/>
    <col min="8211" max="8448" width="8.83203125" style="95"/>
    <col min="8449" max="8449" width="29.5" style="95" customWidth="1"/>
    <col min="8450" max="8451" width="8.33203125" style="95" customWidth="1"/>
    <col min="8452" max="8452" width="2.6640625" style="95" customWidth="1"/>
    <col min="8453" max="8454" width="8.33203125" style="95" customWidth="1"/>
    <col min="8455" max="8455" width="2.6640625" style="95" customWidth="1"/>
    <col min="8456" max="8457" width="8.33203125" style="95" customWidth="1"/>
    <col min="8458" max="8458" width="2.6640625" style="95" customWidth="1"/>
    <col min="8459" max="8460" width="8.33203125" style="95" customWidth="1"/>
    <col min="8461" max="8461" width="2.6640625" style="95" customWidth="1"/>
    <col min="8462" max="8463" width="8.33203125" style="95" customWidth="1"/>
    <col min="8464" max="8464" width="2.6640625" style="95" customWidth="1"/>
    <col min="8465" max="8466" width="8.33203125" style="95" customWidth="1"/>
    <col min="8467" max="8704" width="8.83203125" style="95"/>
    <col min="8705" max="8705" width="29.5" style="95" customWidth="1"/>
    <col min="8706" max="8707" width="8.33203125" style="95" customWidth="1"/>
    <col min="8708" max="8708" width="2.6640625" style="95" customWidth="1"/>
    <col min="8709" max="8710" width="8.33203125" style="95" customWidth="1"/>
    <col min="8711" max="8711" width="2.6640625" style="95" customWidth="1"/>
    <col min="8712" max="8713" width="8.33203125" style="95" customWidth="1"/>
    <col min="8714" max="8714" width="2.6640625" style="95" customWidth="1"/>
    <col min="8715" max="8716" width="8.33203125" style="95" customWidth="1"/>
    <col min="8717" max="8717" width="2.6640625" style="95" customWidth="1"/>
    <col min="8718" max="8719" width="8.33203125" style="95" customWidth="1"/>
    <col min="8720" max="8720" width="2.6640625" style="95" customWidth="1"/>
    <col min="8721" max="8722" width="8.33203125" style="95" customWidth="1"/>
    <col min="8723" max="8960" width="8.83203125" style="95"/>
    <col min="8961" max="8961" width="29.5" style="95" customWidth="1"/>
    <col min="8962" max="8963" width="8.33203125" style="95" customWidth="1"/>
    <col min="8964" max="8964" width="2.6640625" style="95" customWidth="1"/>
    <col min="8965" max="8966" width="8.33203125" style="95" customWidth="1"/>
    <col min="8967" max="8967" width="2.6640625" style="95" customWidth="1"/>
    <col min="8968" max="8969" width="8.33203125" style="95" customWidth="1"/>
    <col min="8970" max="8970" width="2.6640625" style="95" customWidth="1"/>
    <col min="8971" max="8972" width="8.33203125" style="95" customWidth="1"/>
    <col min="8973" max="8973" width="2.6640625" style="95" customWidth="1"/>
    <col min="8974" max="8975" width="8.33203125" style="95" customWidth="1"/>
    <col min="8976" max="8976" width="2.6640625" style="95" customWidth="1"/>
    <col min="8977" max="8978" width="8.33203125" style="95" customWidth="1"/>
    <col min="8979" max="9216" width="8.83203125" style="95"/>
    <col min="9217" max="9217" width="29.5" style="95" customWidth="1"/>
    <col min="9218" max="9219" width="8.33203125" style="95" customWidth="1"/>
    <col min="9220" max="9220" width="2.6640625" style="95" customWidth="1"/>
    <col min="9221" max="9222" width="8.33203125" style="95" customWidth="1"/>
    <col min="9223" max="9223" width="2.6640625" style="95" customWidth="1"/>
    <col min="9224" max="9225" width="8.33203125" style="95" customWidth="1"/>
    <col min="9226" max="9226" width="2.6640625" style="95" customWidth="1"/>
    <col min="9227" max="9228" width="8.33203125" style="95" customWidth="1"/>
    <col min="9229" max="9229" width="2.6640625" style="95" customWidth="1"/>
    <col min="9230" max="9231" width="8.33203125" style="95" customWidth="1"/>
    <col min="9232" max="9232" width="2.6640625" style="95" customWidth="1"/>
    <col min="9233" max="9234" width="8.33203125" style="95" customWidth="1"/>
    <col min="9235" max="9472" width="8.83203125" style="95"/>
    <col min="9473" max="9473" width="29.5" style="95" customWidth="1"/>
    <col min="9474" max="9475" width="8.33203125" style="95" customWidth="1"/>
    <col min="9476" max="9476" width="2.6640625" style="95" customWidth="1"/>
    <col min="9477" max="9478" width="8.33203125" style="95" customWidth="1"/>
    <col min="9479" max="9479" width="2.6640625" style="95" customWidth="1"/>
    <col min="9480" max="9481" width="8.33203125" style="95" customWidth="1"/>
    <col min="9482" max="9482" width="2.6640625" style="95" customWidth="1"/>
    <col min="9483" max="9484" width="8.33203125" style="95" customWidth="1"/>
    <col min="9485" max="9485" width="2.6640625" style="95" customWidth="1"/>
    <col min="9486" max="9487" width="8.33203125" style="95" customWidth="1"/>
    <col min="9488" max="9488" width="2.6640625" style="95" customWidth="1"/>
    <col min="9489" max="9490" width="8.33203125" style="95" customWidth="1"/>
    <col min="9491" max="9728" width="8.83203125" style="95"/>
    <col min="9729" max="9729" width="29.5" style="95" customWidth="1"/>
    <col min="9730" max="9731" width="8.33203125" style="95" customWidth="1"/>
    <col min="9732" max="9732" width="2.6640625" style="95" customWidth="1"/>
    <col min="9733" max="9734" width="8.33203125" style="95" customWidth="1"/>
    <col min="9735" max="9735" width="2.6640625" style="95" customWidth="1"/>
    <col min="9736" max="9737" width="8.33203125" style="95" customWidth="1"/>
    <col min="9738" max="9738" width="2.6640625" style="95" customWidth="1"/>
    <col min="9739" max="9740" width="8.33203125" style="95" customWidth="1"/>
    <col min="9741" max="9741" width="2.6640625" style="95" customWidth="1"/>
    <col min="9742" max="9743" width="8.33203125" style="95" customWidth="1"/>
    <col min="9744" max="9744" width="2.6640625" style="95" customWidth="1"/>
    <col min="9745" max="9746" width="8.33203125" style="95" customWidth="1"/>
    <col min="9747" max="9984" width="8.83203125" style="95"/>
    <col min="9985" max="9985" width="29.5" style="95" customWidth="1"/>
    <col min="9986" max="9987" width="8.33203125" style="95" customWidth="1"/>
    <col min="9988" max="9988" width="2.6640625" style="95" customWidth="1"/>
    <col min="9989" max="9990" width="8.33203125" style="95" customWidth="1"/>
    <col min="9991" max="9991" width="2.6640625" style="95" customWidth="1"/>
    <col min="9992" max="9993" width="8.33203125" style="95" customWidth="1"/>
    <col min="9994" max="9994" width="2.6640625" style="95" customWidth="1"/>
    <col min="9995" max="9996" width="8.33203125" style="95" customWidth="1"/>
    <col min="9997" max="9997" width="2.6640625" style="95" customWidth="1"/>
    <col min="9998" max="9999" width="8.33203125" style="95" customWidth="1"/>
    <col min="10000" max="10000" width="2.6640625" style="95" customWidth="1"/>
    <col min="10001" max="10002" width="8.33203125" style="95" customWidth="1"/>
    <col min="10003" max="10240" width="8.83203125" style="95"/>
    <col min="10241" max="10241" width="29.5" style="95" customWidth="1"/>
    <col min="10242" max="10243" width="8.33203125" style="95" customWidth="1"/>
    <col min="10244" max="10244" width="2.6640625" style="95" customWidth="1"/>
    <col min="10245" max="10246" width="8.33203125" style="95" customWidth="1"/>
    <col min="10247" max="10247" width="2.6640625" style="95" customWidth="1"/>
    <col min="10248" max="10249" width="8.33203125" style="95" customWidth="1"/>
    <col min="10250" max="10250" width="2.6640625" style="95" customWidth="1"/>
    <col min="10251" max="10252" width="8.33203125" style="95" customWidth="1"/>
    <col min="10253" max="10253" width="2.6640625" style="95" customWidth="1"/>
    <col min="10254" max="10255" width="8.33203125" style="95" customWidth="1"/>
    <col min="10256" max="10256" width="2.6640625" style="95" customWidth="1"/>
    <col min="10257" max="10258" width="8.33203125" style="95" customWidth="1"/>
    <col min="10259" max="10496" width="8.83203125" style="95"/>
    <col min="10497" max="10497" width="29.5" style="95" customWidth="1"/>
    <col min="10498" max="10499" width="8.33203125" style="95" customWidth="1"/>
    <col min="10500" max="10500" width="2.6640625" style="95" customWidth="1"/>
    <col min="10501" max="10502" width="8.33203125" style="95" customWidth="1"/>
    <col min="10503" max="10503" width="2.6640625" style="95" customWidth="1"/>
    <col min="10504" max="10505" width="8.33203125" style="95" customWidth="1"/>
    <col min="10506" max="10506" width="2.6640625" style="95" customWidth="1"/>
    <col min="10507" max="10508" width="8.33203125" style="95" customWidth="1"/>
    <col min="10509" max="10509" width="2.6640625" style="95" customWidth="1"/>
    <col min="10510" max="10511" width="8.33203125" style="95" customWidth="1"/>
    <col min="10512" max="10512" width="2.6640625" style="95" customWidth="1"/>
    <col min="10513" max="10514" width="8.33203125" style="95" customWidth="1"/>
    <col min="10515" max="10752" width="8.83203125" style="95"/>
    <col min="10753" max="10753" width="29.5" style="95" customWidth="1"/>
    <col min="10754" max="10755" width="8.33203125" style="95" customWidth="1"/>
    <col min="10756" max="10756" width="2.6640625" style="95" customWidth="1"/>
    <col min="10757" max="10758" width="8.33203125" style="95" customWidth="1"/>
    <col min="10759" max="10759" width="2.6640625" style="95" customWidth="1"/>
    <col min="10760" max="10761" width="8.33203125" style="95" customWidth="1"/>
    <col min="10762" max="10762" width="2.6640625" style="95" customWidth="1"/>
    <col min="10763" max="10764" width="8.33203125" style="95" customWidth="1"/>
    <col min="10765" max="10765" width="2.6640625" style="95" customWidth="1"/>
    <col min="10766" max="10767" width="8.33203125" style="95" customWidth="1"/>
    <col min="10768" max="10768" width="2.6640625" style="95" customWidth="1"/>
    <col min="10769" max="10770" width="8.33203125" style="95" customWidth="1"/>
    <col min="10771" max="11008" width="8.83203125" style="95"/>
    <col min="11009" max="11009" width="29.5" style="95" customWidth="1"/>
    <col min="11010" max="11011" width="8.33203125" style="95" customWidth="1"/>
    <col min="11012" max="11012" width="2.6640625" style="95" customWidth="1"/>
    <col min="11013" max="11014" width="8.33203125" style="95" customWidth="1"/>
    <col min="11015" max="11015" width="2.6640625" style="95" customWidth="1"/>
    <col min="11016" max="11017" width="8.33203125" style="95" customWidth="1"/>
    <col min="11018" max="11018" width="2.6640625" style="95" customWidth="1"/>
    <col min="11019" max="11020" width="8.33203125" style="95" customWidth="1"/>
    <col min="11021" max="11021" width="2.6640625" style="95" customWidth="1"/>
    <col min="11022" max="11023" width="8.33203125" style="95" customWidth="1"/>
    <col min="11024" max="11024" width="2.6640625" style="95" customWidth="1"/>
    <col min="11025" max="11026" width="8.33203125" style="95" customWidth="1"/>
    <col min="11027" max="11264" width="8.83203125" style="95"/>
    <col min="11265" max="11265" width="29.5" style="95" customWidth="1"/>
    <col min="11266" max="11267" width="8.33203125" style="95" customWidth="1"/>
    <col min="11268" max="11268" width="2.6640625" style="95" customWidth="1"/>
    <col min="11269" max="11270" width="8.33203125" style="95" customWidth="1"/>
    <col min="11271" max="11271" width="2.6640625" style="95" customWidth="1"/>
    <col min="11272" max="11273" width="8.33203125" style="95" customWidth="1"/>
    <col min="11274" max="11274" width="2.6640625" style="95" customWidth="1"/>
    <col min="11275" max="11276" width="8.33203125" style="95" customWidth="1"/>
    <col min="11277" max="11277" width="2.6640625" style="95" customWidth="1"/>
    <col min="11278" max="11279" width="8.33203125" style="95" customWidth="1"/>
    <col min="11280" max="11280" width="2.6640625" style="95" customWidth="1"/>
    <col min="11281" max="11282" width="8.33203125" style="95" customWidth="1"/>
    <col min="11283" max="11520" width="8.83203125" style="95"/>
    <col min="11521" max="11521" width="29.5" style="95" customWidth="1"/>
    <col min="11522" max="11523" width="8.33203125" style="95" customWidth="1"/>
    <col min="11524" max="11524" width="2.6640625" style="95" customWidth="1"/>
    <col min="11525" max="11526" width="8.33203125" style="95" customWidth="1"/>
    <col min="11527" max="11527" width="2.6640625" style="95" customWidth="1"/>
    <col min="11528" max="11529" width="8.33203125" style="95" customWidth="1"/>
    <col min="11530" max="11530" width="2.6640625" style="95" customWidth="1"/>
    <col min="11531" max="11532" width="8.33203125" style="95" customWidth="1"/>
    <col min="11533" max="11533" width="2.6640625" style="95" customWidth="1"/>
    <col min="11534" max="11535" width="8.33203125" style="95" customWidth="1"/>
    <col min="11536" max="11536" width="2.6640625" style="95" customWidth="1"/>
    <col min="11537" max="11538" width="8.33203125" style="95" customWidth="1"/>
    <col min="11539" max="11776" width="8.83203125" style="95"/>
    <col min="11777" max="11777" width="29.5" style="95" customWidth="1"/>
    <col min="11778" max="11779" width="8.33203125" style="95" customWidth="1"/>
    <col min="11780" max="11780" width="2.6640625" style="95" customWidth="1"/>
    <col min="11781" max="11782" width="8.33203125" style="95" customWidth="1"/>
    <col min="11783" max="11783" width="2.6640625" style="95" customWidth="1"/>
    <col min="11784" max="11785" width="8.33203125" style="95" customWidth="1"/>
    <col min="11786" max="11786" width="2.6640625" style="95" customWidth="1"/>
    <col min="11787" max="11788" width="8.33203125" style="95" customWidth="1"/>
    <col min="11789" max="11789" width="2.6640625" style="95" customWidth="1"/>
    <col min="11790" max="11791" width="8.33203125" style="95" customWidth="1"/>
    <col min="11792" max="11792" width="2.6640625" style="95" customWidth="1"/>
    <col min="11793" max="11794" width="8.33203125" style="95" customWidth="1"/>
    <col min="11795" max="12032" width="8.83203125" style="95"/>
    <col min="12033" max="12033" width="29.5" style="95" customWidth="1"/>
    <col min="12034" max="12035" width="8.33203125" style="95" customWidth="1"/>
    <col min="12036" max="12036" width="2.6640625" style="95" customWidth="1"/>
    <col min="12037" max="12038" width="8.33203125" style="95" customWidth="1"/>
    <col min="12039" max="12039" width="2.6640625" style="95" customWidth="1"/>
    <col min="12040" max="12041" width="8.33203125" style="95" customWidth="1"/>
    <col min="12042" max="12042" width="2.6640625" style="95" customWidth="1"/>
    <col min="12043" max="12044" width="8.33203125" style="95" customWidth="1"/>
    <col min="12045" max="12045" width="2.6640625" style="95" customWidth="1"/>
    <col min="12046" max="12047" width="8.33203125" style="95" customWidth="1"/>
    <col min="12048" max="12048" width="2.6640625" style="95" customWidth="1"/>
    <col min="12049" max="12050" width="8.33203125" style="95" customWidth="1"/>
    <col min="12051" max="12288" width="8.83203125" style="95"/>
    <col min="12289" max="12289" width="29.5" style="95" customWidth="1"/>
    <col min="12290" max="12291" width="8.33203125" style="95" customWidth="1"/>
    <col min="12292" max="12292" width="2.6640625" style="95" customWidth="1"/>
    <col min="12293" max="12294" width="8.33203125" style="95" customWidth="1"/>
    <col min="12295" max="12295" width="2.6640625" style="95" customWidth="1"/>
    <col min="12296" max="12297" width="8.33203125" style="95" customWidth="1"/>
    <col min="12298" max="12298" width="2.6640625" style="95" customWidth="1"/>
    <col min="12299" max="12300" width="8.33203125" style="95" customWidth="1"/>
    <col min="12301" max="12301" width="2.6640625" style="95" customWidth="1"/>
    <col min="12302" max="12303" width="8.33203125" style="95" customWidth="1"/>
    <col min="12304" max="12304" width="2.6640625" style="95" customWidth="1"/>
    <col min="12305" max="12306" width="8.33203125" style="95" customWidth="1"/>
    <col min="12307" max="12544" width="8.83203125" style="95"/>
    <col min="12545" max="12545" width="29.5" style="95" customWidth="1"/>
    <col min="12546" max="12547" width="8.33203125" style="95" customWidth="1"/>
    <col min="12548" max="12548" width="2.6640625" style="95" customWidth="1"/>
    <col min="12549" max="12550" width="8.33203125" style="95" customWidth="1"/>
    <col min="12551" max="12551" width="2.6640625" style="95" customWidth="1"/>
    <col min="12552" max="12553" width="8.33203125" style="95" customWidth="1"/>
    <col min="12554" max="12554" width="2.6640625" style="95" customWidth="1"/>
    <col min="12555" max="12556" width="8.33203125" style="95" customWidth="1"/>
    <col min="12557" max="12557" width="2.6640625" style="95" customWidth="1"/>
    <col min="12558" max="12559" width="8.33203125" style="95" customWidth="1"/>
    <col min="12560" max="12560" width="2.6640625" style="95" customWidth="1"/>
    <col min="12561" max="12562" width="8.33203125" style="95" customWidth="1"/>
    <col min="12563" max="12800" width="8.83203125" style="95"/>
    <col min="12801" max="12801" width="29.5" style="95" customWidth="1"/>
    <col min="12802" max="12803" width="8.33203125" style="95" customWidth="1"/>
    <col min="12804" max="12804" width="2.6640625" style="95" customWidth="1"/>
    <col min="12805" max="12806" width="8.33203125" style="95" customWidth="1"/>
    <col min="12807" max="12807" width="2.6640625" style="95" customWidth="1"/>
    <col min="12808" max="12809" width="8.33203125" style="95" customWidth="1"/>
    <col min="12810" max="12810" width="2.6640625" style="95" customWidth="1"/>
    <col min="12811" max="12812" width="8.33203125" style="95" customWidth="1"/>
    <col min="12813" max="12813" width="2.6640625" style="95" customWidth="1"/>
    <col min="12814" max="12815" width="8.33203125" style="95" customWidth="1"/>
    <col min="12816" max="12816" width="2.6640625" style="95" customWidth="1"/>
    <col min="12817" max="12818" width="8.33203125" style="95" customWidth="1"/>
    <col min="12819" max="13056" width="8.83203125" style="95"/>
    <col min="13057" max="13057" width="29.5" style="95" customWidth="1"/>
    <col min="13058" max="13059" width="8.33203125" style="95" customWidth="1"/>
    <col min="13060" max="13060" width="2.6640625" style="95" customWidth="1"/>
    <col min="13061" max="13062" width="8.33203125" style="95" customWidth="1"/>
    <col min="13063" max="13063" width="2.6640625" style="95" customWidth="1"/>
    <col min="13064" max="13065" width="8.33203125" style="95" customWidth="1"/>
    <col min="13066" max="13066" width="2.6640625" style="95" customWidth="1"/>
    <col min="13067" max="13068" width="8.33203125" style="95" customWidth="1"/>
    <col min="13069" max="13069" width="2.6640625" style="95" customWidth="1"/>
    <col min="13070" max="13071" width="8.33203125" style="95" customWidth="1"/>
    <col min="13072" max="13072" width="2.6640625" style="95" customWidth="1"/>
    <col min="13073" max="13074" width="8.33203125" style="95" customWidth="1"/>
    <col min="13075" max="13312" width="8.83203125" style="95"/>
    <col min="13313" max="13313" width="29.5" style="95" customWidth="1"/>
    <col min="13314" max="13315" width="8.33203125" style="95" customWidth="1"/>
    <col min="13316" max="13316" width="2.6640625" style="95" customWidth="1"/>
    <col min="13317" max="13318" width="8.33203125" style="95" customWidth="1"/>
    <col min="13319" max="13319" width="2.6640625" style="95" customWidth="1"/>
    <col min="13320" max="13321" width="8.33203125" style="95" customWidth="1"/>
    <col min="13322" max="13322" width="2.6640625" style="95" customWidth="1"/>
    <col min="13323" max="13324" width="8.33203125" style="95" customWidth="1"/>
    <col min="13325" max="13325" width="2.6640625" style="95" customWidth="1"/>
    <col min="13326" max="13327" width="8.33203125" style="95" customWidth="1"/>
    <col min="13328" max="13328" width="2.6640625" style="95" customWidth="1"/>
    <col min="13329" max="13330" width="8.33203125" style="95" customWidth="1"/>
    <col min="13331" max="13568" width="8.83203125" style="95"/>
    <col min="13569" max="13569" width="29.5" style="95" customWidth="1"/>
    <col min="13570" max="13571" width="8.33203125" style="95" customWidth="1"/>
    <col min="13572" max="13572" width="2.6640625" style="95" customWidth="1"/>
    <col min="13573" max="13574" width="8.33203125" style="95" customWidth="1"/>
    <col min="13575" max="13575" width="2.6640625" style="95" customWidth="1"/>
    <col min="13576" max="13577" width="8.33203125" style="95" customWidth="1"/>
    <col min="13578" max="13578" width="2.6640625" style="95" customWidth="1"/>
    <col min="13579" max="13580" width="8.33203125" style="95" customWidth="1"/>
    <col min="13581" max="13581" width="2.6640625" style="95" customWidth="1"/>
    <col min="13582" max="13583" width="8.33203125" style="95" customWidth="1"/>
    <col min="13584" max="13584" width="2.6640625" style="95" customWidth="1"/>
    <col min="13585" max="13586" width="8.33203125" style="95" customWidth="1"/>
    <col min="13587" max="13824" width="8.83203125" style="95"/>
    <col min="13825" max="13825" width="29.5" style="95" customWidth="1"/>
    <col min="13826" max="13827" width="8.33203125" style="95" customWidth="1"/>
    <col min="13828" max="13828" width="2.6640625" style="95" customWidth="1"/>
    <col min="13829" max="13830" width="8.33203125" style="95" customWidth="1"/>
    <col min="13831" max="13831" width="2.6640625" style="95" customWidth="1"/>
    <col min="13832" max="13833" width="8.33203125" style="95" customWidth="1"/>
    <col min="13834" max="13834" width="2.6640625" style="95" customWidth="1"/>
    <col min="13835" max="13836" width="8.33203125" style="95" customWidth="1"/>
    <col min="13837" max="13837" width="2.6640625" style="95" customWidth="1"/>
    <col min="13838" max="13839" width="8.33203125" style="95" customWidth="1"/>
    <col min="13840" max="13840" width="2.6640625" style="95" customWidth="1"/>
    <col min="13841" max="13842" width="8.33203125" style="95" customWidth="1"/>
    <col min="13843" max="14080" width="8.83203125" style="95"/>
    <col min="14081" max="14081" width="29.5" style="95" customWidth="1"/>
    <col min="14082" max="14083" width="8.33203125" style="95" customWidth="1"/>
    <col min="14084" max="14084" width="2.6640625" style="95" customWidth="1"/>
    <col min="14085" max="14086" width="8.33203125" style="95" customWidth="1"/>
    <col min="14087" max="14087" width="2.6640625" style="95" customWidth="1"/>
    <col min="14088" max="14089" width="8.33203125" style="95" customWidth="1"/>
    <col min="14090" max="14090" width="2.6640625" style="95" customWidth="1"/>
    <col min="14091" max="14092" width="8.33203125" style="95" customWidth="1"/>
    <col min="14093" max="14093" width="2.6640625" style="95" customWidth="1"/>
    <col min="14094" max="14095" width="8.33203125" style="95" customWidth="1"/>
    <col min="14096" max="14096" width="2.6640625" style="95" customWidth="1"/>
    <col min="14097" max="14098" width="8.33203125" style="95" customWidth="1"/>
    <col min="14099" max="14336" width="8.83203125" style="95"/>
    <col min="14337" max="14337" width="29.5" style="95" customWidth="1"/>
    <col min="14338" max="14339" width="8.33203125" style="95" customWidth="1"/>
    <col min="14340" max="14340" width="2.6640625" style="95" customWidth="1"/>
    <col min="14341" max="14342" width="8.33203125" style="95" customWidth="1"/>
    <col min="14343" max="14343" width="2.6640625" style="95" customWidth="1"/>
    <col min="14344" max="14345" width="8.33203125" style="95" customWidth="1"/>
    <col min="14346" max="14346" width="2.6640625" style="95" customWidth="1"/>
    <col min="14347" max="14348" width="8.33203125" style="95" customWidth="1"/>
    <col min="14349" max="14349" width="2.6640625" style="95" customWidth="1"/>
    <col min="14350" max="14351" width="8.33203125" style="95" customWidth="1"/>
    <col min="14352" max="14352" width="2.6640625" style="95" customWidth="1"/>
    <col min="14353" max="14354" width="8.33203125" style="95" customWidth="1"/>
    <col min="14355" max="14592" width="8.83203125" style="95"/>
    <col min="14593" max="14593" width="29.5" style="95" customWidth="1"/>
    <col min="14594" max="14595" width="8.33203125" style="95" customWidth="1"/>
    <col min="14596" max="14596" width="2.6640625" style="95" customWidth="1"/>
    <col min="14597" max="14598" width="8.33203125" style="95" customWidth="1"/>
    <col min="14599" max="14599" width="2.6640625" style="95" customWidth="1"/>
    <col min="14600" max="14601" width="8.33203125" style="95" customWidth="1"/>
    <col min="14602" max="14602" width="2.6640625" style="95" customWidth="1"/>
    <col min="14603" max="14604" width="8.33203125" style="95" customWidth="1"/>
    <col min="14605" max="14605" width="2.6640625" style="95" customWidth="1"/>
    <col min="14606" max="14607" width="8.33203125" style="95" customWidth="1"/>
    <col min="14608" max="14608" width="2.6640625" style="95" customWidth="1"/>
    <col min="14609" max="14610" width="8.33203125" style="95" customWidth="1"/>
    <col min="14611" max="14848" width="8.83203125" style="95"/>
    <col min="14849" max="14849" width="29.5" style="95" customWidth="1"/>
    <col min="14850" max="14851" width="8.33203125" style="95" customWidth="1"/>
    <col min="14852" max="14852" width="2.6640625" style="95" customWidth="1"/>
    <col min="14853" max="14854" width="8.33203125" style="95" customWidth="1"/>
    <col min="14855" max="14855" width="2.6640625" style="95" customWidth="1"/>
    <col min="14856" max="14857" width="8.33203125" style="95" customWidth="1"/>
    <col min="14858" max="14858" width="2.6640625" style="95" customWidth="1"/>
    <col min="14859" max="14860" width="8.33203125" style="95" customWidth="1"/>
    <col min="14861" max="14861" width="2.6640625" style="95" customWidth="1"/>
    <col min="14862" max="14863" width="8.33203125" style="95" customWidth="1"/>
    <col min="14864" max="14864" width="2.6640625" style="95" customWidth="1"/>
    <col min="14865" max="14866" width="8.33203125" style="95" customWidth="1"/>
    <col min="14867" max="15104" width="8.83203125" style="95"/>
    <col min="15105" max="15105" width="29.5" style="95" customWidth="1"/>
    <col min="15106" max="15107" width="8.33203125" style="95" customWidth="1"/>
    <col min="15108" max="15108" width="2.6640625" style="95" customWidth="1"/>
    <col min="15109" max="15110" width="8.33203125" style="95" customWidth="1"/>
    <col min="15111" max="15111" width="2.6640625" style="95" customWidth="1"/>
    <col min="15112" max="15113" width="8.33203125" style="95" customWidth="1"/>
    <col min="15114" max="15114" width="2.6640625" style="95" customWidth="1"/>
    <col min="15115" max="15116" width="8.33203125" style="95" customWidth="1"/>
    <col min="15117" max="15117" width="2.6640625" style="95" customWidth="1"/>
    <col min="15118" max="15119" width="8.33203125" style="95" customWidth="1"/>
    <col min="15120" max="15120" width="2.6640625" style="95" customWidth="1"/>
    <col min="15121" max="15122" width="8.33203125" style="95" customWidth="1"/>
    <col min="15123" max="15360" width="8.83203125" style="95"/>
    <col min="15361" max="15361" width="29.5" style="95" customWidth="1"/>
    <col min="15362" max="15363" width="8.33203125" style="95" customWidth="1"/>
    <col min="15364" max="15364" width="2.6640625" style="95" customWidth="1"/>
    <col min="15365" max="15366" width="8.33203125" style="95" customWidth="1"/>
    <col min="15367" max="15367" width="2.6640625" style="95" customWidth="1"/>
    <col min="15368" max="15369" width="8.33203125" style="95" customWidth="1"/>
    <col min="15370" max="15370" width="2.6640625" style="95" customWidth="1"/>
    <col min="15371" max="15372" width="8.33203125" style="95" customWidth="1"/>
    <col min="15373" max="15373" width="2.6640625" style="95" customWidth="1"/>
    <col min="15374" max="15375" width="8.33203125" style="95" customWidth="1"/>
    <col min="15376" max="15376" width="2.6640625" style="95" customWidth="1"/>
    <col min="15377" max="15378" width="8.33203125" style="95" customWidth="1"/>
    <col min="15379" max="15616" width="8.83203125" style="95"/>
    <col min="15617" max="15617" width="29.5" style="95" customWidth="1"/>
    <col min="15618" max="15619" width="8.33203125" style="95" customWidth="1"/>
    <col min="15620" max="15620" width="2.6640625" style="95" customWidth="1"/>
    <col min="15621" max="15622" width="8.33203125" style="95" customWidth="1"/>
    <col min="15623" max="15623" width="2.6640625" style="95" customWidth="1"/>
    <col min="15624" max="15625" width="8.33203125" style="95" customWidth="1"/>
    <col min="15626" max="15626" width="2.6640625" style="95" customWidth="1"/>
    <col min="15627" max="15628" width="8.33203125" style="95" customWidth="1"/>
    <col min="15629" max="15629" width="2.6640625" style="95" customWidth="1"/>
    <col min="15630" max="15631" width="8.33203125" style="95" customWidth="1"/>
    <col min="15632" max="15632" width="2.6640625" style="95" customWidth="1"/>
    <col min="15633" max="15634" width="8.33203125" style="95" customWidth="1"/>
    <col min="15635" max="15872" width="8.83203125" style="95"/>
    <col min="15873" max="15873" width="29.5" style="95" customWidth="1"/>
    <col min="15874" max="15875" width="8.33203125" style="95" customWidth="1"/>
    <col min="15876" max="15876" width="2.6640625" style="95" customWidth="1"/>
    <col min="15877" max="15878" width="8.33203125" style="95" customWidth="1"/>
    <col min="15879" max="15879" width="2.6640625" style="95" customWidth="1"/>
    <col min="15880" max="15881" width="8.33203125" style="95" customWidth="1"/>
    <col min="15882" max="15882" width="2.6640625" style="95" customWidth="1"/>
    <col min="15883" max="15884" width="8.33203125" style="95" customWidth="1"/>
    <col min="15885" max="15885" width="2.6640625" style="95" customWidth="1"/>
    <col min="15886" max="15887" width="8.33203125" style="95" customWidth="1"/>
    <col min="15888" max="15888" width="2.6640625" style="95" customWidth="1"/>
    <col min="15889" max="15890" width="8.33203125" style="95" customWidth="1"/>
    <col min="15891" max="16128" width="8.83203125" style="95"/>
    <col min="16129" max="16129" width="29.5" style="95" customWidth="1"/>
    <col min="16130" max="16131" width="8.33203125" style="95" customWidth="1"/>
    <col min="16132" max="16132" width="2.6640625" style="95" customWidth="1"/>
    <col min="16133" max="16134" width="8.33203125" style="95" customWidth="1"/>
    <col min="16135" max="16135" width="2.6640625" style="95" customWidth="1"/>
    <col min="16136" max="16137" width="8.33203125" style="95" customWidth="1"/>
    <col min="16138" max="16138" width="2.6640625" style="95" customWidth="1"/>
    <col min="16139" max="16140" width="8.33203125" style="95" customWidth="1"/>
    <col min="16141" max="16141" width="2.6640625" style="95" customWidth="1"/>
    <col min="16142" max="16143" width="8.33203125" style="95" customWidth="1"/>
    <col min="16144" max="16144" width="2.6640625" style="95" customWidth="1"/>
    <col min="16145" max="16146" width="8.33203125" style="95" customWidth="1"/>
    <col min="16147" max="16384" width="8.83203125" style="95"/>
  </cols>
  <sheetData>
    <row r="1" spans="1:18">
      <c r="A1" s="95" t="s">
        <v>388</v>
      </c>
    </row>
    <row r="2" spans="1:18">
      <c r="A2" s="95" t="s">
        <v>389</v>
      </c>
    </row>
    <row r="4" spans="1:18">
      <c r="A4" s="14" t="s">
        <v>1934</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154" t="s">
        <v>1024</v>
      </c>
      <c r="O7" s="135"/>
      <c r="P7" s="116"/>
      <c r="Q7" s="154" t="s">
        <v>707</v>
      </c>
      <c r="R7" s="135"/>
    </row>
    <row r="8" spans="1:18" ht="20" customHeight="1">
      <c r="A8" s="116" t="s">
        <v>1025</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ht="20" customHeight="1">
      <c r="A11" s="68" t="s">
        <v>402</v>
      </c>
      <c r="B11" s="154">
        <f>SUM(B13+B25)</f>
        <v>42584</v>
      </c>
      <c r="C11" s="105">
        <f>C13+C25</f>
        <v>100</v>
      </c>
      <c r="D11" s="172"/>
      <c r="E11" s="155">
        <f>SUM(E13+E25)</f>
        <v>16376</v>
      </c>
      <c r="F11" s="146">
        <f>E11/$B$11*100</f>
        <v>38.455758031185425</v>
      </c>
      <c r="G11" s="145"/>
      <c r="H11" s="119">
        <f>SUM(H13+H25)</f>
        <v>16769</v>
      </c>
      <c r="I11" s="146">
        <f>H11/$B$11*100</f>
        <v>39.378639864737927</v>
      </c>
      <c r="J11" s="172"/>
      <c r="K11" s="154">
        <f>SUM(K13+K25)</f>
        <v>8914</v>
      </c>
      <c r="L11" s="135">
        <f>K11/$B$11*100</f>
        <v>20.93274469284238</v>
      </c>
      <c r="M11" s="172"/>
      <c r="N11" s="154">
        <f>SUM(N13+N25)</f>
        <v>477</v>
      </c>
      <c r="O11" s="135">
        <f>N11/$B$11*100</f>
        <v>1.1201390193499905</v>
      </c>
      <c r="P11" s="172"/>
      <c r="Q11" s="154">
        <f>SUM(Q13+Q25)</f>
        <v>48</v>
      </c>
      <c r="R11" s="135">
        <f>Q11/$B$11*100</f>
        <v>0.11271839188427579</v>
      </c>
    </row>
    <row r="12" spans="1:18" ht="20" customHeight="1">
      <c r="A12" s="116"/>
      <c r="B12" s="154"/>
      <c r="C12" s="135"/>
      <c r="D12" s="116"/>
      <c r="E12" s="155"/>
      <c r="F12" s="146"/>
      <c r="G12" s="121"/>
      <c r="H12" s="119"/>
      <c r="I12" s="146"/>
      <c r="J12" s="116"/>
      <c r="K12" s="154"/>
      <c r="L12" s="135"/>
      <c r="M12" s="116"/>
      <c r="N12" s="154"/>
      <c r="O12" s="135"/>
      <c r="P12" s="116"/>
      <c r="Q12" s="154"/>
      <c r="R12" s="135"/>
    </row>
    <row r="13" spans="1:18" ht="20" customHeight="1">
      <c r="A13" s="55" t="s">
        <v>403</v>
      </c>
      <c r="B13" s="140">
        <f>SUM(E13+H13+K13+N13+Q13)</f>
        <v>31611</v>
      </c>
      <c r="C13" s="105">
        <f>IF(A13&lt;&gt;0,B13/$B$11*100,"")</f>
        <v>74.232105955288375</v>
      </c>
      <c r="E13" s="155">
        <f>SUM(E15:E23)</f>
        <v>12673</v>
      </c>
      <c r="F13" s="139">
        <f>E13/B13*100</f>
        <v>40.09047483470944</v>
      </c>
      <c r="G13" s="111"/>
      <c r="H13" s="155">
        <f>SUM(H15:H23)</f>
        <v>11994</v>
      </c>
      <c r="I13" s="139">
        <f>H13/B13*100</f>
        <v>37.94248837430009</v>
      </c>
      <c r="K13" s="140">
        <f>SUM(K15:K23)</f>
        <v>6515</v>
      </c>
      <c r="L13" s="105">
        <f>K13/B13*100</f>
        <v>20.609914270348927</v>
      </c>
      <c r="N13" s="140">
        <f>SUM(N15:N23)</f>
        <v>383</v>
      </c>
      <c r="O13" s="105">
        <f>N13/B13*100</f>
        <v>1.2116035557242733</v>
      </c>
      <c r="Q13" s="140">
        <f>SUM(Q15:Q23)</f>
        <v>46</v>
      </c>
      <c r="R13" s="105">
        <f>Q13/B13*100</f>
        <v>0.14551896491727562</v>
      </c>
    </row>
    <row r="14" spans="1:18" ht="20" customHeight="1">
      <c r="C14" s="105" t="str">
        <f t="shared" ref="C14:C35" si="0">IF(A14&lt;&gt;0,B14/$B$11*100,"")</f>
        <v/>
      </c>
      <c r="E14" s="155"/>
      <c r="F14" s="139"/>
      <c r="G14" s="111"/>
      <c r="H14" s="155"/>
      <c r="I14" s="139"/>
    </row>
    <row r="15" spans="1:18" ht="20" customHeight="1">
      <c r="A15" s="95" t="s">
        <v>693</v>
      </c>
      <c r="B15" s="140">
        <f>E15+H15+K15+N15+Q15</f>
        <v>10128</v>
      </c>
      <c r="C15" s="105">
        <f t="shared" si="0"/>
        <v>23.783580687582191</v>
      </c>
      <c r="E15" s="848">
        <v>9623</v>
      </c>
      <c r="F15" s="139">
        <f t="shared" ref="F15:F35" si="1">E15/B15*100</f>
        <v>95.013823064770932</v>
      </c>
      <c r="G15" s="848"/>
      <c r="H15" s="848">
        <v>505</v>
      </c>
      <c r="I15" s="139">
        <f>H15/B15*100</f>
        <v>4.9861769352290679</v>
      </c>
      <c r="J15" s="848"/>
      <c r="K15" s="848">
        <v>0</v>
      </c>
      <c r="L15" s="105">
        <f>K15/B15*100</f>
        <v>0</v>
      </c>
      <c r="M15" s="848"/>
      <c r="N15" s="848">
        <v>0</v>
      </c>
      <c r="O15" s="105">
        <f t="shared" ref="O15:O35" si="2">N15/B15*100</f>
        <v>0</v>
      </c>
      <c r="P15" s="848"/>
      <c r="Q15" s="848">
        <v>0</v>
      </c>
      <c r="R15" s="850">
        <f>Q15/B15*100</f>
        <v>0</v>
      </c>
    </row>
    <row r="16" spans="1:18" ht="20" customHeight="1">
      <c r="C16" s="105" t="str">
        <f t="shared" si="0"/>
        <v/>
      </c>
      <c r="E16" s="848"/>
      <c r="F16" s="139"/>
      <c r="G16" s="848"/>
      <c r="H16" s="848"/>
      <c r="I16" s="848"/>
      <c r="J16" s="848"/>
      <c r="K16" s="848"/>
      <c r="L16" s="848"/>
      <c r="M16" s="848"/>
      <c r="N16" s="848"/>
      <c r="P16" s="848"/>
      <c r="Q16" s="848"/>
      <c r="R16" s="850"/>
    </row>
    <row r="17" spans="1:18" ht="20" customHeight="1">
      <c r="A17" s="95" t="s">
        <v>1027</v>
      </c>
      <c r="B17" s="140">
        <f>E17+H17+K17+N17+Q17</f>
        <v>10962</v>
      </c>
      <c r="C17" s="105">
        <f t="shared" si="0"/>
        <v>25.742062746571481</v>
      </c>
      <c r="E17" s="848">
        <v>2639</v>
      </c>
      <c r="F17" s="139">
        <f t="shared" si="1"/>
        <v>24.074074074074073</v>
      </c>
      <c r="G17" s="848"/>
      <c r="H17" s="849">
        <v>8323</v>
      </c>
      <c r="I17" s="139">
        <f>H17/B17*100</f>
        <v>75.925925925925924</v>
      </c>
      <c r="J17" s="849"/>
      <c r="K17" s="849">
        <v>0</v>
      </c>
      <c r="L17" s="105">
        <f>K17/B17*100</f>
        <v>0</v>
      </c>
      <c r="M17" s="849"/>
      <c r="N17" s="849">
        <v>0</v>
      </c>
      <c r="O17" s="105">
        <f t="shared" si="2"/>
        <v>0</v>
      </c>
      <c r="P17" s="849"/>
      <c r="Q17" s="849">
        <v>0</v>
      </c>
      <c r="R17" s="850">
        <f>Q17/B17*100</f>
        <v>0</v>
      </c>
    </row>
    <row r="18" spans="1:18" ht="20" customHeight="1">
      <c r="C18" s="105" t="str">
        <f t="shared" si="0"/>
        <v/>
      </c>
      <c r="E18" s="848"/>
      <c r="F18" s="139"/>
      <c r="G18" s="848"/>
      <c r="H18" s="849"/>
      <c r="I18" s="849"/>
      <c r="J18" s="849"/>
      <c r="K18" s="849"/>
      <c r="L18" s="849"/>
      <c r="M18" s="849"/>
      <c r="N18" s="849"/>
      <c r="P18" s="849"/>
      <c r="Q18" s="849"/>
      <c r="R18" s="850" t="s">
        <v>128</v>
      </c>
    </row>
    <row r="19" spans="1:18" ht="20" customHeight="1">
      <c r="A19" s="95" t="s">
        <v>1028</v>
      </c>
      <c r="B19" s="140">
        <f>E19+H19+K19+N19+Q19</f>
        <v>9816</v>
      </c>
      <c r="C19" s="105">
        <f t="shared" si="0"/>
        <v>23.050911140334399</v>
      </c>
      <c r="E19" s="848">
        <v>402</v>
      </c>
      <c r="F19" s="139">
        <f t="shared" si="1"/>
        <v>4.0953545232273836</v>
      </c>
      <c r="G19" s="848"/>
      <c r="H19" s="849">
        <v>3124</v>
      </c>
      <c r="I19" s="139">
        <f>H19/B19*100</f>
        <v>31.825590872045638</v>
      </c>
      <c r="J19" s="849"/>
      <c r="K19" s="849">
        <v>6290</v>
      </c>
      <c r="L19" s="105">
        <f>K19/B19*100</f>
        <v>64.079054604726977</v>
      </c>
      <c r="M19" s="849"/>
      <c r="N19" s="849">
        <v>0</v>
      </c>
      <c r="O19" s="105">
        <f t="shared" si="2"/>
        <v>0</v>
      </c>
      <c r="P19" s="849"/>
      <c r="Q19" s="849">
        <v>0</v>
      </c>
      <c r="R19" s="850">
        <f>Q19/B19*100</f>
        <v>0</v>
      </c>
    </row>
    <row r="20" spans="1:18" ht="20" customHeight="1">
      <c r="C20" s="105" t="str">
        <f t="shared" si="0"/>
        <v/>
      </c>
      <c r="E20" s="848"/>
      <c r="F20" s="139"/>
      <c r="G20" s="848"/>
      <c r="H20" s="849"/>
      <c r="I20" s="849"/>
      <c r="J20" s="849"/>
      <c r="K20" s="849"/>
      <c r="L20" s="849"/>
      <c r="M20" s="849"/>
      <c r="N20" s="849"/>
      <c r="P20" s="849"/>
      <c r="Q20" s="849"/>
      <c r="R20" s="850"/>
    </row>
    <row r="21" spans="1:18" ht="20" customHeight="1">
      <c r="A21" s="95" t="s">
        <v>1029</v>
      </c>
      <c r="B21" s="140">
        <f>E21+H21+K21+N21+Q21</f>
        <v>645</v>
      </c>
      <c r="C21" s="105">
        <f t="shared" si="0"/>
        <v>1.514653390944956</v>
      </c>
      <c r="E21" s="848">
        <v>8</v>
      </c>
      <c r="F21" s="139">
        <f t="shared" si="1"/>
        <v>1.2403100775193798</v>
      </c>
      <c r="G21" s="848"/>
      <c r="H21" s="849">
        <v>39</v>
      </c>
      <c r="I21" s="139">
        <f>H21/B21*100</f>
        <v>6.0465116279069768</v>
      </c>
      <c r="J21" s="849"/>
      <c r="K21" s="849">
        <v>224</v>
      </c>
      <c r="L21" s="105">
        <f>K21/B21*100</f>
        <v>34.728682170542633</v>
      </c>
      <c r="M21" s="849"/>
      <c r="N21" s="849">
        <v>374</v>
      </c>
      <c r="O21" s="105">
        <f t="shared" si="2"/>
        <v>57.984496124031004</v>
      </c>
      <c r="P21" s="849"/>
      <c r="Q21" s="849">
        <v>0</v>
      </c>
      <c r="R21" s="850">
        <f>Q21/B21*100</f>
        <v>0</v>
      </c>
    </row>
    <row r="22" spans="1:18" ht="20" customHeight="1">
      <c r="C22" s="105" t="str">
        <f t="shared" si="0"/>
        <v/>
      </c>
      <c r="E22" s="848"/>
      <c r="F22" s="139"/>
      <c r="G22" s="848"/>
      <c r="H22" s="849"/>
      <c r="I22" s="849"/>
      <c r="J22" s="849"/>
      <c r="K22" s="849"/>
      <c r="L22" s="849"/>
      <c r="M22" s="849"/>
      <c r="N22" s="849"/>
      <c r="P22" s="849"/>
      <c r="Q22" s="849"/>
      <c r="R22" s="850"/>
    </row>
    <row r="23" spans="1:18" ht="20" customHeight="1">
      <c r="A23" s="95" t="s">
        <v>1030</v>
      </c>
      <c r="B23" s="140">
        <f>E23+H23+K23+N23+Q23</f>
        <v>60</v>
      </c>
      <c r="C23" s="105">
        <f t="shared" si="0"/>
        <v>0.14089798985534471</v>
      </c>
      <c r="E23" s="848">
        <v>1</v>
      </c>
      <c r="F23" s="139">
        <f t="shared" si="1"/>
        <v>1.6666666666666667</v>
      </c>
      <c r="G23" s="848"/>
      <c r="H23" s="849">
        <v>3</v>
      </c>
      <c r="I23" s="139">
        <f>H23/B23*100</f>
        <v>5</v>
      </c>
      <c r="J23" s="849"/>
      <c r="K23" s="849">
        <v>1</v>
      </c>
      <c r="L23" s="105">
        <f>K23/B23*100</f>
        <v>1.6666666666666667</v>
      </c>
      <c r="M23" s="849"/>
      <c r="N23" s="849">
        <v>9</v>
      </c>
      <c r="O23" s="105">
        <f t="shared" si="2"/>
        <v>15</v>
      </c>
      <c r="P23" s="849"/>
      <c r="Q23" s="849">
        <v>46</v>
      </c>
      <c r="R23" s="850">
        <f>Q23/B23*100</f>
        <v>76.666666666666671</v>
      </c>
    </row>
    <row r="24" spans="1:18" ht="20" customHeight="1">
      <c r="C24" s="105" t="str">
        <f t="shared" si="0"/>
        <v/>
      </c>
      <c r="E24" s="175"/>
      <c r="F24" s="139"/>
      <c r="H24" s="175"/>
      <c r="K24" s="175"/>
      <c r="M24" s="105"/>
      <c r="N24" s="175"/>
      <c r="P24" s="105"/>
      <c r="Q24" s="175"/>
    </row>
    <row r="25" spans="1:18" ht="20" customHeight="1">
      <c r="A25" s="55" t="s">
        <v>423</v>
      </c>
      <c r="B25" s="140">
        <f>SUM(B27:B35)</f>
        <v>10973</v>
      </c>
      <c r="C25" s="105">
        <f t="shared" si="0"/>
        <v>25.767894044711632</v>
      </c>
      <c r="E25" s="175">
        <f>SUM(E27:E35)</f>
        <v>3703</v>
      </c>
      <c r="F25" s="139">
        <f t="shared" si="1"/>
        <v>33.746468604757126</v>
      </c>
      <c r="H25" s="175">
        <f>SUM(H27:H35)</f>
        <v>4775</v>
      </c>
      <c r="I25" s="139">
        <f>H25/B25*100</f>
        <v>43.515902670190464</v>
      </c>
      <c r="K25" s="175">
        <f>SUM(K27:K35)</f>
        <v>2399</v>
      </c>
      <c r="L25" s="105">
        <f>K25/B25*100</f>
        <v>21.862754032625535</v>
      </c>
      <c r="N25" s="175">
        <f>SUM(N27:N35)</f>
        <v>94</v>
      </c>
      <c r="O25" s="105">
        <f t="shared" si="2"/>
        <v>0.85664813633463954</v>
      </c>
      <c r="Q25" s="175">
        <f>SUM(Q26:Q35)</f>
        <v>2</v>
      </c>
      <c r="R25" s="105">
        <f>Q25/B25*100</f>
        <v>1.8226556092226374E-2</v>
      </c>
    </row>
    <row r="26" spans="1:18" ht="20" customHeight="1">
      <c r="C26" s="105" t="str">
        <f t="shared" si="0"/>
        <v/>
      </c>
      <c r="E26" s="175"/>
      <c r="F26" s="139"/>
      <c r="H26" s="175"/>
      <c r="K26" s="175"/>
      <c r="N26" s="175"/>
      <c r="Q26" s="175"/>
    </row>
    <row r="27" spans="1:18" ht="20" customHeight="1">
      <c r="A27" s="95" t="s">
        <v>1031</v>
      </c>
      <c r="B27" s="140">
        <f>E27+H27+K27+N27+Q27</f>
        <v>2768</v>
      </c>
      <c r="C27" s="105">
        <f t="shared" si="0"/>
        <v>6.5000939319932369</v>
      </c>
      <c r="E27" s="848">
        <v>2579</v>
      </c>
      <c r="F27" s="139">
        <f t="shared" si="1"/>
        <v>93.171965317919074</v>
      </c>
      <c r="G27" s="848"/>
      <c r="H27" s="848">
        <v>189</v>
      </c>
      <c r="I27" s="139">
        <f>H27/B27*100</f>
        <v>6.8280346820809248</v>
      </c>
      <c r="J27" s="848"/>
      <c r="K27" s="848">
        <v>0</v>
      </c>
      <c r="L27" s="105">
        <f>K27/B27*100</f>
        <v>0</v>
      </c>
      <c r="M27" s="848"/>
      <c r="N27" s="848">
        <v>0</v>
      </c>
      <c r="O27" s="105">
        <f t="shared" si="2"/>
        <v>0</v>
      </c>
      <c r="P27" s="848"/>
      <c r="Q27" s="848">
        <v>0</v>
      </c>
      <c r="R27" s="105">
        <f>Q27/B27*100</f>
        <v>0</v>
      </c>
    </row>
    <row r="28" spans="1:18" ht="20" customHeight="1">
      <c r="C28" s="105" t="str">
        <f t="shared" si="0"/>
        <v/>
      </c>
      <c r="D28" s="105"/>
      <c r="E28" s="848"/>
      <c r="F28" s="139"/>
      <c r="G28" s="848"/>
      <c r="H28" s="848"/>
      <c r="I28" s="848"/>
      <c r="J28" s="848"/>
      <c r="K28" s="848"/>
      <c r="L28" s="848"/>
      <c r="M28" s="848"/>
      <c r="N28" s="848"/>
      <c r="P28" s="848"/>
      <c r="Q28" s="848"/>
    </row>
    <row r="29" spans="1:18" ht="20" customHeight="1">
      <c r="A29" s="95" t="s">
        <v>1027</v>
      </c>
      <c r="B29" s="140">
        <f>E29+H29+K29+N29+Q29</f>
        <v>4541</v>
      </c>
      <c r="C29" s="105">
        <f t="shared" si="0"/>
        <v>10.663629532218675</v>
      </c>
      <c r="E29" s="848">
        <v>1038</v>
      </c>
      <c r="F29" s="139">
        <f t="shared" si="1"/>
        <v>22.858401233208543</v>
      </c>
      <c r="G29" s="848"/>
      <c r="H29" s="849">
        <v>3503</v>
      </c>
      <c r="I29" s="139">
        <f>H29/B29*100</f>
        <v>77.141598766791446</v>
      </c>
      <c r="J29" s="849"/>
      <c r="K29" s="849">
        <v>0</v>
      </c>
      <c r="L29" s="105">
        <f>K29/B29*100</f>
        <v>0</v>
      </c>
      <c r="M29" s="849"/>
      <c r="N29" s="849">
        <v>0</v>
      </c>
      <c r="O29" s="105">
        <f t="shared" si="2"/>
        <v>0</v>
      </c>
      <c r="P29" s="849"/>
      <c r="Q29" s="849">
        <v>0</v>
      </c>
      <c r="R29" s="105">
        <f>Q29/B29*100</f>
        <v>0</v>
      </c>
    </row>
    <row r="30" spans="1:18" ht="20" customHeight="1">
      <c r="C30" s="105" t="str">
        <f t="shared" si="0"/>
        <v/>
      </c>
      <c r="E30" s="848"/>
      <c r="F30" s="139"/>
      <c r="G30" s="848"/>
      <c r="H30" s="849"/>
      <c r="I30" s="849"/>
      <c r="J30" s="849"/>
      <c r="K30" s="849"/>
      <c r="L30" s="849"/>
      <c r="M30" s="849"/>
      <c r="N30" s="849"/>
      <c r="P30" s="849"/>
      <c r="Q30" s="849"/>
    </row>
    <row r="31" spans="1:18" ht="20" customHeight="1">
      <c r="A31" s="95" t="s">
        <v>1028</v>
      </c>
      <c r="B31" s="140">
        <f>E31+H31+K31+N31+Q31</f>
        <v>3531</v>
      </c>
      <c r="C31" s="105">
        <f t="shared" si="0"/>
        <v>8.2918467029870371</v>
      </c>
      <c r="E31" s="848">
        <v>84</v>
      </c>
      <c r="F31" s="139">
        <f t="shared" si="1"/>
        <v>2.3789294817332203</v>
      </c>
      <c r="G31" s="848"/>
      <c r="H31" s="849">
        <v>1080</v>
      </c>
      <c r="I31" s="139">
        <f>H31/B31*100</f>
        <v>30.586236193712828</v>
      </c>
      <c r="J31" s="849"/>
      <c r="K31" s="849">
        <v>2367</v>
      </c>
      <c r="L31" s="105">
        <f>K31/B31*100</f>
        <v>67.034834324553955</v>
      </c>
      <c r="M31" s="849"/>
      <c r="N31" s="849">
        <v>0</v>
      </c>
      <c r="O31" s="105">
        <f t="shared" si="2"/>
        <v>0</v>
      </c>
      <c r="P31" s="849"/>
      <c r="Q31" s="849">
        <v>0</v>
      </c>
      <c r="R31" s="105">
        <f>Q31/B31*100</f>
        <v>0</v>
      </c>
    </row>
    <row r="32" spans="1:18" ht="20" customHeight="1">
      <c r="C32" s="105" t="str">
        <f t="shared" si="0"/>
        <v/>
      </c>
      <c r="E32" s="848"/>
      <c r="F32" s="139"/>
      <c r="G32" s="848"/>
      <c r="H32" s="849"/>
      <c r="I32" s="849"/>
      <c r="J32" s="849"/>
      <c r="K32" s="849"/>
      <c r="L32" s="849"/>
      <c r="M32" s="849"/>
      <c r="N32" s="849"/>
      <c r="P32" s="849"/>
      <c r="Q32" s="849"/>
    </row>
    <row r="33" spans="1:18" ht="20" customHeight="1">
      <c r="A33" s="95" t="s">
        <v>1029</v>
      </c>
      <c r="B33" s="140">
        <f>E33+H33+K33+N33+Q33</f>
        <v>129</v>
      </c>
      <c r="C33" s="105">
        <f t="shared" si="0"/>
        <v>0.30293067818899116</v>
      </c>
      <c r="E33" s="848">
        <v>1</v>
      </c>
      <c r="F33" s="139">
        <f t="shared" si="1"/>
        <v>0.77519379844961245</v>
      </c>
      <c r="G33" s="848"/>
      <c r="H33" s="849">
        <v>3</v>
      </c>
      <c r="I33" s="139">
        <f>H33/B33*100</f>
        <v>2.3255813953488373</v>
      </c>
      <c r="J33" s="849"/>
      <c r="K33" s="849">
        <v>32</v>
      </c>
      <c r="L33" s="105">
        <f>K33/B33*100</f>
        <v>24.806201550387598</v>
      </c>
      <c r="M33" s="849"/>
      <c r="N33" s="849">
        <v>93</v>
      </c>
      <c r="O33" s="105">
        <f t="shared" si="2"/>
        <v>72.093023255813947</v>
      </c>
      <c r="P33" s="849"/>
      <c r="Q33" s="849">
        <v>0</v>
      </c>
      <c r="R33" s="105">
        <f>Q33/B33*100</f>
        <v>0</v>
      </c>
    </row>
    <row r="34" spans="1:18" ht="20" customHeight="1">
      <c r="B34" s="140" t="s">
        <v>128</v>
      </c>
      <c r="C34" s="105" t="str">
        <f t="shared" si="0"/>
        <v/>
      </c>
      <c r="E34" s="848"/>
      <c r="F34" s="139"/>
      <c r="G34" s="848"/>
      <c r="H34" s="849"/>
      <c r="I34" s="849"/>
      <c r="J34" s="849"/>
      <c r="K34" s="849"/>
      <c r="L34" s="849"/>
      <c r="M34" s="849"/>
      <c r="N34" s="849"/>
      <c r="P34" s="849"/>
      <c r="Q34" s="849"/>
    </row>
    <row r="35" spans="1:18" ht="20" customHeight="1">
      <c r="A35" s="95" t="s">
        <v>1030</v>
      </c>
      <c r="B35" s="140">
        <f>E35+H35+K35+N35+Q35</f>
        <v>4</v>
      </c>
      <c r="C35" s="105">
        <f t="shared" si="0"/>
        <v>9.3931993236896494E-3</v>
      </c>
      <c r="E35" s="848">
        <v>1</v>
      </c>
      <c r="F35" s="139">
        <f t="shared" si="1"/>
        <v>25</v>
      </c>
      <c r="G35" s="848"/>
      <c r="H35" s="849">
        <v>0</v>
      </c>
      <c r="I35" s="139">
        <f>H35/B35*100</f>
        <v>0</v>
      </c>
      <c r="J35" s="849"/>
      <c r="K35" s="849">
        <v>0</v>
      </c>
      <c r="L35" s="105">
        <f>K35/B35*100</f>
        <v>0</v>
      </c>
      <c r="M35" s="849"/>
      <c r="N35" s="849">
        <v>1</v>
      </c>
      <c r="O35" s="105">
        <f t="shared" si="2"/>
        <v>25</v>
      </c>
      <c r="P35" s="849"/>
      <c r="Q35" s="849">
        <v>2</v>
      </c>
      <c r="R35" s="105">
        <f>Q35/B35*100</f>
        <v>50</v>
      </c>
    </row>
    <row r="36" spans="1:18" ht="20" customHeight="1" thickBot="1">
      <c r="A36" s="102"/>
      <c r="B36" s="153"/>
      <c r="C36" s="96"/>
      <c r="D36" s="102"/>
      <c r="E36" s="153"/>
      <c r="F36" s="96"/>
      <c r="G36" s="102"/>
      <c r="H36" s="153"/>
      <c r="I36" s="96"/>
      <c r="J36" s="102"/>
      <c r="K36" s="153"/>
      <c r="L36" s="96"/>
      <c r="M36" s="102"/>
      <c r="N36" s="153"/>
      <c r="O36" s="96"/>
      <c r="P36" s="102"/>
      <c r="Q36" s="153"/>
      <c r="R36" s="96"/>
    </row>
    <row r="38" spans="1:18">
      <c r="A38" s="95" t="s">
        <v>1032</v>
      </c>
    </row>
    <row r="40" spans="1:18" ht="15">
      <c r="A40" s="203" t="s">
        <v>1033</v>
      </c>
    </row>
    <row r="42" spans="1:18">
      <c r="A42" s="14" t="s">
        <v>1935</v>
      </c>
    </row>
    <row r="43" spans="1:18">
      <c r="A43" s="111" t="s">
        <v>452</v>
      </c>
    </row>
  </sheetData>
  <conditionalFormatting sqref="A1:XFD1048576">
    <cfRule type="cellIs" dxfId="61" priority="1" operator="equal">
      <formula>0</formula>
    </cfRule>
  </conditionalFormatting>
  <pageMargins left="0.70866141732283472" right="0.70866141732283472" top="0.55118110236220474" bottom="0.55118110236220474" header="0.31496062992125984" footer="0.31496062992125984"/>
  <pageSetup scale="75" orientation="landscape" horizontalDpi="4294967293" vertic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7"/>
  <sheetViews>
    <sheetView workbookViewId="0"/>
  </sheetViews>
  <sheetFormatPr baseColWidth="10" defaultColWidth="8.83203125" defaultRowHeight="13"/>
  <cols>
    <col min="1" max="1" width="28.1640625" style="95" customWidth="1"/>
    <col min="2" max="2" width="8.33203125" style="140" customWidth="1"/>
    <col min="3" max="3" width="8.33203125" style="105" customWidth="1"/>
    <col min="4" max="4" width="2.6640625" style="95" customWidth="1"/>
    <col min="5" max="5" width="8.33203125" style="140" customWidth="1"/>
    <col min="6" max="6" width="8.33203125" style="105" customWidth="1"/>
    <col min="7" max="7" width="2.6640625" style="95" customWidth="1"/>
    <col min="8" max="8" width="7.33203125" style="140" customWidth="1"/>
    <col min="9" max="9" width="8.33203125" style="105" customWidth="1"/>
    <col min="10" max="10" width="2.6640625" style="95" customWidth="1"/>
    <col min="11" max="11" width="7.1640625" style="140" customWidth="1"/>
    <col min="12" max="12" width="8.33203125" style="105" customWidth="1"/>
    <col min="13" max="13" width="2.6640625" style="95" customWidth="1"/>
    <col min="14" max="14" width="7.1640625" style="140" customWidth="1"/>
    <col min="15" max="15" width="8.33203125" style="105" customWidth="1"/>
    <col min="16" max="16" width="2.6640625" style="95" customWidth="1"/>
    <col min="17" max="17" width="7.5" style="140" hidden="1" customWidth="1"/>
    <col min="18" max="18" width="8.33203125" style="105" hidden="1" customWidth="1"/>
    <col min="19" max="19" width="0" style="95" hidden="1" customWidth="1"/>
    <col min="20" max="256" width="8.83203125" style="95"/>
    <col min="257" max="257" width="28.1640625" style="95" customWidth="1"/>
    <col min="258" max="259" width="8.33203125" style="95" customWidth="1"/>
    <col min="260" max="260" width="2.6640625" style="95" customWidth="1"/>
    <col min="261" max="262" width="8.33203125" style="95" customWidth="1"/>
    <col min="263" max="263" width="2.6640625" style="95" customWidth="1"/>
    <col min="264" max="264" width="7.33203125" style="95" customWidth="1"/>
    <col min="265" max="265" width="8.33203125" style="95" customWidth="1"/>
    <col min="266" max="266" width="2.6640625" style="95" customWidth="1"/>
    <col min="267" max="267" width="7.1640625" style="95" customWidth="1"/>
    <col min="268" max="268" width="8.33203125" style="95" customWidth="1"/>
    <col min="269" max="269" width="2.6640625" style="95" customWidth="1"/>
    <col min="270" max="270" width="7.1640625" style="95" customWidth="1"/>
    <col min="271" max="271" width="8.33203125" style="95" customWidth="1"/>
    <col min="272" max="272" width="2.6640625" style="95" customWidth="1"/>
    <col min="273" max="275" width="0" style="95" hidden="1" customWidth="1"/>
    <col min="276" max="512" width="8.83203125" style="95"/>
    <col min="513" max="513" width="28.1640625" style="95" customWidth="1"/>
    <col min="514" max="515" width="8.33203125" style="95" customWidth="1"/>
    <col min="516" max="516" width="2.6640625" style="95" customWidth="1"/>
    <col min="517" max="518" width="8.33203125" style="95" customWidth="1"/>
    <col min="519" max="519" width="2.6640625" style="95" customWidth="1"/>
    <col min="520" max="520" width="7.33203125" style="95" customWidth="1"/>
    <col min="521" max="521" width="8.33203125" style="95" customWidth="1"/>
    <col min="522" max="522" width="2.6640625" style="95" customWidth="1"/>
    <col min="523" max="523" width="7.1640625" style="95" customWidth="1"/>
    <col min="524" max="524" width="8.33203125" style="95" customWidth="1"/>
    <col min="525" max="525" width="2.6640625" style="95" customWidth="1"/>
    <col min="526" max="526" width="7.1640625" style="95" customWidth="1"/>
    <col min="527" max="527" width="8.33203125" style="95" customWidth="1"/>
    <col min="528" max="528" width="2.6640625" style="95" customWidth="1"/>
    <col min="529" max="531" width="0" style="95" hidden="1" customWidth="1"/>
    <col min="532" max="768" width="8.83203125" style="95"/>
    <col min="769" max="769" width="28.1640625" style="95" customWidth="1"/>
    <col min="770" max="771" width="8.33203125" style="95" customWidth="1"/>
    <col min="772" max="772" width="2.6640625" style="95" customWidth="1"/>
    <col min="773" max="774" width="8.33203125" style="95" customWidth="1"/>
    <col min="775" max="775" width="2.6640625" style="95" customWidth="1"/>
    <col min="776" max="776" width="7.33203125" style="95" customWidth="1"/>
    <col min="777" max="777" width="8.33203125" style="95" customWidth="1"/>
    <col min="778" max="778" width="2.6640625" style="95" customWidth="1"/>
    <col min="779" max="779" width="7.1640625" style="95" customWidth="1"/>
    <col min="780" max="780" width="8.33203125" style="95" customWidth="1"/>
    <col min="781" max="781" width="2.6640625" style="95" customWidth="1"/>
    <col min="782" max="782" width="7.1640625" style="95" customWidth="1"/>
    <col min="783" max="783" width="8.33203125" style="95" customWidth="1"/>
    <col min="784" max="784" width="2.6640625" style="95" customWidth="1"/>
    <col min="785" max="787" width="0" style="95" hidden="1" customWidth="1"/>
    <col min="788" max="1024" width="8.83203125" style="95"/>
    <col min="1025" max="1025" width="28.1640625" style="95" customWidth="1"/>
    <col min="1026" max="1027" width="8.33203125" style="95" customWidth="1"/>
    <col min="1028" max="1028" width="2.6640625" style="95" customWidth="1"/>
    <col min="1029" max="1030" width="8.33203125" style="95" customWidth="1"/>
    <col min="1031" max="1031" width="2.6640625" style="95" customWidth="1"/>
    <col min="1032" max="1032" width="7.33203125" style="95" customWidth="1"/>
    <col min="1033" max="1033" width="8.33203125" style="95" customWidth="1"/>
    <col min="1034" max="1034" width="2.6640625" style="95" customWidth="1"/>
    <col min="1035" max="1035" width="7.1640625" style="95" customWidth="1"/>
    <col min="1036" max="1036" width="8.33203125" style="95" customWidth="1"/>
    <col min="1037" max="1037" width="2.6640625" style="95" customWidth="1"/>
    <col min="1038" max="1038" width="7.1640625" style="95" customWidth="1"/>
    <col min="1039" max="1039" width="8.33203125" style="95" customWidth="1"/>
    <col min="1040" max="1040" width="2.6640625" style="95" customWidth="1"/>
    <col min="1041" max="1043" width="0" style="95" hidden="1" customWidth="1"/>
    <col min="1044" max="1280" width="8.83203125" style="95"/>
    <col min="1281" max="1281" width="28.1640625" style="95" customWidth="1"/>
    <col min="1282" max="1283" width="8.33203125" style="95" customWidth="1"/>
    <col min="1284" max="1284" width="2.6640625" style="95" customWidth="1"/>
    <col min="1285" max="1286" width="8.33203125" style="95" customWidth="1"/>
    <col min="1287" max="1287" width="2.6640625" style="95" customWidth="1"/>
    <col min="1288" max="1288" width="7.33203125" style="95" customWidth="1"/>
    <col min="1289" max="1289" width="8.33203125" style="95" customWidth="1"/>
    <col min="1290" max="1290" width="2.6640625" style="95" customWidth="1"/>
    <col min="1291" max="1291" width="7.1640625" style="95" customWidth="1"/>
    <col min="1292" max="1292" width="8.33203125" style="95" customWidth="1"/>
    <col min="1293" max="1293" width="2.6640625" style="95" customWidth="1"/>
    <col min="1294" max="1294" width="7.1640625" style="95" customWidth="1"/>
    <col min="1295" max="1295" width="8.33203125" style="95" customWidth="1"/>
    <col min="1296" max="1296" width="2.6640625" style="95" customWidth="1"/>
    <col min="1297" max="1299" width="0" style="95" hidden="1" customWidth="1"/>
    <col min="1300" max="1536" width="8.83203125" style="95"/>
    <col min="1537" max="1537" width="28.1640625" style="95" customWidth="1"/>
    <col min="1538" max="1539" width="8.33203125" style="95" customWidth="1"/>
    <col min="1540" max="1540" width="2.6640625" style="95" customWidth="1"/>
    <col min="1541" max="1542" width="8.33203125" style="95" customWidth="1"/>
    <col min="1543" max="1543" width="2.6640625" style="95" customWidth="1"/>
    <col min="1544" max="1544" width="7.33203125" style="95" customWidth="1"/>
    <col min="1545" max="1545" width="8.33203125" style="95" customWidth="1"/>
    <col min="1546" max="1546" width="2.6640625" style="95" customWidth="1"/>
    <col min="1547" max="1547" width="7.1640625" style="95" customWidth="1"/>
    <col min="1548" max="1548" width="8.33203125" style="95" customWidth="1"/>
    <col min="1549" max="1549" width="2.6640625" style="95" customWidth="1"/>
    <col min="1550" max="1550" width="7.1640625" style="95" customWidth="1"/>
    <col min="1551" max="1551" width="8.33203125" style="95" customWidth="1"/>
    <col min="1552" max="1552" width="2.6640625" style="95" customWidth="1"/>
    <col min="1553" max="1555" width="0" style="95" hidden="1" customWidth="1"/>
    <col min="1556" max="1792" width="8.83203125" style="95"/>
    <col min="1793" max="1793" width="28.1640625" style="95" customWidth="1"/>
    <col min="1794" max="1795" width="8.33203125" style="95" customWidth="1"/>
    <col min="1796" max="1796" width="2.6640625" style="95" customWidth="1"/>
    <col min="1797" max="1798" width="8.33203125" style="95" customWidth="1"/>
    <col min="1799" max="1799" width="2.6640625" style="95" customWidth="1"/>
    <col min="1800" max="1800" width="7.33203125" style="95" customWidth="1"/>
    <col min="1801" max="1801" width="8.33203125" style="95" customWidth="1"/>
    <col min="1802" max="1802" width="2.6640625" style="95" customWidth="1"/>
    <col min="1803" max="1803" width="7.1640625" style="95" customWidth="1"/>
    <col min="1804" max="1804" width="8.33203125" style="95" customWidth="1"/>
    <col min="1805" max="1805" width="2.6640625" style="95" customWidth="1"/>
    <col min="1806" max="1806" width="7.1640625" style="95" customWidth="1"/>
    <col min="1807" max="1807" width="8.33203125" style="95" customWidth="1"/>
    <col min="1808" max="1808" width="2.6640625" style="95" customWidth="1"/>
    <col min="1809" max="1811" width="0" style="95" hidden="1" customWidth="1"/>
    <col min="1812" max="2048" width="8.83203125" style="95"/>
    <col min="2049" max="2049" width="28.1640625" style="95" customWidth="1"/>
    <col min="2050" max="2051" width="8.33203125" style="95" customWidth="1"/>
    <col min="2052" max="2052" width="2.6640625" style="95" customWidth="1"/>
    <col min="2053" max="2054" width="8.33203125" style="95" customWidth="1"/>
    <col min="2055" max="2055" width="2.6640625" style="95" customWidth="1"/>
    <col min="2056" max="2056" width="7.33203125" style="95" customWidth="1"/>
    <col min="2057" max="2057" width="8.33203125" style="95" customWidth="1"/>
    <col min="2058" max="2058" width="2.6640625" style="95" customWidth="1"/>
    <col min="2059" max="2059" width="7.1640625" style="95" customWidth="1"/>
    <col min="2060" max="2060" width="8.33203125" style="95" customWidth="1"/>
    <col min="2061" max="2061" width="2.6640625" style="95" customWidth="1"/>
    <col min="2062" max="2062" width="7.1640625" style="95" customWidth="1"/>
    <col min="2063" max="2063" width="8.33203125" style="95" customWidth="1"/>
    <col min="2064" max="2064" width="2.6640625" style="95" customWidth="1"/>
    <col min="2065" max="2067" width="0" style="95" hidden="1" customWidth="1"/>
    <col min="2068" max="2304" width="8.83203125" style="95"/>
    <col min="2305" max="2305" width="28.1640625" style="95" customWidth="1"/>
    <col min="2306" max="2307" width="8.33203125" style="95" customWidth="1"/>
    <col min="2308" max="2308" width="2.6640625" style="95" customWidth="1"/>
    <col min="2309" max="2310" width="8.33203125" style="95" customWidth="1"/>
    <col min="2311" max="2311" width="2.6640625" style="95" customWidth="1"/>
    <col min="2312" max="2312" width="7.33203125" style="95" customWidth="1"/>
    <col min="2313" max="2313" width="8.33203125" style="95" customWidth="1"/>
    <col min="2314" max="2314" width="2.6640625" style="95" customWidth="1"/>
    <col min="2315" max="2315" width="7.1640625" style="95" customWidth="1"/>
    <col min="2316" max="2316" width="8.33203125" style="95" customWidth="1"/>
    <col min="2317" max="2317" width="2.6640625" style="95" customWidth="1"/>
    <col min="2318" max="2318" width="7.1640625" style="95" customWidth="1"/>
    <col min="2319" max="2319" width="8.33203125" style="95" customWidth="1"/>
    <col min="2320" max="2320" width="2.6640625" style="95" customWidth="1"/>
    <col min="2321" max="2323" width="0" style="95" hidden="1" customWidth="1"/>
    <col min="2324" max="2560" width="8.83203125" style="95"/>
    <col min="2561" max="2561" width="28.1640625" style="95" customWidth="1"/>
    <col min="2562" max="2563" width="8.33203125" style="95" customWidth="1"/>
    <col min="2564" max="2564" width="2.6640625" style="95" customWidth="1"/>
    <col min="2565" max="2566" width="8.33203125" style="95" customWidth="1"/>
    <col min="2567" max="2567" width="2.6640625" style="95" customWidth="1"/>
    <col min="2568" max="2568" width="7.33203125" style="95" customWidth="1"/>
    <col min="2569" max="2569" width="8.33203125" style="95" customWidth="1"/>
    <col min="2570" max="2570" width="2.6640625" style="95" customWidth="1"/>
    <col min="2571" max="2571" width="7.1640625" style="95" customWidth="1"/>
    <col min="2572" max="2572" width="8.33203125" style="95" customWidth="1"/>
    <col min="2573" max="2573" width="2.6640625" style="95" customWidth="1"/>
    <col min="2574" max="2574" width="7.1640625" style="95" customWidth="1"/>
    <col min="2575" max="2575" width="8.33203125" style="95" customWidth="1"/>
    <col min="2576" max="2576" width="2.6640625" style="95" customWidth="1"/>
    <col min="2577" max="2579" width="0" style="95" hidden="1" customWidth="1"/>
    <col min="2580" max="2816" width="8.83203125" style="95"/>
    <col min="2817" max="2817" width="28.1640625" style="95" customWidth="1"/>
    <col min="2818" max="2819" width="8.33203125" style="95" customWidth="1"/>
    <col min="2820" max="2820" width="2.6640625" style="95" customWidth="1"/>
    <col min="2821" max="2822" width="8.33203125" style="95" customWidth="1"/>
    <col min="2823" max="2823" width="2.6640625" style="95" customWidth="1"/>
    <col min="2824" max="2824" width="7.33203125" style="95" customWidth="1"/>
    <col min="2825" max="2825" width="8.33203125" style="95" customWidth="1"/>
    <col min="2826" max="2826" width="2.6640625" style="95" customWidth="1"/>
    <col min="2827" max="2827" width="7.1640625" style="95" customWidth="1"/>
    <col min="2828" max="2828" width="8.33203125" style="95" customWidth="1"/>
    <col min="2829" max="2829" width="2.6640625" style="95" customWidth="1"/>
    <col min="2830" max="2830" width="7.1640625" style="95" customWidth="1"/>
    <col min="2831" max="2831" width="8.33203125" style="95" customWidth="1"/>
    <col min="2832" max="2832" width="2.6640625" style="95" customWidth="1"/>
    <col min="2833" max="2835" width="0" style="95" hidden="1" customWidth="1"/>
    <col min="2836" max="3072" width="8.83203125" style="95"/>
    <col min="3073" max="3073" width="28.1640625" style="95" customWidth="1"/>
    <col min="3074" max="3075" width="8.33203125" style="95" customWidth="1"/>
    <col min="3076" max="3076" width="2.6640625" style="95" customWidth="1"/>
    <col min="3077" max="3078" width="8.33203125" style="95" customWidth="1"/>
    <col min="3079" max="3079" width="2.6640625" style="95" customWidth="1"/>
    <col min="3080" max="3080" width="7.33203125" style="95" customWidth="1"/>
    <col min="3081" max="3081" width="8.33203125" style="95" customWidth="1"/>
    <col min="3082" max="3082" width="2.6640625" style="95" customWidth="1"/>
    <col min="3083" max="3083" width="7.1640625" style="95" customWidth="1"/>
    <col min="3084" max="3084" width="8.33203125" style="95" customWidth="1"/>
    <col min="3085" max="3085" width="2.6640625" style="95" customWidth="1"/>
    <col min="3086" max="3086" width="7.1640625" style="95" customWidth="1"/>
    <col min="3087" max="3087" width="8.33203125" style="95" customWidth="1"/>
    <col min="3088" max="3088" width="2.6640625" style="95" customWidth="1"/>
    <col min="3089" max="3091" width="0" style="95" hidden="1" customWidth="1"/>
    <col min="3092" max="3328" width="8.83203125" style="95"/>
    <col min="3329" max="3329" width="28.1640625" style="95" customWidth="1"/>
    <col min="3330" max="3331" width="8.33203125" style="95" customWidth="1"/>
    <col min="3332" max="3332" width="2.6640625" style="95" customWidth="1"/>
    <col min="3333" max="3334" width="8.33203125" style="95" customWidth="1"/>
    <col min="3335" max="3335" width="2.6640625" style="95" customWidth="1"/>
    <col min="3336" max="3336" width="7.33203125" style="95" customWidth="1"/>
    <col min="3337" max="3337" width="8.33203125" style="95" customWidth="1"/>
    <col min="3338" max="3338" width="2.6640625" style="95" customWidth="1"/>
    <col min="3339" max="3339" width="7.1640625" style="95" customWidth="1"/>
    <col min="3340" max="3340" width="8.33203125" style="95" customWidth="1"/>
    <col min="3341" max="3341" width="2.6640625" style="95" customWidth="1"/>
    <col min="3342" max="3342" width="7.1640625" style="95" customWidth="1"/>
    <col min="3343" max="3343" width="8.33203125" style="95" customWidth="1"/>
    <col min="3344" max="3344" width="2.6640625" style="95" customWidth="1"/>
    <col min="3345" max="3347" width="0" style="95" hidden="1" customWidth="1"/>
    <col min="3348" max="3584" width="8.83203125" style="95"/>
    <col min="3585" max="3585" width="28.1640625" style="95" customWidth="1"/>
    <col min="3586" max="3587" width="8.33203125" style="95" customWidth="1"/>
    <col min="3588" max="3588" width="2.6640625" style="95" customWidth="1"/>
    <col min="3589" max="3590" width="8.33203125" style="95" customWidth="1"/>
    <col min="3591" max="3591" width="2.6640625" style="95" customWidth="1"/>
    <col min="3592" max="3592" width="7.33203125" style="95" customWidth="1"/>
    <col min="3593" max="3593" width="8.33203125" style="95" customWidth="1"/>
    <col min="3594" max="3594" width="2.6640625" style="95" customWidth="1"/>
    <col min="3595" max="3595" width="7.1640625" style="95" customWidth="1"/>
    <col min="3596" max="3596" width="8.33203125" style="95" customWidth="1"/>
    <col min="3597" max="3597" width="2.6640625" style="95" customWidth="1"/>
    <col min="3598" max="3598" width="7.1640625" style="95" customWidth="1"/>
    <col min="3599" max="3599" width="8.33203125" style="95" customWidth="1"/>
    <col min="3600" max="3600" width="2.6640625" style="95" customWidth="1"/>
    <col min="3601" max="3603" width="0" style="95" hidden="1" customWidth="1"/>
    <col min="3604" max="3840" width="8.83203125" style="95"/>
    <col min="3841" max="3841" width="28.1640625" style="95" customWidth="1"/>
    <col min="3842" max="3843" width="8.33203125" style="95" customWidth="1"/>
    <col min="3844" max="3844" width="2.6640625" style="95" customWidth="1"/>
    <col min="3845" max="3846" width="8.33203125" style="95" customWidth="1"/>
    <col min="3847" max="3847" width="2.6640625" style="95" customWidth="1"/>
    <col min="3848" max="3848" width="7.33203125" style="95" customWidth="1"/>
    <col min="3849" max="3849" width="8.33203125" style="95" customWidth="1"/>
    <col min="3850" max="3850" width="2.6640625" style="95" customWidth="1"/>
    <col min="3851" max="3851" width="7.1640625" style="95" customWidth="1"/>
    <col min="3852" max="3852" width="8.33203125" style="95" customWidth="1"/>
    <col min="3853" max="3853" width="2.6640625" style="95" customWidth="1"/>
    <col min="3854" max="3854" width="7.1640625" style="95" customWidth="1"/>
    <col min="3855" max="3855" width="8.33203125" style="95" customWidth="1"/>
    <col min="3856" max="3856" width="2.6640625" style="95" customWidth="1"/>
    <col min="3857" max="3859" width="0" style="95" hidden="1" customWidth="1"/>
    <col min="3860" max="4096" width="8.83203125" style="95"/>
    <col min="4097" max="4097" width="28.1640625" style="95" customWidth="1"/>
    <col min="4098" max="4099" width="8.33203125" style="95" customWidth="1"/>
    <col min="4100" max="4100" width="2.6640625" style="95" customWidth="1"/>
    <col min="4101" max="4102" width="8.33203125" style="95" customWidth="1"/>
    <col min="4103" max="4103" width="2.6640625" style="95" customWidth="1"/>
    <col min="4104" max="4104" width="7.33203125" style="95" customWidth="1"/>
    <col min="4105" max="4105" width="8.33203125" style="95" customWidth="1"/>
    <col min="4106" max="4106" width="2.6640625" style="95" customWidth="1"/>
    <col min="4107" max="4107" width="7.1640625" style="95" customWidth="1"/>
    <col min="4108" max="4108" width="8.33203125" style="95" customWidth="1"/>
    <col min="4109" max="4109" width="2.6640625" style="95" customWidth="1"/>
    <col min="4110" max="4110" width="7.1640625" style="95" customWidth="1"/>
    <col min="4111" max="4111" width="8.33203125" style="95" customWidth="1"/>
    <col min="4112" max="4112" width="2.6640625" style="95" customWidth="1"/>
    <col min="4113" max="4115" width="0" style="95" hidden="1" customWidth="1"/>
    <col min="4116" max="4352" width="8.83203125" style="95"/>
    <col min="4353" max="4353" width="28.1640625" style="95" customWidth="1"/>
    <col min="4354" max="4355" width="8.33203125" style="95" customWidth="1"/>
    <col min="4356" max="4356" width="2.6640625" style="95" customWidth="1"/>
    <col min="4357" max="4358" width="8.33203125" style="95" customWidth="1"/>
    <col min="4359" max="4359" width="2.6640625" style="95" customWidth="1"/>
    <col min="4360" max="4360" width="7.33203125" style="95" customWidth="1"/>
    <col min="4361" max="4361" width="8.33203125" style="95" customWidth="1"/>
    <col min="4362" max="4362" width="2.6640625" style="95" customWidth="1"/>
    <col min="4363" max="4363" width="7.1640625" style="95" customWidth="1"/>
    <col min="4364" max="4364" width="8.33203125" style="95" customWidth="1"/>
    <col min="4365" max="4365" width="2.6640625" style="95" customWidth="1"/>
    <col min="4366" max="4366" width="7.1640625" style="95" customWidth="1"/>
    <col min="4367" max="4367" width="8.33203125" style="95" customWidth="1"/>
    <col min="4368" max="4368" width="2.6640625" style="95" customWidth="1"/>
    <col min="4369" max="4371" width="0" style="95" hidden="1" customWidth="1"/>
    <col min="4372" max="4608" width="8.83203125" style="95"/>
    <col min="4609" max="4609" width="28.1640625" style="95" customWidth="1"/>
    <col min="4610" max="4611" width="8.33203125" style="95" customWidth="1"/>
    <col min="4612" max="4612" width="2.6640625" style="95" customWidth="1"/>
    <col min="4613" max="4614" width="8.33203125" style="95" customWidth="1"/>
    <col min="4615" max="4615" width="2.6640625" style="95" customWidth="1"/>
    <col min="4616" max="4616" width="7.33203125" style="95" customWidth="1"/>
    <col min="4617" max="4617" width="8.33203125" style="95" customWidth="1"/>
    <col min="4618" max="4618" width="2.6640625" style="95" customWidth="1"/>
    <col min="4619" max="4619" width="7.1640625" style="95" customWidth="1"/>
    <col min="4620" max="4620" width="8.33203125" style="95" customWidth="1"/>
    <col min="4621" max="4621" width="2.6640625" style="95" customWidth="1"/>
    <col min="4622" max="4622" width="7.1640625" style="95" customWidth="1"/>
    <col min="4623" max="4623" width="8.33203125" style="95" customWidth="1"/>
    <col min="4624" max="4624" width="2.6640625" style="95" customWidth="1"/>
    <col min="4625" max="4627" width="0" style="95" hidden="1" customWidth="1"/>
    <col min="4628" max="4864" width="8.83203125" style="95"/>
    <col min="4865" max="4865" width="28.1640625" style="95" customWidth="1"/>
    <col min="4866" max="4867" width="8.33203125" style="95" customWidth="1"/>
    <col min="4868" max="4868" width="2.6640625" style="95" customWidth="1"/>
    <col min="4869" max="4870" width="8.33203125" style="95" customWidth="1"/>
    <col min="4871" max="4871" width="2.6640625" style="95" customWidth="1"/>
    <col min="4872" max="4872" width="7.33203125" style="95" customWidth="1"/>
    <col min="4873" max="4873" width="8.33203125" style="95" customWidth="1"/>
    <col min="4874" max="4874" width="2.6640625" style="95" customWidth="1"/>
    <col min="4875" max="4875" width="7.1640625" style="95" customWidth="1"/>
    <col min="4876" max="4876" width="8.33203125" style="95" customWidth="1"/>
    <col min="4877" max="4877" width="2.6640625" style="95" customWidth="1"/>
    <col min="4878" max="4878" width="7.1640625" style="95" customWidth="1"/>
    <col min="4879" max="4879" width="8.33203125" style="95" customWidth="1"/>
    <col min="4880" max="4880" width="2.6640625" style="95" customWidth="1"/>
    <col min="4881" max="4883" width="0" style="95" hidden="1" customWidth="1"/>
    <col min="4884" max="5120" width="8.83203125" style="95"/>
    <col min="5121" max="5121" width="28.1640625" style="95" customWidth="1"/>
    <col min="5122" max="5123" width="8.33203125" style="95" customWidth="1"/>
    <col min="5124" max="5124" width="2.6640625" style="95" customWidth="1"/>
    <col min="5125" max="5126" width="8.33203125" style="95" customWidth="1"/>
    <col min="5127" max="5127" width="2.6640625" style="95" customWidth="1"/>
    <col min="5128" max="5128" width="7.33203125" style="95" customWidth="1"/>
    <col min="5129" max="5129" width="8.33203125" style="95" customWidth="1"/>
    <col min="5130" max="5130" width="2.6640625" style="95" customWidth="1"/>
    <col min="5131" max="5131" width="7.1640625" style="95" customWidth="1"/>
    <col min="5132" max="5132" width="8.33203125" style="95" customWidth="1"/>
    <col min="5133" max="5133" width="2.6640625" style="95" customWidth="1"/>
    <col min="5134" max="5134" width="7.1640625" style="95" customWidth="1"/>
    <col min="5135" max="5135" width="8.33203125" style="95" customWidth="1"/>
    <col min="5136" max="5136" width="2.6640625" style="95" customWidth="1"/>
    <col min="5137" max="5139" width="0" style="95" hidden="1" customWidth="1"/>
    <col min="5140" max="5376" width="8.83203125" style="95"/>
    <col min="5377" max="5377" width="28.1640625" style="95" customWidth="1"/>
    <col min="5378" max="5379" width="8.33203125" style="95" customWidth="1"/>
    <col min="5380" max="5380" width="2.6640625" style="95" customWidth="1"/>
    <col min="5381" max="5382" width="8.33203125" style="95" customWidth="1"/>
    <col min="5383" max="5383" width="2.6640625" style="95" customWidth="1"/>
    <col min="5384" max="5384" width="7.33203125" style="95" customWidth="1"/>
    <col min="5385" max="5385" width="8.33203125" style="95" customWidth="1"/>
    <col min="5386" max="5386" width="2.6640625" style="95" customWidth="1"/>
    <col min="5387" max="5387" width="7.1640625" style="95" customWidth="1"/>
    <col min="5388" max="5388" width="8.33203125" style="95" customWidth="1"/>
    <col min="5389" max="5389" width="2.6640625" style="95" customWidth="1"/>
    <col min="5390" max="5390" width="7.1640625" style="95" customWidth="1"/>
    <col min="5391" max="5391" width="8.33203125" style="95" customWidth="1"/>
    <col min="5392" max="5392" width="2.6640625" style="95" customWidth="1"/>
    <col min="5393" max="5395" width="0" style="95" hidden="1" customWidth="1"/>
    <col min="5396" max="5632" width="8.83203125" style="95"/>
    <col min="5633" max="5633" width="28.1640625" style="95" customWidth="1"/>
    <col min="5634" max="5635" width="8.33203125" style="95" customWidth="1"/>
    <col min="5636" max="5636" width="2.6640625" style="95" customWidth="1"/>
    <col min="5637" max="5638" width="8.33203125" style="95" customWidth="1"/>
    <col min="5639" max="5639" width="2.6640625" style="95" customWidth="1"/>
    <col min="5640" max="5640" width="7.33203125" style="95" customWidth="1"/>
    <col min="5641" max="5641" width="8.33203125" style="95" customWidth="1"/>
    <col min="5642" max="5642" width="2.6640625" style="95" customWidth="1"/>
    <col min="5643" max="5643" width="7.1640625" style="95" customWidth="1"/>
    <col min="5644" max="5644" width="8.33203125" style="95" customWidth="1"/>
    <col min="5645" max="5645" width="2.6640625" style="95" customWidth="1"/>
    <col min="5646" max="5646" width="7.1640625" style="95" customWidth="1"/>
    <col min="5647" max="5647" width="8.33203125" style="95" customWidth="1"/>
    <col min="5648" max="5648" width="2.6640625" style="95" customWidth="1"/>
    <col min="5649" max="5651" width="0" style="95" hidden="1" customWidth="1"/>
    <col min="5652" max="5888" width="8.83203125" style="95"/>
    <col min="5889" max="5889" width="28.1640625" style="95" customWidth="1"/>
    <col min="5890" max="5891" width="8.33203125" style="95" customWidth="1"/>
    <col min="5892" max="5892" width="2.6640625" style="95" customWidth="1"/>
    <col min="5893" max="5894" width="8.33203125" style="95" customWidth="1"/>
    <col min="5895" max="5895" width="2.6640625" style="95" customWidth="1"/>
    <col min="5896" max="5896" width="7.33203125" style="95" customWidth="1"/>
    <col min="5897" max="5897" width="8.33203125" style="95" customWidth="1"/>
    <col min="5898" max="5898" width="2.6640625" style="95" customWidth="1"/>
    <col min="5899" max="5899" width="7.1640625" style="95" customWidth="1"/>
    <col min="5900" max="5900" width="8.33203125" style="95" customWidth="1"/>
    <col min="5901" max="5901" width="2.6640625" style="95" customWidth="1"/>
    <col min="5902" max="5902" width="7.1640625" style="95" customWidth="1"/>
    <col min="5903" max="5903" width="8.33203125" style="95" customWidth="1"/>
    <col min="5904" max="5904" width="2.6640625" style="95" customWidth="1"/>
    <col min="5905" max="5907" width="0" style="95" hidden="1" customWidth="1"/>
    <col min="5908" max="6144" width="8.83203125" style="95"/>
    <col min="6145" max="6145" width="28.1640625" style="95" customWidth="1"/>
    <col min="6146" max="6147" width="8.33203125" style="95" customWidth="1"/>
    <col min="6148" max="6148" width="2.6640625" style="95" customWidth="1"/>
    <col min="6149" max="6150" width="8.33203125" style="95" customWidth="1"/>
    <col min="6151" max="6151" width="2.6640625" style="95" customWidth="1"/>
    <col min="6152" max="6152" width="7.33203125" style="95" customWidth="1"/>
    <col min="6153" max="6153" width="8.33203125" style="95" customWidth="1"/>
    <col min="6154" max="6154" width="2.6640625" style="95" customWidth="1"/>
    <col min="6155" max="6155" width="7.1640625" style="95" customWidth="1"/>
    <col min="6156" max="6156" width="8.33203125" style="95" customWidth="1"/>
    <col min="6157" max="6157" width="2.6640625" style="95" customWidth="1"/>
    <col min="6158" max="6158" width="7.1640625" style="95" customWidth="1"/>
    <col min="6159" max="6159" width="8.33203125" style="95" customWidth="1"/>
    <col min="6160" max="6160" width="2.6640625" style="95" customWidth="1"/>
    <col min="6161" max="6163" width="0" style="95" hidden="1" customWidth="1"/>
    <col min="6164" max="6400" width="8.83203125" style="95"/>
    <col min="6401" max="6401" width="28.1640625" style="95" customWidth="1"/>
    <col min="6402" max="6403" width="8.33203125" style="95" customWidth="1"/>
    <col min="6404" max="6404" width="2.6640625" style="95" customWidth="1"/>
    <col min="6405" max="6406" width="8.33203125" style="95" customWidth="1"/>
    <col min="6407" max="6407" width="2.6640625" style="95" customWidth="1"/>
    <col min="6408" max="6408" width="7.33203125" style="95" customWidth="1"/>
    <col min="6409" max="6409" width="8.33203125" style="95" customWidth="1"/>
    <col min="6410" max="6410" width="2.6640625" style="95" customWidth="1"/>
    <col min="6411" max="6411" width="7.1640625" style="95" customWidth="1"/>
    <col min="6412" max="6412" width="8.33203125" style="95" customWidth="1"/>
    <col min="6413" max="6413" width="2.6640625" style="95" customWidth="1"/>
    <col min="6414" max="6414" width="7.1640625" style="95" customWidth="1"/>
    <col min="6415" max="6415" width="8.33203125" style="95" customWidth="1"/>
    <col min="6416" max="6416" width="2.6640625" style="95" customWidth="1"/>
    <col min="6417" max="6419" width="0" style="95" hidden="1" customWidth="1"/>
    <col min="6420" max="6656" width="8.83203125" style="95"/>
    <col min="6657" max="6657" width="28.1640625" style="95" customWidth="1"/>
    <col min="6658" max="6659" width="8.33203125" style="95" customWidth="1"/>
    <col min="6660" max="6660" width="2.6640625" style="95" customWidth="1"/>
    <col min="6661" max="6662" width="8.33203125" style="95" customWidth="1"/>
    <col min="6663" max="6663" width="2.6640625" style="95" customWidth="1"/>
    <col min="6664" max="6664" width="7.33203125" style="95" customWidth="1"/>
    <col min="6665" max="6665" width="8.33203125" style="95" customWidth="1"/>
    <col min="6666" max="6666" width="2.6640625" style="95" customWidth="1"/>
    <col min="6667" max="6667" width="7.1640625" style="95" customWidth="1"/>
    <col min="6668" max="6668" width="8.33203125" style="95" customWidth="1"/>
    <col min="6669" max="6669" width="2.6640625" style="95" customWidth="1"/>
    <col min="6670" max="6670" width="7.1640625" style="95" customWidth="1"/>
    <col min="6671" max="6671" width="8.33203125" style="95" customWidth="1"/>
    <col min="6672" max="6672" width="2.6640625" style="95" customWidth="1"/>
    <col min="6673" max="6675" width="0" style="95" hidden="1" customWidth="1"/>
    <col min="6676" max="6912" width="8.83203125" style="95"/>
    <col min="6913" max="6913" width="28.1640625" style="95" customWidth="1"/>
    <col min="6914" max="6915" width="8.33203125" style="95" customWidth="1"/>
    <col min="6916" max="6916" width="2.6640625" style="95" customWidth="1"/>
    <col min="6917" max="6918" width="8.33203125" style="95" customWidth="1"/>
    <col min="6919" max="6919" width="2.6640625" style="95" customWidth="1"/>
    <col min="6920" max="6920" width="7.33203125" style="95" customWidth="1"/>
    <col min="6921" max="6921" width="8.33203125" style="95" customWidth="1"/>
    <col min="6922" max="6922" width="2.6640625" style="95" customWidth="1"/>
    <col min="6923" max="6923" width="7.1640625" style="95" customWidth="1"/>
    <col min="6924" max="6924" width="8.33203125" style="95" customWidth="1"/>
    <col min="6925" max="6925" width="2.6640625" style="95" customWidth="1"/>
    <col min="6926" max="6926" width="7.1640625" style="95" customWidth="1"/>
    <col min="6927" max="6927" width="8.33203125" style="95" customWidth="1"/>
    <col min="6928" max="6928" width="2.6640625" style="95" customWidth="1"/>
    <col min="6929" max="6931" width="0" style="95" hidden="1" customWidth="1"/>
    <col min="6932" max="7168" width="8.83203125" style="95"/>
    <col min="7169" max="7169" width="28.1640625" style="95" customWidth="1"/>
    <col min="7170" max="7171" width="8.33203125" style="95" customWidth="1"/>
    <col min="7172" max="7172" width="2.6640625" style="95" customWidth="1"/>
    <col min="7173" max="7174" width="8.33203125" style="95" customWidth="1"/>
    <col min="7175" max="7175" width="2.6640625" style="95" customWidth="1"/>
    <col min="7176" max="7176" width="7.33203125" style="95" customWidth="1"/>
    <col min="7177" max="7177" width="8.33203125" style="95" customWidth="1"/>
    <col min="7178" max="7178" width="2.6640625" style="95" customWidth="1"/>
    <col min="7179" max="7179" width="7.1640625" style="95" customWidth="1"/>
    <col min="7180" max="7180" width="8.33203125" style="95" customWidth="1"/>
    <col min="7181" max="7181" width="2.6640625" style="95" customWidth="1"/>
    <col min="7182" max="7182" width="7.1640625" style="95" customWidth="1"/>
    <col min="7183" max="7183" width="8.33203125" style="95" customWidth="1"/>
    <col min="7184" max="7184" width="2.6640625" style="95" customWidth="1"/>
    <col min="7185" max="7187" width="0" style="95" hidden="1" customWidth="1"/>
    <col min="7188" max="7424" width="8.83203125" style="95"/>
    <col min="7425" max="7425" width="28.1640625" style="95" customWidth="1"/>
    <col min="7426" max="7427" width="8.33203125" style="95" customWidth="1"/>
    <col min="7428" max="7428" width="2.6640625" style="95" customWidth="1"/>
    <col min="7429" max="7430" width="8.33203125" style="95" customWidth="1"/>
    <col min="7431" max="7431" width="2.6640625" style="95" customWidth="1"/>
    <col min="7432" max="7432" width="7.33203125" style="95" customWidth="1"/>
    <col min="7433" max="7433" width="8.33203125" style="95" customWidth="1"/>
    <col min="7434" max="7434" width="2.6640625" style="95" customWidth="1"/>
    <col min="7435" max="7435" width="7.1640625" style="95" customWidth="1"/>
    <col min="7436" max="7436" width="8.33203125" style="95" customWidth="1"/>
    <col min="7437" max="7437" width="2.6640625" style="95" customWidth="1"/>
    <col min="7438" max="7438" width="7.1640625" style="95" customWidth="1"/>
    <col min="7439" max="7439" width="8.33203125" style="95" customWidth="1"/>
    <col min="7440" max="7440" width="2.6640625" style="95" customWidth="1"/>
    <col min="7441" max="7443" width="0" style="95" hidden="1" customWidth="1"/>
    <col min="7444" max="7680" width="8.83203125" style="95"/>
    <col min="7681" max="7681" width="28.1640625" style="95" customWidth="1"/>
    <col min="7682" max="7683" width="8.33203125" style="95" customWidth="1"/>
    <col min="7684" max="7684" width="2.6640625" style="95" customWidth="1"/>
    <col min="7685" max="7686" width="8.33203125" style="95" customWidth="1"/>
    <col min="7687" max="7687" width="2.6640625" style="95" customWidth="1"/>
    <col min="7688" max="7688" width="7.33203125" style="95" customWidth="1"/>
    <col min="7689" max="7689" width="8.33203125" style="95" customWidth="1"/>
    <col min="7690" max="7690" width="2.6640625" style="95" customWidth="1"/>
    <col min="7691" max="7691" width="7.1640625" style="95" customWidth="1"/>
    <col min="7692" max="7692" width="8.33203125" style="95" customWidth="1"/>
    <col min="7693" max="7693" width="2.6640625" style="95" customWidth="1"/>
    <col min="7694" max="7694" width="7.1640625" style="95" customWidth="1"/>
    <col min="7695" max="7695" width="8.33203125" style="95" customWidth="1"/>
    <col min="7696" max="7696" width="2.6640625" style="95" customWidth="1"/>
    <col min="7697" max="7699" width="0" style="95" hidden="1" customWidth="1"/>
    <col min="7700" max="7936" width="8.83203125" style="95"/>
    <col min="7937" max="7937" width="28.1640625" style="95" customWidth="1"/>
    <col min="7938" max="7939" width="8.33203125" style="95" customWidth="1"/>
    <col min="7940" max="7940" width="2.6640625" style="95" customWidth="1"/>
    <col min="7941" max="7942" width="8.33203125" style="95" customWidth="1"/>
    <col min="7943" max="7943" width="2.6640625" style="95" customWidth="1"/>
    <col min="7944" max="7944" width="7.33203125" style="95" customWidth="1"/>
    <col min="7945" max="7945" width="8.33203125" style="95" customWidth="1"/>
    <col min="7946" max="7946" width="2.6640625" style="95" customWidth="1"/>
    <col min="7947" max="7947" width="7.1640625" style="95" customWidth="1"/>
    <col min="7948" max="7948" width="8.33203125" style="95" customWidth="1"/>
    <col min="7949" max="7949" width="2.6640625" style="95" customWidth="1"/>
    <col min="7950" max="7950" width="7.1640625" style="95" customWidth="1"/>
    <col min="7951" max="7951" width="8.33203125" style="95" customWidth="1"/>
    <col min="7952" max="7952" width="2.6640625" style="95" customWidth="1"/>
    <col min="7953" max="7955" width="0" style="95" hidden="1" customWidth="1"/>
    <col min="7956" max="8192" width="8.83203125" style="95"/>
    <col min="8193" max="8193" width="28.1640625" style="95" customWidth="1"/>
    <col min="8194" max="8195" width="8.33203125" style="95" customWidth="1"/>
    <col min="8196" max="8196" width="2.6640625" style="95" customWidth="1"/>
    <col min="8197" max="8198" width="8.33203125" style="95" customWidth="1"/>
    <col min="8199" max="8199" width="2.6640625" style="95" customWidth="1"/>
    <col min="8200" max="8200" width="7.33203125" style="95" customWidth="1"/>
    <col min="8201" max="8201" width="8.33203125" style="95" customWidth="1"/>
    <col min="8202" max="8202" width="2.6640625" style="95" customWidth="1"/>
    <col min="8203" max="8203" width="7.1640625" style="95" customWidth="1"/>
    <col min="8204" max="8204" width="8.33203125" style="95" customWidth="1"/>
    <col min="8205" max="8205" width="2.6640625" style="95" customWidth="1"/>
    <col min="8206" max="8206" width="7.1640625" style="95" customWidth="1"/>
    <col min="8207" max="8207" width="8.33203125" style="95" customWidth="1"/>
    <col min="8208" max="8208" width="2.6640625" style="95" customWidth="1"/>
    <col min="8209" max="8211" width="0" style="95" hidden="1" customWidth="1"/>
    <col min="8212" max="8448" width="8.83203125" style="95"/>
    <col min="8449" max="8449" width="28.1640625" style="95" customWidth="1"/>
    <col min="8450" max="8451" width="8.33203125" style="95" customWidth="1"/>
    <col min="8452" max="8452" width="2.6640625" style="95" customWidth="1"/>
    <col min="8453" max="8454" width="8.33203125" style="95" customWidth="1"/>
    <col min="8455" max="8455" width="2.6640625" style="95" customWidth="1"/>
    <col min="8456" max="8456" width="7.33203125" style="95" customWidth="1"/>
    <col min="8457" max="8457" width="8.33203125" style="95" customWidth="1"/>
    <col min="8458" max="8458" width="2.6640625" style="95" customWidth="1"/>
    <col min="8459" max="8459" width="7.1640625" style="95" customWidth="1"/>
    <col min="8460" max="8460" width="8.33203125" style="95" customWidth="1"/>
    <col min="8461" max="8461" width="2.6640625" style="95" customWidth="1"/>
    <col min="8462" max="8462" width="7.1640625" style="95" customWidth="1"/>
    <col min="8463" max="8463" width="8.33203125" style="95" customWidth="1"/>
    <col min="8464" max="8464" width="2.6640625" style="95" customWidth="1"/>
    <col min="8465" max="8467" width="0" style="95" hidden="1" customWidth="1"/>
    <col min="8468" max="8704" width="8.83203125" style="95"/>
    <col min="8705" max="8705" width="28.1640625" style="95" customWidth="1"/>
    <col min="8706" max="8707" width="8.33203125" style="95" customWidth="1"/>
    <col min="8708" max="8708" width="2.6640625" style="95" customWidth="1"/>
    <col min="8709" max="8710" width="8.33203125" style="95" customWidth="1"/>
    <col min="8711" max="8711" width="2.6640625" style="95" customWidth="1"/>
    <col min="8712" max="8712" width="7.33203125" style="95" customWidth="1"/>
    <col min="8713" max="8713" width="8.33203125" style="95" customWidth="1"/>
    <col min="8714" max="8714" width="2.6640625" style="95" customWidth="1"/>
    <col min="8715" max="8715" width="7.1640625" style="95" customWidth="1"/>
    <col min="8716" max="8716" width="8.33203125" style="95" customWidth="1"/>
    <col min="8717" max="8717" width="2.6640625" style="95" customWidth="1"/>
    <col min="8718" max="8718" width="7.1640625" style="95" customWidth="1"/>
    <col min="8719" max="8719" width="8.33203125" style="95" customWidth="1"/>
    <col min="8720" max="8720" width="2.6640625" style="95" customWidth="1"/>
    <col min="8721" max="8723" width="0" style="95" hidden="1" customWidth="1"/>
    <col min="8724" max="8960" width="8.83203125" style="95"/>
    <col min="8961" max="8961" width="28.1640625" style="95" customWidth="1"/>
    <col min="8962" max="8963" width="8.33203125" style="95" customWidth="1"/>
    <col min="8964" max="8964" width="2.6640625" style="95" customWidth="1"/>
    <col min="8965" max="8966" width="8.33203125" style="95" customWidth="1"/>
    <col min="8967" max="8967" width="2.6640625" style="95" customWidth="1"/>
    <col min="8968" max="8968" width="7.33203125" style="95" customWidth="1"/>
    <col min="8969" max="8969" width="8.33203125" style="95" customWidth="1"/>
    <col min="8970" max="8970" width="2.6640625" style="95" customWidth="1"/>
    <col min="8971" max="8971" width="7.1640625" style="95" customWidth="1"/>
    <col min="8972" max="8972" width="8.33203125" style="95" customWidth="1"/>
    <col min="8973" max="8973" width="2.6640625" style="95" customWidth="1"/>
    <col min="8974" max="8974" width="7.1640625" style="95" customWidth="1"/>
    <col min="8975" max="8975" width="8.33203125" style="95" customWidth="1"/>
    <col min="8976" max="8976" width="2.6640625" style="95" customWidth="1"/>
    <col min="8977" max="8979" width="0" style="95" hidden="1" customWidth="1"/>
    <col min="8980" max="9216" width="8.83203125" style="95"/>
    <col min="9217" max="9217" width="28.1640625" style="95" customWidth="1"/>
    <col min="9218" max="9219" width="8.33203125" style="95" customWidth="1"/>
    <col min="9220" max="9220" width="2.6640625" style="95" customWidth="1"/>
    <col min="9221" max="9222" width="8.33203125" style="95" customWidth="1"/>
    <col min="9223" max="9223" width="2.6640625" style="95" customWidth="1"/>
    <col min="9224" max="9224" width="7.33203125" style="95" customWidth="1"/>
    <col min="9225" max="9225" width="8.33203125" style="95" customWidth="1"/>
    <col min="9226" max="9226" width="2.6640625" style="95" customWidth="1"/>
    <col min="9227" max="9227" width="7.1640625" style="95" customWidth="1"/>
    <col min="9228" max="9228" width="8.33203125" style="95" customWidth="1"/>
    <col min="9229" max="9229" width="2.6640625" style="95" customWidth="1"/>
    <col min="9230" max="9230" width="7.1640625" style="95" customWidth="1"/>
    <col min="9231" max="9231" width="8.33203125" style="95" customWidth="1"/>
    <col min="9232" max="9232" width="2.6640625" style="95" customWidth="1"/>
    <col min="9233" max="9235" width="0" style="95" hidden="1" customWidth="1"/>
    <col min="9236" max="9472" width="8.83203125" style="95"/>
    <col min="9473" max="9473" width="28.1640625" style="95" customWidth="1"/>
    <col min="9474" max="9475" width="8.33203125" style="95" customWidth="1"/>
    <col min="9476" max="9476" width="2.6640625" style="95" customWidth="1"/>
    <col min="9477" max="9478" width="8.33203125" style="95" customWidth="1"/>
    <col min="9479" max="9479" width="2.6640625" style="95" customWidth="1"/>
    <col min="9480" max="9480" width="7.33203125" style="95" customWidth="1"/>
    <col min="9481" max="9481" width="8.33203125" style="95" customWidth="1"/>
    <col min="9482" max="9482" width="2.6640625" style="95" customWidth="1"/>
    <col min="9483" max="9483" width="7.1640625" style="95" customWidth="1"/>
    <col min="9484" max="9484" width="8.33203125" style="95" customWidth="1"/>
    <col min="9485" max="9485" width="2.6640625" style="95" customWidth="1"/>
    <col min="9486" max="9486" width="7.1640625" style="95" customWidth="1"/>
    <col min="9487" max="9487" width="8.33203125" style="95" customWidth="1"/>
    <col min="9488" max="9488" width="2.6640625" style="95" customWidth="1"/>
    <col min="9489" max="9491" width="0" style="95" hidden="1" customWidth="1"/>
    <col min="9492" max="9728" width="8.83203125" style="95"/>
    <col min="9729" max="9729" width="28.1640625" style="95" customWidth="1"/>
    <col min="9730" max="9731" width="8.33203125" style="95" customWidth="1"/>
    <col min="9732" max="9732" width="2.6640625" style="95" customWidth="1"/>
    <col min="9733" max="9734" width="8.33203125" style="95" customWidth="1"/>
    <col min="9735" max="9735" width="2.6640625" style="95" customWidth="1"/>
    <col min="9736" max="9736" width="7.33203125" style="95" customWidth="1"/>
    <col min="9737" max="9737" width="8.33203125" style="95" customWidth="1"/>
    <col min="9738" max="9738" width="2.6640625" style="95" customWidth="1"/>
    <col min="9739" max="9739" width="7.1640625" style="95" customWidth="1"/>
    <col min="9740" max="9740" width="8.33203125" style="95" customWidth="1"/>
    <col min="9741" max="9741" width="2.6640625" style="95" customWidth="1"/>
    <col min="9742" max="9742" width="7.1640625" style="95" customWidth="1"/>
    <col min="9743" max="9743" width="8.33203125" style="95" customWidth="1"/>
    <col min="9744" max="9744" width="2.6640625" style="95" customWidth="1"/>
    <col min="9745" max="9747" width="0" style="95" hidden="1" customWidth="1"/>
    <col min="9748" max="9984" width="8.83203125" style="95"/>
    <col min="9985" max="9985" width="28.1640625" style="95" customWidth="1"/>
    <col min="9986" max="9987" width="8.33203125" style="95" customWidth="1"/>
    <col min="9988" max="9988" width="2.6640625" style="95" customWidth="1"/>
    <col min="9989" max="9990" width="8.33203125" style="95" customWidth="1"/>
    <col min="9991" max="9991" width="2.6640625" style="95" customWidth="1"/>
    <col min="9992" max="9992" width="7.33203125" style="95" customWidth="1"/>
    <col min="9993" max="9993" width="8.33203125" style="95" customWidth="1"/>
    <col min="9994" max="9994" width="2.6640625" style="95" customWidth="1"/>
    <col min="9995" max="9995" width="7.1640625" style="95" customWidth="1"/>
    <col min="9996" max="9996" width="8.33203125" style="95" customWidth="1"/>
    <col min="9997" max="9997" width="2.6640625" style="95" customWidth="1"/>
    <col min="9998" max="9998" width="7.1640625" style="95" customWidth="1"/>
    <col min="9999" max="9999" width="8.33203125" style="95" customWidth="1"/>
    <col min="10000" max="10000" width="2.6640625" style="95" customWidth="1"/>
    <col min="10001" max="10003" width="0" style="95" hidden="1" customWidth="1"/>
    <col min="10004" max="10240" width="8.83203125" style="95"/>
    <col min="10241" max="10241" width="28.1640625" style="95" customWidth="1"/>
    <col min="10242" max="10243" width="8.33203125" style="95" customWidth="1"/>
    <col min="10244" max="10244" width="2.6640625" style="95" customWidth="1"/>
    <col min="10245" max="10246" width="8.33203125" style="95" customWidth="1"/>
    <col min="10247" max="10247" width="2.6640625" style="95" customWidth="1"/>
    <col min="10248" max="10248" width="7.33203125" style="95" customWidth="1"/>
    <col min="10249" max="10249" width="8.33203125" style="95" customWidth="1"/>
    <col min="10250" max="10250" width="2.6640625" style="95" customWidth="1"/>
    <col min="10251" max="10251" width="7.1640625" style="95" customWidth="1"/>
    <col min="10252" max="10252" width="8.33203125" style="95" customWidth="1"/>
    <col min="10253" max="10253" width="2.6640625" style="95" customWidth="1"/>
    <col min="10254" max="10254" width="7.1640625" style="95" customWidth="1"/>
    <col min="10255" max="10255" width="8.33203125" style="95" customWidth="1"/>
    <col min="10256" max="10256" width="2.6640625" style="95" customWidth="1"/>
    <col min="10257" max="10259" width="0" style="95" hidden="1" customWidth="1"/>
    <col min="10260" max="10496" width="8.83203125" style="95"/>
    <col min="10497" max="10497" width="28.1640625" style="95" customWidth="1"/>
    <col min="10498" max="10499" width="8.33203125" style="95" customWidth="1"/>
    <col min="10500" max="10500" width="2.6640625" style="95" customWidth="1"/>
    <col min="10501" max="10502" width="8.33203125" style="95" customWidth="1"/>
    <col min="10503" max="10503" width="2.6640625" style="95" customWidth="1"/>
    <col min="10504" max="10504" width="7.33203125" style="95" customWidth="1"/>
    <col min="10505" max="10505" width="8.33203125" style="95" customWidth="1"/>
    <col min="10506" max="10506" width="2.6640625" style="95" customWidth="1"/>
    <col min="10507" max="10507" width="7.1640625" style="95" customWidth="1"/>
    <col min="10508" max="10508" width="8.33203125" style="95" customWidth="1"/>
    <col min="10509" max="10509" width="2.6640625" style="95" customWidth="1"/>
    <col min="10510" max="10510" width="7.1640625" style="95" customWidth="1"/>
    <col min="10511" max="10511" width="8.33203125" style="95" customWidth="1"/>
    <col min="10512" max="10512" width="2.6640625" style="95" customWidth="1"/>
    <col min="10513" max="10515" width="0" style="95" hidden="1" customWidth="1"/>
    <col min="10516" max="10752" width="8.83203125" style="95"/>
    <col min="10753" max="10753" width="28.1640625" style="95" customWidth="1"/>
    <col min="10754" max="10755" width="8.33203125" style="95" customWidth="1"/>
    <col min="10756" max="10756" width="2.6640625" style="95" customWidth="1"/>
    <col min="10757" max="10758" width="8.33203125" style="95" customWidth="1"/>
    <col min="10759" max="10759" width="2.6640625" style="95" customWidth="1"/>
    <col min="10760" max="10760" width="7.33203125" style="95" customWidth="1"/>
    <col min="10761" max="10761" width="8.33203125" style="95" customWidth="1"/>
    <col min="10762" max="10762" width="2.6640625" style="95" customWidth="1"/>
    <col min="10763" max="10763" width="7.1640625" style="95" customWidth="1"/>
    <col min="10764" max="10764" width="8.33203125" style="95" customWidth="1"/>
    <col min="10765" max="10765" width="2.6640625" style="95" customWidth="1"/>
    <col min="10766" max="10766" width="7.1640625" style="95" customWidth="1"/>
    <col min="10767" max="10767" width="8.33203125" style="95" customWidth="1"/>
    <col min="10768" max="10768" width="2.6640625" style="95" customWidth="1"/>
    <col min="10769" max="10771" width="0" style="95" hidden="1" customWidth="1"/>
    <col min="10772" max="11008" width="8.83203125" style="95"/>
    <col min="11009" max="11009" width="28.1640625" style="95" customWidth="1"/>
    <col min="11010" max="11011" width="8.33203125" style="95" customWidth="1"/>
    <col min="11012" max="11012" width="2.6640625" style="95" customWidth="1"/>
    <col min="11013" max="11014" width="8.33203125" style="95" customWidth="1"/>
    <col min="11015" max="11015" width="2.6640625" style="95" customWidth="1"/>
    <col min="11016" max="11016" width="7.33203125" style="95" customWidth="1"/>
    <col min="11017" max="11017" width="8.33203125" style="95" customWidth="1"/>
    <col min="11018" max="11018" width="2.6640625" style="95" customWidth="1"/>
    <col min="11019" max="11019" width="7.1640625" style="95" customWidth="1"/>
    <col min="11020" max="11020" width="8.33203125" style="95" customWidth="1"/>
    <col min="11021" max="11021" width="2.6640625" style="95" customWidth="1"/>
    <col min="11022" max="11022" width="7.1640625" style="95" customWidth="1"/>
    <col min="11023" max="11023" width="8.33203125" style="95" customWidth="1"/>
    <col min="11024" max="11024" width="2.6640625" style="95" customWidth="1"/>
    <col min="11025" max="11027" width="0" style="95" hidden="1" customWidth="1"/>
    <col min="11028" max="11264" width="8.83203125" style="95"/>
    <col min="11265" max="11265" width="28.1640625" style="95" customWidth="1"/>
    <col min="11266" max="11267" width="8.33203125" style="95" customWidth="1"/>
    <col min="11268" max="11268" width="2.6640625" style="95" customWidth="1"/>
    <col min="11269" max="11270" width="8.33203125" style="95" customWidth="1"/>
    <col min="11271" max="11271" width="2.6640625" style="95" customWidth="1"/>
    <col min="11272" max="11272" width="7.33203125" style="95" customWidth="1"/>
    <col min="11273" max="11273" width="8.33203125" style="95" customWidth="1"/>
    <col min="11274" max="11274" width="2.6640625" style="95" customWidth="1"/>
    <col min="11275" max="11275" width="7.1640625" style="95" customWidth="1"/>
    <col min="11276" max="11276" width="8.33203125" style="95" customWidth="1"/>
    <col min="11277" max="11277" width="2.6640625" style="95" customWidth="1"/>
    <col min="11278" max="11278" width="7.1640625" style="95" customWidth="1"/>
    <col min="11279" max="11279" width="8.33203125" style="95" customWidth="1"/>
    <col min="11280" max="11280" width="2.6640625" style="95" customWidth="1"/>
    <col min="11281" max="11283" width="0" style="95" hidden="1" customWidth="1"/>
    <col min="11284" max="11520" width="8.83203125" style="95"/>
    <col min="11521" max="11521" width="28.1640625" style="95" customWidth="1"/>
    <col min="11522" max="11523" width="8.33203125" style="95" customWidth="1"/>
    <col min="11524" max="11524" width="2.6640625" style="95" customWidth="1"/>
    <col min="11525" max="11526" width="8.33203125" style="95" customWidth="1"/>
    <col min="11527" max="11527" width="2.6640625" style="95" customWidth="1"/>
    <col min="11528" max="11528" width="7.33203125" style="95" customWidth="1"/>
    <col min="11529" max="11529" width="8.33203125" style="95" customWidth="1"/>
    <col min="11530" max="11530" width="2.6640625" style="95" customWidth="1"/>
    <col min="11531" max="11531" width="7.1640625" style="95" customWidth="1"/>
    <col min="11532" max="11532" width="8.33203125" style="95" customWidth="1"/>
    <col min="11533" max="11533" width="2.6640625" style="95" customWidth="1"/>
    <col min="11534" max="11534" width="7.1640625" style="95" customWidth="1"/>
    <col min="11535" max="11535" width="8.33203125" style="95" customWidth="1"/>
    <col min="11536" max="11536" width="2.6640625" style="95" customWidth="1"/>
    <col min="11537" max="11539" width="0" style="95" hidden="1" customWidth="1"/>
    <col min="11540" max="11776" width="8.83203125" style="95"/>
    <col min="11777" max="11777" width="28.1640625" style="95" customWidth="1"/>
    <col min="11778" max="11779" width="8.33203125" style="95" customWidth="1"/>
    <col min="11780" max="11780" width="2.6640625" style="95" customWidth="1"/>
    <col min="11781" max="11782" width="8.33203125" style="95" customWidth="1"/>
    <col min="11783" max="11783" width="2.6640625" style="95" customWidth="1"/>
    <col min="11784" max="11784" width="7.33203125" style="95" customWidth="1"/>
    <col min="11785" max="11785" width="8.33203125" style="95" customWidth="1"/>
    <col min="11786" max="11786" width="2.6640625" style="95" customWidth="1"/>
    <col min="11787" max="11787" width="7.1640625" style="95" customWidth="1"/>
    <col min="11788" max="11788" width="8.33203125" style="95" customWidth="1"/>
    <col min="11789" max="11789" width="2.6640625" style="95" customWidth="1"/>
    <col min="11790" max="11790" width="7.1640625" style="95" customWidth="1"/>
    <col min="11791" max="11791" width="8.33203125" style="95" customWidth="1"/>
    <col min="11792" max="11792" width="2.6640625" style="95" customWidth="1"/>
    <col min="11793" max="11795" width="0" style="95" hidden="1" customWidth="1"/>
    <col min="11796" max="12032" width="8.83203125" style="95"/>
    <col min="12033" max="12033" width="28.1640625" style="95" customWidth="1"/>
    <col min="12034" max="12035" width="8.33203125" style="95" customWidth="1"/>
    <col min="12036" max="12036" width="2.6640625" style="95" customWidth="1"/>
    <col min="12037" max="12038" width="8.33203125" style="95" customWidth="1"/>
    <col min="12039" max="12039" width="2.6640625" style="95" customWidth="1"/>
    <col min="12040" max="12040" width="7.33203125" style="95" customWidth="1"/>
    <col min="12041" max="12041" width="8.33203125" style="95" customWidth="1"/>
    <col min="12042" max="12042" width="2.6640625" style="95" customWidth="1"/>
    <col min="12043" max="12043" width="7.1640625" style="95" customWidth="1"/>
    <col min="12044" max="12044" width="8.33203125" style="95" customWidth="1"/>
    <col min="12045" max="12045" width="2.6640625" style="95" customWidth="1"/>
    <col min="12046" max="12046" width="7.1640625" style="95" customWidth="1"/>
    <col min="12047" max="12047" width="8.33203125" style="95" customWidth="1"/>
    <col min="12048" max="12048" width="2.6640625" style="95" customWidth="1"/>
    <col min="12049" max="12051" width="0" style="95" hidden="1" customWidth="1"/>
    <col min="12052" max="12288" width="8.83203125" style="95"/>
    <col min="12289" max="12289" width="28.1640625" style="95" customWidth="1"/>
    <col min="12290" max="12291" width="8.33203125" style="95" customWidth="1"/>
    <col min="12292" max="12292" width="2.6640625" style="95" customWidth="1"/>
    <col min="12293" max="12294" width="8.33203125" style="95" customWidth="1"/>
    <col min="12295" max="12295" width="2.6640625" style="95" customWidth="1"/>
    <col min="12296" max="12296" width="7.33203125" style="95" customWidth="1"/>
    <col min="12297" max="12297" width="8.33203125" style="95" customWidth="1"/>
    <col min="12298" max="12298" width="2.6640625" style="95" customWidth="1"/>
    <col min="12299" max="12299" width="7.1640625" style="95" customWidth="1"/>
    <col min="12300" max="12300" width="8.33203125" style="95" customWidth="1"/>
    <col min="12301" max="12301" width="2.6640625" style="95" customWidth="1"/>
    <col min="12302" max="12302" width="7.1640625" style="95" customWidth="1"/>
    <col min="12303" max="12303" width="8.33203125" style="95" customWidth="1"/>
    <col min="12304" max="12304" width="2.6640625" style="95" customWidth="1"/>
    <col min="12305" max="12307" width="0" style="95" hidden="1" customWidth="1"/>
    <col min="12308" max="12544" width="8.83203125" style="95"/>
    <col min="12545" max="12545" width="28.1640625" style="95" customWidth="1"/>
    <col min="12546" max="12547" width="8.33203125" style="95" customWidth="1"/>
    <col min="12548" max="12548" width="2.6640625" style="95" customWidth="1"/>
    <col min="12549" max="12550" width="8.33203125" style="95" customWidth="1"/>
    <col min="12551" max="12551" width="2.6640625" style="95" customWidth="1"/>
    <col min="12552" max="12552" width="7.33203125" style="95" customWidth="1"/>
    <col min="12553" max="12553" width="8.33203125" style="95" customWidth="1"/>
    <col min="12554" max="12554" width="2.6640625" style="95" customWidth="1"/>
    <col min="12555" max="12555" width="7.1640625" style="95" customWidth="1"/>
    <col min="12556" max="12556" width="8.33203125" style="95" customWidth="1"/>
    <col min="12557" max="12557" width="2.6640625" style="95" customWidth="1"/>
    <col min="12558" max="12558" width="7.1640625" style="95" customWidth="1"/>
    <col min="12559" max="12559" width="8.33203125" style="95" customWidth="1"/>
    <col min="12560" max="12560" width="2.6640625" style="95" customWidth="1"/>
    <col min="12561" max="12563" width="0" style="95" hidden="1" customWidth="1"/>
    <col min="12564" max="12800" width="8.83203125" style="95"/>
    <col min="12801" max="12801" width="28.1640625" style="95" customWidth="1"/>
    <col min="12802" max="12803" width="8.33203125" style="95" customWidth="1"/>
    <col min="12804" max="12804" width="2.6640625" style="95" customWidth="1"/>
    <col min="12805" max="12806" width="8.33203125" style="95" customWidth="1"/>
    <col min="12807" max="12807" width="2.6640625" style="95" customWidth="1"/>
    <col min="12808" max="12808" width="7.33203125" style="95" customWidth="1"/>
    <col min="12809" max="12809" width="8.33203125" style="95" customWidth="1"/>
    <col min="12810" max="12810" width="2.6640625" style="95" customWidth="1"/>
    <col min="12811" max="12811" width="7.1640625" style="95" customWidth="1"/>
    <col min="12812" max="12812" width="8.33203125" style="95" customWidth="1"/>
    <col min="12813" max="12813" width="2.6640625" style="95" customWidth="1"/>
    <col min="12814" max="12814" width="7.1640625" style="95" customWidth="1"/>
    <col min="12815" max="12815" width="8.33203125" style="95" customWidth="1"/>
    <col min="12816" max="12816" width="2.6640625" style="95" customWidth="1"/>
    <col min="12817" max="12819" width="0" style="95" hidden="1" customWidth="1"/>
    <col min="12820" max="13056" width="8.83203125" style="95"/>
    <col min="13057" max="13057" width="28.1640625" style="95" customWidth="1"/>
    <col min="13058" max="13059" width="8.33203125" style="95" customWidth="1"/>
    <col min="13060" max="13060" width="2.6640625" style="95" customWidth="1"/>
    <col min="13061" max="13062" width="8.33203125" style="95" customWidth="1"/>
    <col min="13063" max="13063" width="2.6640625" style="95" customWidth="1"/>
    <col min="13064" max="13064" width="7.33203125" style="95" customWidth="1"/>
    <col min="13065" max="13065" width="8.33203125" style="95" customWidth="1"/>
    <col min="13066" max="13066" width="2.6640625" style="95" customWidth="1"/>
    <col min="13067" max="13067" width="7.1640625" style="95" customWidth="1"/>
    <col min="13068" max="13068" width="8.33203125" style="95" customWidth="1"/>
    <col min="13069" max="13069" width="2.6640625" style="95" customWidth="1"/>
    <col min="13070" max="13070" width="7.1640625" style="95" customWidth="1"/>
    <col min="13071" max="13071" width="8.33203125" style="95" customWidth="1"/>
    <col min="13072" max="13072" width="2.6640625" style="95" customWidth="1"/>
    <col min="13073" max="13075" width="0" style="95" hidden="1" customWidth="1"/>
    <col min="13076" max="13312" width="8.83203125" style="95"/>
    <col min="13313" max="13313" width="28.1640625" style="95" customWidth="1"/>
    <col min="13314" max="13315" width="8.33203125" style="95" customWidth="1"/>
    <col min="13316" max="13316" width="2.6640625" style="95" customWidth="1"/>
    <col min="13317" max="13318" width="8.33203125" style="95" customWidth="1"/>
    <col min="13319" max="13319" width="2.6640625" style="95" customWidth="1"/>
    <col min="13320" max="13320" width="7.33203125" style="95" customWidth="1"/>
    <col min="13321" max="13321" width="8.33203125" style="95" customWidth="1"/>
    <col min="13322" max="13322" width="2.6640625" style="95" customWidth="1"/>
    <col min="13323" max="13323" width="7.1640625" style="95" customWidth="1"/>
    <col min="13324" max="13324" width="8.33203125" style="95" customWidth="1"/>
    <col min="13325" max="13325" width="2.6640625" style="95" customWidth="1"/>
    <col min="13326" max="13326" width="7.1640625" style="95" customWidth="1"/>
    <col min="13327" max="13327" width="8.33203125" style="95" customWidth="1"/>
    <col min="13328" max="13328" width="2.6640625" style="95" customWidth="1"/>
    <col min="13329" max="13331" width="0" style="95" hidden="1" customWidth="1"/>
    <col min="13332" max="13568" width="8.83203125" style="95"/>
    <col min="13569" max="13569" width="28.1640625" style="95" customWidth="1"/>
    <col min="13570" max="13571" width="8.33203125" style="95" customWidth="1"/>
    <col min="13572" max="13572" width="2.6640625" style="95" customWidth="1"/>
    <col min="13573" max="13574" width="8.33203125" style="95" customWidth="1"/>
    <col min="13575" max="13575" width="2.6640625" style="95" customWidth="1"/>
    <col min="13576" max="13576" width="7.33203125" style="95" customWidth="1"/>
    <col min="13577" max="13577" width="8.33203125" style="95" customWidth="1"/>
    <col min="13578" max="13578" width="2.6640625" style="95" customWidth="1"/>
    <col min="13579" max="13579" width="7.1640625" style="95" customWidth="1"/>
    <col min="13580" max="13580" width="8.33203125" style="95" customWidth="1"/>
    <col min="13581" max="13581" width="2.6640625" style="95" customWidth="1"/>
    <col min="13582" max="13582" width="7.1640625" style="95" customWidth="1"/>
    <col min="13583" max="13583" width="8.33203125" style="95" customWidth="1"/>
    <col min="13584" max="13584" width="2.6640625" style="95" customWidth="1"/>
    <col min="13585" max="13587" width="0" style="95" hidden="1" customWidth="1"/>
    <col min="13588" max="13824" width="8.83203125" style="95"/>
    <col min="13825" max="13825" width="28.1640625" style="95" customWidth="1"/>
    <col min="13826" max="13827" width="8.33203125" style="95" customWidth="1"/>
    <col min="13828" max="13828" width="2.6640625" style="95" customWidth="1"/>
    <col min="13829" max="13830" width="8.33203125" style="95" customWidth="1"/>
    <col min="13831" max="13831" width="2.6640625" style="95" customWidth="1"/>
    <col min="13832" max="13832" width="7.33203125" style="95" customWidth="1"/>
    <col min="13833" max="13833" width="8.33203125" style="95" customWidth="1"/>
    <col min="13834" max="13834" width="2.6640625" style="95" customWidth="1"/>
    <col min="13835" max="13835" width="7.1640625" style="95" customWidth="1"/>
    <col min="13836" max="13836" width="8.33203125" style="95" customWidth="1"/>
    <col min="13837" max="13837" width="2.6640625" style="95" customWidth="1"/>
    <col min="13838" max="13838" width="7.1640625" style="95" customWidth="1"/>
    <col min="13839" max="13839" width="8.33203125" style="95" customWidth="1"/>
    <col min="13840" max="13840" width="2.6640625" style="95" customWidth="1"/>
    <col min="13841" max="13843" width="0" style="95" hidden="1" customWidth="1"/>
    <col min="13844" max="14080" width="8.83203125" style="95"/>
    <col min="14081" max="14081" width="28.1640625" style="95" customWidth="1"/>
    <col min="14082" max="14083" width="8.33203125" style="95" customWidth="1"/>
    <col min="14084" max="14084" width="2.6640625" style="95" customWidth="1"/>
    <col min="14085" max="14086" width="8.33203125" style="95" customWidth="1"/>
    <col min="14087" max="14087" width="2.6640625" style="95" customWidth="1"/>
    <col min="14088" max="14088" width="7.33203125" style="95" customWidth="1"/>
    <col min="14089" max="14089" width="8.33203125" style="95" customWidth="1"/>
    <col min="14090" max="14090" width="2.6640625" style="95" customWidth="1"/>
    <col min="14091" max="14091" width="7.1640625" style="95" customWidth="1"/>
    <col min="14092" max="14092" width="8.33203125" style="95" customWidth="1"/>
    <col min="14093" max="14093" width="2.6640625" style="95" customWidth="1"/>
    <col min="14094" max="14094" width="7.1640625" style="95" customWidth="1"/>
    <col min="14095" max="14095" width="8.33203125" style="95" customWidth="1"/>
    <col min="14096" max="14096" width="2.6640625" style="95" customWidth="1"/>
    <col min="14097" max="14099" width="0" style="95" hidden="1" customWidth="1"/>
    <col min="14100" max="14336" width="8.83203125" style="95"/>
    <col min="14337" max="14337" width="28.1640625" style="95" customWidth="1"/>
    <col min="14338" max="14339" width="8.33203125" style="95" customWidth="1"/>
    <col min="14340" max="14340" width="2.6640625" style="95" customWidth="1"/>
    <col min="14341" max="14342" width="8.33203125" style="95" customWidth="1"/>
    <col min="14343" max="14343" width="2.6640625" style="95" customWidth="1"/>
    <col min="14344" max="14344" width="7.33203125" style="95" customWidth="1"/>
    <col min="14345" max="14345" width="8.33203125" style="95" customWidth="1"/>
    <col min="14346" max="14346" width="2.6640625" style="95" customWidth="1"/>
    <col min="14347" max="14347" width="7.1640625" style="95" customWidth="1"/>
    <col min="14348" max="14348" width="8.33203125" style="95" customWidth="1"/>
    <col min="14349" max="14349" width="2.6640625" style="95" customWidth="1"/>
    <col min="14350" max="14350" width="7.1640625" style="95" customWidth="1"/>
    <col min="14351" max="14351" width="8.33203125" style="95" customWidth="1"/>
    <col min="14352" max="14352" width="2.6640625" style="95" customWidth="1"/>
    <col min="14353" max="14355" width="0" style="95" hidden="1" customWidth="1"/>
    <col min="14356" max="14592" width="8.83203125" style="95"/>
    <col min="14593" max="14593" width="28.1640625" style="95" customWidth="1"/>
    <col min="14594" max="14595" width="8.33203125" style="95" customWidth="1"/>
    <col min="14596" max="14596" width="2.6640625" style="95" customWidth="1"/>
    <col min="14597" max="14598" width="8.33203125" style="95" customWidth="1"/>
    <col min="14599" max="14599" width="2.6640625" style="95" customWidth="1"/>
    <col min="14600" max="14600" width="7.33203125" style="95" customWidth="1"/>
    <col min="14601" max="14601" width="8.33203125" style="95" customWidth="1"/>
    <col min="14602" max="14602" width="2.6640625" style="95" customWidth="1"/>
    <col min="14603" max="14603" width="7.1640625" style="95" customWidth="1"/>
    <col min="14604" max="14604" width="8.33203125" style="95" customWidth="1"/>
    <col min="14605" max="14605" width="2.6640625" style="95" customWidth="1"/>
    <col min="14606" max="14606" width="7.1640625" style="95" customWidth="1"/>
    <col min="14607" max="14607" width="8.33203125" style="95" customWidth="1"/>
    <col min="14608" max="14608" width="2.6640625" style="95" customWidth="1"/>
    <col min="14609" max="14611" width="0" style="95" hidden="1" customWidth="1"/>
    <col min="14612" max="14848" width="8.83203125" style="95"/>
    <col min="14849" max="14849" width="28.1640625" style="95" customWidth="1"/>
    <col min="14850" max="14851" width="8.33203125" style="95" customWidth="1"/>
    <col min="14852" max="14852" width="2.6640625" style="95" customWidth="1"/>
    <col min="14853" max="14854" width="8.33203125" style="95" customWidth="1"/>
    <col min="14855" max="14855" width="2.6640625" style="95" customWidth="1"/>
    <col min="14856" max="14856" width="7.33203125" style="95" customWidth="1"/>
    <col min="14857" max="14857" width="8.33203125" style="95" customWidth="1"/>
    <col min="14858" max="14858" width="2.6640625" style="95" customWidth="1"/>
    <col min="14859" max="14859" width="7.1640625" style="95" customWidth="1"/>
    <col min="14860" max="14860" width="8.33203125" style="95" customWidth="1"/>
    <col min="14861" max="14861" width="2.6640625" style="95" customWidth="1"/>
    <col min="14862" max="14862" width="7.1640625" style="95" customWidth="1"/>
    <col min="14863" max="14863" width="8.33203125" style="95" customWidth="1"/>
    <col min="14864" max="14864" width="2.6640625" style="95" customWidth="1"/>
    <col min="14865" max="14867" width="0" style="95" hidden="1" customWidth="1"/>
    <col min="14868" max="15104" width="8.83203125" style="95"/>
    <col min="15105" max="15105" width="28.1640625" style="95" customWidth="1"/>
    <col min="15106" max="15107" width="8.33203125" style="95" customWidth="1"/>
    <col min="15108" max="15108" width="2.6640625" style="95" customWidth="1"/>
    <col min="15109" max="15110" width="8.33203125" style="95" customWidth="1"/>
    <col min="15111" max="15111" width="2.6640625" style="95" customWidth="1"/>
    <col min="15112" max="15112" width="7.33203125" style="95" customWidth="1"/>
    <col min="15113" max="15113" width="8.33203125" style="95" customWidth="1"/>
    <col min="15114" max="15114" width="2.6640625" style="95" customWidth="1"/>
    <col min="15115" max="15115" width="7.1640625" style="95" customWidth="1"/>
    <col min="15116" max="15116" width="8.33203125" style="95" customWidth="1"/>
    <col min="15117" max="15117" width="2.6640625" style="95" customWidth="1"/>
    <col min="15118" max="15118" width="7.1640625" style="95" customWidth="1"/>
    <col min="15119" max="15119" width="8.33203125" style="95" customWidth="1"/>
    <col min="15120" max="15120" width="2.6640625" style="95" customWidth="1"/>
    <col min="15121" max="15123" width="0" style="95" hidden="1" customWidth="1"/>
    <col min="15124" max="15360" width="8.83203125" style="95"/>
    <col min="15361" max="15361" width="28.1640625" style="95" customWidth="1"/>
    <col min="15362" max="15363" width="8.33203125" style="95" customWidth="1"/>
    <col min="15364" max="15364" width="2.6640625" style="95" customWidth="1"/>
    <col min="15365" max="15366" width="8.33203125" style="95" customWidth="1"/>
    <col min="15367" max="15367" width="2.6640625" style="95" customWidth="1"/>
    <col min="15368" max="15368" width="7.33203125" style="95" customWidth="1"/>
    <col min="15369" max="15369" width="8.33203125" style="95" customWidth="1"/>
    <col min="15370" max="15370" width="2.6640625" style="95" customWidth="1"/>
    <col min="15371" max="15371" width="7.1640625" style="95" customWidth="1"/>
    <col min="15372" max="15372" width="8.33203125" style="95" customWidth="1"/>
    <col min="15373" max="15373" width="2.6640625" style="95" customWidth="1"/>
    <col min="15374" max="15374" width="7.1640625" style="95" customWidth="1"/>
    <col min="15375" max="15375" width="8.33203125" style="95" customWidth="1"/>
    <col min="15376" max="15376" width="2.6640625" style="95" customWidth="1"/>
    <col min="15377" max="15379" width="0" style="95" hidden="1" customWidth="1"/>
    <col min="15380" max="15616" width="8.83203125" style="95"/>
    <col min="15617" max="15617" width="28.1640625" style="95" customWidth="1"/>
    <col min="15618" max="15619" width="8.33203125" style="95" customWidth="1"/>
    <col min="15620" max="15620" width="2.6640625" style="95" customWidth="1"/>
    <col min="15621" max="15622" width="8.33203125" style="95" customWidth="1"/>
    <col min="15623" max="15623" width="2.6640625" style="95" customWidth="1"/>
    <col min="15624" max="15624" width="7.33203125" style="95" customWidth="1"/>
    <col min="15625" max="15625" width="8.33203125" style="95" customWidth="1"/>
    <col min="15626" max="15626" width="2.6640625" style="95" customWidth="1"/>
    <col min="15627" max="15627" width="7.1640625" style="95" customWidth="1"/>
    <col min="15628" max="15628" width="8.33203125" style="95" customWidth="1"/>
    <col min="15629" max="15629" width="2.6640625" style="95" customWidth="1"/>
    <col min="15630" max="15630" width="7.1640625" style="95" customWidth="1"/>
    <col min="15631" max="15631" width="8.33203125" style="95" customWidth="1"/>
    <col min="15632" max="15632" width="2.6640625" style="95" customWidth="1"/>
    <col min="15633" max="15635" width="0" style="95" hidden="1" customWidth="1"/>
    <col min="15636" max="15872" width="8.83203125" style="95"/>
    <col min="15873" max="15873" width="28.1640625" style="95" customWidth="1"/>
    <col min="15874" max="15875" width="8.33203125" style="95" customWidth="1"/>
    <col min="15876" max="15876" width="2.6640625" style="95" customWidth="1"/>
    <col min="15877" max="15878" width="8.33203125" style="95" customWidth="1"/>
    <col min="15879" max="15879" width="2.6640625" style="95" customWidth="1"/>
    <col min="15880" max="15880" width="7.33203125" style="95" customWidth="1"/>
    <col min="15881" max="15881" width="8.33203125" style="95" customWidth="1"/>
    <col min="15882" max="15882" width="2.6640625" style="95" customWidth="1"/>
    <col min="15883" max="15883" width="7.1640625" style="95" customWidth="1"/>
    <col min="15884" max="15884" width="8.33203125" style="95" customWidth="1"/>
    <col min="15885" max="15885" width="2.6640625" style="95" customWidth="1"/>
    <col min="15886" max="15886" width="7.1640625" style="95" customWidth="1"/>
    <col min="15887" max="15887" width="8.33203125" style="95" customWidth="1"/>
    <col min="15888" max="15888" width="2.6640625" style="95" customWidth="1"/>
    <col min="15889" max="15891" width="0" style="95" hidden="1" customWidth="1"/>
    <col min="15892" max="16128" width="8.83203125" style="95"/>
    <col min="16129" max="16129" width="28.1640625" style="95" customWidth="1"/>
    <col min="16130" max="16131" width="8.33203125" style="95" customWidth="1"/>
    <col min="16132" max="16132" width="2.6640625" style="95" customWidth="1"/>
    <col min="16133" max="16134" width="8.33203125" style="95" customWidth="1"/>
    <col min="16135" max="16135" width="2.6640625" style="95" customWidth="1"/>
    <col min="16136" max="16136" width="7.33203125" style="95" customWidth="1"/>
    <col min="16137" max="16137" width="8.33203125" style="95" customWidth="1"/>
    <col min="16138" max="16138" width="2.6640625" style="95" customWidth="1"/>
    <col min="16139" max="16139" width="7.1640625" style="95" customWidth="1"/>
    <col min="16140" max="16140" width="8.33203125" style="95" customWidth="1"/>
    <col min="16141" max="16141" width="2.6640625" style="95" customWidth="1"/>
    <col min="16142" max="16142" width="7.1640625" style="95" customWidth="1"/>
    <col min="16143" max="16143" width="8.33203125" style="95" customWidth="1"/>
    <col min="16144" max="16144" width="2.6640625" style="95" customWidth="1"/>
    <col min="16145" max="16147" width="0" style="95" hidden="1" customWidth="1"/>
    <col min="16148" max="16384" width="8.83203125" style="95"/>
  </cols>
  <sheetData>
    <row r="1" spans="1:18">
      <c r="A1" s="95" t="s">
        <v>388</v>
      </c>
    </row>
    <row r="2" spans="1:18">
      <c r="A2" s="95" t="s">
        <v>389</v>
      </c>
    </row>
    <row r="4" spans="1:18">
      <c r="A4" s="14" t="s">
        <v>1936</v>
      </c>
    </row>
    <row r="5" spans="1:18" ht="14" thickBot="1"/>
    <row r="6" spans="1:18" ht="20" customHeight="1">
      <c r="A6" s="97"/>
      <c r="B6" s="144"/>
      <c r="C6" s="99"/>
      <c r="D6" s="97"/>
      <c r="E6" s="144"/>
      <c r="F6" s="99"/>
      <c r="G6" s="97"/>
      <c r="H6" s="144"/>
      <c r="I6" s="99"/>
      <c r="J6" s="97"/>
      <c r="K6" s="144"/>
      <c r="L6" s="99"/>
      <c r="M6" s="97"/>
      <c r="N6" s="144"/>
      <c r="O6" s="99"/>
      <c r="P6" s="97"/>
      <c r="Q6" s="144"/>
      <c r="R6" s="99"/>
    </row>
    <row r="7" spans="1:18" ht="20" customHeight="1">
      <c r="A7" s="116" t="s">
        <v>1023</v>
      </c>
      <c r="B7" s="154" t="s">
        <v>457</v>
      </c>
      <c r="C7" s="135"/>
      <c r="D7" s="116"/>
      <c r="E7" s="154" t="s">
        <v>703</v>
      </c>
      <c r="F7" s="135"/>
      <c r="G7" s="116"/>
      <c r="H7" s="154" t="s">
        <v>704</v>
      </c>
      <c r="I7" s="135"/>
      <c r="J7" s="116"/>
      <c r="K7" s="154" t="s">
        <v>793</v>
      </c>
      <c r="L7" s="135"/>
      <c r="M7" s="116"/>
      <c r="N7" s="201" t="s">
        <v>1034</v>
      </c>
      <c r="O7" s="135"/>
      <c r="P7" s="116"/>
      <c r="Q7" s="154" t="s">
        <v>707</v>
      </c>
      <c r="R7" s="135"/>
    </row>
    <row r="8" spans="1:18" ht="20" customHeight="1">
      <c r="A8" s="116" t="s">
        <v>1937</v>
      </c>
      <c r="B8" s="149" t="s">
        <v>400</v>
      </c>
      <c r="C8" s="101" t="s">
        <v>401</v>
      </c>
      <c r="D8" s="116"/>
      <c r="E8" s="149" t="s">
        <v>400</v>
      </c>
      <c r="F8" s="101" t="s">
        <v>401</v>
      </c>
      <c r="G8" s="116"/>
      <c r="H8" s="149" t="s">
        <v>400</v>
      </c>
      <c r="I8" s="101" t="s">
        <v>401</v>
      </c>
      <c r="J8" s="116"/>
      <c r="K8" s="149" t="s">
        <v>1026</v>
      </c>
      <c r="L8" s="101" t="s">
        <v>401</v>
      </c>
      <c r="M8" s="116"/>
      <c r="N8" s="149" t="s">
        <v>1026</v>
      </c>
      <c r="O8" s="101" t="s">
        <v>401</v>
      </c>
      <c r="P8" s="116"/>
      <c r="Q8" s="149" t="s">
        <v>1026</v>
      </c>
      <c r="R8" s="101" t="s">
        <v>401</v>
      </c>
    </row>
    <row r="9" spans="1:18" ht="20" customHeight="1" thickBot="1">
      <c r="A9" s="102"/>
      <c r="B9" s="153"/>
      <c r="C9" s="96"/>
      <c r="D9" s="102"/>
      <c r="E9" s="153"/>
      <c r="F9" s="96"/>
      <c r="G9" s="102"/>
      <c r="H9" s="153"/>
      <c r="I9" s="96"/>
      <c r="J9" s="102"/>
      <c r="K9" s="153"/>
      <c r="L9" s="96"/>
      <c r="M9" s="102"/>
      <c r="N9" s="153"/>
      <c r="O9" s="96"/>
      <c r="P9" s="102"/>
      <c r="Q9" s="153"/>
      <c r="R9" s="96"/>
    </row>
    <row r="10" spans="1:18" ht="20" customHeight="1">
      <c r="A10" s="116"/>
      <c r="B10" s="154"/>
      <c r="C10" s="135"/>
      <c r="D10" s="116"/>
      <c r="E10" s="154"/>
      <c r="F10" s="135"/>
      <c r="G10" s="116"/>
      <c r="H10" s="154"/>
      <c r="I10" s="135"/>
      <c r="J10" s="116"/>
      <c r="K10" s="154"/>
      <c r="L10" s="135"/>
      <c r="M10" s="116"/>
      <c r="N10" s="154"/>
      <c r="O10" s="135"/>
      <c r="P10" s="116"/>
      <c r="Q10" s="154"/>
      <c r="R10" s="135"/>
    </row>
    <row r="11" spans="1:18">
      <c r="A11" s="68" t="s">
        <v>402</v>
      </c>
      <c r="B11" s="154">
        <f>SUM(B13+B23)</f>
        <v>2907</v>
      </c>
      <c r="C11" s="105">
        <f>C13+C23</f>
        <v>100.00000000000001</v>
      </c>
      <c r="D11" s="172"/>
      <c r="E11" s="154">
        <f>SUM(E13+E23)</f>
        <v>2220</v>
      </c>
      <c r="F11" s="135">
        <f>E11/$B$11*100</f>
        <v>76.367389060887518</v>
      </c>
      <c r="G11" s="172"/>
      <c r="H11" s="154">
        <f>SUM(H13+H23)</f>
        <v>603</v>
      </c>
      <c r="I11" s="135">
        <f>H11/$B$11*100</f>
        <v>20.743034055727556</v>
      </c>
      <c r="J11" s="172"/>
      <c r="K11" s="154">
        <f>SUM(K13+K23)</f>
        <v>79</v>
      </c>
      <c r="L11" s="135">
        <f>K11/$B$11*100</f>
        <v>2.7175782593739251</v>
      </c>
      <c r="M11" s="172"/>
      <c r="N11" s="154">
        <f>SUM(N13+N23)</f>
        <v>5</v>
      </c>
      <c r="O11" s="135">
        <f>N11/$B$11*100</f>
        <v>0.17199862401100791</v>
      </c>
      <c r="P11" s="172"/>
      <c r="Q11" s="154">
        <f>SUM(Q13+Q23)</f>
        <v>0</v>
      </c>
      <c r="R11" s="135">
        <f>Q11/$B$11*100</f>
        <v>0</v>
      </c>
    </row>
    <row r="12" spans="1:18">
      <c r="A12" s="116"/>
      <c r="B12" s="154"/>
      <c r="C12" s="135"/>
      <c r="D12" s="116"/>
      <c r="E12" s="154"/>
      <c r="F12" s="135"/>
      <c r="G12" s="116"/>
      <c r="H12" s="154"/>
      <c r="I12" s="135"/>
      <c r="J12" s="116"/>
      <c r="K12" s="154"/>
      <c r="L12" s="135"/>
      <c r="M12" s="116"/>
      <c r="N12" s="154"/>
      <c r="O12" s="135"/>
      <c r="P12" s="116"/>
      <c r="Q12" s="154"/>
      <c r="R12" s="135">
        <f t="shared" ref="R12:R29" si="0">Q12/$B$11*100</f>
        <v>0</v>
      </c>
    </row>
    <row r="13" spans="1:18">
      <c r="A13" s="55" t="s">
        <v>403</v>
      </c>
      <c r="B13" s="140">
        <f>SUM(E13+H13+K13+N13+Q13)</f>
        <v>2747</v>
      </c>
      <c r="C13" s="105">
        <f>IF(A13&lt;&gt;0,B13/$B$11*100,"")</f>
        <v>94.496044031647756</v>
      </c>
      <c r="E13" s="140">
        <f>SUM(E15:E21)</f>
        <v>2089</v>
      </c>
      <c r="F13" s="105">
        <f>E13/B13*100</f>
        <v>76.046596286858389</v>
      </c>
      <c r="H13" s="140">
        <f>SUM(H15:H21)</f>
        <v>581</v>
      </c>
      <c r="I13" s="105">
        <f>H13/B13*100</f>
        <v>21.150345831816526</v>
      </c>
      <c r="K13" s="140">
        <f>SUM(K15:K21)</f>
        <v>72</v>
      </c>
      <c r="L13" s="105">
        <f>K13/B13*100</f>
        <v>2.6210411357844925</v>
      </c>
      <c r="N13" s="140">
        <f>SUM(N15:N21)</f>
        <v>5</v>
      </c>
      <c r="O13" s="105">
        <f>N13/B13*100</f>
        <v>0.18201674554058975</v>
      </c>
      <c r="Q13" s="140">
        <f>SUM(Q15:Q21)</f>
        <v>0</v>
      </c>
      <c r="R13" s="135">
        <f t="shared" si="0"/>
        <v>0</v>
      </c>
    </row>
    <row r="14" spans="1:18">
      <c r="C14" s="105" t="str">
        <f t="shared" ref="C14:C29" si="1">IF(A14&lt;&gt;0,B14/$B$11*100,"")</f>
        <v/>
      </c>
      <c r="R14" s="135">
        <f t="shared" si="0"/>
        <v>0</v>
      </c>
    </row>
    <row r="15" spans="1:18">
      <c r="A15" s="95" t="s">
        <v>693</v>
      </c>
      <c r="B15" s="140">
        <f>E15+H15+K15+N15+Q15</f>
        <v>2109</v>
      </c>
      <c r="C15" s="105">
        <f t="shared" si="1"/>
        <v>72.549019607843135</v>
      </c>
      <c r="E15" s="848">
        <v>2045</v>
      </c>
      <c r="F15" s="105">
        <f>E15/B15*100</f>
        <v>96.965386439070642</v>
      </c>
      <c r="H15" s="848">
        <v>64</v>
      </c>
      <c r="I15" s="105">
        <f>H15/B15*100</f>
        <v>3.0346135609293503</v>
      </c>
      <c r="K15" s="848">
        <v>0</v>
      </c>
      <c r="L15" s="105">
        <f>K15/B15*100</f>
        <v>0</v>
      </c>
      <c r="M15" s="95" t="s">
        <v>128</v>
      </c>
      <c r="N15" s="848">
        <v>0</v>
      </c>
      <c r="O15" s="105">
        <f>N15/B15*100</f>
        <v>0</v>
      </c>
      <c r="P15" s="95" t="s">
        <v>128</v>
      </c>
      <c r="Q15" s="175"/>
      <c r="R15" s="135">
        <f t="shared" si="0"/>
        <v>0</v>
      </c>
    </row>
    <row r="16" spans="1:18">
      <c r="C16" s="105" t="str">
        <f t="shared" si="1"/>
        <v/>
      </c>
      <c r="E16" s="848"/>
      <c r="H16" s="848"/>
      <c r="K16" s="848"/>
      <c r="M16" s="105"/>
      <c r="N16" s="848"/>
      <c r="P16" s="105"/>
      <c r="Q16" s="175"/>
      <c r="R16" s="135">
        <f t="shared" si="0"/>
        <v>0</v>
      </c>
    </row>
    <row r="17" spans="1:18">
      <c r="A17" s="95" t="s">
        <v>1027</v>
      </c>
      <c r="B17" s="140">
        <f>E17+H17+K17+N17+Q17</f>
        <v>523</v>
      </c>
      <c r="C17" s="105">
        <f t="shared" si="1"/>
        <v>17.99105607155143</v>
      </c>
      <c r="E17" s="848">
        <v>41</v>
      </c>
      <c r="F17" s="105">
        <f>E17/B17*100</f>
        <v>7.8393881453154872</v>
      </c>
      <c r="H17" s="849">
        <v>482</v>
      </c>
      <c r="I17" s="105">
        <f>H17/B17*100</f>
        <v>92.160611854684518</v>
      </c>
      <c r="K17" s="849">
        <v>0</v>
      </c>
      <c r="L17" s="105">
        <f>K17/B17*100</f>
        <v>0</v>
      </c>
      <c r="M17" s="95" t="s">
        <v>128</v>
      </c>
      <c r="N17" s="848">
        <v>0</v>
      </c>
      <c r="O17" s="105">
        <f>N17/B17*100</f>
        <v>0</v>
      </c>
      <c r="P17" s="95" t="s">
        <v>128</v>
      </c>
      <c r="Q17" s="175"/>
      <c r="R17" s="135">
        <f t="shared" si="0"/>
        <v>0</v>
      </c>
    </row>
    <row r="18" spans="1:18">
      <c r="C18" s="105" t="str">
        <f t="shared" si="1"/>
        <v/>
      </c>
      <c r="E18" s="848"/>
      <c r="H18" s="849"/>
      <c r="K18" s="849"/>
      <c r="M18" s="105"/>
      <c r="N18" s="848"/>
      <c r="P18" s="105"/>
      <c r="Q18" s="175"/>
      <c r="R18" s="135">
        <f t="shared" si="0"/>
        <v>0</v>
      </c>
    </row>
    <row r="19" spans="1:18">
      <c r="A19" s="95" t="s">
        <v>1028</v>
      </c>
      <c r="B19" s="140">
        <f>E19+H19+K19+N19+Q19</f>
        <v>107</v>
      </c>
      <c r="C19" s="105">
        <f t="shared" si="1"/>
        <v>3.6807705538355697</v>
      </c>
      <c r="E19" s="848">
        <v>2</v>
      </c>
      <c r="F19" s="105">
        <f>E19/B19*100</f>
        <v>1.8691588785046727</v>
      </c>
      <c r="H19" s="849">
        <v>35</v>
      </c>
      <c r="I19" s="105">
        <f>H19/B19*100</f>
        <v>32.710280373831772</v>
      </c>
      <c r="K19" s="849">
        <v>70</v>
      </c>
      <c r="L19" s="105">
        <f>K19/B19*100</f>
        <v>65.420560747663544</v>
      </c>
      <c r="M19" s="95" t="s">
        <v>128</v>
      </c>
      <c r="N19" s="848">
        <v>0</v>
      </c>
      <c r="O19" s="105">
        <f>N19/B19*100</f>
        <v>0</v>
      </c>
      <c r="P19" s="95" t="s">
        <v>128</v>
      </c>
      <c r="Q19" s="175"/>
      <c r="R19" s="135">
        <f t="shared" si="0"/>
        <v>0</v>
      </c>
    </row>
    <row r="20" spans="1:18">
      <c r="C20" s="105" t="str">
        <f t="shared" si="1"/>
        <v/>
      </c>
      <c r="E20" s="848"/>
      <c r="H20" s="849"/>
      <c r="K20" s="849"/>
      <c r="N20" s="848"/>
      <c r="Q20" s="175"/>
      <c r="R20" s="135">
        <f t="shared" si="0"/>
        <v>0</v>
      </c>
    </row>
    <row r="21" spans="1:18">
      <c r="A21" s="33" t="s">
        <v>1035</v>
      </c>
      <c r="B21" s="140">
        <f>E21+H21+K21+N21+Q21</f>
        <v>8</v>
      </c>
      <c r="C21" s="105">
        <f t="shared" si="1"/>
        <v>0.27519779841761266</v>
      </c>
      <c r="E21" s="848">
        <v>1</v>
      </c>
      <c r="F21" s="105">
        <f>E21/B21*100</f>
        <v>12.5</v>
      </c>
      <c r="H21" s="849">
        <v>0</v>
      </c>
      <c r="I21" s="105">
        <f>H21/B21*100</f>
        <v>0</v>
      </c>
      <c r="K21" s="849">
        <v>2</v>
      </c>
      <c r="L21" s="105">
        <f>K21/B21*100</f>
        <v>25</v>
      </c>
      <c r="M21" s="95" t="s">
        <v>128</v>
      </c>
      <c r="N21" s="848">
        <v>5</v>
      </c>
      <c r="O21" s="105">
        <f>N21/B21*100</f>
        <v>62.5</v>
      </c>
      <c r="P21" s="95" t="s">
        <v>128</v>
      </c>
      <c r="Q21" s="175"/>
      <c r="R21" s="135">
        <f t="shared" si="0"/>
        <v>0</v>
      </c>
    </row>
    <row r="22" spans="1:18">
      <c r="A22" s="33"/>
      <c r="E22" s="365"/>
      <c r="H22" s="366"/>
      <c r="K22" s="366"/>
      <c r="N22" s="366"/>
      <c r="Q22" s="175"/>
      <c r="R22" s="135"/>
    </row>
    <row r="23" spans="1:18">
      <c r="A23" s="55" t="s">
        <v>423</v>
      </c>
      <c r="B23" s="140">
        <f>SUM(B25:B29)</f>
        <v>160</v>
      </c>
      <c r="C23" s="105">
        <f t="shared" si="1"/>
        <v>5.503955968352253</v>
      </c>
      <c r="E23" s="175">
        <f>SUM(E25:E29)</f>
        <v>131</v>
      </c>
      <c r="F23" s="105">
        <f>E23/B23*100</f>
        <v>81.875</v>
      </c>
      <c r="H23" s="175">
        <f>SUM(H25:H29)</f>
        <v>22</v>
      </c>
      <c r="I23" s="105">
        <f>H23/B23*100</f>
        <v>13.750000000000002</v>
      </c>
      <c r="K23" s="175">
        <f>SUM(K25:K29)</f>
        <v>7</v>
      </c>
      <c r="L23" s="105">
        <f>K23/B23*100</f>
        <v>4.375</v>
      </c>
      <c r="N23" s="175">
        <f>SUM(N25:N29)</f>
        <v>0</v>
      </c>
      <c r="O23" s="105">
        <f>N23/B23*100</f>
        <v>0</v>
      </c>
      <c r="Q23" s="175"/>
      <c r="R23" s="135">
        <f t="shared" si="0"/>
        <v>0</v>
      </c>
    </row>
    <row r="24" spans="1:18">
      <c r="C24" s="105" t="str">
        <f t="shared" si="1"/>
        <v/>
      </c>
      <c r="E24" s="175"/>
      <c r="H24" s="175"/>
      <c r="K24" s="175"/>
      <c r="N24" s="175"/>
      <c r="Q24" s="175"/>
      <c r="R24" s="135">
        <f t="shared" si="0"/>
        <v>0</v>
      </c>
    </row>
    <row r="25" spans="1:18">
      <c r="A25" s="95" t="s">
        <v>1031</v>
      </c>
      <c r="B25" s="140">
        <f>E25+H25+K25+N25+Q25</f>
        <v>131</v>
      </c>
      <c r="C25" s="105">
        <f t="shared" si="1"/>
        <v>4.5063639490884073</v>
      </c>
      <c r="E25" s="851">
        <v>131</v>
      </c>
      <c r="F25" s="105">
        <f>E25/B25*100</f>
        <v>100</v>
      </c>
      <c r="H25" s="851">
        <v>0</v>
      </c>
      <c r="I25" s="105">
        <f>H25/B25*100</f>
        <v>0</v>
      </c>
      <c r="K25" s="851">
        <v>0</v>
      </c>
      <c r="L25" s="105">
        <f>K25/B25*100</f>
        <v>0</v>
      </c>
      <c r="N25" s="175"/>
      <c r="O25" s="105">
        <f>N25/B25*100</f>
        <v>0</v>
      </c>
      <c r="Q25" s="175"/>
      <c r="R25" s="135">
        <f t="shared" si="0"/>
        <v>0</v>
      </c>
    </row>
    <row r="26" spans="1:18">
      <c r="C26" s="105" t="str">
        <f t="shared" si="1"/>
        <v/>
      </c>
      <c r="D26" s="105"/>
      <c r="E26" s="851"/>
      <c r="G26" s="105"/>
      <c r="H26" s="851"/>
      <c r="J26" s="105"/>
      <c r="K26" s="851"/>
      <c r="N26" s="175"/>
      <c r="Q26" s="175"/>
      <c r="R26" s="135">
        <f t="shared" si="0"/>
        <v>0</v>
      </c>
    </row>
    <row r="27" spans="1:18">
      <c r="A27" s="95" t="s">
        <v>1027</v>
      </c>
      <c r="B27" s="140">
        <f>E27+H27+K27+N27+Q27</f>
        <v>20</v>
      </c>
      <c r="C27" s="105">
        <f t="shared" si="1"/>
        <v>0.68799449604403162</v>
      </c>
      <c r="E27" s="851">
        <v>0</v>
      </c>
      <c r="F27" s="105">
        <f>E27/B27*100</f>
        <v>0</v>
      </c>
      <c r="H27" s="852">
        <v>20</v>
      </c>
      <c r="I27" s="105">
        <f>H27/B27*100</f>
        <v>100</v>
      </c>
      <c r="K27" s="852">
        <v>0</v>
      </c>
      <c r="L27" s="105">
        <f>K27/B27*100</f>
        <v>0</v>
      </c>
      <c r="M27" s="105"/>
      <c r="N27" s="175"/>
      <c r="O27" s="105">
        <f>N27/B27*100</f>
        <v>0</v>
      </c>
      <c r="P27" s="105"/>
      <c r="Q27" s="175"/>
      <c r="R27" s="135">
        <f t="shared" si="0"/>
        <v>0</v>
      </c>
    </row>
    <row r="28" spans="1:18">
      <c r="E28" s="851"/>
      <c r="H28" s="852"/>
      <c r="K28" s="852"/>
      <c r="M28" s="105"/>
      <c r="P28" s="105"/>
      <c r="R28" s="135">
        <f t="shared" si="0"/>
        <v>0</v>
      </c>
    </row>
    <row r="29" spans="1:18">
      <c r="A29" s="95" t="s">
        <v>1028</v>
      </c>
      <c r="B29" s="140">
        <f>E29+H29+K29+N29+Q29</f>
        <v>9</v>
      </c>
      <c r="C29" s="105">
        <f t="shared" si="1"/>
        <v>0.30959752321981426</v>
      </c>
      <c r="E29" s="851">
        <v>0</v>
      </c>
      <c r="F29" s="105">
        <f>E29/B29*100</f>
        <v>0</v>
      </c>
      <c r="H29" s="852">
        <v>2</v>
      </c>
      <c r="I29" s="105">
        <f>H29/B29*100</f>
        <v>22.222222222222221</v>
      </c>
      <c r="K29" s="852">
        <v>7</v>
      </c>
      <c r="L29" s="105">
        <f>K29/B29*100</f>
        <v>77.777777777777786</v>
      </c>
      <c r="M29" s="105"/>
      <c r="N29" s="140">
        <v>0</v>
      </c>
      <c r="O29" s="105">
        <f>N29/B29*100</f>
        <v>0</v>
      </c>
      <c r="P29" s="105"/>
      <c r="R29" s="135">
        <f t="shared" si="0"/>
        <v>0</v>
      </c>
    </row>
    <row r="30" spans="1:18" ht="14" thickBot="1">
      <c r="A30" s="102"/>
      <c r="B30" s="153"/>
      <c r="C30" s="96"/>
      <c r="D30" s="102"/>
      <c r="E30" s="153"/>
      <c r="F30" s="96"/>
      <c r="G30" s="102"/>
      <c r="H30" s="153"/>
      <c r="I30" s="96"/>
      <c r="J30" s="102"/>
      <c r="K30" s="153"/>
      <c r="L30" s="96"/>
      <c r="M30" s="102"/>
      <c r="N30" s="153"/>
      <c r="O30" s="96"/>
      <c r="P30" s="102"/>
      <c r="Q30" s="153"/>
      <c r="R30" s="96"/>
    </row>
    <row r="32" spans="1:18">
      <c r="A32" s="95" t="s">
        <v>1032</v>
      </c>
    </row>
    <row r="34" spans="1:1" ht="15">
      <c r="A34" s="203" t="s">
        <v>1033</v>
      </c>
    </row>
    <row r="36" spans="1:1">
      <c r="A36" s="14" t="s">
        <v>1938</v>
      </c>
    </row>
    <row r="37" spans="1:1">
      <c r="A37" s="111" t="s">
        <v>452</v>
      </c>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R45"/>
  <sheetViews>
    <sheetView workbookViewId="0"/>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19" width="8.83203125" style="95" customWidth="1"/>
    <col min="20"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275" width="8.83203125" style="95" customWidth="1"/>
    <col min="276"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531" width="8.83203125" style="95" customWidth="1"/>
    <col min="532"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787" width="8.83203125" style="95" customWidth="1"/>
    <col min="788"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043" width="8.83203125" style="95" customWidth="1"/>
    <col min="1044"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299" width="8.83203125" style="95" customWidth="1"/>
    <col min="1300"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555" width="8.83203125" style="95" customWidth="1"/>
    <col min="1556"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1811" width="8.83203125" style="95" customWidth="1"/>
    <col min="1812"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067" width="8.83203125" style="95" customWidth="1"/>
    <col min="2068"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323" width="8.83203125" style="95" customWidth="1"/>
    <col min="2324"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579" width="8.83203125" style="95" customWidth="1"/>
    <col min="2580"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2835" width="8.83203125" style="95" customWidth="1"/>
    <col min="2836"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091" width="8.83203125" style="95" customWidth="1"/>
    <col min="3092"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347" width="8.83203125" style="95" customWidth="1"/>
    <col min="3348"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603" width="8.83203125" style="95" customWidth="1"/>
    <col min="3604"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3859" width="8.83203125" style="95" customWidth="1"/>
    <col min="3860"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115" width="8.83203125" style="95" customWidth="1"/>
    <col min="4116"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371" width="8.83203125" style="95" customWidth="1"/>
    <col min="4372"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627" width="8.83203125" style="95" customWidth="1"/>
    <col min="4628"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4883" width="8.83203125" style="95" customWidth="1"/>
    <col min="4884"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139" width="8.83203125" style="95" customWidth="1"/>
    <col min="5140"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395" width="8.83203125" style="95" customWidth="1"/>
    <col min="5396"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651" width="8.83203125" style="95" customWidth="1"/>
    <col min="5652"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5907" width="8.83203125" style="95" customWidth="1"/>
    <col min="5908"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163" width="8.83203125" style="95" customWidth="1"/>
    <col min="6164"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419" width="8.83203125" style="95" customWidth="1"/>
    <col min="6420"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675" width="8.83203125" style="95" customWidth="1"/>
    <col min="6676"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6931" width="8.83203125" style="95" customWidth="1"/>
    <col min="6932"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187" width="8.83203125" style="95" customWidth="1"/>
    <col min="7188"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443" width="8.83203125" style="95" customWidth="1"/>
    <col min="7444"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699" width="8.83203125" style="95" customWidth="1"/>
    <col min="7700"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7955" width="8.83203125" style="95" customWidth="1"/>
    <col min="7956"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211" width="8.83203125" style="95" customWidth="1"/>
    <col min="8212"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467" width="8.83203125" style="95" customWidth="1"/>
    <col min="8468"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723" width="8.83203125" style="95" customWidth="1"/>
    <col min="8724"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8979" width="8.83203125" style="95" customWidth="1"/>
    <col min="8980"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235" width="8.83203125" style="95" customWidth="1"/>
    <col min="9236"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491" width="8.83203125" style="95" customWidth="1"/>
    <col min="9492"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747" width="8.83203125" style="95" customWidth="1"/>
    <col min="9748"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003" width="8.83203125" style="95" customWidth="1"/>
    <col min="10004"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259" width="8.83203125" style="95" customWidth="1"/>
    <col min="10260"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515" width="8.83203125" style="95" customWidth="1"/>
    <col min="10516"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0771" width="8.83203125" style="95" customWidth="1"/>
    <col min="10772"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027" width="8.83203125" style="95" customWidth="1"/>
    <col min="11028"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283" width="8.83203125" style="95" customWidth="1"/>
    <col min="11284"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539" width="8.83203125" style="95" customWidth="1"/>
    <col min="11540"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1795" width="8.83203125" style="95" customWidth="1"/>
    <col min="11796"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051" width="8.83203125" style="95" customWidth="1"/>
    <col min="12052"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307" width="8.83203125" style="95" customWidth="1"/>
    <col min="12308"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563" width="8.83203125" style="95" customWidth="1"/>
    <col min="12564"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2819" width="8.83203125" style="95" customWidth="1"/>
    <col min="12820"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075" width="8.83203125" style="95" customWidth="1"/>
    <col min="13076"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331" width="8.83203125" style="95" customWidth="1"/>
    <col min="13332"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587" width="8.83203125" style="95" customWidth="1"/>
    <col min="13588"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3843" width="8.83203125" style="95" customWidth="1"/>
    <col min="13844"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099" width="8.83203125" style="95" customWidth="1"/>
    <col min="14100"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355" width="8.83203125" style="95" customWidth="1"/>
    <col min="14356"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611" width="8.83203125" style="95" customWidth="1"/>
    <col min="14612"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4867" width="8.83203125" style="95" customWidth="1"/>
    <col min="14868"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123" width="8.83203125" style="95" customWidth="1"/>
    <col min="15124"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379" width="8.83203125" style="95" customWidth="1"/>
    <col min="15380"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635" width="8.83203125" style="95" customWidth="1"/>
    <col min="15636"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5891" width="8.83203125" style="95" customWidth="1"/>
    <col min="15892"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147" width="8.83203125" style="95" customWidth="1"/>
    <col min="16148" max="16384" width="8.83203125" style="95"/>
  </cols>
  <sheetData>
    <row r="1" spans="1:18">
      <c r="A1" s="95" t="s">
        <v>388</v>
      </c>
    </row>
    <row r="2" spans="1:18">
      <c r="A2" s="95" t="s">
        <v>389</v>
      </c>
    </row>
    <row r="4" spans="1:18">
      <c r="A4" s="14" t="s">
        <v>1939</v>
      </c>
    </row>
    <row r="6" spans="1:18" ht="14" thickBot="1"/>
    <row r="7" spans="1:18" ht="15" customHeight="1">
      <c r="A7" s="97"/>
      <c r="B7" s="144"/>
      <c r="C7" s="99"/>
      <c r="D7" s="99"/>
      <c r="E7" s="144"/>
      <c r="F7" s="99"/>
      <c r="G7" s="97"/>
      <c r="H7" s="144"/>
      <c r="I7" s="99"/>
      <c r="J7" s="97"/>
      <c r="K7" s="144"/>
      <c r="L7" s="99"/>
      <c r="M7" s="97"/>
      <c r="N7" s="144"/>
      <c r="O7" s="99"/>
      <c r="P7" s="97"/>
      <c r="Q7" s="144"/>
      <c r="R7" s="99"/>
    </row>
    <row r="8" spans="1:18" ht="15" customHeight="1">
      <c r="A8" s="116" t="s">
        <v>1036</v>
      </c>
      <c r="B8" s="154" t="s">
        <v>1037</v>
      </c>
      <c r="C8" s="135"/>
      <c r="D8" s="135"/>
      <c r="E8" s="154" t="s">
        <v>1038</v>
      </c>
      <c r="F8" s="135"/>
      <c r="G8" s="116"/>
      <c r="H8" s="154" t="s">
        <v>1039</v>
      </c>
      <c r="I8" s="135"/>
      <c r="J8" s="116"/>
      <c r="K8" s="154" t="s">
        <v>1040</v>
      </c>
      <c r="L8" s="135"/>
      <c r="M8" s="116"/>
      <c r="N8" s="154" t="s">
        <v>1041</v>
      </c>
      <c r="O8" s="135"/>
      <c r="P8" s="116"/>
      <c r="Q8" s="154" t="s">
        <v>1005</v>
      </c>
      <c r="R8" s="135"/>
    </row>
    <row r="9" spans="1:18" ht="15" customHeight="1">
      <c r="A9" s="116" t="s">
        <v>1042</v>
      </c>
      <c r="B9" s="367" t="s">
        <v>1026</v>
      </c>
      <c r="C9" s="368" t="s">
        <v>1043</v>
      </c>
      <c r="D9" s="135"/>
      <c r="E9" s="149" t="s">
        <v>400</v>
      </c>
      <c r="F9" s="101" t="s">
        <v>401</v>
      </c>
      <c r="G9" s="116"/>
      <c r="H9" s="149" t="s">
        <v>400</v>
      </c>
      <c r="I9" s="101" t="s">
        <v>401</v>
      </c>
      <c r="J9" s="116"/>
      <c r="K9" s="149" t="s">
        <v>400</v>
      </c>
      <c r="L9" s="101" t="s">
        <v>401</v>
      </c>
      <c r="M9" s="116"/>
      <c r="N9" s="149" t="s">
        <v>400</v>
      </c>
      <c r="O9" s="101" t="s">
        <v>401</v>
      </c>
      <c r="P9" s="116"/>
      <c r="Q9" s="149" t="s">
        <v>400</v>
      </c>
      <c r="R9" s="101" t="s">
        <v>401</v>
      </c>
    </row>
    <row r="10" spans="1:18" ht="15" customHeight="1" thickBot="1">
      <c r="A10" s="102"/>
      <c r="B10" s="153"/>
      <c r="C10" s="96"/>
      <c r="D10" s="96"/>
      <c r="E10" s="153"/>
      <c r="F10" s="96"/>
      <c r="G10" s="102"/>
      <c r="H10" s="153"/>
      <c r="I10" s="96"/>
      <c r="J10" s="102"/>
      <c r="K10" s="153"/>
      <c r="L10" s="96"/>
      <c r="M10" s="102"/>
      <c r="N10" s="153"/>
      <c r="O10" s="96"/>
      <c r="P10" s="102"/>
      <c r="Q10" s="153"/>
      <c r="R10" s="96"/>
    </row>
    <row r="11" spans="1:18" ht="15" customHeight="1">
      <c r="A11" s="116"/>
      <c r="B11" s="154"/>
      <c r="C11" s="135"/>
      <c r="D11" s="135"/>
      <c r="E11" s="154"/>
      <c r="F11" s="135"/>
      <c r="G11" s="116"/>
      <c r="H11" s="154"/>
      <c r="I11" s="135"/>
      <c r="J11" s="116"/>
      <c r="K11" s="154"/>
      <c r="L11" s="135"/>
      <c r="M11" s="116"/>
      <c r="N11" s="154"/>
      <c r="O11" s="135"/>
      <c r="P11" s="116"/>
      <c r="Q11" s="154"/>
      <c r="R11" s="135"/>
    </row>
    <row r="12" spans="1:18">
      <c r="A12" s="68" t="s">
        <v>402</v>
      </c>
      <c r="B12" s="140">
        <f>E12+H12+K12+N12+Q12</f>
        <v>42584</v>
      </c>
      <c r="C12" s="135">
        <f>C14+C26</f>
        <v>100</v>
      </c>
      <c r="D12" s="135"/>
      <c r="E12" s="154">
        <f>SUM(E14+E26)</f>
        <v>5768</v>
      </c>
      <c r="F12" s="135">
        <f>E12/$B$12*100</f>
        <v>13.544993424760474</v>
      </c>
      <c r="G12" s="116"/>
      <c r="H12" s="154">
        <f>SUM(H14+H26)</f>
        <v>9748</v>
      </c>
      <c r="I12" s="135">
        <f>H12/$B$12*100</f>
        <v>22.891226751831674</v>
      </c>
      <c r="J12" s="116"/>
      <c r="K12" s="154">
        <f>SUM(K14+K26)</f>
        <v>11895</v>
      </c>
      <c r="L12" s="135">
        <f>K12/$B$12*100</f>
        <v>27.933026488822094</v>
      </c>
      <c r="M12" s="116"/>
      <c r="N12" s="154">
        <f>SUM(N14+N26)</f>
        <v>13660</v>
      </c>
      <c r="O12" s="135">
        <f>N12/$B$12*100</f>
        <v>32.077775690400152</v>
      </c>
      <c r="P12" s="116"/>
      <c r="Q12" s="154">
        <f>SUM(Q14+Q26)</f>
        <v>1513</v>
      </c>
      <c r="R12" s="135">
        <f>Q12/$B$12*100</f>
        <v>3.55297764418561</v>
      </c>
    </row>
    <row r="13" spans="1:18">
      <c r="A13" s="116"/>
      <c r="B13" s="154"/>
      <c r="C13" s="135"/>
      <c r="D13" s="135"/>
      <c r="E13" s="154"/>
      <c r="F13" s="135"/>
      <c r="G13" s="116"/>
      <c r="H13" s="154"/>
      <c r="I13" s="135"/>
      <c r="J13" s="116"/>
      <c r="K13" s="154"/>
      <c r="L13" s="135"/>
      <c r="M13" s="116"/>
      <c r="N13" s="154"/>
      <c r="O13" s="135"/>
      <c r="P13" s="116"/>
      <c r="Q13" s="154"/>
      <c r="R13" s="135"/>
    </row>
    <row r="14" spans="1:18">
      <c r="A14" s="55" t="s">
        <v>403</v>
      </c>
      <c r="B14" s="140">
        <f>SUM(B16:B24)</f>
        <v>31611</v>
      </c>
      <c r="C14" s="105">
        <f>IF(A14&lt;&gt;0,B14/$B$12*100,"")</f>
        <v>74.232105955288375</v>
      </c>
      <c r="E14" s="140">
        <f>SUM(E16:E24)</f>
        <v>4585</v>
      </c>
      <c r="F14" s="105">
        <f>E14/$B$14*100</f>
        <v>14.504444655341494</v>
      </c>
      <c r="H14" s="140">
        <f>SUM(H16:H24)</f>
        <v>7537</v>
      </c>
      <c r="I14" s="105">
        <f>H14/$B$14*100</f>
        <v>23.842966056119703</v>
      </c>
      <c r="K14" s="140">
        <f>SUM(K16:K24)</f>
        <v>8483</v>
      </c>
      <c r="L14" s="105">
        <f>K14/$B$14*100</f>
        <v>26.83559520420107</v>
      </c>
      <c r="N14" s="140">
        <f>SUM(N16:N24)</f>
        <v>9738</v>
      </c>
      <c r="O14" s="105">
        <f>N14/$B$14*100</f>
        <v>30.805732181835438</v>
      </c>
      <c r="Q14" s="140">
        <f>SUM(Q16:Q24)</f>
        <v>1268</v>
      </c>
      <c r="R14" s="105">
        <f>Q14/$B$14*100</f>
        <v>4.0112619025022935</v>
      </c>
    </row>
    <row r="15" spans="1:18">
      <c r="B15" s="140" t="s">
        <v>128</v>
      </c>
      <c r="C15" s="105" t="str">
        <f t="shared" ref="C15:C36" si="0">IF(A15&lt;&gt;0,B15/$B$12*100,"")</f>
        <v/>
      </c>
      <c r="E15" s="154"/>
      <c r="F15" s="135"/>
      <c r="G15" s="116"/>
      <c r="H15" s="154"/>
      <c r="I15" s="135"/>
      <c r="J15" s="116"/>
      <c r="L15" s="135"/>
      <c r="M15" s="116"/>
      <c r="O15" s="135"/>
      <c r="P15" s="116"/>
    </row>
    <row r="16" spans="1:18">
      <c r="A16" s="95" t="s">
        <v>1044</v>
      </c>
      <c r="B16" s="140">
        <f>E16+H16+K16+N16+Q16</f>
        <v>1923</v>
      </c>
      <c r="C16" s="105">
        <f t="shared" si="0"/>
        <v>4.5157805748637987</v>
      </c>
      <c r="E16" s="848">
        <v>1893</v>
      </c>
      <c r="F16" s="105">
        <f>E16/$B$16*100</f>
        <v>98.439937597503899</v>
      </c>
      <c r="H16" s="848">
        <v>30</v>
      </c>
      <c r="I16" s="105">
        <f>H16/$B$16*100</f>
        <v>1.5600624024960998</v>
      </c>
      <c r="K16" s="848">
        <v>0</v>
      </c>
      <c r="L16" s="105">
        <f>K16/$B$16*100</f>
        <v>0</v>
      </c>
      <c r="N16" s="848">
        <v>0</v>
      </c>
      <c r="O16" s="105">
        <f>N16/$B$16*100</f>
        <v>0</v>
      </c>
      <c r="Q16" s="848">
        <v>0</v>
      </c>
      <c r="R16" s="105">
        <f>Q16/$B$16*100</f>
        <v>0</v>
      </c>
    </row>
    <row r="17" spans="1:18">
      <c r="B17" s="140" t="s">
        <v>128</v>
      </c>
      <c r="C17" s="105" t="str">
        <f t="shared" si="0"/>
        <v/>
      </c>
      <c r="E17" s="848"/>
      <c r="H17" s="848"/>
      <c r="K17" s="848"/>
      <c r="N17" s="848"/>
      <c r="Q17" s="848"/>
    </row>
    <row r="18" spans="1:18">
      <c r="A18" s="95" t="s">
        <v>1045</v>
      </c>
      <c r="B18" s="140">
        <f t="shared" ref="B18:B30" si="1">E18+H18+K18+N18+Q18</f>
        <v>6022</v>
      </c>
      <c r="C18" s="105">
        <f t="shared" si="0"/>
        <v>14.141461581814765</v>
      </c>
      <c r="E18" s="849">
        <v>1988</v>
      </c>
      <c r="F18" s="105">
        <f>E18/$B$18*100</f>
        <v>33.012288276320163</v>
      </c>
      <c r="H18" s="849">
        <v>4034</v>
      </c>
      <c r="I18" s="105">
        <f>H18/$B$18*100</f>
        <v>66.987711723679837</v>
      </c>
      <c r="K18" s="849">
        <v>0</v>
      </c>
      <c r="L18" s="105">
        <f>K18/$B$18*100</f>
        <v>0</v>
      </c>
      <c r="N18" s="849">
        <v>0</v>
      </c>
      <c r="O18" s="105">
        <f>N18/$B$18*100</f>
        <v>0</v>
      </c>
      <c r="Q18" s="849">
        <v>0</v>
      </c>
      <c r="R18" s="105">
        <f>Q18/$B$18*100</f>
        <v>0</v>
      </c>
    </row>
    <row r="19" spans="1:18">
      <c r="B19" s="140" t="s">
        <v>128</v>
      </c>
      <c r="C19" s="105" t="str">
        <f t="shared" si="0"/>
        <v/>
      </c>
      <c r="E19" s="849"/>
      <c r="H19" s="849"/>
      <c r="K19" s="849"/>
      <c r="N19" s="849"/>
      <c r="Q19" s="849"/>
    </row>
    <row r="20" spans="1:18">
      <c r="A20" s="95" t="s">
        <v>1046</v>
      </c>
      <c r="B20" s="140">
        <f t="shared" si="1"/>
        <v>7791</v>
      </c>
      <c r="C20" s="105">
        <f t="shared" si="0"/>
        <v>18.295603982716514</v>
      </c>
      <c r="E20" s="849">
        <v>562</v>
      </c>
      <c r="F20" s="105">
        <f>E20/$B$20*100</f>
        <v>7.2134514183031699</v>
      </c>
      <c r="H20" s="849">
        <v>2610</v>
      </c>
      <c r="I20" s="105">
        <f>H20/$B$20*100</f>
        <v>33.500192529842124</v>
      </c>
      <c r="K20" s="849">
        <v>4619</v>
      </c>
      <c r="L20" s="105">
        <f>K20/$B$20*100</f>
        <v>59.286356051854703</v>
      </c>
      <c r="N20" s="849">
        <v>0</v>
      </c>
      <c r="O20" s="105">
        <f>N20/$B$20*100</f>
        <v>0</v>
      </c>
      <c r="Q20" s="849">
        <v>0</v>
      </c>
      <c r="R20" s="105">
        <f>Q20/$B$20*100</f>
        <v>0</v>
      </c>
    </row>
    <row r="21" spans="1:18">
      <c r="C21" s="105" t="str">
        <f t="shared" si="0"/>
        <v/>
      </c>
      <c r="E21" s="849"/>
      <c r="H21" s="849"/>
      <c r="K21" s="849"/>
      <c r="N21" s="849"/>
      <c r="Q21" s="849"/>
    </row>
    <row r="22" spans="1:18">
      <c r="A22" s="95" t="s">
        <v>1047</v>
      </c>
      <c r="B22" s="140">
        <f t="shared" si="1"/>
        <v>13724</v>
      </c>
      <c r="C22" s="105">
        <f t="shared" si="0"/>
        <v>32.228066879579188</v>
      </c>
      <c r="E22" s="849">
        <v>130</v>
      </c>
      <c r="F22" s="105">
        <f>E22/$B$22*100</f>
        <v>0.9472457009618187</v>
      </c>
      <c r="H22" s="849">
        <v>831</v>
      </c>
      <c r="I22" s="105">
        <f>H22/$B$22*100</f>
        <v>6.0550859807636259</v>
      </c>
      <c r="K22" s="849">
        <v>3719</v>
      </c>
      <c r="L22" s="105">
        <f>K22/$B$22*100</f>
        <v>27.098513552900027</v>
      </c>
      <c r="N22" s="849">
        <v>9044</v>
      </c>
      <c r="O22" s="105">
        <f>N22/$B$22*100</f>
        <v>65.899154765374519</v>
      </c>
      <c r="Q22" s="849">
        <v>0</v>
      </c>
      <c r="R22" s="105">
        <f>Q22/$B$22*100</f>
        <v>0</v>
      </c>
    </row>
    <row r="23" spans="1:18">
      <c r="C23" s="105" t="str">
        <f t="shared" si="0"/>
        <v/>
      </c>
      <c r="E23" s="849"/>
      <c r="H23" s="849"/>
      <c r="K23" s="849"/>
      <c r="N23" s="849"/>
      <c r="Q23" s="849"/>
    </row>
    <row r="24" spans="1:18">
      <c r="A24" s="95" t="s">
        <v>1048</v>
      </c>
      <c r="B24" s="140">
        <f t="shared" si="1"/>
        <v>2151</v>
      </c>
      <c r="C24" s="105">
        <f t="shared" si="0"/>
        <v>5.0511929363141084</v>
      </c>
      <c r="E24" s="849">
        <v>12</v>
      </c>
      <c r="F24" s="105">
        <f>E24/$B$24*100</f>
        <v>0.55788005578800559</v>
      </c>
      <c r="H24" s="849">
        <v>32</v>
      </c>
      <c r="I24" s="105">
        <f>H24/$B$22*100</f>
        <v>0.23316817254444769</v>
      </c>
      <c r="K24" s="849">
        <v>145</v>
      </c>
      <c r="L24" s="105">
        <f>K24/$B$24*100</f>
        <v>6.7410506741050673</v>
      </c>
      <c r="N24" s="849">
        <v>694</v>
      </c>
      <c r="O24" s="105">
        <f>N24/$B$24*100</f>
        <v>32.264063226406329</v>
      </c>
      <c r="Q24" s="849">
        <v>1268</v>
      </c>
      <c r="R24" s="105">
        <f>Q24/$B$24*100</f>
        <v>58.949325894932592</v>
      </c>
    </row>
    <row r="25" spans="1:18">
      <c r="C25" s="105" t="str">
        <f t="shared" si="0"/>
        <v/>
      </c>
    </row>
    <row r="26" spans="1:18">
      <c r="A26" s="55" t="s">
        <v>423</v>
      </c>
      <c r="B26" s="140">
        <f>SUM(B28:B36)</f>
        <v>10973</v>
      </c>
      <c r="C26" s="105">
        <f t="shared" si="0"/>
        <v>25.767894044711632</v>
      </c>
      <c r="E26" s="140">
        <f>SUM(E28:E36)</f>
        <v>1183</v>
      </c>
      <c r="F26" s="105">
        <f>E26/$B$26*100</f>
        <v>10.781007928551901</v>
      </c>
      <c r="H26" s="140">
        <f>SUM(H28:H36)</f>
        <v>2211</v>
      </c>
      <c r="I26" s="105">
        <f>H26/$B$26*100</f>
        <v>20.149457759956256</v>
      </c>
      <c r="K26" s="140">
        <f>SUM(K28:K36)</f>
        <v>3412</v>
      </c>
      <c r="L26" s="105">
        <f>K26/$B$26*100</f>
        <v>31.094504693338195</v>
      </c>
      <c r="N26" s="140">
        <f>SUM(N28:N36)</f>
        <v>3922</v>
      </c>
      <c r="O26" s="105">
        <f>N26/$B$26*100</f>
        <v>35.742276496855915</v>
      </c>
      <c r="Q26" s="140">
        <f>SUM(Q28:Q36)</f>
        <v>245</v>
      </c>
      <c r="R26" s="105">
        <f>Q26/$B$26*100</f>
        <v>2.2327531212977307</v>
      </c>
    </row>
    <row r="27" spans="1:18">
      <c r="C27" s="105" t="str">
        <f t="shared" si="0"/>
        <v/>
      </c>
      <c r="E27" s="154"/>
      <c r="F27" s="135"/>
      <c r="G27" s="116"/>
      <c r="H27" s="154"/>
      <c r="I27" s="135"/>
      <c r="J27" s="116"/>
      <c r="L27" s="135"/>
      <c r="M27" s="116"/>
      <c r="O27" s="135"/>
      <c r="P27" s="116"/>
    </row>
    <row r="28" spans="1:18">
      <c r="A28" s="95" t="s">
        <v>1044</v>
      </c>
      <c r="B28" s="140">
        <f t="shared" si="1"/>
        <v>382</v>
      </c>
      <c r="C28" s="105">
        <f t="shared" si="0"/>
        <v>0.89705053541236146</v>
      </c>
      <c r="E28" s="833">
        <v>377</v>
      </c>
      <c r="F28" s="135">
        <f>E28/$B$28*100</f>
        <v>98.691099476439788</v>
      </c>
      <c r="G28" s="116"/>
      <c r="H28" s="833">
        <v>5</v>
      </c>
      <c r="I28" s="135">
        <f>H28/$B$28*100</f>
        <v>1.3089005235602094</v>
      </c>
      <c r="J28" s="116"/>
      <c r="K28" s="833">
        <v>0</v>
      </c>
      <c r="L28" s="135">
        <f>K28/$B$28*100</f>
        <v>0</v>
      </c>
      <c r="M28" s="116"/>
      <c r="N28" s="833">
        <v>0</v>
      </c>
      <c r="O28" s="135">
        <f>N28/$B$28*100</f>
        <v>0</v>
      </c>
      <c r="P28" s="116"/>
      <c r="Q28" s="833">
        <v>0</v>
      </c>
      <c r="R28" s="105">
        <f>Q28/$B$28*100</f>
        <v>0</v>
      </c>
    </row>
    <row r="29" spans="1:18">
      <c r="C29" s="105" t="str">
        <f t="shared" si="0"/>
        <v/>
      </c>
      <c r="E29" s="833"/>
      <c r="H29" s="833"/>
      <c r="K29" s="833"/>
      <c r="N29" s="833"/>
      <c r="Q29" s="833"/>
    </row>
    <row r="30" spans="1:18">
      <c r="A30" s="95" t="s">
        <v>1045</v>
      </c>
      <c r="B30" s="140">
        <f t="shared" si="1"/>
        <v>1472</v>
      </c>
      <c r="C30" s="105">
        <f t="shared" si="0"/>
        <v>3.4566973511177905</v>
      </c>
      <c r="E30" s="834">
        <v>529</v>
      </c>
      <c r="F30" s="105">
        <f>E30/$B$30*100</f>
        <v>35.9375</v>
      </c>
      <c r="H30" s="834">
        <v>943</v>
      </c>
      <c r="I30" s="105">
        <f>H30/$B$30*100</f>
        <v>64.0625</v>
      </c>
      <c r="K30" s="834">
        <v>0</v>
      </c>
      <c r="L30" s="105">
        <f>K30/$B$30*100</f>
        <v>0</v>
      </c>
      <c r="N30" s="834">
        <v>0</v>
      </c>
      <c r="O30" s="105">
        <f>N30/$B$30*100</f>
        <v>0</v>
      </c>
      <c r="Q30" s="834">
        <v>0</v>
      </c>
      <c r="R30" s="105">
        <f>Q30/$B$30*100</f>
        <v>0</v>
      </c>
    </row>
    <row r="31" spans="1:18">
      <c r="C31" s="105" t="str">
        <f t="shared" si="0"/>
        <v/>
      </c>
      <c r="E31" s="834"/>
      <c r="H31" s="834"/>
      <c r="K31" s="834"/>
      <c r="N31" s="834"/>
      <c r="Q31" s="834"/>
    </row>
    <row r="32" spans="1:18">
      <c r="A32" s="95" t="s">
        <v>1046</v>
      </c>
      <c r="B32" s="140">
        <f>E32+H32+K32+N32+Q32</f>
        <v>3110</v>
      </c>
      <c r="C32" s="105">
        <f t="shared" si="0"/>
        <v>7.3032124741687019</v>
      </c>
      <c r="E32" s="834">
        <v>253</v>
      </c>
      <c r="F32" s="105">
        <f>E32/$B$32*100</f>
        <v>8.135048231511254</v>
      </c>
      <c r="H32" s="834">
        <v>997</v>
      </c>
      <c r="I32" s="105">
        <f>H32/$B$32*100</f>
        <v>32.057877813504824</v>
      </c>
      <c r="K32" s="834">
        <v>1860</v>
      </c>
      <c r="L32" s="105">
        <f>K32/$B$32*100</f>
        <v>59.807073954983927</v>
      </c>
      <c r="N32" s="834">
        <v>0</v>
      </c>
      <c r="O32" s="105">
        <f>N32/$B$32*100</f>
        <v>0</v>
      </c>
      <c r="Q32" s="834">
        <v>0</v>
      </c>
      <c r="R32" s="105">
        <f>Q32/$B$32*100</f>
        <v>0</v>
      </c>
    </row>
    <row r="33" spans="1:18">
      <c r="C33" s="105" t="str">
        <f t="shared" si="0"/>
        <v/>
      </c>
      <c r="E33" s="834"/>
      <c r="H33" s="834"/>
      <c r="K33" s="834"/>
      <c r="N33" s="834"/>
      <c r="Q33" s="834"/>
    </row>
    <row r="34" spans="1:18">
      <c r="A34" s="95" t="s">
        <v>1047</v>
      </c>
      <c r="B34" s="140">
        <f>E34+H34+K34+N34+Q34</f>
        <v>5547</v>
      </c>
      <c r="C34" s="105">
        <f t="shared" si="0"/>
        <v>13.026019162126619</v>
      </c>
      <c r="E34" s="834">
        <v>24</v>
      </c>
      <c r="F34" s="105">
        <f>E34/$B$34*100</f>
        <v>0.4326663061114116</v>
      </c>
      <c r="H34" s="834">
        <v>264</v>
      </c>
      <c r="I34" s="105">
        <f>H34/$B$34*100</f>
        <v>4.7593293672255275</v>
      </c>
      <c r="K34" s="834">
        <v>1517</v>
      </c>
      <c r="L34" s="105">
        <f>K34/$B$34*100</f>
        <v>27.34811609879214</v>
      </c>
      <c r="N34" s="834">
        <v>3742</v>
      </c>
      <c r="O34" s="105">
        <f>N34/$B$34*100</f>
        <v>67.45988822787092</v>
      </c>
      <c r="Q34" s="834">
        <v>0</v>
      </c>
      <c r="R34" s="105">
        <f>Q34/$B$34*100</f>
        <v>0</v>
      </c>
    </row>
    <row r="35" spans="1:18">
      <c r="C35" s="105" t="str">
        <f t="shared" si="0"/>
        <v/>
      </c>
      <c r="E35" s="834"/>
      <c r="H35" s="834"/>
      <c r="K35" s="834"/>
      <c r="N35" s="834"/>
      <c r="Q35" s="834"/>
    </row>
    <row r="36" spans="1:18">
      <c r="A36" s="95" t="s">
        <v>1048</v>
      </c>
      <c r="B36" s="140">
        <f>E36+H36+K36+N36+Q36</f>
        <v>462</v>
      </c>
      <c r="C36" s="105">
        <f t="shared" si="0"/>
        <v>1.0849145218861544</v>
      </c>
      <c r="E36" s="834">
        <v>0</v>
      </c>
      <c r="F36" s="105">
        <f>E36/$B$36*100</f>
        <v>0</v>
      </c>
      <c r="H36" s="834">
        <v>2</v>
      </c>
      <c r="I36" s="105">
        <f>H36/$B$36*100</f>
        <v>0.4329004329004329</v>
      </c>
      <c r="K36" s="834">
        <v>35</v>
      </c>
      <c r="L36" s="105">
        <f>K36/$B$36*100</f>
        <v>7.5757575757575761</v>
      </c>
      <c r="N36" s="834">
        <v>180</v>
      </c>
      <c r="O36" s="105">
        <f>N36/$B$36*100</f>
        <v>38.961038961038966</v>
      </c>
      <c r="Q36" s="834">
        <v>245</v>
      </c>
      <c r="R36" s="105">
        <f>Q36/$B$36*100</f>
        <v>53.030303030303031</v>
      </c>
    </row>
    <row r="37" spans="1:18" ht="14" thickBot="1">
      <c r="A37" s="102"/>
      <c r="B37" s="153"/>
      <c r="C37" s="96"/>
      <c r="D37" s="96"/>
      <c r="E37" s="153"/>
      <c r="F37" s="96"/>
      <c r="G37" s="102"/>
      <c r="H37" s="153"/>
      <c r="I37" s="96"/>
      <c r="J37" s="102"/>
      <c r="K37" s="153"/>
      <c r="L37" s="96"/>
      <c r="M37" s="102"/>
      <c r="N37" s="153"/>
      <c r="O37" s="96"/>
      <c r="P37" s="102"/>
      <c r="Q37" s="153"/>
      <c r="R37" s="96"/>
    </row>
    <row r="39" spans="1:18">
      <c r="A39" s="95" t="s">
        <v>1032</v>
      </c>
    </row>
    <row r="41" spans="1:18" ht="15">
      <c r="A41" s="203" t="s">
        <v>1049</v>
      </c>
      <c r="D41" s="95"/>
    </row>
    <row r="42" spans="1:18" ht="15">
      <c r="A42" s="203" t="s">
        <v>1050</v>
      </c>
      <c r="D42" s="95"/>
    </row>
    <row r="44" spans="1:18">
      <c r="A44" s="14" t="s">
        <v>1940</v>
      </c>
    </row>
    <row r="45" spans="1:18">
      <c r="A45" s="111" t="s">
        <v>452</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R44"/>
  <sheetViews>
    <sheetView workbookViewId="0">
      <selection activeCell="A2" sqref="A2"/>
    </sheetView>
  </sheetViews>
  <sheetFormatPr baseColWidth="10" defaultColWidth="8.83203125" defaultRowHeight="13"/>
  <cols>
    <col min="1" max="1" width="30.83203125" style="95" customWidth="1"/>
    <col min="2" max="2" width="8.33203125" style="140" customWidth="1"/>
    <col min="3" max="3" width="8.33203125" style="105" customWidth="1"/>
    <col min="4" max="4" width="2.5" style="105" customWidth="1"/>
    <col min="5" max="5" width="8.33203125" style="140" customWidth="1"/>
    <col min="6" max="6" width="8.33203125" style="105" customWidth="1"/>
    <col min="7" max="7" width="2.33203125" style="95" customWidth="1"/>
    <col min="8" max="8" width="8.33203125" style="140" customWidth="1"/>
    <col min="9" max="9" width="9.1640625" style="105" customWidth="1"/>
    <col min="10" max="10" width="2.33203125" style="95" customWidth="1"/>
    <col min="11" max="11" width="8.33203125" style="140" customWidth="1"/>
    <col min="12" max="12" width="9.5" style="105" customWidth="1"/>
    <col min="13" max="13" width="2.33203125" style="95" customWidth="1"/>
    <col min="14" max="14" width="8.33203125" style="140" customWidth="1"/>
    <col min="15" max="15" width="9.6640625" style="105" customWidth="1"/>
    <col min="16" max="16" width="2.33203125" style="95" customWidth="1"/>
    <col min="17" max="17" width="9.6640625" style="140" customWidth="1"/>
    <col min="18" max="18" width="8.33203125" style="105" customWidth="1"/>
    <col min="19" max="256" width="8.83203125" style="95"/>
    <col min="257" max="257" width="30.83203125" style="95" customWidth="1"/>
    <col min="258" max="259" width="8.33203125" style="95" customWidth="1"/>
    <col min="260" max="260" width="2.5" style="95" customWidth="1"/>
    <col min="261" max="262" width="8.33203125" style="95" customWidth="1"/>
    <col min="263" max="263" width="2.33203125" style="95" customWidth="1"/>
    <col min="264" max="264" width="8.33203125" style="95" customWidth="1"/>
    <col min="265" max="265" width="9.1640625" style="95" customWidth="1"/>
    <col min="266" max="266" width="2.33203125" style="95" customWidth="1"/>
    <col min="267" max="267" width="8.33203125" style="95" customWidth="1"/>
    <col min="268" max="268" width="9.5" style="95" customWidth="1"/>
    <col min="269" max="269" width="2.33203125" style="95" customWidth="1"/>
    <col min="270" max="270" width="8.33203125" style="95" customWidth="1"/>
    <col min="271" max="271" width="9.6640625" style="95" customWidth="1"/>
    <col min="272" max="272" width="2.33203125" style="95" customWidth="1"/>
    <col min="273" max="273" width="9.6640625" style="95" customWidth="1"/>
    <col min="274" max="274" width="8.33203125" style="95" customWidth="1"/>
    <col min="275" max="512" width="8.83203125" style="95"/>
    <col min="513" max="513" width="30.83203125" style="95" customWidth="1"/>
    <col min="514" max="515" width="8.33203125" style="95" customWidth="1"/>
    <col min="516" max="516" width="2.5" style="95" customWidth="1"/>
    <col min="517" max="518" width="8.33203125" style="95" customWidth="1"/>
    <col min="519" max="519" width="2.33203125" style="95" customWidth="1"/>
    <col min="520" max="520" width="8.33203125" style="95" customWidth="1"/>
    <col min="521" max="521" width="9.1640625" style="95" customWidth="1"/>
    <col min="522" max="522" width="2.33203125" style="95" customWidth="1"/>
    <col min="523" max="523" width="8.33203125" style="95" customWidth="1"/>
    <col min="524" max="524" width="9.5" style="95" customWidth="1"/>
    <col min="525" max="525" width="2.33203125" style="95" customWidth="1"/>
    <col min="526" max="526" width="8.33203125" style="95" customWidth="1"/>
    <col min="527" max="527" width="9.6640625" style="95" customWidth="1"/>
    <col min="528" max="528" width="2.33203125" style="95" customWidth="1"/>
    <col min="529" max="529" width="9.6640625" style="95" customWidth="1"/>
    <col min="530" max="530" width="8.33203125" style="95" customWidth="1"/>
    <col min="531" max="768" width="8.83203125" style="95"/>
    <col min="769" max="769" width="30.83203125" style="95" customWidth="1"/>
    <col min="770" max="771" width="8.33203125" style="95" customWidth="1"/>
    <col min="772" max="772" width="2.5" style="95" customWidth="1"/>
    <col min="773" max="774" width="8.33203125" style="95" customWidth="1"/>
    <col min="775" max="775" width="2.33203125" style="95" customWidth="1"/>
    <col min="776" max="776" width="8.33203125" style="95" customWidth="1"/>
    <col min="777" max="777" width="9.1640625" style="95" customWidth="1"/>
    <col min="778" max="778" width="2.33203125" style="95" customWidth="1"/>
    <col min="779" max="779" width="8.33203125" style="95" customWidth="1"/>
    <col min="780" max="780" width="9.5" style="95" customWidth="1"/>
    <col min="781" max="781" width="2.33203125" style="95" customWidth="1"/>
    <col min="782" max="782" width="8.33203125" style="95" customWidth="1"/>
    <col min="783" max="783" width="9.6640625" style="95" customWidth="1"/>
    <col min="784" max="784" width="2.33203125" style="95" customWidth="1"/>
    <col min="785" max="785" width="9.6640625" style="95" customWidth="1"/>
    <col min="786" max="786" width="8.33203125" style="95" customWidth="1"/>
    <col min="787" max="1024" width="8.83203125" style="95"/>
    <col min="1025" max="1025" width="30.83203125" style="95" customWidth="1"/>
    <col min="1026" max="1027" width="8.33203125" style="95" customWidth="1"/>
    <col min="1028" max="1028" width="2.5" style="95" customWidth="1"/>
    <col min="1029" max="1030" width="8.33203125" style="95" customWidth="1"/>
    <col min="1031" max="1031" width="2.33203125" style="95" customWidth="1"/>
    <col min="1032" max="1032" width="8.33203125" style="95" customWidth="1"/>
    <col min="1033" max="1033" width="9.1640625" style="95" customWidth="1"/>
    <col min="1034" max="1034" width="2.33203125" style="95" customWidth="1"/>
    <col min="1035" max="1035" width="8.33203125" style="95" customWidth="1"/>
    <col min="1036" max="1036" width="9.5" style="95" customWidth="1"/>
    <col min="1037" max="1037" width="2.33203125" style="95" customWidth="1"/>
    <col min="1038" max="1038" width="8.33203125" style="95" customWidth="1"/>
    <col min="1039" max="1039" width="9.6640625" style="95" customWidth="1"/>
    <col min="1040" max="1040" width="2.33203125" style="95" customWidth="1"/>
    <col min="1041" max="1041" width="9.6640625" style="95" customWidth="1"/>
    <col min="1042" max="1042" width="8.33203125" style="95" customWidth="1"/>
    <col min="1043" max="1280" width="8.83203125" style="95"/>
    <col min="1281" max="1281" width="30.83203125" style="95" customWidth="1"/>
    <col min="1282" max="1283" width="8.33203125" style="95" customWidth="1"/>
    <col min="1284" max="1284" width="2.5" style="95" customWidth="1"/>
    <col min="1285" max="1286" width="8.33203125" style="95" customWidth="1"/>
    <col min="1287" max="1287" width="2.33203125" style="95" customWidth="1"/>
    <col min="1288" max="1288" width="8.33203125" style="95" customWidth="1"/>
    <col min="1289" max="1289" width="9.1640625" style="95" customWidth="1"/>
    <col min="1290" max="1290" width="2.33203125" style="95" customWidth="1"/>
    <col min="1291" max="1291" width="8.33203125" style="95" customWidth="1"/>
    <col min="1292" max="1292" width="9.5" style="95" customWidth="1"/>
    <col min="1293" max="1293" width="2.33203125" style="95" customWidth="1"/>
    <col min="1294" max="1294" width="8.33203125" style="95" customWidth="1"/>
    <col min="1295" max="1295" width="9.6640625" style="95" customWidth="1"/>
    <col min="1296" max="1296" width="2.33203125" style="95" customWidth="1"/>
    <col min="1297" max="1297" width="9.6640625" style="95" customWidth="1"/>
    <col min="1298" max="1298" width="8.33203125" style="95" customWidth="1"/>
    <col min="1299" max="1536" width="8.83203125" style="95"/>
    <col min="1537" max="1537" width="30.83203125" style="95" customWidth="1"/>
    <col min="1538" max="1539" width="8.33203125" style="95" customWidth="1"/>
    <col min="1540" max="1540" width="2.5" style="95" customWidth="1"/>
    <col min="1541" max="1542" width="8.33203125" style="95" customWidth="1"/>
    <col min="1543" max="1543" width="2.33203125" style="95" customWidth="1"/>
    <col min="1544" max="1544" width="8.33203125" style="95" customWidth="1"/>
    <col min="1545" max="1545" width="9.1640625" style="95" customWidth="1"/>
    <col min="1546" max="1546" width="2.33203125" style="95" customWidth="1"/>
    <col min="1547" max="1547" width="8.33203125" style="95" customWidth="1"/>
    <col min="1548" max="1548" width="9.5" style="95" customWidth="1"/>
    <col min="1549" max="1549" width="2.33203125" style="95" customWidth="1"/>
    <col min="1550" max="1550" width="8.33203125" style="95" customWidth="1"/>
    <col min="1551" max="1551" width="9.6640625" style="95" customWidth="1"/>
    <col min="1552" max="1552" width="2.33203125" style="95" customWidth="1"/>
    <col min="1553" max="1553" width="9.6640625" style="95" customWidth="1"/>
    <col min="1554" max="1554" width="8.33203125" style="95" customWidth="1"/>
    <col min="1555" max="1792" width="8.83203125" style="95"/>
    <col min="1793" max="1793" width="30.83203125" style="95" customWidth="1"/>
    <col min="1794" max="1795" width="8.33203125" style="95" customWidth="1"/>
    <col min="1796" max="1796" width="2.5" style="95" customWidth="1"/>
    <col min="1797" max="1798" width="8.33203125" style="95" customWidth="1"/>
    <col min="1799" max="1799" width="2.33203125" style="95" customWidth="1"/>
    <col min="1800" max="1800" width="8.33203125" style="95" customWidth="1"/>
    <col min="1801" max="1801" width="9.1640625" style="95" customWidth="1"/>
    <col min="1802" max="1802" width="2.33203125" style="95" customWidth="1"/>
    <col min="1803" max="1803" width="8.33203125" style="95" customWidth="1"/>
    <col min="1804" max="1804" width="9.5" style="95" customWidth="1"/>
    <col min="1805" max="1805" width="2.33203125" style="95" customWidth="1"/>
    <col min="1806" max="1806" width="8.33203125" style="95" customWidth="1"/>
    <col min="1807" max="1807" width="9.6640625" style="95" customWidth="1"/>
    <col min="1808" max="1808" width="2.33203125" style="95" customWidth="1"/>
    <col min="1809" max="1809" width="9.6640625" style="95" customWidth="1"/>
    <col min="1810" max="1810" width="8.33203125" style="95" customWidth="1"/>
    <col min="1811" max="2048" width="8.83203125" style="95"/>
    <col min="2049" max="2049" width="30.83203125" style="95" customWidth="1"/>
    <col min="2050" max="2051" width="8.33203125" style="95" customWidth="1"/>
    <col min="2052" max="2052" width="2.5" style="95" customWidth="1"/>
    <col min="2053" max="2054" width="8.33203125" style="95" customWidth="1"/>
    <col min="2055" max="2055" width="2.33203125" style="95" customWidth="1"/>
    <col min="2056" max="2056" width="8.33203125" style="95" customWidth="1"/>
    <col min="2057" max="2057" width="9.1640625" style="95" customWidth="1"/>
    <col min="2058" max="2058" width="2.33203125" style="95" customWidth="1"/>
    <col min="2059" max="2059" width="8.33203125" style="95" customWidth="1"/>
    <col min="2060" max="2060" width="9.5" style="95" customWidth="1"/>
    <col min="2061" max="2061" width="2.33203125" style="95" customWidth="1"/>
    <col min="2062" max="2062" width="8.33203125" style="95" customWidth="1"/>
    <col min="2063" max="2063" width="9.6640625" style="95" customWidth="1"/>
    <col min="2064" max="2064" width="2.33203125" style="95" customWidth="1"/>
    <col min="2065" max="2065" width="9.6640625" style="95" customWidth="1"/>
    <col min="2066" max="2066" width="8.33203125" style="95" customWidth="1"/>
    <col min="2067" max="2304" width="8.83203125" style="95"/>
    <col min="2305" max="2305" width="30.83203125" style="95" customWidth="1"/>
    <col min="2306" max="2307" width="8.33203125" style="95" customWidth="1"/>
    <col min="2308" max="2308" width="2.5" style="95" customWidth="1"/>
    <col min="2309" max="2310" width="8.33203125" style="95" customWidth="1"/>
    <col min="2311" max="2311" width="2.33203125" style="95" customWidth="1"/>
    <col min="2312" max="2312" width="8.33203125" style="95" customWidth="1"/>
    <col min="2313" max="2313" width="9.1640625" style="95" customWidth="1"/>
    <col min="2314" max="2314" width="2.33203125" style="95" customWidth="1"/>
    <col min="2315" max="2315" width="8.33203125" style="95" customWidth="1"/>
    <col min="2316" max="2316" width="9.5" style="95" customWidth="1"/>
    <col min="2317" max="2317" width="2.33203125" style="95" customWidth="1"/>
    <col min="2318" max="2318" width="8.33203125" style="95" customWidth="1"/>
    <col min="2319" max="2319" width="9.6640625" style="95" customWidth="1"/>
    <col min="2320" max="2320" width="2.33203125" style="95" customWidth="1"/>
    <col min="2321" max="2321" width="9.6640625" style="95" customWidth="1"/>
    <col min="2322" max="2322" width="8.33203125" style="95" customWidth="1"/>
    <col min="2323" max="2560" width="8.83203125" style="95"/>
    <col min="2561" max="2561" width="30.83203125" style="95" customWidth="1"/>
    <col min="2562" max="2563" width="8.33203125" style="95" customWidth="1"/>
    <col min="2564" max="2564" width="2.5" style="95" customWidth="1"/>
    <col min="2565" max="2566" width="8.33203125" style="95" customWidth="1"/>
    <col min="2567" max="2567" width="2.33203125" style="95" customWidth="1"/>
    <col min="2568" max="2568" width="8.33203125" style="95" customWidth="1"/>
    <col min="2569" max="2569" width="9.1640625" style="95" customWidth="1"/>
    <col min="2570" max="2570" width="2.33203125" style="95" customWidth="1"/>
    <col min="2571" max="2571" width="8.33203125" style="95" customWidth="1"/>
    <col min="2572" max="2572" width="9.5" style="95" customWidth="1"/>
    <col min="2573" max="2573" width="2.33203125" style="95" customWidth="1"/>
    <col min="2574" max="2574" width="8.33203125" style="95" customWidth="1"/>
    <col min="2575" max="2575" width="9.6640625" style="95" customWidth="1"/>
    <col min="2576" max="2576" width="2.33203125" style="95" customWidth="1"/>
    <col min="2577" max="2577" width="9.6640625" style="95" customWidth="1"/>
    <col min="2578" max="2578" width="8.33203125" style="95" customWidth="1"/>
    <col min="2579" max="2816" width="8.83203125" style="95"/>
    <col min="2817" max="2817" width="30.83203125" style="95" customWidth="1"/>
    <col min="2818" max="2819" width="8.33203125" style="95" customWidth="1"/>
    <col min="2820" max="2820" width="2.5" style="95" customWidth="1"/>
    <col min="2821" max="2822" width="8.33203125" style="95" customWidth="1"/>
    <col min="2823" max="2823" width="2.33203125" style="95" customWidth="1"/>
    <col min="2824" max="2824" width="8.33203125" style="95" customWidth="1"/>
    <col min="2825" max="2825" width="9.1640625" style="95" customWidth="1"/>
    <col min="2826" max="2826" width="2.33203125" style="95" customWidth="1"/>
    <col min="2827" max="2827" width="8.33203125" style="95" customWidth="1"/>
    <col min="2828" max="2828" width="9.5" style="95" customWidth="1"/>
    <col min="2829" max="2829" width="2.33203125" style="95" customWidth="1"/>
    <col min="2830" max="2830" width="8.33203125" style="95" customWidth="1"/>
    <col min="2831" max="2831" width="9.6640625" style="95" customWidth="1"/>
    <col min="2832" max="2832" width="2.33203125" style="95" customWidth="1"/>
    <col min="2833" max="2833" width="9.6640625" style="95" customWidth="1"/>
    <col min="2834" max="2834" width="8.33203125" style="95" customWidth="1"/>
    <col min="2835" max="3072" width="8.83203125" style="95"/>
    <col min="3073" max="3073" width="30.83203125" style="95" customWidth="1"/>
    <col min="3074" max="3075" width="8.33203125" style="95" customWidth="1"/>
    <col min="3076" max="3076" width="2.5" style="95" customWidth="1"/>
    <col min="3077" max="3078" width="8.33203125" style="95" customWidth="1"/>
    <col min="3079" max="3079" width="2.33203125" style="95" customWidth="1"/>
    <col min="3080" max="3080" width="8.33203125" style="95" customWidth="1"/>
    <col min="3081" max="3081" width="9.1640625" style="95" customWidth="1"/>
    <col min="3082" max="3082" width="2.33203125" style="95" customWidth="1"/>
    <col min="3083" max="3083" width="8.33203125" style="95" customWidth="1"/>
    <col min="3084" max="3084" width="9.5" style="95" customWidth="1"/>
    <col min="3085" max="3085" width="2.33203125" style="95" customWidth="1"/>
    <col min="3086" max="3086" width="8.33203125" style="95" customWidth="1"/>
    <col min="3087" max="3087" width="9.6640625" style="95" customWidth="1"/>
    <col min="3088" max="3088" width="2.33203125" style="95" customWidth="1"/>
    <col min="3089" max="3089" width="9.6640625" style="95" customWidth="1"/>
    <col min="3090" max="3090" width="8.33203125" style="95" customWidth="1"/>
    <col min="3091" max="3328" width="8.83203125" style="95"/>
    <col min="3329" max="3329" width="30.83203125" style="95" customWidth="1"/>
    <col min="3330" max="3331" width="8.33203125" style="95" customWidth="1"/>
    <col min="3332" max="3332" width="2.5" style="95" customWidth="1"/>
    <col min="3333" max="3334" width="8.33203125" style="95" customWidth="1"/>
    <col min="3335" max="3335" width="2.33203125" style="95" customWidth="1"/>
    <col min="3336" max="3336" width="8.33203125" style="95" customWidth="1"/>
    <col min="3337" max="3337" width="9.1640625" style="95" customWidth="1"/>
    <col min="3338" max="3338" width="2.33203125" style="95" customWidth="1"/>
    <col min="3339" max="3339" width="8.33203125" style="95" customWidth="1"/>
    <col min="3340" max="3340" width="9.5" style="95" customWidth="1"/>
    <col min="3341" max="3341" width="2.33203125" style="95" customWidth="1"/>
    <col min="3342" max="3342" width="8.33203125" style="95" customWidth="1"/>
    <col min="3343" max="3343" width="9.6640625" style="95" customWidth="1"/>
    <col min="3344" max="3344" width="2.33203125" style="95" customWidth="1"/>
    <col min="3345" max="3345" width="9.6640625" style="95" customWidth="1"/>
    <col min="3346" max="3346" width="8.33203125" style="95" customWidth="1"/>
    <col min="3347" max="3584" width="8.83203125" style="95"/>
    <col min="3585" max="3585" width="30.83203125" style="95" customWidth="1"/>
    <col min="3586" max="3587" width="8.33203125" style="95" customWidth="1"/>
    <col min="3588" max="3588" width="2.5" style="95" customWidth="1"/>
    <col min="3589" max="3590" width="8.33203125" style="95" customWidth="1"/>
    <col min="3591" max="3591" width="2.33203125" style="95" customWidth="1"/>
    <col min="3592" max="3592" width="8.33203125" style="95" customWidth="1"/>
    <col min="3593" max="3593" width="9.1640625" style="95" customWidth="1"/>
    <col min="3594" max="3594" width="2.33203125" style="95" customWidth="1"/>
    <col min="3595" max="3595" width="8.33203125" style="95" customWidth="1"/>
    <col min="3596" max="3596" width="9.5" style="95" customWidth="1"/>
    <col min="3597" max="3597" width="2.33203125" style="95" customWidth="1"/>
    <col min="3598" max="3598" width="8.33203125" style="95" customWidth="1"/>
    <col min="3599" max="3599" width="9.6640625" style="95" customWidth="1"/>
    <col min="3600" max="3600" width="2.33203125" style="95" customWidth="1"/>
    <col min="3601" max="3601" width="9.6640625" style="95" customWidth="1"/>
    <col min="3602" max="3602" width="8.33203125" style="95" customWidth="1"/>
    <col min="3603" max="3840" width="8.83203125" style="95"/>
    <col min="3841" max="3841" width="30.83203125" style="95" customWidth="1"/>
    <col min="3842" max="3843" width="8.33203125" style="95" customWidth="1"/>
    <col min="3844" max="3844" width="2.5" style="95" customWidth="1"/>
    <col min="3845" max="3846" width="8.33203125" style="95" customWidth="1"/>
    <col min="3847" max="3847" width="2.33203125" style="95" customWidth="1"/>
    <col min="3848" max="3848" width="8.33203125" style="95" customWidth="1"/>
    <col min="3849" max="3849" width="9.1640625" style="95" customWidth="1"/>
    <col min="3850" max="3850" width="2.33203125" style="95" customWidth="1"/>
    <col min="3851" max="3851" width="8.33203125" style="95" customWidth="1"/>
    <col min="3852" max="3852" width="9.5" style="95" customWidth="1"/>
    <col min="3853" max="3853" width="2.33203125" style="95" customWidth="1"/>
    <col min="3854" max="3854" width="8.33203125" style="95" customWidth="1"/>
    <col min="3855" max="3855" width="9.6640625" style="95" customWidth="1"/>
    <col min="3856" max="3856" width="2.33203125" style="95" customWidth="1"/>
    <col min="3857" max="3857" width="9.6640625" style="95" customWidth="1"/>
    <col min="3858" max="3858" width="8.33203125" style="95" customWidth="1"/>
    <col min="3859" max="4096" width="8.83203125" style="95"/>
    <col min="4097" max="4097" width="30.83203125" style="95" customWidth="1"/>
    <col min="4098" max="4099" width="8.33203125" style="95" customWidth="1"/>
    <col min="4100" max="4100" width="2.5" style="95" customWidth="1"/>
    <col min="4101" max="4102" width="8.33203125" style="95" customWidth="1"/>
    <col min="4103" max="4103" width="2.33203125" style="95" customWidth="1"/>
    <col min="4104" max="4104" width="8.33203125" style="95" customWidth="1"/>
    <col min="4105" max="4105" width="9.1640625" style="95" customWidth="1"/>
    <col min="4106" max="4106" width="2.33203125" style="95" customWidth="1"/>
    <col min="4107" max="4107" width="8.33203125" style="95" customWidth="1"/>
    <col min="4108" max="4108" width="9.5" style="95" customWidth="1"/>
    <col min="4109" max="4109" width="2.33203125" style="95" customWidth="1"/>
    <col min="4110" max="4110" width="8.33203125" style="95" customWidth="1"/>
    <col min="4111" max="4111" width="9.6640625" style="95" customWidth="1"/>
    <col min="4112" max="4112" width="2.33203125" style="95" customWidth="1"/>
    <col min="4113" max="4113" width="9.6640625" style="95" customWidth="1"/>
    <col min="4114" max="4114" width="8.33203125" style="95" customWidth="1"/>
    <col min="4115" max="4352" width="8.83203125" style="95"/>
    <col min="4353" max="4353" width="30.83203125" style="95" customWidth="1"/>
    <col min="4354" max="4355" width="8.33203125" style="95" customWidth="1"/>
    <col min="4356" max="4356" width="2.5" style="95" customWidth="1"/>
    <col min="4357" max="4358" width="8.33203125" style="95" customWidth="1"/>
    <col min="4359" max="4359" width="2.33203125" style="95" customWidth="1"/>
    <col min="4360" max="4360" width="8.33203125" style="95" customWidth="1"/>
    <col min="4361" max="4361" width="9.1640625" style="95" customWidth="1"/>
    <col min="4362" max="4362" width="2.33203125" style="95" customWidth="1"/>
    <col min="4363" max="4363" width="8.33203125" style="95" customWidth="1"/>
    <col min="4364" max="4364" width="9.5" style="95" customWidth="1"/>
    <col min="4365" max="4365" width="2.33203125" style="95" customWidth="1"/>
    <col min="4366" max="4366" width="8.33203125" style="95" customWidth="1"/>
    <col min="4367" max="4367" width="9.6640625" style="95" customWidth="1"/>
    <col min="4368" max="4368" width="2.33203125" style="95" customWidth="1"/>
    <col min="4369" max="4369" width="9.6640625" style="95" customWidth="1"/>
    <col min="4370" max="4370" width="8.33203125" style="95" customWidth="1"/>
    <col min="4371" max="4608" width="8.83203125" style="95"/>
    <col min="4609" max="4609" width="30.83203125" style="95" customWidth="1"/>
    <col min="4610" max="4611" width="8.33203125" style="95" customWidth="1"/>
    <col min="4612" max="4612" width="2.5" style="95" customWidth="1"/>
    <col min="4613" max="4614" width="8.33203125" style="95" customWidth="1"/>
    <col min="4615" max="4615" width="2.33203125" style="95" customWidth="1"/>
    <col min="4616" max="4616" width="8.33203125" style="95" customWidth="1"/>
    <col min="4617" max="4617" width="9.1640625" style="95" customWidth="1"/>
    <col min="4618" max="4618" width="2.33203125" style="95" customWidth="1"/>
    <col min="4619" max="4619" width="8.33203125" style="95" customWidth="1"/>
    <col min="4620" max="4620" width="9.5" style="95" customWidth="1"/>
    <col min="4621" max="4621" width="2.33203125" style="95" customWidth="1"/>
    <col min="4622" max="4622" width="8.33203125" style="95" customWidth="1"/>
    <col min="4623" max="4623" width="9.6640625" style="95" customWidth="1"/>
    <col min="4624" max="4624" width="2.33203125" style="95" customWidth="1"/>
    <col min="4625" max="4625" width="9.6640625" style="95" customWidth="1"/>
    <col min="4626" max="4626" width="8.33203125" style="95" customWidth="1"/>
    <col min="4627" max="4864" width="8.83203125" style="95"/>
    <col min="4865" max="4865" width="30.83203125" style="95" customWidth="1"/>
    <col min="4866" max="4867" width="8.33203125" style="95" customWidth="1"/>
    <col min="4868" max="4868" width="2.5" style="95" customWidth="1"/>
    <col min="4869" max="4870" width="8.33203125" style="95" customWidth="1"/>
    <col min="4871" max="4871" width="2.33203125" style="95" customWidth="1"/>
    <col min="4872" max="4872" width="8.33203125" style="95" customWidth="1"/>
    <col min="4873" max="4873" width="9.1640625" style="95" customWidth="1"/>
    <col min="4874" max="4874" width="2.33203125" style="95" customWidth="1"/>
    <col min="4875" max="4875" width="8.33203125" style="95" customWidth="1"/>
    <col min="4876" max="4876" width="9.5" style="95" customWidth="1"/>
    <col min="4877" max="4877" width="2.33203125" style="95" customWidth="1"/>
    <col min="4878" max="4878" width="8.33203125" style="95" customWidth="1"/>
    <col min="4879" max="4879" width="9.6640625" style="95" customWidth="1"/>
    <col min="4880" max="4880" width="2.33203125" style="95" customWidth="1"/>
    <col min="4881" max="4881" width="9.6640625" style="95" customWidth="1"/>
    <col min="4882" max="4882" width="8.33203125" style="95" customWidth="1"/>
    <col min="4883" max="5120" width="8.83203125" style="95"/>
    <col min="5121" max="5121" width="30.83203125" style="95" customWidth="1"/>
    <col min="5122" max="5123" width="8.33203125" style="95" customWidth="1"/>
    <col min="5124" max="5124" width="2.5" style="95" customWidth="1"/>
    <col min="5125" max="5126" width="8.33203125" style="95" customWidth="1"/>
    <col min="5127" max="5127" width="2.33203125" style="95" customWidth="1"/>
    <col min="5128" max="5128" width="8.33203125" style="95" customWidth="1"/>
    <col min="5129" max="5129" width="9.1640625" style="95" customWidth="1"/>
    <col min="5130" max="5130" width="2.33203125" style="95" customWidth="1"/>
    <col min="5131" max="5131" width="8.33203125" style="95" customWidth="1"/>
    <col min="5132" max="5132" width="9.5" style="95" customWidth="1"/>
    <col min="5133" max="5133" width="2.33203125" style="95" customWidth="1"/>
    <col min="5134" max="5134" width="8.33203125" style="95" customWidth="1"/>
    <col min="5135" max="5135" width="9.6640625" style="95" customWidth="1"/>
    <col min="5136" max="5136" width="2.33203125" style="95" customWidth="1"/>
    <col min="5137" max="5137" width="9.6640625" style="95" customWidth="1"/>
    <col min="5138" max="5138" width="8.33203125" style="95" customWidth="1"/>
    <col min="5139" max="5376" width="8.83203125" style="95"/>
    <col min="5377" max="5377" width="30.83203125" style="95" customWidth="1"/>
    <col min="5378" max="5379" width="8.33203125" style="95" customWidth="1"/>
    <col min="5380" max="5380" width="2.5" style="95" customWidth="1"/>
    <col min="5381" max="5382" width="8.33203125" style="95" customWidth="1"/>
    <col min="5383" max="5383" width="2.33203125" style="95" customWidth="1"/>
    <col min="5384" max="5384" width="8.33203125" style="95" customWidth="1"/>
    <col min="5385" max="5385" width="9.1640625" style="95" customWidth="1"/>
    <col min="5386" max="5386" width="2.33203125" style="95" customWidth="1"/>
    <col min="5387" max="5387" width="8.33203125" style="95" customWidth="1"/>
    <col min="5388" max="5388" width="9.5" style="95" customWidth="1"/>
    <col min="5389" max="5389" width="2.33203125" style="95" customWidth="1"/>
    <col min="5390" max="5390" width="8.33203125" style="95" customWidth="1"/>
    <col min="5391" max="5391" width="9.6640625" style="95" customWidth="1"/>
    <col min="5392" max="5392" width="2.33203125" style="95" customWidth="1"/>
    <col min="5393" max="5393" width="9.6640625" style="95" customWidth="1"/>
    <col min="5394" max="5394" width="8.33203125" style="95" customWidth="1"/>
    <col min="5395" max="5632" width="8.83203125" style="95"/>
    <col min="5633" max="5633" width="30.83203125" style="95" customWidth="1"/>
    <col min="5634" max="5635" width="8.33203125" style="95" customWidth="1"/>
    <col min="5636" max="5636" width="2.5" style="95" customWidth="1"/>
    <col min="5637" max="5638" width="8.33203125" style="95" customWidth="1"/>
    <col min="5639" max="5639" width="2.33203125" style="95" customWidth="1"/>
    <col min="5640" max="5640" width="8.33203125" style="95" customWidth="1"/>
    <col min="5641" max="5641" width="9.1640625" style="95" customWidth="1"/>
    <col min="5642" max="5642" width="2.33203125" style="95" customWidth="1"/>
    <col min="5643" max="5643" width="8.33203125" style="95" customWidth="1"/>
    <col min="5644" max="5644" width="9.5" style="95" customWidth="1"/>
    <col min="5645" max="5645" width="2.33203125" style="95" customWidth="1"/>
    <col min="5646" max="5646" width="8.33203125" style="95" customWidth="1"/>
    <col min="5647" max="5647" width="9.6640625" style="95" customWidth="1"/>
    <col min="5648" max="5648" width="2.33203125" style="95" customWidth="1"/>
    <col min="5649" max="5649" width="9.6640625" style="95" customWidth="1"/>
    <col min="5650" max="5650" width="8.33203125" style="95" customWidth="1"/>
    <col min="5651" max="5888" width="8.83203125" style="95"/>
    <col min="5889" max="5889" width="30.83203125" style="95" customWidth="1"/>
    <col min="5890" max="5891" width="8.33203125" style="95" customWidth="1"/>
    <col min="5892" max="5892" width="2.5" style="95" customWidth="1"/>
    <col min="5893" max="5894" width="8.33203125" style="95" customWidth="1"/>
    <col min="5895" max="5895" width="2.33203125" style="95" customWidth="1"/>
    <col min="5896" max="5896" width="8.33203125" style="95" customWidth="1"/>
    <col min="5897" max="5897" width="9.1640625" style="95" customWidth="1"/>
    <col min="5898" max="5898" width="2.33203125" style="95" customWidth="1"/>
    <col min="5899" max="5899" width="8.33203125" style="95" customWidth="1"/>
    <col min="5900" max="5900" width="9.5" style="95" customWidth="1"/>
    <col min="5901" max="5901" width="2.33203125" style="95" customWidth="1"/>
    <col min="5902" max="5902" width="8.33203125" style="95" customWidth="1"/>
    <col min="5903" max="5903" width="9.6640625" style="95" customWidth="1"/>
    <col min="5904" max="5904" width="2.33203125" style="95" customWidth="1"/>
    <col min="5905" max="5905" width="9.6640625" style="95" customWidth="1"/>
    <col min="5906" max="5906" width="8.33203125" style="95" customWidth="1"/>
    <col min="5907" max="6144" width="8.83203125" style="95"/>
    <col min="6145" max="6145" width="30.83203125" style="95" customWidth="1"/>
    <col min="6146" max="6147" width="8.33203125" style="95" customWidth="1"/>
    <col min="6148" max="6148" width="2.5" style="95" customWidth="1"/>
    <col min="6149" max="6150" width="8.33203125" style="95" customWidth="1"/>
    <col min="6151" max="6151" width="2.33203125" style="95" customWidth="1"/>
    <col min="6152" max="6152" width="8.33203125" style="95" customWidth="1"/>
    <col min="6153" max="6153" width="9.1640625" style="95" customWidth="1"/>
    <col min="6154" max="6154" width="2.33203125" style="95" customWidth="1"/>
    <col min="6155" max="6155" width="8.33203125" style="95" customWidth="1"/>
    <col min="6156" max="6156" width="9.5" style="95" customWidth="1"/>
    <col min="6157" max="6157" width="2.33203125" style="95" customWidth="1"/>
    <col min="6158" max="6158" width="8.33203125" style="95" customWidth="1"/>
    <col min="6159" max="6159" width="9.6640625" style="95" customWidth="1"/>
    <col min="6160" max="6160" width="2.33203125" style="95" customWidth="1"/>
    <col min="6161" max="6161" width="9.6640625" style="95" customWidth="1"/>
    <col min="6162" max="6162" width="8.33203125" style="95" customWidth="1"/>
    <col min="6163" max="6400" width="8.83203125" style="95"/>
    <col min="6401" max="6401" width="30.83203125" style="95" customWidth="1"/>
    <col min="6402" max="6403" width="8.33203125" style="95" customWidth="1"/>
    <col min="6404" max="6404" width="2.5" style="95" customWidth="1"/>
    <col min="6405" max="6406" width="8.33203125" style="95" customWidth="1"/>
    <col min="6407" max="6407" width="2.33203125" style="95" customWidth="1"/>
    <col min="6408" max="6408" width="8.33203125" style="95" customWidth="1"/>
    <col min="6409" max="6409" width="9.1640625" style="95" customWidth="1"/>
    <col min="6410" max="6410" width="2.33203125" style="95" customWidth="1"/>
    <col min="6411" max="6411" width="8.33203125" style="95" customWidth="1"/>
    <col min="6412" max="6412" width="9.5" style="95" customWidth="1"/>
    <col min="6413" max="6413" width="2.33203125" style="95" customWidth="1"/>
    <col min="6414" max="6414" width="8.33203125" style="95" customWidth="1"/>
    <col min="6415" max="6415" width="9.6640625" style="95" customWidth="1"/>
    <col min="6416" max="6416" width="2.33203125" style="95" customWidth="1"/>
    <col min="6417" max="6417" width="9.6640625" style="95" customWidth="1"/>
    <col min="6418" max="6418" width="8.33203125" style="95" customWidth="1"/>
    <col min="6419" max="6656" width="8.83203125" style="95"/>
    <col min="6657" max="6657" width="30.83203125" style="95" customWidth="1"/>
    <col min="6658" max="6659" width="8.33203125" style="95" customWidth="1"/>
    <col min="6660" max="6660" width="2.5" style="95" customWidth="1"/>
    <col min="6661" max="6662" width="8.33203125" style="95" customWidth="1"/>
    <col min="6663" max="6663" width="2.33203125" style="95" customWidth="1"/>
    <col min="6664" max="6664" width="8.33203125" style="95" customWidth="1"/>
    <col min="6665" max="6665" width="9.1640625" style="95" customWidth="1"/>
    <col min="6666" max="6666" width="2.33203125" style="95" customWidth="1"/>
    <col min="6667" max="6667" width="8.33203125" style="95" customWidth="1"/>
    <col min="6668" max="6668" width="9.5" style="95" customWidth="1"/>
    <col min="6669" max="6669" width="2.33203125" style="95" customWidth="1"/>
    <col min="6670" max="6670" width="8.33203125" style="95" customWidth="1"/>
    <col min="6671" max="6671" width="9.6640625" style="95" customWidth="1"/>
    <col min="6672" max="6672" width="2.33203125" style="95" customWidth="1"/>
    <col min="6673" max="6673" width="9.6640625" style="95" customWidth="1"/>
    <col min="6674" max="6674" width="8.33203125" style="95" customWidth="1"/>
    <col min="6675" max="6912" width="8.83203125" style="95"/>
    <col min="6913" max="6913" width="30.83203125" style="95" customWidth="1"/>
    <col min="6914" max="6915" width="8.33203125" style="95" customWidth="1"/>
    <col min="6916" max="6916" width="2.5" style="95" customWidth="1"/>
    <col min="6917" max="6918" width="8.33203125" style="95" customWidth="1"/>
    <col min="6919" max="6919" width="2.33203125" style="95" customWidth="1"/>
    <col min="6920" max="6920" width="8.33203125" style="95" customWidth="1"/>
    <col min="6921" max="6921" width="9.1640625" style="95" customWidth="1"/>
    <col min="6922" max="6922" width="2.33203125" style="95" customWidth="1"/>
    <col min="6923" max="6923" width="8.33203125" style="95" customWidth="1"/>
    <col min="6924" max="6924" width="9.5" style="95" customWidth="1"/>
    <col min="6925" max="6925" width="2.33203125" style="95" customWidth="1"/>
    <col min="6926" max="6926" width="8.33203125" style="95" customWidth="1"/>
    <col min="6927" max="6927" width="9.6640625" style="95" customWidth="1"/>
    <col min="6928" max="6928" width="2.33203125" style="95" customWidth="1"/>
    <col min="6929" max="6929" width="9.6640625" style="95" customWidth="1"/>
    <col min="6930" max="6930" width="8.33203125" style="95" customWidth="1"/>
    <col min="6931" max="7168" width="8.83203125" style="95"/>
    <col min="7169" max="7169" width="30.83203125" style="95" customWidth="1"/>
    <col min="7170" max="7171" width="8.33203125" style="95" customWidth="1"/>
    <col min="7172" max="7172" width="2.5" style="95" customWidth="1"/>
    <col min="7173" max="7174" width="8.33203125" style="95" customWidth="1"/>
    <col min="7175" max="7175" width="2.33203125" style="95" customWidth="1"/>
    <col min="7176" max="7176" width="8.33203125" style="95" customWidth="1"/>
    <col min="7177" max="7177" width="9.1640625" style="95" customWidth="1"/>
    <col min="7178" max="7178" width="2.33203125" style="95" customWidth="1"/>
    <col min="7179" max="7179" width="8.33203125" style="95" customWidth="1"/>
    <col min="7180" max="7180" width="9.5" style="95" customWidth="1"/>
    <col min="7181" max="7181" width="2.33203125" style="95" customWidth="1"/>
    <col min="7182" max="7182" width="8.33203125" style="95" customWidth="1"/>
    <col min="7183" max="7183" width="9.6640625" style="95" customWidth="1"/>
    <col min="7184" max="7184" width="2.33203125" style="95" customWidth="1"/>
    <col min="7185" max="7185" width="9.6640625" style="95" customWidth="1"/>
    <col min="7186" max="7186" width="8.33203125" style="95" customWidth="1"/>
    <col min="7187" max="7424" width="8.83203125" style="95"/>
    <col min="7425" max="7425" width="30.83203125" style="95" customWidth="1"/>
    <col min="7426" max="7427" width="8.33203125" style="95" customWidth="1"/>
    <col min="7428" max="7428" width="2.5" style="95" customWidth="1"/>
    <col min="7429" max="7430" width="8.33203125" style="95" customWidth="1"/>
    <col min="7431" max="7431" width="2.33203125" style="95" customWidth="1"/>
    <col min="7432" max="7432" width="8.33203125" style="95" customWidth="1"/>
    <col min="7433" max="7433" width="9.1640625" style="95" customWidth="1"/>
    <col min="7434" max="7434" width="2.33203125" style="95" customWidth="1"/>
    <col min="7435" max="7435" width="8.33203125" style="95" customWidth="1"/>
    <col min="7436" max="7436" width="9.5" style="95" customWidth="1"/>
    <col min="7437" max="7437" width="2.33203125" style="95" customWidth="1"/>
    <col min="7438" max="7438" width="8.33203125" style="95" customWidth="1"/>
    <col min="7439" max="7439" width="9.6640625" style="95" customWidth="1"/>
    <col min="7440" max="7440" width="2.33203125" style="95" customWidth="1"/>
    <col min="7441" max="7441" width="9.6640625" style="95" customWidth="1"/>
    <col min="7442" max="7442" width="8.33203125" style="95" customWidth="1"/>
    <col min="7443" max="7680" width="8.83203125" style="95"/>
    <col min="7681" max="7681" width="30.83203125" style="95" customWidth="1"/>
    <col min="7682" max="7683" width="8.33203125" style="95" customWidth="1"/>
    <col min="7684" max="7684" width="2.5" style="95" customWidth="1"/>
    <col min="7685" max="7686" width="8.33203125" style="95" customWidth="1"/>
    <col min="7687" max="7687" width="2.33203125" style="95" customWidth="1"/>
    <col min="7688" max="7688" width="8.33203125" style="95" customWidth="1"/>
    <col min="7689" max="7689" width="9.1640625" style="95" customWidth="1"/>
    <col min="7690" max="7690" width="2.33203125" style="95" customWidth="1"/>
    <col min="7691" max="7691" width="8.33203125" style="95" customWidth="1"/>
    <col min="7692" max="7692" width="9.5" style="95" customWidth="1"/>
    <col min="7693" max="7693" width="2.33203125" style="95" customWidth="1"/>
    <col min="7694" max="7694" width="8.33203125" style="95" customWidth="1"/>
    <col min="7695" max="7695" width="9.6640625" style="95" customWidth="1"/>
    <col min="7696" max="7696" width="2.33203125" style="95" customWidth="1"/>
    <col min="7697" max="7697" width="9.6640625" style="95" customWidth="1"/>
    <col min="7698" max="7698" width="8.33203125" style="95" customWidth="1"/>
    <col min="7699" max="7936" width="8.83203125" style="95"/>
    <col min="7937" max="7937" width="30.83203125" style="95" customWidth="1"/>
    <col min="7938" max="7939" width="8.33203125" style="95" customWidth="1"/>
    <col min="7940" max="7940" width="2.5" style="95" customWidth="1"/>
    <col min="7941" max="7942" width="8.33203125" style="95" customWidth="1"/>
    <col min="7943" max="7943" width="2.33203125" style="95" customWidth="1"/>
    <col min="7944" max="7944" width="8.33203125" style="95" customWidth="1"/>
    <col min="7945" max="7945" width="9.1640625" style="95" customWidth="1"/>
    <col min="7946" max="7946" width="2.33203125" style="95" customWidth="1"/>
    <col min="7947" max="7947" width="8.33203125" style="95" customWidth="1"/>
    <col min="7948" max="7948" width="9.5" style="95" customWidth="1"/>
    <col min="7949" max="7949" width="2.33203125" style="95" customWidth="1"/>
    <col min="7950" max="7950" width="8.33203125" style="95" customWidth="1"/>
    <col min="7951" max="7951" width="9.6640625" style="95" customWidth="1"/>
    <col min="7952" max="7952" width="2.33203125" style="95" customWidth="1"/>
    <col min="7953" max="7953" width="9.6640625" style="95" customWidth="1"/>
    <col min="7954" max="7954" width="8.33203125" style="95" customWidth="1"/>
    <col min="7955" max="8192" width="8.83203125" style="95"/>
    <col min="8193" max="8193" width="30.83203125" style="95" customWidth="1"/>
    <col min="8194" max="8195" width="8.33203125" style="95" customWidth="1"/>
    <col min="8196" max="8196" width="2.5" style="95" customWidth="1"/>
    <col min="8197" max="8198" width="8.33203125" style="95" customWidth="1"/>
    <col min="8199" max="8199" width="2.33203125" style="95" customWidth="1"/>
    <col min="8200" max="8200" width="8.33203125" style="95" customWidth="1"/>
    <col min="8201" max="8201" width="9.1640625" style="95" customWidth="1"/>
    <col min="8202" max="8202" width="2.33203125" style="95" customWidth="1"/>
    <col min="8203" max="8203" width="8.33203125" style="95" customWidth="1"/>
    <col min="8204" max="8204" width="9.5" style="95" customWidth="1"/>
    <col min="8205" max="8205" width="2.33203125" style="95" customWidth="1"/>
    <col min="8206" max="8206" width="8.33203125" style="95" customWidth="1"/>
    <col min="8207" max="8207" width="9.6640625" style="95" customWidth="1"/>
    <col min="8208" max="8208" width="2.33203125" style="95" customWidth="1"/>
    <col min="8209" max="8209" width="9.6640625" style="95" customWidth="1"/>
    <col min="8210" max="8210" width="8.33203125" style="95" customWidth="1"/>
    <col min="8211" max="8448" width="8.83203125" style="95"/>
    <col min="8449" max="8449" width="30.83203125" style="95" customWidth="1"/>
    <col min="8450" max="8451" width="8.33203125" style="95" customWidth="1"/>
    <col min="8452" max="8452" width="2.5" style="95" customWidth="1"/>
    <col min="8453" max="8454" width="8.33203125" style="95" customWidth="1"/>
    <col min="8455" max="8455" width="2.33203125" style="95" customWidth="1"/>
    <col min="8456" max="8456" width="8.33203125" style="95" customWidth="1"/>
    <col min="8457" max="8457" width="9.1640625" style="95" customWidth="1"/>
    <col min="8458" max="8458" width="2.33203125" style="95" customWidth="1"/>
    <col min="8459" max="8459" width="8.33203125" style="95" customWidth="1"/>
    <col min="8460" max="8460" width="9.5" style="95" customWidth="1"/>
    <col min="8461" max="8461" width="2.33203125" style="95" customWidth="1"/>
    <col min="8462" max="8462" width="8.33203125" style="95" customWidth="1"/>
    <col min="8463" max="8463" width="9.6640625" style="95" customWidth="1"/>
    <col min="8464" max="8464" width="2.33203125" style="95" customWidth="1"/>
    <col min="8465" max="8465" width="9.6640625" style="95" customWidth="1"/>
    <col min="8466" max="8466" width="8.33203125" style="95" customWidth="1"/>
    <col min="8467" max="8704" width="8.83203125" style="95"/>
    <col min="8705" max="8705" width="30.83203125" style="95" customWidth="1"/>
    <col min="8706" max="8707" width="8.33203125" style="95" customWidth="1"/>
    <col min="8708" max="8708" width="2.5" style="95" customWidth="1"/>
    <col min="8709" max="8710" width="8.33203125" style="95" customWidth="1"/>
    <col min="8711" max="8711" width="2.33203125" style="95" customWidth="1"/>
    <col min="8712" max="8712" width="8.33203125" style="95" customWidth="1"/>
    <col min="8713" max="8713" width="9.1640625" style="95" customWidth="1"/>
    <col min="8714" max="8714" width="2.33203125" style="95" customWidth="1"/>
    <col min="8715" max="8715" width="8.33203125" style="95" customWidth="1"/>
    <col min="8716" max="8716" width="9.5" style="95" customWidth="1"/>
    <col min="8717" max="8717" width="2.33203125" style="95" customWidth="1"/>
    <col min="8718" max="8718" width="8.33203125" style="95" customWidth="1"/>
    <col min="8719" max="8719" width="9.6640625" style="95" customWidth="1"/>
    <col min="8720" max="8720" width="2.33203125" style="95" customWidth="1"/>
    <col min="8721" max="8721" width="9.6640625" style="95" customWidth="1"/>
    <col min="8722" max="8722" width="8.33203125" style="95" customWidth="1"/>
    <col min="8723" max="8960" width="8.83203125" style="95"/>
    <col min="8961" max="8961" width="30.83203125" style="95" customWidth="1"/>
    <col min="8962" max="8963" width="8.33203125" style="95" customWidth="1"/>
    <col min="8964" max="8964" width="2.5" style="95" customWidth="1"/>
    <col min="8965" max="8966" width="8.33203125" style="95" customWidth="1"/>
    <col min="8967" max="8967" width="2.33203125" style="95" customWidth="1"/>
    <col min="8968" max="8968" width="8.33203125" style="95" customWidth="1"/>
    <col min="8969" max="8969" width="9.1640625" style="95" customWidth="1"/>
    <col min="8970" max="8970" width="2.33203125" style="95" customWidth="1"/>
    <col min="8971" max="8971" width="8.33203125" style="95" customWidth="1"/>
    <col min="8972" max="8972" width="9.5" style="95" customWidth="1"/>
    <col min="8973" max="8973" width="2.33203125" style="95" customWidth="1"/>
    <col min="8974" max="8974" width="8.33203125" style="95" customWidth="1"/>
    <col min="8975" max="8975" width="9.6640625" style="95" customWidth="1"/>
    <col min="8976" max="8976" width="2.33203125" style="95" customWidth="1"/>
    <col min="8977" max="8977" width="9.6640625" style="95" customWidth="1"/>
    <col min="8978" max="8978" width="8.33203125" style="95" customWidth="1"/>
    <col min="8979" max="9216" width="8.83203125" style="95"/>
    <col min="9217" max="9217" width="30.83203125" style="95" customWidth="1"/>
    <col min="9218" max="9219" width="8.33203125" style="95" customWidth="1"/>
    <col min="9220" max="9220" width="2.5" style="95" customWidth="1"/>
    <col min="9221" max="9222" width="8.33203125" style="95" customWidth="1"/>
    <col min="9223" max="9223" width="2.33203125" style="95" customWidth="1"/>
    <col min="9224" max="9224" width="8.33203125" style="95" customWidth="1"/>
    <col min="9225" max="9225" width="9.1640625" style="95" customWidth="1"/>
    <col min="9226" max="9226" width="2.33203125" style="95" customWidth="1"/>
    <col min="9227" max="9227" width="8.33203125" style="95" customWidth="1"/>
    <col min="9228" max="9228" width="9.5" style="95" customWidth="1"/>
    <col min="9229" max="9229" width="2.33203125" style="95" customWidth="1"/>
    <col min="9230" max="9230" width="8.33203125" style="95" customWidth="1"/>
    <col min="9231" max="9231" width="9.6640625" style="95" customWidth="1"/>
    <col min="9232" max="9232" width="2.33203125" style="95" customWidth="1"/>
    <col min="9233" max="9233" width="9.6640625" style="95" customWidth="1"/>
    <col min="9234" max="9234" width="8.33203125" style="95" customWidth="1"/>
    <col min="9235" max="9472" width="8.83203125" style="95"/>
    <col min="9473" max="9473" width="30.83203125" style="95" customWidth="1"/>
    <col min="9474" max="9475" width="8.33203125" style="95" customWidth="1"/>
    <col min="9476" max="9476" width="2.5" style="95" customWidth="1"/>
    <col min="9477" max="9478" width="8.33203125" style="95" customWidth="1"/>
    <col min="9479" max="9479" width="2.33203125" style="95" customWidth="1"/>
    <col min="9480" max="9480" width="8.33203125" style="95" customWidth="1"/>
    <col min="9481" max="9481" width="9.1640625" style="95" customWidth="1"/>
    <col min="9482" max="9482" width="2.33203125" style="95" customWidth="1"/>
    <col min="9483" max="9483" width="8.33203125" style="95" customWidth="1"/>
    <col min="9484" max="9484" width="9.5" style="95" customWidth="1"/>
    <col min="9485" max="9485" width="2.33203125" style="95" customWidth="1"/>
    <col min="9486" max="9486" width="8.33203125" style="95" customWidth="1"/>
    <col min="9487" max="9487" width="9.6640625" style="95" customWidth="1"/>
    <col min="9488" max="9488" width="2.33203125" style="95" customWidth="1"/>
    <col min="9489" max="9489" width="9.6640625" style="95" customWidth="1"/>
    <col min="9490" max="9490" width="8.33203125" style="95" customWidth="1"/>
    <col min="9491" max="9728" width="8.83203125" style="95"/>
    <col min="9729" max="9729" width="30.83203125" style="95" customWidth="1"/>
    <col min="9730" max="9731" width="8.33203125" style="95" customWidth="1"/>
    <col min="9732" max="9732" width="2.5" style="95" customWidth="1"/>
    <col min="9733" max="9734" width="8.33203125" style="95" customWidth="1"/>
    <col min="9735" max="9735" width="2.33203125" style="95" customWidth="1"/>
    <col min="9736" max="9736" width="8.33203125" style="95" customWidth="1"/>
    <col min="9737" max="9737" width="9.1640625" style="95" customWidth="1"/>
    <col min="9738" max="9738" width="2.33203125" style="95" customWidth="1"/>
    <col min="9739" max="9739" width="8.33203125" style="95" customWidth="1"/>
    <col min="9740" max="9740" width="9.5" style="95" customWidth="1"/>
    <col min="9741" max="9741" width="2.33203125" style="95" customWidth="1"/>
    <col min="9742" max="9742" width="8.33203125" style="95" customWidth="1"/>
    <col min="9743" max="9743" width="9.6640625" style="95" customWidth="1"/>
    <col min="9744" max="9744" width="2.33203125" style="95" customWidth="1"/>
    <col min="9745" max="9745" width="9.6640625" style="95" customWidth="1"/>
    <col min="9746" max="9746" width="8.33203125" style="95" customWidth="1"/>
    <col min="9747" max="9984" width="8.83203125" style="95"/>
    <col min="9985" max="9985" width="30.83203125" style="95" customWidth="1"/>
    <col min="9986" max="9987" width="8.33203125" style="95" customWidth="1"/>
    <col min="9988" max="9988" width="2.5" style="95" customWidth="1"/>
    <col min="9989" max="9990" width="8.33203125" style="95" customWidth="1"/>
    <col min="9991" max="9991" width="2.33203125" style="95" customWidth="1"/>
    <col min="9992" max="9992" width="8.33203125" style="95" customWidth="1"/>
    <col min="9993" max="9993" width="9.1640625" style="95" customWidth="1"/>
    <col min="9994" max="9994" width="2.33203125" style="95" customWidth="1"/>
    <col min="9995" max="9995" width="8.33203125" style="95" customWidth="1"/>
    <col min="9996" max="9996" width="9.5" style="95" customWidth="1"/>
    <col min="9997" max="9997" width="2.33203125" style="95" customWidth="1"/>
    <col min="9998" max="9998" width="8.33203125" style="95" customWidth="1"/>
    <col min="9999" max="9999" width="9.6640625" style="95" customWidth="1"/>
    <col min="10000" max="10000" width="2.33203125" style="95" customWidth="1"/>
    <col min="10001" max="10001" width="9.6640625" style="95" customWidth="1"/>
    <col min="10002" max="10002" width="8.33203125" style="95" customWidth="1"/>
    <col min="10003" max="10240" width="8.83203125" style="95"/>
    <col min="10241" max="10241" width="30.83203125" style="95" customWidth="1"/>
    <col min="10242" max="10243" width="8.33203125" style="95" customWidth="1"/>
    <col min="10244" max="10244" width="2.5" style="95" customWidth="1"/>
    <col min="10245" max="10246" width="8.33203125" style="95" customWidth="1"/>
    <col min="10247" max="10247" width="2.33203125" style="95" customWidth="1"/>
    <col min="10248" max="10248" width="8.33203125" style="95" customWidth="1"/>
    <col min="10249" max="10249" width="9.1640625" style="95" customWidth="1"/>
    <col min="10250" max="10250" width="2.33203125" style="95" customWidth="1"/>
    <col min="10251" max="10251" width="8.33203125" style="95" customWidth="1"/>
    <col min="10252" max="10252" width="9.5" style="95" customWidth="1"/>
    <col min="10253" max="10253" width="2.33203125" style="95" customWidth="1"/>
    <col min="10254" max="10254" width="8.33203125" style="95" customWidth="1"/>
    <col min="10255" max="10255" width="9.6640625" style="95" customWidth="1"/>
    <col min="10256" max="10256" width="2.33203125" style="95" customWidth="1"/>
    <col min="10257" max="10257" width="9.6640625" style="95" customWidth="1"/>
    <col min="10258" max="10258" width="8.33203125" style="95" customWidth="1"/>
    <col min="10259" max="10496" width="8.83203125" style="95"/>
    <col min="10497" max="10497" width="30.83203125" style="95" customWidth="1"/>
    <col min="10498" max="10499" width="8.33203125" style="95" customWidth="1"/>
    <col min="10500" max="10500" width="2.5" style="95" customWidth="1"/>
    <col min="10501" max="10502" width="8.33203125" style="95" customWidth="1"/>
    <col min="10503" max="10503" width="2.33203125" style="95" customWidth="1"/>
    <col min="10504" max="10504" width="8.33203125" style="95" customWidth="1"/>
    <col min="10505" max="10505" width="9.1640625" style="95" customWidth="1"/>
    <col min="10506" max="10506" width="2.33203125" style="95" customWidth="1"/>
    <col min="10507" max="10507" width="8.33203125" style="95" customWidth="1"/>
    <col min="10508" max="10508" width="9.5" style="95" customWidth="1"/>
    <col min="10509" max="10509" width="2.33203125" style="95" customWidth="1"/>
    <col min="10510" max="10510" width="8.33203125" style="95" customWidth="1"/>
    <col min="10511" max="10511" width="9.6640625" style="95" customWidth="1"/>
    <col min="10512" max="10512" width="2.33203125" style="95" customWidth="1"/>
    <col min="10513" max="10513" width="9.6640625" style="95" customWidth="1"/>
    <col min="10514" max="10514" width="8.33203125" style="95" customWidth="1"/>
    <col min="10515" max="10752" width="8.83203125" style="95"/>
    <col min="10753" max="10753" width="30.83203125" style="95" customWidth="1"/>
    <col min="10754" max="10755" width="8.33203125" style="95" customWidth="1"/>
    <col min="10756" max="10756" width="2.5" style="95" customWidth="1"/>
    <col min="10757" max="10758" width="8.33203125" style="95" customWidth="1"/>
    <col min="10759" max="10759" width="2.33203125" style="95" customWidth="1"/>
    <col min="10760" max="10760" width="8.33203125" style="95" customWidth="1"/>
    <col min="10761" max="10761" width="9.1640625" style="95" customWidth="1"/>
    <col min="10762" max="10762" width="2.33203125" style="95" customWidth="1"/>
    <col min="10763" max="10763" width="8.33203125" style="95" customWidth="1"/>
    <col min="10764" max="10764" width="9.5" style="95" customWidth="1"/>
    <col min="10765" max="10765" width="2.33203125" style="95" customWidth="1"/>
    <col min="10766" max="10766" width="8.33203125" style="95" customWidth="1"/>
    <col min="10767" max="10767" width="9.6640625" style="95" customWidth="1"/>
    <col min="10768" max="10768" width="2.33203125" style="95" customWidth="1"/>
    <col min="10769" max="10769" width="9.6640625" style="95" customWidth="1"/>
    <col min="10770" max="10770" width="8.33203125" style="95" customWidth="1"/>
    <col min="10771" max="11008" width="8.83203125" style="95"/>
    <col min="11009" max="11009" width="30.83203125" style="95" customWidth="1"/>
    <col min="11010" max="11011" width="8.33203125" style="95" customWidth="1"/>
    <col min="11012" max="11012" width="2.5" style="95" customWidth="1"/>
    <col min="11013" max="11014" width="8.33203125" style="95" customWidth="1"/>
    <col min="11015" max="11015" width="2.33203125" style="95" customWidth="1"/>
    <col min="11016" max="11016" width="8.33203125" style="95" customWidth="1"/>
    <col min="11017" max="11017" width="9.1640625" style="95" customWidth="1"/>
    <col min="11018" max="11018" width="2.33203125" style="95" customWidth="1"/>
    <col min="11019" max="11019" width="8.33203125" style="95" customWidth="1"/>
    <col min="11020" max="11020" width="9.5" style="95" customWidth="1"/>
    <col min="11021" max="11021" width="2.33203125" style="95" customWidth="1"/>
    <col min="11022" max="11022" width="8.33203125" style="95" customWidth="1"/>
    <col min="11023" max="11023" width="9.6640625" style="95" customWidth="1"/>
    <col min="11024" max="11024" width="2.33203125" style="95" customWidth="1"/>
    <col min="11025" max="11025" width="9.6640625" style="95" customWidth="1"/>
    <col min="11026" max="11026" width="8.33203125" style="95" customWidth="1"/>
    <col min="11027" max="11264" width="8.83203125" style="95"/>
    <col min="11265" max="11265" width="30.83203125" style="95" customWidth="1"/>
    <col min="11266" max="11267" width="8.33203125" style="95" customWidth="1"/>
    <col min="11268" max="11268" width="2.5" style="95" customWidth="1"/>
    <col min="11269" max="11270" width="8.33203125" style="95" customWidth="1"/>
    <col min="11271" max="11271" width="2.33203125" style="95" customWidth="1"/>
    <col min="11272" max="11272" width="8.33203125" style="95" customWidth="1"/>
    <col min="11273" max="11273" width="9.1640625" style="95" customWidth="1"/>
    <col min="11274" max="11274" width="2.33203125" style="95" customWidth="1"/>
    <col min="11275" max="11275" width="8.33203125" style="95" customWidth="1"/>
    <col min="11276" max="11276" width="9.5" style="95" customWidth="1"/>
    <col min="11277" max="11277" width="2.33203125" style="95" customWidth="1"/>
    <col min="11278" max="11278" width="8.33203125" style="95" customWidth="1"/>
    <col min="11279" max="11279" width="9.6640625" style="95" customWidth="1"/>
    <col min="11280" max="11280" width="2.33203125" style="95" customWidth="1"/>
    <col min="11281" max="11281" width="9.6640625" style="95" customWidth="1"/>
    <col min="11282" max="11282" width="8.33203125" style="95" customWidth="1"/>
    <col min="11283" max="11520" width="8.83203125" style="95"/>
    <col min="11521" max="11521" width="30.83203125" style="95" customWidth="1"/>
    <col min="11522" max="11523" width="8.33203125" style="95" customWidth="1"/>
    <col min="11524" max="11524" width="2.5" style="95" customWidth="1"/>
    <col min="11525" max="11526" width="8.33203125" style="95" customWidth="1"/>
    <col min="11527" max="11527" width="2.33203125" style="95" customWidth="1"/>
    <col min="11528" max="11528" width="8.33203125" style="95" customWidth="1"/>
    <col min="11529" max="11529" width="9.1640625" style="95" customWidth="1"/>
    <col min="11530" max="11530" width="2.33203125" style="95" customWidth="1"/>
    <col min="11531" max="11531" width="8.33203125" style="95" customWidth="1"/>
    <col min="11532" max="11532" width="9.5" style="95" customWidth="1"/>
    <col min="11533" max="11533" width="2.33203125" style="95" customWidth="1"/>
    <col min="11534" max="11534" width="8.33203125" style="95" customWidth="1"/>
    <col min="11535" max="11535" width="9.6640625" style="95" customWidth="1"/>
    <col min="11536" max="11536" width="2.33203125" style="95" customWidth="1"/>
    <col min="11537" max="11537" width="9.6640625" style="95" customWidth="1"/>
    <col min="11538" max="11538" width="8.33203125" style="95" customWidth="1"/>
    <col min="11539" max="11776" width="8.83203125" style="95"/>
    <col min="11777" max="11777" width="30.83203125" style="95" customWidth="1"/>
    <col min="11778" max="11779" width="8.33203125" style="95" customWidth="1"/>
    <col min="11780" max="11780" width="2.5" style="95" customWidth="1"/>
    <col min="11781" max="11782" width="8.33203125" style="95" customWidth="1"/>
    <col min="11783" max="11783" width="2.33203125" style="95" customWidth="1"/>
    <col min="11784" max="11784" width="8.33203125" style="95" customWidth="1"/>
    <col min="11785" max="11785" width="9.1640625" style="95" customWidth="1"/>
    <col min="11786" max="11786" width="2.33203125" style="95" customWidth="1"/>
    <col min="11787" max="11787" width="8.33203125" style="95" customWidth="1"/>
    <col min="11788" max="11788" width="9.5" style="95" customWidth="1"/>
    <col min="11789" max="11789" width="2.33203125" style="95" customWidth="1"/>
    <col min="11790" max="11790" width="8.33203125" style="95" customWidth="1"/>
    <col min="11791" max="11791" width="9.6640625" style="95" customWidth="1"/>
    <col min="11792" max="11792" width="2.33203125" style="95" customWidth="1"/>
    <col min="11793" max="11793" width="9.6640625" style="95" customWidth="1"/>
    <col min="11794" max="11794" width="8.33203125" style="95" customWidth="1"/>
    <col min="11795" max="12032" width="8.83203125" style="95"/>
    <col min="12033" max="12033" width="30.83203125" style="95" customWidth="1"/>
    <col min="12034" max="12035" width="8.33203125" style="95" customWidth="1"/>
    <col min="12036" max="12036" width="2.5" style="95" customWidth="1"/>
    <col min="12037" max="12038" width="8.33203125" style="95" customWidth="1"/>
    <col min="12039" max="12039" width="2.33203125" style="95" customWidth="1"/>
    <col min="12040" max="12040" width="8.33203125" style="95" customWidth="1"/>
    <col min="12041" max="12041" width="9.1640625" style="95" customWidth="1"/>
    <col min="12042" max="12042" width="2.33203125" style="95" customWidth="1"/>
    <col min="12043" max="12043" width="8.33203125" style="95" customWidth="1"/>
    <col min="12044" max="12044" width="9.5" style="95" customWidth="1"/>
    <col min="12045" max="12045" width="2.33203125" style="95" customWidth="1"/>
    <col min="12046" max="12046" width="8.33203125" style="95" customWidth="1"/>
    <col min="12047" max="12047" width="9.6640625" style="95" customWidth="1"/>
    <col min="12048" max="12048" width="2.33203125" style="95" customWidth="1"/>
    <col min="12049" max="12049" width="9.6640625" style="95" customWidth="1"/>
    <col min="12050" max="12050" width="8.33203125" style="95" customWidth="1"/>
    <col min="12051" max="12288" width="8.83203125" style="95"/>
    <col min="12289" max="12289" width="30.83203125" style="95" customWidth="1"/>
    <col min="12290" max="12291" width="8.33203125" style="95" customWidth="1"/>
    <col min="12292" max="12292" width="2.5" style="95" customWidth="1"/>
    <col min="12293" max="12294" width="8.33203125" style="95" customWidth="1"/>
    <col min="12295" max="12295" width="2.33203125" style="95" customWidth="1"/>
    <col min="12296" max="12296" width="8.33203125" style="95" customWidth="1"/>
    <col min="12297" max="12297" width="9.1640625" style="95" customWidth="1"/>
    <col min="12298" max="12298" width="2.33203125" style="95" customWidth="1"/>
    <col min="12299" max="12299" width="8.33203125" style="95" customWidth="1"/>
    <col min="12300" max="12300" width="9.5" style="95" customWidth="1"/>
    <col min="12301" max="12301" width="2.33203125" style="95" customWidth="1"/>
    <col min="12302" max="12302" width="8.33203125" style="95" customWidth="1"/>
    <col min="12303" max="12303" width="9.6640625" style="95" customWidth="1"/>
    <col min="12304" max="12304" width="2.33203125" style="95" customWidth="1"/>
    <col min="12305" max="12305" width="9.6640625" style="95" customWidth="1"/>
    <col min="12306" max="12306" width="8.33203125" style="95" customWidth="1"/>
    <col min="12307" max="12544" width="8.83203125" style="95"/>
    <col min="12545" max="12545" width="30.83203125" style="95" customWidth="1"/>
    <col min="12546" max="12547" width="8.33203125" style="95" customWidth="1"/>
    <col min="12548" max="12548" width="2.5" style="95" customWidth="1"/>
    <col min="12549" max="12550" width="8.33203125" style="95" customWidth="1"/>
    <col min="12551" max="12551" width="2.33203125" style="95" customWidth="1"/>
    <col min="12552" max="12552" width="8.33203125" style="95" customWidth="1"/>
    <col min="12553" max="12553" width="9.1640625" style="95" customWidth="1"/>
    <col min="12554" max="12554" width="2.33203125" style="95" customWidth="1"/>
    <col min="12555" max="12555" width="8.33203125" style="95" customWidth="1"/>
    <col min="12556" max="12556" width="9.5" style="95" customWidth="1"/>
    <col min="12557" max="12557" width="2.33203125" style="95" customWidth="1"/>
    <col min="12558" max="12558" width="8.33203125" style="95" customWidth="1"/>
    <col min="12559" max="12559" width="9.6640625" style="95" customWidth="1"/>
    <col min="12560" max="12560" width="2.33203125" style="95" customWidth="1"/>
    <col min="12561" max="12561" width="9.6640625" style="95" customWidth="1"/>
    <col min="12562" max="12562" width="8.33203125" style="95" customWidth="1"/>
    <col min="12563" max="12800" width="8.83203125" style="95"/>
    <col min="12801" max="12801" width="30.83203125" style="95" customWidth="1"/>
    <col min="12802" max="12803" width="8.33203125" style="95" customWidth="1"/>
    <col min="12804" max="12804" width="2.5" style="95" customWidth="1"/>
    <col min="12805" max="12806" width="8.33203125" style="95" customWidth="1"/>
    <col min="12807" max="12807" width="2.33203125" style="95" customWidth="1"/>
    <col min="12808" max="12808" width="8.33203125" style="95" customWidth="1"/>
    <col min="12809" max="12809" width="9.1640625" style="95" customWidth="1"/>
    <col min="12810" max="12810" width="2.33203125" style="95" customWidth="1"/>
    <col min="12811" max="12811" width="8.33203125" style="95" customWidth="1"/>
    <col min="12812" max="12812" width="9.5" style="95" customWidth="1"/>
    <col min="12813" max="12813" width="2.33203125" style="95" customWidth="1"/>
    <col min="12814" max="12814" width="8.33203125" style="95" customWidth="1"/>
    <col min="12815" max="12815" width="9.6640625" style="95" customWidth="1"/>
    <col min="12816" max="12816" width="2.33203125" style="95" customWidth="1"/>
    <col min="12817" max="12817" width="9.6640625" style="95" customWidth="1"/>
    <col min="12818" max="12818" width="8.33203125" style="95" customWidth="1"/>
    <col min="12819" max="13056" width="8.83203125" style="95"/>
    <col min="13057" max="13057" width="30.83203125" style="95" customWidth="1"/>
    <col min="13058" max="13059" width="8.33203125" style="95" customWidth="1"/>
    <col min="13060" max="13060" width="2.5" style="95" customWidth="1"/>
    <col min="13061" max="13062" width="8.33203125" style="95" customWidth="1"/>
    <col min="13063" max="13063" width="2.33203125" style="95" customWidth="1"/>
    <col min="13064" max="13064" width="8.33203125" style="95" customWidth="1"/>
    <col min="13065" max="13065" width="9.1640625" style="95" customWidth="1"/>
    <col min="13066" max="13066" width="2.33203125" style="95" customWidth="1"/>
    <col min="13067" max="13067" width="8.33203125" style="95" customWidth="1"/>
    <col min="13068" max="13068" width="9.5" style="95" customWidth="1"/>
    <col min="13069" max="13069" width="2.33203125" style="95" customWidth="1"/>
    <col min="13070" max="13070" width="8.33203125" style="95" customWidth="1"/>
    <col min="13071" max="13071" width="9.6640625" style="95" customWidth="1"/>
    <col min="13072" max="13072" width="2.33203125" style="95" customWidth="1"/>
    <col min="13073" max="13073" width="9.6640625" style="95" customWidth="1"/>
    <col min="13074" max="13074" width="8.33203125" style="95" customWidth="1"/>
    <col min="13075" max="13312" width="8.83203125" style="95"/>
    <col min="13313" max="13313" width="30.83203125" style="95" customWidth="1"/>
    <col min="13314" max="13315" width="8.33203125" style="95" customWidth="1"/>
    <col min="13316" max="13316" width="2.5" style="95" customWidth="1"/>
    <col min="13317" max="13318" width="8.33203125" style="95" customWidth="1"/>
    <col min="13319" max="13319" width="2.33203125" style="95" customWidth="1"/>
    <col min="13320" max="13320" width="8.33203125" style="95" customWidth="1"/>
    <col min="13321" max="13321" width="9.1640625" style="95" customWidth="1"/>
    <col min="13322" max="13322" width="2.33203125" style="95" customWidth="1"/>
    <col min="13323" max="13323" width="8.33203125" style="95" customWidth="1"/>
    <col min="13324" max="13324" width="9.5" style="95" customWidth="1"/>
    <col min="13325" max="13325" width="2.33203125" style="95" customWidth="1"/>
    <col min="13326" max="13326" width="8.33203125" style="95" customWidth="1"/>
    <col min="13327" max="13327" width="9.6640625" style="95" customWidth="1"/>
    <col min="13328" max="13328" width="2.33203125" style="95" customWidth="1"/>
    <col min="13329" max="13329" width="9.6640625" style="95" customWidth="1"/>
    <col min="13330" max="13330" width="8.33203125" style="95" customWidth="1"/>
    <col min="13331" max="13568" width="8.83203125" style="95"/>
    <col min="13569" max="13569" width="30.83203125" style="95" customWidth="1"/>
    <col min="13570" max="13571" width="8.33203125" style="95" customWidth="1"/>
    <col min="13572" max="13572" width="2.5" style="95" customWidth="1"/>
    <col min="13573" max="13574" width="8.33203125" style="95" customWidth="1"/>
    <col min="13575" max="13575" width="2.33203125" style="95" customWidth="1"/>
    <col min="13576" max="13576" width="8.33203125" style="95" customWidth="1"/>
    <col min="13577" max="13577" width="9.1640625" style="95" customWidth="1"/>
    <col min="13578" max="13578" width="2.33203125" style="95" customWidth="1"/>
    <col min="13579" max="13579" width="8.33203125" style="95" customWidth="1"/>
    <col min="13580" max="13580" width="9.5" style="95" customWidth="1"/>
    <col min="13581" max="13581" width="2.33203125" style="95" customWidth="1"/>
    <col min="13582" max="13582" width="8.33203125" style="95" customWidth="1"/>
    <col min="13583" max="13583" width="9.6640625" style="95" customWidth="1"/>
    <col min="13584" max="13584" width="2.33203125" style="95" customWidth="1"/>
    <col min="13585" max="13585" width="9.6640625" style="95" customWidth="1"/>
    <col min="13586" max="13586" width="8.33203125" style="95" customWidth="1"/>
    <col min="13587" max="13824" width="8.83203125" style="95"/>
    <col min="13825" max="13825" width="30.83203125" style="95" customWidth="1"/>
    <col min="13826" max="13827" width="8.33203125" style="95" customWidth="1"/>
    <col min="13828" max="13828" width="2.5" style="95" customWidth="1"/>
    <col min="13829" max="13830" width="8.33203125" style="95" customWidth="1"/>
    <col min="13831" max="13831" width="2.33203125" style="95" customWidth="1"/>
    <col min="13832" max="13832" width="8.33203125" style="95" customWidth="1"/>
    <col min="13833" max="13833" width="9.1640625" style="95" customWidth="1"/>
    <col min="13834" max="13834" width="2.33203125" style="95" customWidth="1"/>
    <col min="13835" max="13835" width="8.33203125" style="95" customWidth="1"/>
    <col min="13836" max="13836" width="9.5" style="95" customWidth="1"/>
    <col min="13837" max="13837" width="2.33203125" style="95" customWidth="1"/>
    <col min="13838" max="13838" width="8.33203125" style="95" customWidth="1"/>
    <col min="13839" max="13839" width="9.6640625" style="95" customWidth="1"/>
    <col min="13840" max="13840" width="2.33203125" style="95" customWidth="1"/>
    <col min="13841" max="13841" width="9.6640625" style="95" customWidth="1"/>
    <col min="13842" max="13842" width="8.33203125" style="95" customWidth="1"/>
    <col min="13843" max="14080" width="8.83203125" style="95"/>
    <col min="14081" max="14081" width="30.83203125" style="95" customWidth="1"/>
    <col min="14082" max="14083" width="8.33203125" style="95" customWidth="1"/>
    <col min="14084" max="14084" width="2.5" style="95" customWidth="1"/>
    <col min="14085" max="14086" width="8.33203125" style="95" customWidth="1"/>
    <col min="14087" max="14087" width="2.33203125" style="95" customWidth="1"/>
    <col min="14088" max="14088" width="8.33203125" style="95" customWidth="1"/>
    <col min="14089" max="14089" width="9.1640625" style="95" customWidth="1"/>
    <col min="14090" max="14090" width="2.33203125" style="95" customWidth="1"/>
    <col min="14091" max="14091" width="8.33203125" style="95" customWidth="1"/>
    <col min="14092" max="14092" width="9.5" style="95" customWidth="1"/>
    <col min="14093" max="14093" width="2.33203125" style="95" customWidth="1"/>
    <col min="14094" max="14094" width="8.33203125" style="95" customWidth="1"/>
    <col min="14095" max="14095" width="9.6640625" style="95" customWidth="1"/>
    <col min="14096" max="14096" width="2.33203125" style="95" customWidth="1"/>
    <col min="14097" max="14097" width="9.6640625" style="95" customWidth="1"/>
    <col min="14098" max="14098" width="8.33203125" style="95" customWidth="1"/>
    <col min="14099" max="14336" width="8.83203125" style="95"/>
    <col min="14337" max="14337" width="30.83203125" style="95" customWidth="1"/>
    <col min="14338" max="14339" width="8.33203125" style="95" customWidth="1"/>
    <col min="14340" max="14340" width="2.5" style="95" customWidth="1"/>
    <col min="14341" max="14342" width="8.33203125" style="95" customWidth="1"/>
    <col min="14343" max="14343" width="2.33203125" style="95" customWidth="1"/>
    <col min="14344" max="14344" width="8.33203125" style="95" customWidth="1"/>
    <col min="14345" max="14345" width="9.1640625" style="95" customWidth="1"/>
    <col min="14346" max="14346" width="2.33203125" style="95" customWidth="1"/>
    <col min="14347" max="14347" width="8.33203125" style="95" customWidth="1"/>
    <col min="14348" max="14348" width="9.5" style="95" customWidth="1"/>
    <col min="14349" max="14349" width="2.33203125" style="95" customWidth="1"/>
    <col min="14350" max="14350" width="8.33203125" style="95" customWidth="1"/>
    <col min="14351" max="14351" width="9.6640625" style="95" customWidth="1"/>
    <col min="14352" max="14352" width="2.33203125" style="95" customWidth="1"/>
    <col min="14353" max="14353" width="9.6640625" style="95" customWidth="1"/>
    <col min="14354" max="14354" width="8.33203125" style="95" customWidth="1"/>
    <col min="14355" max="14592" width="8.83203125" style="95"/>
    <col min="14593" max="14593" width="30.83203125" style="95" customWidth="1"/>
    <col min="14594" max="14595" width="8.33203125" style="95" customWidth="1"/>
    <col min="14596" max="14596" width="2.5" style="95" customWidth="1"/>
    <col min="14597" max="14598" width="8.33203125" style="95" customWidth="1"/>
    <col min="14599" max="14599" width="2.33203125" style="95" customWidth="1"/>
    <col min="14600" max="14600" width="8.33203125" style="95" customWidth="1"/>
    <col min="14601" max="14601" width="9.1640625" style="95" customWidth="1"/>
    <col min="14602" max="14602" width="2.33203125" style="95" customWidth="1"/>
    <col min="14603" max="14603" width="8.33203125" style="95" customWidth="1"/>
    <col min="14604" max="14604" width="9.5" style="95" customWidth="1"/>
    <col min="14605" max="14605" width="2.33203125" style="95" customWidth="1"/>
    <col min="14606" max="14606" width="8.33203125" style="95" customWidth="1"/>
    <col min="14607" max="14607" width="9.6640625" style="95" customWidth="1"/>
    <col min="14608" max="14608" width="2.33203125" style="95" customWidth="1"/>
    <col min="14609" max="14609" width="9.6640625" style="95" customWidth="1"/>
    <col min="14610" max="14610" width="8.33203125" style="95" customWidth="1"/>
    <col min="14611" max="14848" width="8.83203125" style="95"/>
    <col min="14849" max="14849" width="30.83203125" style="95" customWidth="1"/>
    <col min="14850" max="14851" width="8.33203125" style="95" customWidth="1"/>
    <col min="14852" max="14852" width="2.5" style="95" customWidth="1"/>
    <col min="14853" max="14854" width="8.33203125" style="95" customWidth="1"/>
    <col min="14855" max="14855" width="2.33203125" style="95" customWidth="1"/>
    <col min="14856" max="14856" width="8.33203125" style="95" customWidth="1"/>
    <col min="14857" max="14857" width="9.1640625" style="95" customWidth="1"/>
    <col min="14858" max="14858" width="2.33203125" style="95" customWidth="1"/>
    <col min="14859" max="14859" width="8.33203125" style="95" customWidth="1"/>
    <col min="14860" max="14860" width="9.5" style="95" customWidth="1"/>
    <col min="14861" max="14861" width="2.33203125" style="95" customWidth="1"/>
    <col min="14862" max="14862" width="8.33203125" style="95" customWidth="1"/>
    <col min="14863" max="14863" width="9.6640625" style="95" customWidth="1"/>
    <col min="14864" max="14864" width="2.33203125" style="95" customWidth="1"/>
    <col min="14865" max="14865" width="9.6640625" style="95" customWidth="1"/>
    <col min="14866" max="14866" width="8.33203125" style="95" customWidth="1"/>
    <col min="14867" max="15104" width="8.83203125" style="95"/>
    <col min="15105" max="15105" width="30.83203125" style="95" customWidth="1"/>
    <col min="15106" max="15107" width="8.33203125" style="95" customWidth="1"/>
    <col min="15108" max="15108" width="2.5" style="95" customWidth="1"/>
    <col min="15109" max="15110" width="8.33203125" style="95" customWidth="1"/>
    <col min="15111" max="15111" width="2.33203125" style="95" customWidth="1"/>
    <col min="15112" max="15112" width="8.33203125" style="95" customWidth="1"/>
    <col min="15113" max="15113" width="9.1640625" style="95" customWidth="1"/>
    <col min="15114" max="15114" width="2.33203125" style="95" customWidth="1"/>
    <col min="15115" max="15115" width="8.33203125" style="95" customWidth="1"/>
    <col min="15116" max="15116" width="9.5" style="95" customWidth="1"/>
    <col min="15117" max="15117" width="2.33203125" style="95" customWidth="1"/>
    <col min="15118" max="15118" width="8.33203125" style="95" customWidth="1"/>
    <col min="15119" max="15119" width="9.6640625" style="95" customWidth="1"/>
    <col min="15120" max="15120" width="2.33203125" style="95" customWidth="1"/>
    <col min="15121" max="15121" width="9.6640625" style="95" customWidth="1"/>
    <col min="15122" max="15122" width="8.33203125" style="95" customWidth="1"/>
    <col min="15123" max="15360" width="8.83203125" style="95"/>
    <col min="15361" max="15361" width="30.83203125" style="95" customWidth="1"/>
    <col min="15362" max="15363" width="8.33203125" style="95" customWidth="1"/>
    <col min="15364" max="15364" width="2.5" style="95" customWidth="1"/>
    <col min="15365" max="15366" width="8.33203125" style="95" customWidth="1"/>
    <col min="15367" max="15367" width="2.33203125" style="95" customWidth="1"/>
    <col min="15368" max="15368" width="8.33203125" style="95" customWidth="1"/>
    <col min="15369" max="15369" width="9.1640625" style="95" customWidth="1"/>
    <col min="15370" max="15370" width="2.33203125" style="95" customWidth="1"/>
    <col min="15371" max="15371" width="8.33203125" style="95" customWidth="1"/>
    <col min="15372" max="15372" width="9.5" style="95" customWidth="1"/>
    <col min="15373" max="15373" width="2.33203125" style="95" customWidth="1"/>
    <col min="15374" max="15374" width="8.33203125" style="95" customWidth="1"/>
    <col min="15375" max="15375" width="9.6640625" style="95" customWidth="1"/>
    <col min="15376" max="15376" width="2.33203125" style="95" customWidth="1"/>
    <col min="15377" max="15377" width="9.6640625" style="95" customWidth="1"/>
    <col min="15378" max="15378" width="8.33203125" style="95" customWidth="1"/>
    <col min="15379" max="15616" width="8.83203125" style="95"/>
    <col min="15617" max="15617" width="30.83203125" style="95" customWidth="1"/>
    <col min="15618" max="15619" width="8.33203125" style="95" customWidth="1"/>
    <col min="15620" max="15620" width="2.5" style="95" customWidth="1"/>
    <col min="15621" max="15622" width="8.33203125" style="95" customWidth="1"/>
    <col min="15623" max="15623" width="2.33203125" style="95" customWidth="1"/>
    <col min="15624" max="15624" width="8.33203125" style="95" customWidth="1"/>
    <col min="15625" max="15625" width="9.1640625" style="95" customWidth="1"/>
    <col min="15626" max="15626" width="2.33203125" style="95" customWidth="1"/>
    <col min="15627" max="15627" width="8.33203125" style="95" customWidth="1"/>
    <col min="15628" max="15628" width="9.5" style="95" customWidth="1"/>
    <col min="15629" max="15629" width="2.33203125" style="95" customWidth="1"/>
    <col min="15630" max="15630" width="8.33203125" style="95" customWidth="1"/>
    <col min="15631" max="15631" width="9.6640625" style="95" customWidth="1"/>
    <col min="15632" max="15632" width="2.33203125" style="95" customWidth="1"/>
    <col min="15633" max="15633" width="9.6640625" style="95" customWidth="1"/>
    <col min="15634" max="15634" width="8.33203125" style="95" customWidth="1"/>
    <col min="15635" max="15872" width="8.83203125" style="95"/>
    <col min="15873" max="15873" width="30.83203125" style="95" customWidth="1"/>
    <col min="15874" max="15875" width="8.33203125" style="95" customWidth="1"/>
    <col min="15876" max="15876" width="2.5" style="95" customWidth="1"/>
    <col min="15877" max="15878" width="8.33203125" style="95" customWidth="1"/>
    <col min="15879" max="15879" width="2.33203125" style="95" customWidth="1"/>
    <col min="15880" max="15880" width="8.33203125" style="95" customWidth="1"/>
    <col min="15881" max="15881" width="9.1640625" style="95" customWidth="1"/>
    <col min="15882" max="15882" width="2.33203125" style="95" customWidth="1"/>
    <col min="15883" max="15883" width="8.33203125" style="95" customWidth="1"/>
    <col min="15884" max="15884" width="9.5" style="95" customWidth="1"/>
    <col min="15885" max="15885" width="2.33203125" style="95" customWidth="1"/>
    <col min="15886" max="15886" width="8.33203125" style="95" customWidth="1"/>
    <col min="15887" max="15887" width="9.6640625" style="95" customWidth="1"/>
    <col min="15888" max="15888" width="2.33203125" style="95" customWidth="1"/>
    <col min="15889" max="15889" width="9.6640625" style="95" customWidth="1"/>
    <col min="15890" max="15890" width="8.33203125" style="95" customWidth="1"/>
    <col min="15891" max="16128" width="8.83203125" style="95"/>
    <col min="16129" max="16129" width="30.83203125" style="95" customWidth="1"/>
    <col min="16130" max="16131" width="8.33203125" style="95" customWidth="1"/>
    <col min="16132" max="16132" width="2.5" style="95" customWidth="1"/>
    <col min="16133" max="16134" width="8.33203125" style="95" customWidth="1"/>
    <col min="16135" max="16135" width="2.33203125" style="95" customWidth="1"/>
    <col min="16136" max="16136" width="8.33203125" style="95" customWidth="1"/>
    <col min="16137" max="16137" width="9.1640625" style="95" customWidth="1"/>
    <col min="16138" max="16138" width="2.33203125" style="95" customWidth="1"/>
    <col min="16139" max="16139" width="8.33203125" style="95" customWidth="1"/>
    <col min="16140" max="16140" width="9.5" style="95" customWidth="1"/>
    <col min="16141" max="16141" width="2.33203125" style="95" customWidth="1"/>
    <col min="16142" max="16142" width="8.33203125" style="95" customWidth="1"/>
    <col min="16143" max="16143" width="9.6640625" style="95" customWidth="1"/>
    <col min="16144" max="16144" width="2.33203125" style="95" customWidth="1"/>
    <col min="16145" max="16145" width="9.6640625" style="95" customWidth="1"/>
    <col min="16146" max="16146" width="8.33203125" style="95" customWidth="1"/>
    <col min="16147" max="16384" width="8.83203125" style="95"/>
  </cols>
  <sheetData>
    <row r="1" spans="1:18">
      <c r="A1" s="95" t="s">
        <v>144</v>
      </c>
    </row>
    <row r="2" spans="1:18">
      <c r="A2" s="95" t="s">
        <v>145</v>
      </c>
    </row>
    <row r="4" spans="1:18">
      <c r="A4" s="14" t="s">
        <v>1941</v>
      </c>
    </row>
    <row r="5" spans="1:18" ht="14" thickBot="1"/>
    <row r="6" spans="1:18" ht="15" customHeight="1">
      <c r="A6" s="97"/>
      <c r="B6" s="144"/>
      <c r="C6" s="99"/>
      <c r="D6" s="99"/>
      <c r="E6" s="144"/>
      <c r="F6" s="99"/>
      <c r="G6" s="97"/>
      <c r="H6" s="144"/>
      <c r="I6" s="99"/>
      <c r="J6" s="97"/>
      <c r="K6" s="144"/>
      <c r="L6" s="99"/>
      <c r="M6" s="97"/>
      <c r="N6" s="144"/>
      <c r="O6" s="99"/>
      <c r="P6" s="97"/>
      <c r="Q6" s="144"/>
      <c r="R6" s="99"/>
    </row>
    <row r="7" spans="1:18" ht="15" customHeight="1">
      <c r="A7" s="116" t="s">
        <v>1036</v>
      </c>
      <c r="B7" s="154" t="s">
        <v>1037</v>
      </c>
      <c r="C7" s="135"/>
      <c r="D7" s="135"/>
      <c r="E7" s="154" t="s">
        <v>1038</v>
      </c>
      <c r="F7" s="135"/>
      <c r="G7" s="116"/>
      <c r="H7" s="154" t="s">
        <v>1039</v>
      </c>
      <c r="I7" s="135"/>
      <c r="J7" s="116"/>
      <c r="K7" s="154" t="s">
        <v>1040</v>
      </c>
      <c r="L7" s="135"/>
      <c r="M7" s="116"/>
      <c r="N7" s="154" t="s">
        <v>1041</v>
      </c>
      <c r="O7" s="135"/>
      <c r="P7" s="116"/>
      <c r="Q7" s="154" t="s">
        <v>1005</v>
      </c>
      <c r="R7" s="135"/>
    </row>
    <row r="8" spans="1:18" ht="15" customHeight="1">
      <c r="A8" s="116" t="s">
        <v>1042</v>
      </c>
      <c r="B8" s="367" t="s">
        <v>1026</v>
      </c>
      <c r="C8" s="368" t="s">
        <v>1043</v>
      </c>
      <c r="D8" s="135"/>
      <c r="E8" s="149" t="s">
        <v>400</v>
      </c>
      <c r="F8" s="101" t="s">
        <v>401</v>
      </c>
      <c r="G8" s="116"/>
      <c r="H8" s="149" t="s">
        <v>400</v>
      </c>
      <c r="I8" s="101" t="s">
        <v>401</v>
      </c>
      <c r="J8" s="116"/>
      <c r="K8" s="149" t="s">
        <v>400</v>
      </c>
      <c r="L8" s="101" t="s">
        <v>401</v>
      </c>
      <c r="M8" s="116"/>
      <c r="N8" s="149" t="s">
        <v>400</v>
      </c>
      <c r="O8" s="101" t="s">
        <v>401</v>
      </c>
      <c r="P8" s="116"/>
      <c r="Q8" s="149" t="s">
        <v>400</v>
      </c>
      <c r="R8" s="101" t="s">
        <v>401</v>
      </c>
    </row>
    <row r="9" spans="1:18" ht="15" customHeight="1" thickBot="1">
      <c r="A9" s="102"/>
      <c r="B9" s="153"/>
      <c r="C9" s="96"/>
      <c r="D9" s="96"/>
      <c r="E9" s="153"/>
      <c r="F9" s="96"/>
      <c r="G9" s="102"/>
      <c r="H9" s="153"/>
      <c r="I9" s="96"/>
      <c r="J9" s="102"/>
      <c r="K9" s="153"/>
      <c r="L9" s="96"/>
      <c r="M9" s="102"/>
      <c r="N9" s="153"/>
      <c r="O9" s="96"/>
      <c r="P9" s="102"/>
      <c r="Q9" s="153"/>
      <c r="R9" s="96"/>
    </row>
    <row r="10" spans="1:18" ht="15" customHeight="1">
      <c r="A10" s="116"/>
      <c r="B10" s="154"/>
      <c r="C10" s="135"/>
      <c r="D10" s="135"/>
      <c r="E10" s="154"/>
      <c r="F10" s="135"/>
      <c r="G10" s="116"/>
      <c r="H10" s="154"/>
      <c r="I10" s="135"/>
      <c r="J10" s="116"/>
      <c r="K10" s="154"/>
      <c r="L10" s="135"/>
      <c r="M10" s="116"/>
      <c r="N10" s="154"/>
      <c r="O10" s="135"/>
      <c r="P10" s="116"/>
      <c r="Q10" s="154"/>
      <c r="R10" s="135"/>
    </row>
    <row r="11" spans="1:18" ht="15" customHeight="1">
      <c r="A11" s="68" t="s">
        <v>402</v>
      </c>
      <c r="B11" s="140">
        <f>E11+H11+K11+N11+Q11</f>
        <v>2907</v>
      </c>
      <c r="C11" s="135">
        <f>C13+C25</f>
        <v>100.00000000000001</v>
      </c>
      <c r="D11" s="135"/>
      <c r="E11" s="154">
        <f>SUM(E13+E25)</f>
        <v>422</v>
      </c>
      <c r="F11" s="135">
        <f>IF($A11&lt;&gt;"",E11/$B11*100,"")</f>
        <v>14.516683866529068</v>
      </c>
      <c r="G11" s="116"/>
      <c r="H11" s="154">
        <f>SUM(H13+H25)</f>
        <v>1543</v>
      </c>
      <c r="I11" s="135">
        <f>IF($A11&lt;&gt;"",H11/$B11*100,"")</f>
        <v>53.078775369797036</v>
      </c>
      <c r="J11" s="116"/>
      <c r="K11" s="154">
        <f>SUM(K13+K25)</f>
        <v>624</v>
      </c>
      <c r="L11" s="135">
        <f>IF($A11&lt;&gt;"",K11/$B11*100,"")</f>
        <v>21.465428276573785</v>
      </c>
      <c r="M11" s="116"/>
      <c r="N11" s="154">
        <f>SUM(N13+N25)</f>
        <v>303</v>
      </c>
      <c r="O11" s="135">
        <f>IF($A11&lt;&gt;"",N11/$B11*100,"")</f>
        <v>10.42311661506708</v>
      </c>
      <c r="P11" s="116"/>
      <c r="Q11" s="154">
        <f>SUM(Q13+Q25)</f>
        <v>15</v>
      </c>
      <c r="R11" s="135">
        <f>IF($A11&lt;&gt;"",Q11/$B11*100,"")</f>
        <v>0.51599587203302377</v>
      </c>
    </row>
    <row r="12" spans="1:18" ht="15" customHeight="1">
      <c r="A12" s="116"/>
      <c r="B12" s="154"/>
      <c r="C12" s="135"/>
      <c r="D12" s="135"/>
      <c r="E12" s="154"/>
      <c r="F12" s="135" t="str">
        <f t="shared" ref="F12:F35" si="0">IF($A12&lt;&gt;"",E12/$B12*100,"")</f>
        <v/>
      </c>
      <c r="G12" s="116"/>
      <c r="H12" s="154"/>
      <c r="I12" s="135" t="str">
        <f t="shared" ref="I12:I35" si="1">IF($A12&lt;&gt;"",H12/$B12*100,"")</f>
        <v/>
      </c>
      <c r="J12" s="116"/>
      <c r="K12" s="154"/>
      <c r="L12" s="135" t="str">
        <f t="shared" ref="L12:L35" si="2">IF($A12&lt;&gt;"",K12/$B12*100,"")</f>
        <v/>
      </c>
      <c r="M12" s="116"/>
      <c r="N12" s="154"/>
      <c r="O12" s="135" t="str">
        <f t="shared" ref="O12:O35" si="3">IF($A12&lt;&gt;"",N12/$B12*100,"")</f>
        <v/>
      </c>
      <c r="P12" s="116"/>
      <c r="Q12" s="154"/>
      <c r="R12" s="135" t="str">
        <f t="shared" ref="R12:R35" si="4">IF($A12&lt;&gt;"",Q12/$B12*100,"")</f>
        <v/>
      </c>
    </row>
    <row r="13" spans="1:18" ht="15" customHeight="1">
      <c r="A13" s="55" t="s">
        <v>403</v>
      </c>
      <c r="B13" s="140">
        <f>SUM(B15:B23)</f>
        <v>2747</v>
      </c>
      <c r="C13" s="105">
        <f>IF(A13&lt;&gt;0,B13/$B$11*100,"")</f>
        <v>94.496044031647756</v>
      </c>
      <c r="E13" s="140">
        <f>SUM(E15:E23)</f>
        <v>405</v>
      </c>
      <c r="F13" s="135">
        <f t="shared" si="0"/>
        <v>14.743356388787769</v>
      </c>
      <c r="H13" s="140">
        <f>SUM(H15:H23)</f>
        <v>1434</v>
      </c>
      <c r="I13" s="135">
        <f t="shared" si="1"/>
        <v>52.202402621041131</v>
      </c>
      <c r="K13" s="140">
        <f>SUM(K15:K23)</f>
        <v>609</v>
      </c>
      <c r="L13" s="135">
        <f t="shared" si="2"/>
        <v>22.16963960684383</v>
      </c>
      <c r="N13" s="140">
        <f>SUM(N15:N23)</f>
        <v>284</v>
      </c>
      <c r="O13" s="135">
        <f t="shared" si="3"/>
        <v>10.338551146705496</v>
      </c>
      <c r="Q13" s="140">
        <f>SUM(Q15:Q23)</f>
        <v>15</v>
      </c>
      <c r="R13" s="135">
        <f t="shared" si="4"/>
        <v>0.54605023662176921</v>
      </c>
    </row>
    <row r="14" spans="1:18" ht="15" customHeight="1">
      <c r="B14" s="140" t="s">
        <v>128</v>
      </c>
      <c r="C14" s="105" t="str">
        <f t="shared" ref="C14:C35" si="5">IF(A14&lt;&gt;0,B14/$B$11*100,"")</f>
        <v/>
      </c>
      <c r="F14" s="135" t="str">
        <f t="shared" si="0"/>
        <v/>
      </c>
      <c r="I14" s="135" t="str">
        <f t="shared" si="1"/>
        <v/>
      </c>
      <c r="L14" s="135" t="str">
        <f t="shared" si="2"/>
        <v/>
      </c>
      <c r="O14" s="135" t="str">
        <f t="shared" si="3"/>
        <v/>
      </c>
      <c r="R14" s="135" t="str">
        <f t="shared" si="4"/>
        <v/>
      </c>
    </row>
    <row r="15" spans="1:18" ht="15" customHeight="1">
      <c r="A15" s="95" t="s">
        <v>1044</v>
      </c>
      <c r="B15" s="140">
        <f>E15+H15+K15+N15+Q15</f>
        <v>103</v>
      </c>
      <c r="C15" s="105">
        <f t="shared" si="5"/>
        <v>3.5431716546267631</v>
      </c>
      <c r="E15" s="851">
        <v>93</v>
      </c>
      <c r="F15" s="135">
        <f t="shared" si="0"/>
        <v>90.291262135922338</v>
      </c>
      <c r="H15" s="851">
        <v>10</v>
      </c>
      <c r="I15" s="135">
        <f>IF($A15&lt;&gt;"",H15/$B15*100,"")</f>
        <v>9.7087378640776691</v>
      </c>
      <c r="K15" s="851">
        <v>0</v>
      </c>
      <c r="L15" s="135">
        <f t="shared" si="2"/>
        <v>0</v>
      </c>
      <c r="N15" s="851">
        <v>0</v>
      </c>
      <c r="O15" s="135">
        <f t="shared" si="3"/>
        <v>0</v>
      </c>
      <c r="Q15" s="851">
        <v>0</v>
      </c>
      <c r="R15" s="135">
        <f t="shared" si="4"/>
        <v>0</v>
      </c>
    </row>
    <row r="16" spans="1:18" ht="15" customHeight="1">
      <c r="B16" s="140" t="s">
        <v>128</v>
      </c>
      <c r="C16" s="105" t="str">
        <f t="shared" si="5"/>
        <v/>
      </c>
      <c r="E16" s="851"/>
      <c r="F16" s="135" t="str">
        <f t="shared" si="0"/>
        <v/>
      </c>
      <c r="H16" s="851"/>
      <c r="I16" s="135" t="str">
        <f t="shared" si="1"/>
        <v/>
      </c>
      <c r="K16" s="851"/>
      <c r="L16" s="135" t="str">
        <f t="shared" si="2"/>
        <v/>
      </c>
      <c r="N16" s="851"/>
      <c r="O16" s="135" t="str">
        <f t="shared" si="3"/>
        <v/>
      </c>
      <c r="Q16" s="851"/>
      <c r="R16" s="135" t="str">
        <f t="shared" si="4"/>
        <v/>
      </c>
    </row>
    <row r="17" spans="1:18" ht="15" customHeight="1">
      <c r="A17" s="95" t="s">
        <v>1045</v>
      </c>
      <c r="B17" s="140">
        <f>E17+H17+K17+N17+Q17</f>
        <v>1525</v>
      </c>
      <c r="C17" s="105">
        <f t="shared" si="5"/>
        <v>52.459580323357414</v>
      </c>
      <c r="E17" s="852">
        <v>265</v>
      </c>
      <c r="F17" s="135">
        <f t="shared" si="0"/>
        <v>17.377049180327869</v>
      </c>
      <c r="H17" s="852">
        <v>1260</v>
      </c>
      <c r="I17" s="135">
        <f t="shared" si="1"/>
        <v>82.622950819672141</v>
      </c>
      <c r="K17" s="852">
        <v>0</v>
      </c>
      <c r="L17" s="135">
        <f t="shared" si="2"/>
        <v>0</v>
      </c>
      <c r="N17" s="852">
        <v>0</v>
      </c>
      <c r="O17" s="135">
        <f t="shared" si="3"/>
        <v>0</v>
      </c>
      <c r="Q17" s="852">
        <v>0</v>
      </c>
      <c r="R17" s="135">
        <f t="shared" si="4"/>
        <v>0</v>
      </c>
    </row>
    <row r="18" spans="1:18" ht="15" customHeight="1">
      <c r="B18" s="140" t="s">
        <v>128</v>
      </c>
      <c r="C18" s="105" t="str">
        <f t="shared" si="5"/>
        <v/>
      </c>
      <c r="E18" s="852"/>
      <c r="F18" s="135" t="str">
        <f t="shared" si="0"/>
        <v/>
      </c>
      <c r="H18" s="852"/>
      <c r="I18" s="135" t="str">
        <f t="shared" si="1"/>
        <v/>
      </c>
      <c r="K18" s="852"/>
      <c r="L18" s="135" t="str">
        <f t="shared" si="2"/>
        <v/>
      </c>
      <c r="N18" s="852"/>
      <c r="O18" s="135" t="str">
        <f t="shared" si="3"/>
        <v/>
      </c>
      <c r="Q18" s="852"/>
      <c r="R18" s="135" t="str">
        <f t="shared" si="4"/>
        <v/>
      </c>
    </row>
    <row r="19" spans="1:18" ht="15" customHeight="1">
      <c r="A19" s="95" t="s">
        <v>1046</v>
      </c>
      <c r="B19" s="140">
        <f>E19+H19+K19+N19+Q19</f>
        <v>708</v>
      </c>
      <c r="C19" s="105">
        <f t="shared" si="5"/>
        <v>24.355005159958722</v>
      </c>
      <c r="E19" s="852">
        <v>45</v>
      </c>
      <c r="F19" s="135">
        <f t="shared" si="0"/>
        <v>6.3559322033898304</v>
      </c>
      <c r="H19" s="852">
        <v>158</v>
      </c>
      <c r="I19" s="135">
        <f t="shared" si="1"/>
        <v>22.316384180790962</v>
      </c>
      <c r="K19" s="852">
        <v>505</v>
      </c>
      <c r="L19" s="135">
        <f t="shared" si="2"/>
        <v>71.327683615819211</v>
      </c>
      <c r="N19" s="852">
        <v>0</v>
      </c>
      <c r="O19" s="135">
        <f t="shared" si="3"/>
        <v>0</v>
      </c>
      <c r="Q19" s="852">
        <v>0</v>
      </c>
      <c r="R19" s="135">
        <f t="shared" si="4"/>
        <v>0</v>
      </c>
    </row>
    <row r="20" spans="1:18" ht="15" customHeight="1">
      <c r="C20" s="105" t="str">
        <f t="shared" si="5"/>
        <v/>
      </c>
      <c r="E20" s="852"/>
      <c r="F20" s="135" t="str">
        <f t="shared" si="0"/>
        <v/>
      </c>
      <c r="H20" s="852"/>
      <c r="I20" s="135" t="str">
        <f t="shared" si="1"/>
        <v/>
      </c>
      <c r="K20" s="852"/>
      <c r="L20" s="135" t="str">
        <f t="shared" si="2"/>
        <v/>
      </c>
      <c r="N20" s="852"/>
      <c r="O20" s="135" t="str">
        <f t="shared" si="3"/>
        <v/>
      </c>
      <c r="Q20" s="852"/>
      <c r="R20" s="135" t="str">
        <f t="shared" si="4"/>
        <v/>
      </c>
    </row>
    <row r="21" spans="1:18" ht="15" customHeight="1">
      <c r="A21" s="95" t="s">
        <v>1047</v>
      </c>
      <c r="B21" s="140">
        <f t="shared" ref="B21:B29" si="6">E21+H21+K21+N21+Q21</f>
        <v>384</v>
      </c>
      <c r="C21" s="105">
        <f t="shared" si="5"/>
        <v>13.209494324045407</v>
      </c>
      <c r="E21" s="852">
        <v>1</v>
      </c>
      <c r="F21" s="135">
        <f t="shared" si="0"/>
        <v>0.26041666666666663</v>
      </c>
      <c r="H21" s="852">
        <v>5</v>
      </c>
      <c r="I21" s="135">
        <f t="shared" si="1"/>
        <v>1.3020833333333335</v>
      </c>
      <c r="K21" s="852">
        <v>102</v>
      </c>
      <c r="L21" s="135">
        <f t="shared" si="2"/>
        <v>26.5625</v>
      </c>
      <c r="N21" s="852">
        <v>276</v>
      </c>
      <c r="O21" s="135">
        <f t="shared" si="3"/>
        <v>71.875</v>
      </c>
      <c r="Q21" s="852">
        <v>0</v>
      </c>
      <c r="R21" s="135">
        <f t="shared" si="4"/>
        <v>0</v>
      </c>
    </row>
    <row r="22" spans="1:18" ht="15" customHeight="1">
      <c r="C22" s="105" t="str">
        <f t="shared" si="5"/>
        <v/>
      </c>
      <c r="E22" s="852"/>
      <c r="F22" s="135" t="str">
        <f t="shared" si="0"/>
        <v/>
      </c>
      <c r="H22" s="852"/>
      <c r="I22" s="135" t="str">
        <f t="shared" si="1"/>
        <v/>
      </c>
      <c r="K22" s="852"/>
      <c r="L22" s="135" t="str">
        <f t="shared" si="2"/>
        <v/>
      </c>
      <c r="N22" s="852"/>
      <c r="O22" s="135" t="str">
        <f t="shared" si="3"/>
        <v/>
      </c>
      <c r="Q22" s="852"/>
      <c r="R22" s="135" t="str">
        <f t="shared" si="4"/>
        <v/>
      </c>
    </row>
    <row r="23" spans="1:18" ht="15" customHeight="1">
      <c r="A23" s="95" t="s">
        <v>1048</v>
      </c>
      <c r="B23" s="140">
        <f t="shared" si="6"/>
        <v>27</v>
      </c>
      <c r="C23" s="105">
        <f t="shared" si="5"/>
        <v>0.92879256965944268</v>
      </c>
      <c r="E23" s="852">
        <v>1</v>
      </c>
      <c r="F23" s="135">
        <f t="shared" si="0"/>
        <v>3.7037037037037033</v>
      </c>
      <c r="H23" s="852">
        <v>1</v>
      </c>
      <c r="I23" s="135">
        <f t="shared" si="1"/>
        <v>3.7037037037037033</v>
      </c>
      <c r="K23" s="852">
        <v>2</v>
      </c>
      <c r="L23" s="135">
        <f t="shared" si="2"/>
        <v>7.4074074074074066</v>
      </c>
      <c r="N23" s="852">
        <v>8</v>
      </c>
      <c r="O23" s="135">
        <f t="shared" si="3"/>
        <v>29.629629629629626</v>
      </c>
      <c r="Q23" s="852">
        <v>15</v>
      </c>
      <c r="R23" s="135">
        <f t="shared" si="4"/>
        <v>55.555555555555557</v>
      </c>
    </row>
    <row r="24" spans="1:18" ht="15" customHeight="1">
      <c r="C24" s="105" t="str">
        <f t="shared" si="5"/>
        <v/>
      </c>
      <c r="F24" s="135" t="str">
        <f t="shared" si="0"/>
        <v/>
      </c>
      <c r="I24" s="135" t="str">
        <f t="shared" si="1"/>
        <v/>
      </c>
      <c r="L24" s="135" t="str">
        <f t="shared" si="2"/>
        <v/>
      </c>
      <c r="O24" s="135" t="str">
        <f t="shared" si="3"/>
        <v/>
      </c>
      <c r="R24" s="135" t="str">
        <f t="shared" si="4"/>
        <v/>
      </c>
    </row>
    <row r="25" spans="1:18" ht="15" customHeight="1">
      <c r="A25" s="55" t="s">
        <v>423</v>
      </c>
      <c r="B25" s="140">
        <f>SUM(B27:B35)</f>
        <v>160</v>
      </c>
      <c r="C25" s="105">
        <f t="shared" si="5"/>
        <v>5.503955968352253</v>
      </c>
      <c r="E25" s="140">
        <f>SUM(E27:E35)</f>
        <v>17</v>
      </c>
      <c r="F25" s="135">
        <f t="shared" si="0"/>
        <v>10.625</v>
      </c>
      <c r="H25" s="140">
        <f>SUM(H27:H35)</f>
        <v>109</v>
      </c>
      <c r="I25" s="135">
        <f t="shared" si="1"/>
        <v>68.125</v>
      </c>
      <c r="K25" s="140">
        <f>SUM(K27:K35)</f>
        <v>15</v>
      </c>
      <c r="L25" s="135">
        <f t="shared" si="2"/>
        <v>9.375</v>
      </c>
      <c r="N25" s="140">
        <f>SUM(N27:N35)</f>
        <v>19</v>
      </c>
      <c r="O25" s="135">
        <f t="shared" si="3"/>
        <v>11.875</v>
      </c>
      <c r="Q25" s="140">
        <f>SUM(Q27:Q35)</f>
        <v>0</v>
      </c>
      <c r="R25" s="135">
        <f t="shared" si="4"/>
        <v>0</v>
      </c>
    </row>
    <row r="26" spans="1:18" ht="15" customHeight="1">
      <c r="C26" s="105" t="str">
        <f t="shared" si="5"/>
        <v/>
      </c>
      <c r="F26" s="135" t="str">
        <f t="shared" si="0"/>
        <v/>
      </c>
      <c r="I26" s="135" t="str">
        <f t="shared" si="1"/>
        <v/>
      </c>
      <c r="L26" s="135" t="str">
        <f t="shared" si="2"/>
        <v/>
      </c>
      <c r="O26" s="135" t="str">
        <f t="shared" si="3"/>
        <v/>
      </c>
      <c r="R26" s="135" t="str">
        <f t="shared" si="4"/>
        <v/>
      </c>
    </row>
    <row r="27" spans="1:18" ht="15" customHeight="1">
      <c r="A27" s="95" t="s">
        <v>1044</v>
      </c>
      <c r="B27" s="140">
        <f t="shared" si="6"/>
        <v>4</v>
      </c>
      <c r="C27" s="105">
        <f t="shared" si="5"/>
        <v>0.13759889920880633</v>
      </c>
      <c r="E27" s="835">
        <v>4</v>
      </c>
      <c r="F27" s="135">
        <f t="shared" si="0"/>
        <v>100</v>
      </c>
      <c r="H27" s="835">
        <v>0</v>
      </c>
      <c r="I27" s="135">
        <f t="shared" si="1"/>
        <v>0</v>
      </c>
      <c r="K27" s="835">
        <v>0</v>
      </c>
      <c r="L27" s="135">
        <f t="shared" si="2"/>
        <v>0</v>
      </c>
      <c r="N27" s="835">
        <v>0</v>
      </c>
      <c r="O27" s="135">
        <f t="shared" si="3"/>
        <v>0</v>
      </c>
      <c r="Q27" s="140">
        <v>0</v>
      </c>
      <c r="R27" s="135">
        <f t="shared" si="4"/>
        <v>0</v>
      </c>
    </row>
    <row r="28" spans="1:18" ht="15" customHeight="1">
      <c r="C28" s="105" t="str">
        <f t="shared" si="5"/>
        <v/>
      </c>
      <c r="E28" s="835"/>
      <c r="F28" s="135" t="str">
        <f t="shared" si="0"/>
        <v/>
      </c>
      <c r="H28" s="835"/>
      <c r="I28" s="135" t="str">
        <f t="shared" si="1"/>
        <v/>
      </c>
      <c r="K28" s="835"/>
      <c r="L28" s="135" t="str">
        <f t="shared" si="2"/>
        <v/>
      </c>
      <c r="N28" s="835"/>
      <c r="O28" s="135" t="str">
        <f t="shared" si="3"/>
        <v/>
      </c>
      <c r="R28" s="135" t="str">
        <f t="shared" si="4"/>
        <v/>
      </c>
    </row>
    <row r="29" spans="1:18" ht="15" customHeight="1">
      <c r="A29" s="95" t="s">
        <v>1045</v>
      </c>
      <c r="B29" s="140">
        <f t="shared" si="6"/>
        <v>114</v>
      </c>
      <c r="C29" s="105">
        <f t="shared" si="5"/>
        <v>3.9215686274509802</v>
      </c>
      <c r="E29" s="838">
        <v>13</v>
      </c>
      <c r="F29" s="135">
        <f t="shared" si="0"/>
        <v>11.403508771929824</v>
      </c>
      <c r="H29" s="838">
        <v>101</v>
      </c>
      <c r="I29" s="135">
        <f t="shared" si="1"/>
        <v>88.596491228070178</v>
      </c>
      <c r="K29" s="838">
        <v>0</v>
      </c>
      <c r="L29" s="135">
        <f t="shared" si="2"/>
        <v>0</v>
      </c>
      <c r="N29" s="838">
        <v>0</v>
      </c>
      <c r="O29" s="135">
        <f t="shared" si="3"/>
        <v>0</v>
      </c>
      <c r="Q29" s="95">
        <v>0</v>
      </c>
      <c r="R29" s="135">
        <f t="shared" si="4"/>
        <v>0</v>
      </c>
    </row>
    <row r="30" spans="1:18" ht="15" customHeight="1">
      <c r="C30" s="105" t="str">
        <f t="shared" si="5"/>
        <v/>
      </c>
      <c r="E30" s="838"/>
      <c r="F30" s="135" t="str">
        <f t="shared" si="0"/>
        <v/>
      </c>
      <c r="H30" s="838"/>
      <c r="I30" s="135" t="str">
        <f t="shared" si="1"/>
        <v/>
      </c>
      <c r="K30" s="838"/>
      <c r="L30" s="135" t="str">
        <f t="shared" si="2"/>
        <v/>
      </c>
      <c r="N30" s="838"/>
      <c r="O30" s="135" t="str">
        <f t="shared" si="3"/>
        <v/>
      </c>
      <c r="Q30" s="95"/>
      <c r="R30" s="135" t="str">
        <f t="shared" si="4"/>
        <v/>
      </c>
    </row>
    <row r="31" spans="1:18" ht="15" customHeight="1">
      <c r="A31" s="95" t="s">
        <v>1046</v>
      </c>
      <c r="B31" s="140">
        <f>E31+H31+K31+N31+Q31</f>
        <v>17</v>
      </c>
      <c r="C31" s="105">
        <f t="shared" si="5"/>
        <v>0.58479532163742687</v>
      </c>
      <c r="E31" s="838">
        <v>0</v>
      </c>
      <c r="F31" s="135">
        <f t="shared" si="0"/>
        <v>0</v>
      </c>
      <c r="H31" s="838">
        <v>8</v>
      </c>
      <c r="I31" s="135">
        <f t="shared" si="1"/>
        <v>47.058823529411761</v>
      </c>
      <c r="K31" s="838">
        <v>9</v>
      </c>
      <c r="L31" s="135">
        <f t="shared" si="2"/>
        <v>52.941176470588239</v>
      </c>
      <c r="N31" s="838">
        <v>0</v>
      </c>
      <c r="O31" s="135">
        <f t="shared" si="3"/>
        <v>0</v>
      </c>
      <c r="Q31" s="95">
        <v>0</v>
      </c>
      <c r="R31" s="135">
        <f t="shared" si="4"/>
        <v>0</v>
      </c>
    </row>
    <row r="32" spans="1:18" ht="15" customHeight="1">
      <c r="C32" s="105" t="str">
        <f t="shared" si="5"/>
        <v/>
      </c>
      <c r="E32" s="838"/>
      <c r="F32" s="135" t="str">
        <f t="shared" si="0"/>
        <v/>
      </c>
      <c r="H32" s="838"/>
      <c r="I32" s="135" t="str">
        <f t="shared" si="1"/>
        <v/>
      </c>
      <c r="K32" s="838"/>
      <c r="L32" s="135" t="str">
        <f t="shared" si="2"/>
        <v/>
      </c>
      <c r="N32" s="838"/>
      <c r="O32" s="135" t="str">
        <f t="shared" si="3"/>
        <v/>
      </c>
      <c r="Q32" s="95"/>
      <c r="R32" s="135" t="str">
        <f t="shared" si="4"/>
        <v/>
      </c>
    </row>
    <row r="33" spans="1:18" ht="15" customHeight="1">
      <c r="A33" s="95" t="s">
        <v>1047</v>
      </c>
      <c r="B33" s="140">
        <f>E33+H33+K33+N33+Q33</f>
        <v>25</v>
      </c>
      <c r="C33" s="105">
        <f t="shared" si="5"/>
        <v>0.85999312005503958</v>
      </c>
      <c r="E33" s="838">
        <v>0</v>
      </c>
      <c r="F33" s="135">
        <f t="shared" si="0"/>
        <v>0</v>
      </c>
      <c r="H33" s="838">
        <v>0</v>
      </c>
      <c r="I33" s="135">
        <f t="shared" si="1"/>
        <v>0</v>
      </c>
      <c r="K33" s="838">
        <v>6</v>
      </c>
      <c r="L33" s="135">
        <f t="shared" si="2"/>
        <v>24</v>
      </c>
      <c r="N33" s="838">
        <v>19</v>
      </c>
      <c r="O33" s="135">
        <f t="shared" si="3"/>
        <v>76</v>
      </c>
      <c r="Q33" s="95">
        <v>0</v>
      </c>
      <c r="R33" s="135">
        <f t="shared" si="4"/>
        <v>0</v>
      </c>
    </row>
    <row r="34" spans="1:18" ht="15" hidden="1" customHeight="1">
      <c r="B34" s="140">
        <f>E34+H34+K34+N34+Q34</f>
        <v>0</v>
      </c>
      <c r="C34" s="105" t="str">
        <f t="shared" si="5"/>
        <v/>
      </c>
      <c r="E34" s="369"/>
      <c r="F34" s="135" t="str">
        <f t="shared" si="0"/>
        <v/>
      </c>
      <c r="H34" s="370"/>
      <c r="I34" s="135" t="str">
        <f t="shared" si="1"/>
        <v/>
      </c>
      <c r="K34" s="370"/>
      <c r="L34" s="135" t="str">
        <f t="shared" si="2"/>
        <v/>
      </c>
      <c r="N34" s="370"/>
      <c r="O34" s="135" t="str">
        <f t="shared" si="3"/>
        <v/>
      </c>
      <c r="Q34" s="95"/>
      <c r="R34" s="135" t="str">
        <f t="shared" si="4"/>
        <v/>
      </c>
    </row>
    <row r="35" spans="1:18" ht="15" hidden="1" customHeight="1">
      <c r="A35" s="95" t="s">
        <v>1048</v>
      </c>
      <c r="B35" s="140">
        <f>E35+H35+K35+N35+Q35</f>
        <v>0</v>
      </c>
      <c r="C35" s="105">
        <f t="shared" si="5"/>
        <v>0</v>
      </c>
      <c r="E35" s="369">
        <v>0</v>
      </c>
      <c r="F35" s="135" t="e">
        <f t="shared" si="0"/>
        <v>#DIV/0!</v>
      </c>
      <c r="H35" s="370">
        <v>0</v>
      </c>
      <c r="I35" s="135" t="e">
        <f t="shared" si="1"/>
        <v>#DIV/0!</v>
      </c>
      <c r="K35" s="370">
        <v>0</v>
      </c>
      <c r="L35" s="135" t="e">
        <f t="shared" si="2"/>
        <v>#DIV/0!</v>
      </c>
      <c r="N35" s="370"/>
      <c r="O35" s="135" t="e">
        <f t="shared" si="3"/>
        <v>#DIV/0!</v>
      </c>
      <c r="Q35" s="95"/>
      <c r="R35" s="135" t="e">
        <f t="shared" si="4"/>
        <v>#DIV/0!</v>
      </c>
    </row>
    <row r="36" spans="1:18" ht="15" customHeight="1" thickBot="1">
      <c r="A36" s="102"/>
      <c r="B36" s="153"/>
      <c r="C36" s="96"/>
      <c r="D36" s="96"/>
      <c r="E36" s="153"/>
      <c r="F36" s="96"/>
      <c r="G36" s="102"/>
      <c r="H36" s="153"/>
      <c r="I36" s="96"/>
      <c r="J36" s="102"/>
      <c r="K36" s="153"/>
      <c r="L36" s="96"/>
      <c r="M36" s="102"/>
      <c r="N36" s="153"/>
      <c r="O36" s="96"/>
      <c r="P36" s="102"/>
      <c r="Q36" s="153"/>
      <c r="R36" s="96"/>
    </row>
    <row r="38" spans="1:18">
      <c r="A38" s="95" t="s">
        <v>1051</v>
      </c>
    </row>
    <row r="40" spans="1:18" ht="15">
      <c r="A40" s="203" t="s">
        <v>1943</v>
      </c>
      <c r="D40" s="95"/>
    </row>
    <row r="41" spans="1:18" ht="15">
      <c r="A41" s="203" t="s">
        <v>1018</v>
      </c>
      <c r="D41" s="95"/>
    </row>
    <row r="43" spans="1:18">
      <c r="A43" s="14" t="s">
        <v>1942</v>
      </c>
    </row>
    <row r="44" spans="1:18">
      <c r="A44" s="111" t="s">
        <v>976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126"/>
  <sheetViews>
    <sheetView topLeftCell="A64" workbookViewId="0">
      <selection activeCell="A2" sqref="A2"/>
    </sheetView>
  </sheetViews>
  <sheetFormatPr baseColWidth="10" defaultColWidth="8.83203125" defaultRowHeight="13"/>
  <cols>
    <col min="1" max="1" width="43.6640625" style="33" customWidth="1"/>
    <col min="2" max="2" width="9.6640625" style="58" customWidth="1"/>
    <col min="3" max="3" width="8.6640625" style="84" customWidth="1"/>
    <col min="4" max="4" width="2.5" style="72" customWidth="1"/>
    <col min="5" max="5" width="9.6640625" style="72" customWidth="1"/>
    <col min="6" max="6" width="9.6640625" style="84" customWidth="1"/>
    <col min="7" max="7" width="2.6640625" style="288" customWidth="1"/>
    <col min="8" max="8" width="9.6640625" style="72" customWidth="1"/>
    <col min="9" max="9" width="9.6640625" style="84" customWidth="1"/>
    <col min="10" max="10" width="2.5" style="72" customWidth="1"/>
    <col min="11" max="11" width="9.6640625" style="14" customWidth="1"/>
    <col min="12" max="12" width="2.6640625" style="33" customWidth="1"/>
    <col min="13" max="13" width="9.6640625" style="84" customWidth="1"/>
    <col min="14" max="14" width="4" style="33" customWidth="1"/>
    <col min="15" max="256" width="8.83203125" style="33"/>
    <col min="257" max="257" width="43.6640625" style="33" customWidth="1"/>
    <col min="258" max="258" width="9.6640625" style="33" customWidth="1"/>
    <col min="259" max="259" width="8.6640625" style="33" customWidth="1"/>
    <col min="260" max="260" width="2.5" style="33" customWidth="1"/>
    <col min="261" max="262" width="9.6640625" style="33" customWidth="1"/>
    <col min="263" max="263" width="2.6640625" style="33" customWidth="1"/>
    <col min="264" max="265" width="9.6640625" style="33" customWidth="1"/>
    <col min="266" max="266" width="2.5" style="33" customWidth="1"/>
    <col min="267" max="267" width="9.6640625" style="33" customWidth="1"/>
    <col min="268" max="268" width="2.6640625" style="33" customWidth="1"/>
    <col min="269" max="269" width="9.6640625" style="33" customWidth="1"/>
    <col min="270" max="270" width="4" style="33" customWidth="1"/>
    <col min="271" max="512" width="8.83203125" style="33"/>
    <col min="513" max="513" width="43.6640625" style="33" customWidth="1"/>
    <col min="514" max="514" width="9.6640625" style="33" customWidth="1"/>
    <col min="515" max="515" width="8.6640625" style="33" customWidth="1"/>
    <col min="516" max="516" width="2.5" style="33" customWidth="1"/>
    <col min="517" max="518" width="9.6640625" style="33" customWidth="1"/>
    <col min="519" max="519" width="2.6640625" style="33" customWidth="1"/>
    <col min="520" max="521" width="9.6640625" style="33" customWidth="1"/>
    <col min="522" max="522" width="2.5" style="33" customWidth="1"/>
    <col min="523" max="523" width="9.6640625" style="33" customWidth="1"/>
    <col min="524" max="524" width="2.6640625" style="33" customWidth="1"/>
    <col min="525" max="525" width="9.6640625" style="33" customWidth="1"/>
    <col min="526" max="526" width="4" style="33" customWidth="1"/>
    <col min="527" max="768" width="8.83203125" style="33"/>
    <col min="769" max="769" width="43.6640625" style="33" customWidth="1"/>
    <col min="770" max="770" width="9.6640625" style="33" customWidth="1"/>
    <col min="771" max="771" width="8.6640625" style="33" customWidth="1"/>
    <col min="772" max="772" width="2.5" style="33" customWidth="1"/>
    <col min="773" max="774" width="9.6640625" style="33" customWidth="1"/>
    <col min="775" max="775" width="2.6640625" style="33" customWidth="1"/>
    <col min="776" max="777" width="9.6640625" style="33" customWidth="1"/>
    <col min="778" max="778" width="2.5" style="33" customWidth="1"/>
    <col min="779" max="779" width="9.6640625" style="33" customWidth="1"/>
    <col min="780" max="780" width="2.6640625" style="33" customWidth="1"/>
    <col min="781" max="781" width="9.6640625" style="33" customWidth="1"/>
    <col min="782" max="782" width="4" style="33" customWidth="1"/>
    <col min="783" max="1024" width="8.83203125" style="33"/>
    <col min="1025" max="1025" width="43.6640625" style="33" customWidth="1"/>
    <col min="1026" max="1026" width="9.6640625" style="33" customWidth="1"/>
    <col min="1027" max="1027" width="8.6640625" style="33" customWidth="1"/>
    <col min="1028" max="1028" width="2.5" style="33" customWidth="1"/>
    <col min="1029" max="1030" width="9.6640625" style="33" customWidth="1"/>
    <col min="1031" max="1031" width="2.6640625" style="33" customWidth="1"/>
    <col min="1032" max="1033" width="9.6640625" style="33" customWidth="1"/>
    <col min="1034" max="1034" width="2.5" style="33" customWidth="1"/>
    <col min="1035" max="1035" width="9.6640625" style="33" customWidth="1"/>
    <col min="1036" max="1036" width="2.6640625" style="33" customWidth="1"/>
    <col min="1037" max="1037" width="9.6640625" style="33" customWidth="1"/>
    <col min="1038" max="1038" width="4" style="33" customWidth="1"/>
    <col min="1039" max="1280" width="8.83203125" style="33"/>
    <col min="1281" max="1281" width="43.6640625" style="33" customWidth="1"/>
    <col min="1282" max="1282" width="9.6640625" style="33" customWidth="1"/>
    <col min="1283" max="1283" width="8.6640625" style="33" customWidth="1"/>
    <col min="1284" max="1284" width="2.5" style="33" customWidth="1"/>
    <col min="1285" max="1286" width="9.6640625" style="33" customWidth="1"/>
    <col min="1287" max="1287" width="2.6640625" style="33" customWidth="1"/>
    <col min="1288" max="1289" width="9.6640625" style="33" customWidth="1"/>
    <col min="1290" max="1290" width="2.5" style="33" customWidth="1"/>
    <col min="1291" max="1291" width="9.6640625" style="33" customWidth="1"/>
    <col min="1292" max="1292" width="2.6640625" style="33" customWidth="1"/>
    <col min="1293" max="1293" width="9.6640625" style="33" customWidth="1"/>
    <col min="1294" max="1294" width="4" style="33" customWidth="1"/>
    <col min="1295" max="1536" width="8.83203125" style="33"/>
    <col min="1537" max="1537" width="43.6640625" style="33" customWidth="1"/>
    <col min="1538" max="1538" width="9.6640625" style="33" customWidth="1"/>
    <col min="1539" max="1539" width="8.6640625" style="33" customWidth="1"/>
    <col min="1540" max="1540" width="2.5" style="33" customWidth="1"/>
    <col min="1541" max="1542" width="9.6640625" style="33" customWidth="1"/>
    <col min="1543" max="1543" width="2.6640625" style="33" customWidth="1"/>
    <col min="1544" max="1545" width="9.6640625" style="33" customWidth="1"/>
    <col min="1546" max="1546" width="2.5" style="33" customWidth="1"/>
    <col min="1547" max="1547" width="9.6640625" style="33" customWidth="1"/>
    <col min="1548" max="1548" width="2.6640625" style="33" customWidth="1"/>
    <col min="1549" max="1549" width="9.6640625" style="33" customWidth="1"/>
    <col min="1550" max="1550" width="4" style="33" customWidth="1"/>
    <col min="1551" max="1792" width="8.83203125" style="33"/>
    <col min="1793" max="1793" width="43.6640625" style="33" customWidth="1"/>
    <col min="1794" max="1794" width="9.6640625" style="33" customWidth="1"/>
    <col min="1795" max="1795" width="8.6640625" style="33" customWidth="1"/>
    <col min="1796" max="1796" width="2.5" style="33" customWidth="1"/>
    <col min="1797" max="1798" width="9.6640625" style="33" customWidth="1"/>
    <col min="1799" max="1799" width="2.6640625" style="33" customWidth="1"/>
    <col min="1800" max="1801" width="9.6640625" style="33" customWidth="1"/>
    <col min="1802" max="1802" width="2.5" style="33" customWidth="1"/>
    <col min="1803" max="1803" width="9.6640625" style="33" customWidth="1"/>
    <col min="1804" max="1804" width="2.6640625" style="33" customWidth="1"/>
    <col min="1805" max="1805" width="9.6640625" style="33" customWidth="1"/>
    <col min="1806" max="1806" width="4" style="33" customWidth="1"/>
    <col min="1807" max="2048" width="8.83203125" style="33"/>
    <col min="2049" max="2049" width="43.6640625" style="33" customWidth="1"/>
    <col min="2050" max="2050" width="9.6640625" style="33" customWidth="1"/>
    <col min="2051" max="2051" width="8.6640625" style="33" customWidth="1"/>
    <col min="2052" max="2052" width="2.5" style="33" customWidth="1"/>
    <col min="2053" max="2054" width="9.6640625" style="33" customWidth="1"/>
    <col min="2055" max="2055" width="2.6640625" style="33" customWidth="1"/>
    <col min="2056" max="2057" width="9.6640625" style="33" customWidth="1"/>
    <col min="2058" max="2058" width="2.5" style="33" customWidth="1"/>
    <col min="2059" max="2059" width="9.6640625" style="33" customWidth="1"/>
    <col min="2060" max="2060" width="2.6640625" style="33" customWidth="1"/>
    <col min="2061" max="2061" width="9.6640625" style="33" customWidth="1"/>
    <col min="2062" max="2062" width="4" style="33" customWidth="1"/>
    <col min="2063" max="2304" width="8.83203125" style="33"/>
    <col min="2305" max="2305" width="43.6640625" style="33" customWidth="1"/>
    <col min="2306" max="2306" width="9.6640625" style="33" customWidth="1"/>
    <col min="2307" max="2307" width="8.6640625" style="33" customWidth="1"/>
    <col min="2308" max="2308" width="2.5" style="33" customWidth="1"/>
    <col min="2309" max="2310" width="9.6640625" style="33" customWidth="1"/>
    <col min="2311" max="2311" width="2.6640625" style="33" customWidth="1"/>
    <col min="2312" max="2313" width="9.6640625" style="33" customWidth="1"/>
    <col min="2314" max="2314" width="2.5" style="33" customWidth="1"/>
    <col min="2315" max="2315" width="9.6640625" style="33" customWidth="1"/>
    <col min="2316" max="2316" width="2.6640625" style="33" customWidth="1"/>
    <col min="2317" max="2317" width="9.6640625" style="33" customWidth="1"/>
    <col min="2318" max="2318" width="4" style="33" customWidth="1"/>
    <col min="2319" max="2560" width="8.83203125" style="33"/>
    <col min="2561" max="2561" width="43.6640625" style="33" customWidth="1"/>
    <col min="2562" max="2562" width="9.6640625" style="33" customWidth="1"/>
    <col min="2563" max="2563" width="8.6640625" style="33" customWidth="1"/>
    <col min="2564" max="2564" width="2.5" style="33" customWidth="1"/>
    <col min="2565" max="2566" width="9.6640625" style="33" customWidth="1"/>
    <col min="2567" max="2567" width="2.6640625" style="33" customWidth="1"/>
    <col min="2568" max="2569" width="9.6640625" style="33" customWidth="1"/>
    <col min="2570" max="2570" width="2.5" style="33" customWidth="1"/>
    <col min="2571" max="2571" width="9.6640625" style="33" customWidth="1"/>
    <col min="2572" max="2572" width="2.6640625" style="33" customWidth="1"/>
    <col min="2573" max="2573" width="9.6640625" style="33" customWidth="1"/>
    <col min="2574" max="2574" width="4" style="33" customWidth="1"/>
    <col min="2575" max="2816" width="8.83203125" style="33"/>
    <col min="2817" max="2817" width="43.6640625" style="33" customWidth="1"/>
    <col min="2818" max="2818" width="9.6640625" style="33" customWidth="1"/>
    <col min="2819" max="2819" width="8.6640625" style="33" customWidth="1"/>
    <col min="2820" max="2820" width="2.5" style="33" customWidth="1"/>
    <col min="2821" max="2822" width="9.6640625" style="33" customWidth="1"/>
    <col min="2823" max="2823" width="2.6640625" style="33" customWidth="1"/>
    <col min="2824" max="2825" width="9.6640625" style="33" customWidth="1"/>
    <col min="2826" max="2826" width="2.5" style="33" customWidth="1"/>
    <col min="2827" max="2827" width="9.6640625" style="33" customWidth="1"/>
    <col min="2828" max="2828" width="2.6640625" style="33" customWidth="1"/>
    <col min="2829" max="2829" width="9.6640625" style="33" customWidth="1"/>
    <col min="2830" max="2830" width="4" style="33" customWidth="1"/>
    <col min="2831" max="3072" width="8.83203125" style="33"/>
    <col min="3073" max="3073" width="43.6640625" style="33" customWidth="1"/>
    <col min="3074" max="3074" width="9.6640625" style="33" customWidth="1"/>
    <col min="3075" max="3075" width="8.6640625" style="33" customWidth="1"/>
    <col min="3076" max="3076" width="2.5" style="33" customWidth="1"/>
    <col min="3077" max="3078" width="9.6640625" style="33" customWidth="1"/>
    <col min="3079" max="3079" width="2.6640625" style="33" customWidth="1"/>
    <col min="3080" max="3081" width="9.6640625" style="33" customWidth="1"/>
    <col min="3082" max="3082" width="2.5" style="33" customWidth="1"/>
    <col min="3083" max="3083" width="9.6640625" style="33" customWidth="1"/>
    <col min="3084" max="3084" width="2.6640625" style="33" customWidth="1"/>
    <col min="3085" max="3085" width="9.6640625" style="33" customWidth="1"/>
    <col min="3086" max="3086" width="4" style="33" customWidth="1"/>
    <col min="3087" max="3328" width="8.83203125" style="33"/>
    <col min="3329" max="3329" width="43.6640625" style="33" customWidth="1"/>
    <col min="3330" max="3330" width="9.6640625" style="33" customWidth="1"/>
    <col min="3331" max="3331" width="8.6640625" style="33" customWidth="1"/>
    <col min="3332" max="3332" width="2.5" style="33" customWidth="1"/>
    <col min="3333" max="3334" width="9.6640625" style="33" customWidth="1"/>
    <col min="3335" max="3335" width="2.6640625" style="33" customWidth="1"/>
    <col min="3336" max="3337" width="9.6640625" style="33" customWidth="1"/>
    <col min="3338" max="3338" width="2.5" style="33" customWidth="1"/>
    <col min="3339" max="3339" width="9.6640625" style="33" customWidth="1"/>
    <col min="3340" max="3340" width="2.6640625" style="33" customWidth="1"/>
    <col min="3341" max="3341" width="9.6640625" style="33" customWidth="1"/>
    <col min="3342" max="3342" width="4" style="33" customWidth="1"/>
    <col min="3343" max="3584" width="8.83203125" style="33"/>
    <col min="3585" max="3585" width="43.6640625" style="33" customWidth="1"/>
    <col min="3586" max="3586" width="9.6640625" style="33" customWidth="1"/>
    <col min="3587" max="3587" width="8.6640625" style="33" customWidth="1"/>
    <col min="3588" max="3588" width="2.5" style="33" customWidth="1"/>
    <col min="3589" max="3590" width="9.6640625" style="33" customWidth="1"/>
    <col min="3591" max="3591" width="2.6640625" style="33" customWidth="1"/>
    <col min="3592" max="3593" width="9.6640625" style="33" customWidth="1"/>
    <col min="3594" max="3594" width="2.5" style="33" customWidth="1"/>
    <col min="3595" max="3595" width="9.6640625" style="33" customWidth="1"/>
    <col min="3596" max="3596" width="2.6640625" style="33" customWidth="1"/>
    <col min="3597" max="3597" width="9.6640625" style="33" customWidth="1"/>
    <col min="3598" max="3598" width="4" style="33" customWidth="1"/>
    <col min="3599" max="3840" width="8.83203125" style="33"/>
    <col min="3841" max="3841" width="43.6640625" style="33" customWidth="1"/>
    <col min="3842" max="3842" width="9.6640625" style="33" customWidth="1"/>
    <col min="3843" max="3843" width="8.6640625" style="33" customWidth="1"/>
    <col min="3844" max="3844" width="2.5" style="33" customWidth="1"/>
    <col min="3845" max="3846" width="9.6640625" style="33" customWidth="1"/>
    <col min="3847" max="3847" width="2.6640625" style="33" customWidth="1"/>
    <col min="3848" max="3849" width="9.6640625" style="33" customWidth="1"/>
    <col min="3850" max="3850" width="2.5" style="33" customWidth="1"/>
    <col min="3851" max="3851" width="9.6640625" style="33" customWidth="1"/>
    <col min="3852" max="3852" width="2.6640625" style="33" customWidth="1"/>
    <col min="3853" max="3853" width="9.6640625" style="33" customWidth="1"/>
    <col min="3854" max="3854" width="4" style="33" customWidth="1"/>
    <col min="3855" max="4096" width="8.83203125" style="33"/>
    <col min="4097" max="4097" width="43.6640625" style="33" customWidth="1"/>
    <col min="4098" max="4098" width="9.6640625" style="33" customWidth="1"/>
    <col min="4099" max="4099" width="8.6640625" style="33" customWidth="1"/>
    <col min="4100" max="4100" width="2.5" style="33" customWidth="1"/>
    <col min="4101" max="4102" width="9.6640625" style="33" customWidth="1"/>
    <col min="4103" max="4103" width="2.6640625" style="33" customWidth="1"/>
    <col min="4104" max="4105" width="9.6640625" style="33" customWidth="1"/>
    <col min="4106" max="4106" width="2.5" style="33" customWidth="1"/>
    <col min="4107" max="4107" width="9.6640625" style="33" customWidth="1"/>
    <col min="4108" max="4108" width="2.6640625" style="33" customWidth="1"/>
    <col min="4109" max="4109" width="9.6640625" style="33" customWidth="1"/>
    <col min="4110" max="4110" width="4" style="33" customWidth="1"/>
    <col min="4111" max="4352" width="8.83203125" style="33"/>
    <col min="4353" max="4353" width="43.6640625" style="33" customWidth="1"/>
    <col min="4354" max="4354" width="9.6640625" style="33" customWidth="1"/>
    <col min="4355" max="4355" width="8.6640625" style="33" customWidth="1"/>
    <col min="4356" max="4356" width="2.5" style="33" customWidth="1"/>
    <col min="4357" max="4358" width="9.6640625" style="33" customWidth="1"/>
    <col min="4359" max="4359" width="2.6640625" style="33" customWidth="1"/>
    <col min="4360" max="4361" width="9.6640625" style="33" customWidth="1"/>
    <col min="4362" max="4362" width="2.5" style="33" customWidth="1"/>
    <col min="4363" max="4363" width="9.6640625" style="33" customWidth="1"/>
    <col min="4364" max="4364" width="2.6640625" style="33" customWidth="1"/>
    <col min="4365" max="4365" width="9.6640625" style="33" customWidth="1"/>
    <col min="4366" max="4366" width="4" style="33" customWidth="1"/>
    <col min="4367" max="4608" width="8.83203125" style="33"/>
    <col min="4609" max="4609" width="43.6640625" style="33" customWidth="1"/>
    <col min="4610" max="4610" width="9.6640625" style="33" customWidth="1"/>
    <col min="4611" max="4611" width="8.6640625" style="33" customWidth="1"/>
    <col min="4612" max="4612" width="2.5" style="33" customWidth="1"/>
    <col min="4613" max="4614" width="9.6640625" style="33" customWidth="1"/>
    <col min="4615" max="4615" width="2.6640625" style="33" customWidth="1"/>
    <col min="4616" max="4617" width="9.6640625" style="33" customWidth="1"/>
    <col min="4618" max="4618" width="2.5" style="33" customWidth="1"/>
    <col min="4619" max="4619" width="9.6640625" style="33" customWidth="1"/>
    <col min="4620" max="4620" width="2.6640625" style="33" customWidth="1"/>
    <col min="4621" max="4621" width="9.6640625" style="33" customWidth="1"/>
    <col min="4622" max="4622" width="4" style="33" customWidth="1"/>
    <col min="4623" max="4864" width="8.83203125" style="33"/>
    <col min="4865" max="4865" width="43.6640625" style="33" customWidth="1"/>
    <col min="4866" max="4866" width="9.6640625" style="33" customWidth="1"/>
    <col min="4867" max="4867" width="8.6640625" style="33" customWidth="1"/>
    <col min="4868" max="4868" width="2.5" style="33" customWidth="1"/>
    <col min="4869" max="4870" width="9.6640625" style="33" customWidth="1"/>
    <col min="4871" max="4871" width="2.6640625" style="33" customWidth="1"/>
    <col min="4872" max="4873" width="9.6640625" style="33" customWidth="1"/>
    <col min="4874" max="4874" width="2.5" style="33" customWidth="1"/>
    <col min="4875" max="4875" width="9.6640625" style="33" customWidth="1"/>
    <col min="4876" max="4876" width="2.6640625" style="33" customWidth="1"/>
    <col min="4877" max="4877" width="9.6640625" style="33" customWidth="1"/>
    <col min="4878" max="4878" width="4" style="33" customWidth="1"/>
    <col min="4879" max="5120" width="8.83203125" style="33"/>
    <col min="5121" max="5121" width="43.6640625" style="33" customWidth="1"/>
    <col min="5122" max="5122" width="9.6640625" style="33" customWidth="1"/>
    <col min="5123" max="5123" width="8.6640625" style="33" customWidth="1"/>
    <col min="5124" max="5124" width="2.5" style="33" customWidth="1"/>
    <col min="5125" max="5126" width="9.6640625" style="33" customWidth="1"/>
    <col min="5127" max="5127" width="2.6640625" style="33" customWidth="1"/>
    <col min="5128" max="5129" width="9.6640625" style="33" customWidth="1"/>
    <col min="5130" max="5130" width="2.5" style="33" customWidth="1"/>
    <col min="5131" max="5131" width="9.6640625" style="33" customWidth="1"/>
    <col min="5132" max="5132" width="2.6640625" style="33" customWidth="1"/>
    <col min="5133" max="5133" width="9.6640625" style="33" customWidth="1"/>
    <col min="5134" max="5134" width="4" style="33" customWidth="1"/>
    <col min="5135" max="5376" width="8.83203125" style="33"/>
    <col min="5377" max="5377" width="43.6640625" style="33" customWidth="1"/>
    <col min="5378" max="5378" width="9.6640625" style="33" customWidth="1"/>
    <col min="5379" max="5379" width="8.6640625" style="33" customWidth="1"/>
    <col min="5380" max="5380" width="2.5" style="33" customWidth="1"/>
    <col min="5381" max="5382" width="9.6640625" style="33" customWidth="1"/>
    <col min="5383" max="5383" width="2.6640625" style="33" customWidth="1"/>
    <col min="5384" max="5385" width="9.6640625" style="33" customWidth="1"/>
    <col min="5386" max="5386" width="2.5" style="33" customWidth="1"/>
    <col min="5387" max="5387" width="9.6640625" style="33" customWidth="1"/>
    <col min="5388" max="5388" width="2.6640625" style="33" customWidth="1"/>
    <col min="5389" max="5389" width="9.6640625" style="33" customWidth="1"/>
    <col min="5390" max="5390" width="4" style="33" customWidth="1"/>
    <col min="5391" max="5632" width="8.83203125" style="33"/>
    <col min="5633" max="5633" width="43.6640625" style="33" customWidth="1"/>
    <col min="5634" max="5634" width="9.6640625" style="33" customWidth="1"/>
    <col min="5635" max="5635" width="8.6640625" style="33" customWidth="1"/>
    <col min="5636" max="5636" width="2.5" style="33" customWidth="1"/>
    <col min="5637" max="5638" width="9.6640625" style="33" customWidth="1"/>
    <col min="5639" max="5639" width="2.6640625" style="33" customWidth="1"/>
    <col min="5640" max="5641" width="9.6640625" style="33" customWidth="1"/>
    <col min="5642" max="5642" width="2.5" style="33" customWidth="1"/>
    <col min="5643" max="5643" width="9.6640625" style="33" customWidth="1"/>
    <col min="5644" max="5644" width="2.6640625" style="33" customWidth="1"/>
    <col min="5645" max="5645" width="9.6640625" style="33" customWidth="1"/>
    <col min="5646" max="5646" width="4" style="33" customWidth="1"/>
    <col min="5647" max="5888" width="8.83203125" style="33"/>
    <col min="5889" max="5889" width="43.6640625" style="33" customWidth="1"/>
    <col min="5890" max="5890" width="9.6640625" style="33" customWidth="1"/>
    <col min="5891" max="5891" width="8.6640625" style="33" customWidth="1"/>
    <col min="5892" max="5892" width="2.5" style="33" customWidth="1"/>
    <col min="5893" max="5894" width="9.6640625" style="33" customWidth="1"/>
    <col min="5895" max="5895" width="2.6640625" style="33" customWidth="1"/>
    <col min="5896" max="5897" width="9.6640625" style="33" customWidth="1"/>
    <col min="5898" max="5898" width="2.5" style="33" customWidth="1"/>
    <col min="5899" max="5899" width="9.6640625" style="33" customWidth="1"/>
    <col min="5900" max="5900" width="2.6640625" style="33" customWidth="1"/>
    <col min="5901" max="5901" width="9.6640625" style="33" customWidth="1"/>
    <col min="5902" max="5902" width="4" style="33" customWidth="1"/>
    <col min="5903" max="6144" width="8.83203125" style="33"/>
    <col min="6145" max="6145" width="43.6640625" style="33" customWidth="1"/>
    <col min="6146" max="6146" width="9.6640625" style="33" customWidth="1"/>
    <col min="6147" max="6147" width="8.6640625" style="33" customWidth="1"/>
    <col min="6148" max="6148" width="2.5" style="33" customWidth="1"/>
    <col min="6149" max="6150" width="9.6640625" style="33" customWidth="1"/>
    <col min="6151" max="6151" width="2.6640625" style="33" customWidth="1"/>
    <col min="6152" max="6153" width="9.6640625" style="33" customWidth="1"/>
    <col min="6154" max="6154" width="2.5" style="33" customWidth="1"/>
    <col min="6155" max="6155" width="9.6640625" style="33" customWidth="1"/>
    <col min="6156" max="6156" width="2.6640625" style="33" customWidth="1"/>
    <col min="6157" max="6157" width="9.6640625" style="33" customWidth="1"/>
    <col min="6158" max="6158" width="4" style="33" customWidth="1"/>
    <col min="6159" max="6400" width="8.83203125" style="33"/>
    <col min="6401" max="6401" width="43.6640625" style="33" customWidth="1"/>
    <col min="6402" max="6402" width="9.6640625" style="33" customWidth="1"/>
    <col min="6403" max="6403" width="8.6640625" style="33" customWidth="1"/>
    <col min="6404" max="6404" width="2.5" style="33" customWidth="1"/>
    <col min="6405" max="6406" width="9.6640625" style="33" customWidth="1"/>
    <col min="6407" max="6407" width="2.6640625" style="33" customWidth="1"/>
    <col min="6408" max="6409" width="9.6640625" style="33" customWidth="1"/>
    <col min="6410" max="6410" width="2.5" style="33" customWidth="1"/>
    <col min="6411" max="6411" width="9.6640625" style="33" customWidth="1"/>
    <col min="6412" max="6412" width="2.6640625" style="33" customWidth="1"/>
    <col min="6413" max="6413" width="9.6640625" style="33" customWidth="1"/>
    <col min="6414" max="6414" width="4" style="33" customWidth="1"/>
    <col min="6415" max="6656" width="8.83203125" style="33"/>
    <col min="6657" max="6657" width="43.6640625" style="33" customWidth="1"/>
    <col min="6658" max="6658" width="9.6640625" style="33" customWidth="1"/>
    <col min="6659" max="6659" width="8.6640625" style="33" customWidth="1"/>
    <col min="6660" max="6660" width="2.5" style="33" customWidth="1"/>
    <col min="6661" max="6662" width="9.6640625" style="33" customWidth="1"/>
    <col min="6663" max="6663" width="2.6640625" style="33" customWidth="1"/>
    <col min="6664" max="6665" width="9.6640625" style="33" customWidth="1"/>
    <col min="6666" max="6666" width="2.5" style="33" customWidth="1"/>
    <col min="6667" max="6667" width="9.6640625" style="33" customWidth="1"/>
    <col min="6668" max="6668" width="2.6640625" style="33" customWidth="1"/>
    <col min="6669" max="6669" width="9.6640625" style="33" customWidth="1"/>
    <col min="6670" max="6670" width="4" style="33" customWidth="1"/>
    <col min="6671" max="6912" width="8.83203125" style="33"/>
    <col min="6913" max="6913" width="43.6640625" style="33" customWidth="1"/>
    <col min="6914" max="6914" width="9.6640625" style="33" customWidth="1"/>
    <col min="6915" max="6915" width="8.6640625" style="33" customWidth="1"/>
    <col min="6916" max="6916" width="2.5" style="33" customWidth="1"/>
    <col min="6917" max="6918" width="9.6640625" style="33" customWidth="1"/>
    <col min="6919" max="6919" width="2.6640625" style="33" customWidth="1"/>
    <col min="6920" max="6921" width="9.6640625" style="33" customWidth="1"/>
    <col min="6922" max="6922" width="2.5" style="33" customWidth="1"/>
    <col min="6923" max="6923" width="9.6640625" style="33" customWidth="1"/>
    <col min="6924" max="6924" width="2.6640625" style="33" customWidth="1"/>
    <col min="6925" max="6925" width="9.6640625" style="33" customWidth="1"/>
    <col min="6926" max="6926" width="4" style="33" customWidth="1"/>
    <col min="6927" max="7168" width="8.83203125" style="33"/>
    <col min="7169" max="7169" width="43.6640625" style="33" customWidth="1"/>
    <col min="7170" max="7170" width="9.6640625" style="33" customWidth="1"/>
    <col min="7171" max="7171" width="8.6640625" style="33" customWidth="1"/>
    <col min="7172" max="7172" width="2.5" style="33" customWidth="1"/>
    <col min="7173" max="7174" width="9.6640625" style="33" customWidth="1"/>
    <col min="7175" max="7175" width="2.6640625" style="33" customWidth="1"/>
    <col min="7176" max="7177" width="9.6640625" style="33" customWidth="1"/>
    <col min="7178" max="7178" width="2.5" style="33" customWidth="1"/>
    <col min="7179" max="7179" width="9.6640625" style="33" customWidth="1"/>
    <col min="7180" max="7180" width="2.6640625" style="33" customWidth="1"/>
    <col min="7181" max="7181" width="9.6640625" style="33" customWidth="1"/>
    <col min="7182" max="7182" width="4" style="33" customWidth="1"/>
    <col min="7183" max="7424" width="8.83203125" style="33"/>
    <col min="7425" max="7425" width="43.6640625" style="33" customWidth="1"/>
    <col min="7426" max="7426" width="9.6640625" style="33" customWidth="1"/>
    <col min="7427" max="7427" width="8.6640625" style="33" customWidth="1"/>
    <col min="7428" max="7428" width="2.5" style="33" customWidth="1"/>
    <col min="7429" max="7430" width="9.6640625" style="33" customWidth="1"/>
    <col min="7431" max="7431" width="2.6640625" style="33" customWidth="1"/>
    <col min="7432" max="7433" width="9.6640625" style="33" customWidth="1"/>
    <col min="7434" max="7434" width="2.5" style="33" customWidth="1"/>
    <col min="7435" max="7435" width="9.6640625" style="33" customWidth="1"/>
    <col min="7436" max="7436" width="2.6640625" style="33" customWidth="1"/>
    <col min="7437" max="7437" width="9.6640625" style="33" customWidth="1"/>
    <col min="7438" max="7438" width="4" style="33" customWidth="1"/>
    <col min="7439" max="7680" width="8.83203125" style="33"/>
    <col min="7681" max="7681" width="43.6640625" style="33" customWidth="1"/>
    <col min="7682" max="7682" width="9.6640625" style="33" customWidth="1"/>
    <col min="7683" max="7683" width="8.6640625" style="33" customWidth="1"/>
    <col min="7684" max="7684" width="2.5" style="33" customWidth="1"/>
    <col min="7685" max="7686" width="9.6640625" style="33" customWidth="1"/>
    <col min="7687" max="7687" width="2.6640625" style="33" customWidth="1"/>
    <col min="7688" max="7689" width="9.6640625" style="33" customWidth="1"/>
    <col min="7690" max="7690" width="2.5" style="33" customWidth="1"/>
    <col min="7691" max="7691" width="9.6640625" style="33" customWidth="1"/>
    <col min="7692" max="7692" width="2.6640625" style="33" customWidth="1"/>
    <col min="7693" max="7693" width="9.6640625" style="33" customWidth="1"/>
    <col min="7694" max="7694" width="4" style="33" customWidth="1"/>
    <col min="7695" max="7936" width="8.83203125" style="33"/>
    <col min="7937" max="7937" width="43.6640625" style="33" customWidth="1"/>
    <col min="7938" max="7938" width="9.6640625" style="33" customWidth="1"/>
    <col min="7939" max="7939" width="8.6640625" style="33" customWidth="1"/>
    <col min="7940" max="7940" width="2.5" style="33" customWidth="1"/>
    <col min="7941" max="7942" width="9.6640625" style="33" customWidth="1"/>
    <col min="7943" max="7943" width="2.6640625" style="33" customWidth="1"/>
    <col min="7944" max="7945" width="9.6640625" style="33" customWidth="1"/>
    <col min="7946" max="7946" width="2.5" style="33" customWidth="1"/>
    <col min="7947" max="7947" width="9.6640625" style="33" customWidth="1"/>
    <col min="7948" max="7948" width="2.6640625" style="33" customWidth="1"/>
    <col min="7949" max="7949" width="9.6640625" style="33" customWidth="1"/>
    <col min="7950" max="7950" width="4" style="33" customWidth="1"/>
    <col min="7951" max="8192" width="8.83203125" style="33"/>
    <col min="8193" max="8193" width="43.6640625" style="33" customWidth="1"/>
    <col min="8194" max="8194" width="9.6640625" style="33" customWidth="1"/>
    <col min="8195" max="8195" width="8.6640625" style="33" customWidth="1"/>
    <col min="8196" max="8196" width="2.5" style="33" customWidth="1"/>
    <col min="8197" max="8198" width="9.6640625" style="33" customWidth="1"/>
    <col min="8199" max="8199" width="2.6640625" style="33" customWidth="1"/>
    <col min="8200" max="8201" width="9.6640625" style="33" customWidth="1"/>
    <col min="8202" max="8202" width="2.5" style="33" customWidth="1"/>
    <col min="8203" max="8203" width="9.6640625" style="33" customWidth="1"/>
    <col min="8204" max="8204" width="2.6640625" style="33" customWidth="1"/>
    <col min="8205" max="8205" width="9.6640625" style="33" customWidth="1"/>
    <col min="8206" max="8206" width="4" style="33" customWidth="1"/>
    <col min="8207" max="8448" width="8.83203125" style="33"/>
    <col min="8449" max="8449" width="43.6640625" style="33" customWidth="1"/>
    <col min="8450" max="8450" width="9.6640625" style="33" customWidth="1"/>
    <col min="8451" max="8451" width="8.6640625" style="33" customWidth="1"/>
    <col min="8452" max="8452" width="2.5" style="33" customWidth="1"/>
    <col min="8453" max="8454" width="9.6640625" style="33" customWidth="1"/>
    <col min="8455" max="8455" width="2.6640625" style="33" customWidth="1"/>
    <col min="8456" max="8457" width="9.6640625" style="33" customWidth="1"/>
    <col min="8458" max="8458" width="2.5" style="33" customWidth="1"/>
    <col min="8459" max="8459" width="9.6640625" style="33" customWidth="1"/>
    <col min="8460" max="8460" width="2.6640625" style="33" customWidth="1"/>
    <col min="8461" max="8461" width="9.6640625" style="33" customWidth="1"/>
    <col min="8462" max="8462" width="4" style="33" customWidth="1"/>
    <col min="8463" max="8704" width="8.83203125" style="33"/>
    <col min="8705" max="8705" width="43.6640625" style="33" customWidth="1"/>
    <col min="8706" max="8706" width="9.6640625" style="33" customWidth="1"/>
    <col min="8707" max="8707" width="8.6640625" style="33" customWidth="1"/>
    <col min="8708" max="8708" width="2.5" style="33" customWidth="1"/>
    <col min="8709" max="8710" width="9.6640625" style="33" customWidth="1"/>
    <col min="8711" max="8711" width="2.6640625" style="33" customWidth="1"/>
    <col min="8712" max="8713" width="9.6640625" style="33" customWidth="1"/>
    <col min="8714" max="8714" width="2.5" style="33" customWidth="1"/>
    <col min="8715" max="8715" width="9.6640625" style="33" customWidth="1"/>
    <col min="8716" max="8716" width="2.6640625" style="33" customWidth="1"/>
    <col min="8717" max="8717" width="9.6640625" style="33" customWidth="1"/>
    <col min="8718" max="8718" width="4" style="33" customWidth="1"/>
    <col min="8719" max="8960" width="8.83203125" style="33"/>
    <col min="8961" max="8961" width="43.6640625" style="33" customWidth="1"/>
    <col min="8962" max="8962" width="9.6640625" style="33" customWidth="1"/>
    <col min="8963" max="8963" width="8.6640625" style="33" customWidth="1"/>
    <col min="8964" max="8964" width="2.5" style="33" customWidth="1"/>
    <col min="8965" max="8966" width="9.6640625" style="33" customWidth="1"/>
    <col min="8967" max="8967" width="2.6640625" style="33" customWidth="1"/>
    <col min="8968" max="8969" width="9.6640625" style="33" customWidth="1"/>
    <col min="8970" max="8970" width="2.5" style="33" customWidth="1"/>
    <col min="8971" max="8971" width="9.6640625" style="33" customWidth="1"/>
    <col min="8972" max="8972" width="2.6640625" style="33" customWidth="1"/>
    <col min="8973" max="8973" width="9.6640625" style="33" customWidth="1"/>
    <col min="8974" max="8974" width="4" style="33" customWidth="1"/>
    <col min="8975" max="9216" width="8.83203125" style="33"/>
    <col min="9217" max="9217" width="43.6640625" style="33" customWidth="1"/>
    <col min="9218" max="9218" width="9.6640625" style="33" customWidth="1"/>
    <col min="9219" max="9219" width="8.6640625" style="33" customWidth="1"/>
    <col min="9220" max="9220" width="2.5" style="33" customWidth="1"/>
    <col min="9221" max="9222" width="9.6640625" style="33" customWidth="1"/>
    <col min="9223" max="9223" width="2.6640625" style="33" customWidth="1"/>
    <col min="9224" max="9225" width="9.6640625" style="33" customWidth="1"/>
    <col min="9226" max="9226" width="2.5" style="33" customWidth="1"/>
    <col min="9227" max="9227" width="9.6640625" style="33" customWidth="1"/>
    <col min="9228" max="9228" width="2.6640625" style="33" customWidth="1"/>
    <col min="9229" max="9229" width="9.6640625" style="33" customWidth="1"/>
    <col min="9230" max="9230" width="4" style="33" customWidth="1"/>
    <col min="9231" max="9472" width="8.83203125" style="33"/>
    <col min="9473" max="9473" width="43.6640625" style="33" customWidth="1"/>
    <col min="9474" max="9474" width="9.6640625" style="33" customWidth="1"/>
    <col min="9475" max="9475" width="8.6640625" style="33" customWidth="1"/>
    <col min="9476" max="9476" width="2.5" style="33" customWidth="1"/>
    <col min="9477" max="9478" width="9.6640625" style="33" customWidth="1"/>
    <col min="9479" max="9479" width="2.6640625" style="33" customWidth="1"/>
    <col min="9480" max="9481" width="9.6640625" style="33" customWidth="1"/>
    <col min="9482" max="9482" width="2.5" style="33" customWidth="1"/>
    <col min="9483" max="9483" width="9.6640625" style="33" customWidth="1"/>
    <col min="9484" max="9484" width="2.6640625" style="33" customWidth="1"/>
    <col min="9485" max="9485" width="9.6640625" style="33" customWidth="1"/>
    <col min="9486" max="9486" width="4" style="33" customWidth="1"/>
    <col min="9487" max="9728" width="8.83203125" style="33"/>
    <col min="9729" max="9729" width="43.6640625" style="33" customWidth="1"/>
    <col min="9730" max="9730" width="9.6640625" style="33" customWidth="1"/>
    <col min="9731" max="9731" width="8.6640625" style="33" customWidth="1"/>
    <col min="9732" max="9732" width="2.5" style="33" customWidth="1"/>
    <col min="9733" max="9734" width="9.6640625" style="33" customWidth="1"/>
    <col min="9735" max="9735" width="2.6640625" style="33" customWidth="1"/>
    <col min="9736" max="9737" width="9.6640625" style="33" customWidth="1"/>
    <col min="9738" max="9738" width="2.5" style="33" customWidth="1"/>
    <col min="9739" max="9739" width="9.6640625" style="33" customWidth="1"/>
    <col min="9740" max="9740" width="2.6640625" style="33" customWidth="1"/>
    <col min="9741" max="9741" width="9.6640625" style="33" customWidth="1"/>
    <col min="9742" max="9742" width="4" style="33" customWidth="1"/>
    <col min="9743" max="9984" width="8.83203125" style="33"/>
    <col min="9985" max="9985" width="43.6640625" style="33" customWidth="1"/>
    <col min="9986" max="9986" width="9.6640625" style="33" customWidth="1"/>
    <col min="9987" max="9987" width="8.6640625" style="33" customWidth="1"/>
    <col min="9988" max="9988" width="2.5" style="33" customWidth="1"/>
    <col min="9989" max="9990" width="9.6640625" style="33" customWidth="1"/>
    <col min="9991" max="9991" width="2.6640625" style="33" customWidth="1"/>
    <col min="9992" max="9993" width="9.6640625" style="33" customWidth="1"/>
    <col min="9994" max="9994" width="2.5" style="33" customWidth="1"/>
    <col min="9995" max="9995" width="9.6640625" style="33" customWidth="1"/>
    <col min="9996" max="9996" width="2.6640625" style="33" customWidth="1"/>
    <col min="9997" max="9997" width="9.6640625" style="33" customWidth="1"/>
    <col min="9998" max="9998" width="4" style="33" customWidth="1"/>
    <col min="9999" max="10240" width="8.83203125" style="33"/>
    <col min="10241" max="10241" width="43.6640625" style="33" customWidth="1"/>
    <col min="10242" max="10242" width="9.6640625" style="33" customWidth="1"/>
    <col min="10243" max="10243" width="8.6640625" style="33" customWidth="1"/>
    <col min="10244" max="10244" width="2.5" style="33" customWidth="1"/>
    <col min="10245" max="10246" width="9.6640625" style="33" customWidth="1"/>
    <col min="10247" max="10247" width="2.6640625" style="33" customWidth="1"/>
    <col min="10248" max="10249" width="9.6640625" style="33" customWidth="1"/>
    <col min="10250" max="10250" width="2.5" style="33" customWidth="1"/>
    <col min="10251" max="10251" width="9.6640625" style="33" customWidth="1"/>
    <col min="10252" max="10252" width="2.6640625" style="33" customWidth="1"/>
    <col min="10253" max="10253" width="9.6640625" style="33" customWidth="1"/>
    <col min="10254" max="10254" width="4" style="33" customWidth="1"/>
    <col min="10255" max="10496" width="8.83203125" style="33"/>
    <col min="10497" max="10497" width="43.6640625" style="33" customWidth="1"/>
    <col min="10498" max="10498" width="9.6640625" style="33" customWidth="1"/>
    <col min="10499" max="10499" width="8.6640625" style="33" customWidth="1"/>
    <col min="10500" max="10500" width="2.5" style="33" customWidth="1"/>
    <col min="10501" max="10502" width="9.6640625" style="33" customWidth="1"/>
    <col min="10503" max="10503" width="2.6640625" style="33" customWidth="1"/>
    <col min="10504" max="10505" width="9.6640625" style="33" customWidth="1"/>
    <col min="10506" max="10506" width="2.5" style="33" customWidth="1"/>
    <col min="10507" max="10507" width="9.6640625" style="33" customWidth="1"/>
    <col min="10508" max="10508" width="2.6640625" style="33" customWidth="1"/>
    <col min="10509" max="10509" width="9.6640625" style="33" customWidth="1"/>
    <col min="10510" max="10510" width="4" style="33" customWidth="1"/>
    <col min="10511" max="10752" width="8.83203125" style="33"/>
    <col min="10753" max="10753" width="43.6640625" style="33" customWidth="1"/>
    <col min="10754" max="10754" width="9.6640625" style="33" customWidth="1"/>
    <col min="10755" max="10755" width="8.6640625" style="33" customWidth="1"/>
    <col min="10756" max="10756" width="2.5" style="33" customWidth="1"/>
    <col min="10757" max="10758" width="9.6640625" style="33" customWidth="1"/>
    <col min="10759" max="10759" width="2.6640625" style="33" customWidth="1"/>
    <col min="10760" max="10761" width="9.6640625" style="33" customWidth="1"/>
    <col min="10762" max="10762" width="2.5" style="33" customWidth="1"/>
    <col min="10763" max="10763" width="9.6640625" style="33" customWidth="1"/>
    <col min="10764" max="10764" width="2.6640625" style="33" customWidth="1"/>
    <col min="10765" max="10765" width="9.6640625" style="33" customWidth="1"/>
    <col min="10766" max="10766" width="4" style="33" customWidth="1"/>
    <col min="10767" max="11008" width="8.83203125" style="33"/>
    <col min="11009" max="11009" width="43.6640625" style="33" customWidth="1"/>
    <col min="11010" max="11010" width="9.6640625" style="33" customWidth="1"/>
    <col min="11011" max="11011" width="8.6640625" style="33" customWidth="1"/>
    <col min="11012" max="11012" width="2.5" style="33" customWidth="1"/>
    <col min="11013" max="11014" width="9.6640625" style="33" customWidth="1"/>
    <col min="11015" max="11015" width="2.6640625" style="33" customWidth="1"/>
    <col min="11016" max="11017" width="9.6640625" style="33" customWidth="1"/>
    <col min="11018" max="11018" width="2.5" style="33" customWidth="1"/>
    <col min="11019" max="11019" width="9.6640625" style="33" customWidth="1"/>
    <col min="11020" max="11020" width="2.6640625" style="33" customWidth="1"/>
    <col min="11021" max="11021" width="9.6640625" style="33" customWidth="1"/>
    <col min="11022" max="11022" width="4" style="33" customWidth="1"/>
    <col min="11023" max="11264" width="8.83203125" style="33"/>
    <col min="11265" max="11265" width="43.6640625" style="33" customWidth="1"/>
    <col min="11266" max="11266" width="9.6640625" style="33" customWidth="1"/>
    <col min="11267" max="11267" width="8.6640625" style="33" customWidth="1"/>
    <col min="11268" max="11268" width="2.5" style="33" customWidth="1"/>
    <col min="11269" max="11270" width="9.6640625" style="33" customWidth="1"/>
    <col min="11271" max="11271" width="2.6640625" style="33" customWidth="1"/>
    <col min="11272" max="11273" width="9.6640625" style="33" customWidth="1"/>
    <col min="11274" max="11274" width="2.5" style="33" customWidth="1"/>
    <col min="11275" max="11275" width="9.6640625" style="33" customWidth="1"/>
    <col min="11276" max="11276" width="2.6640625" style="33" customWidth="1"/>
    <col min="11277" max="11277" width="9.6640625" style="33" customWidth="1"/>
    <col min="11278" max="11278" width="4" style="33" customWidth="1"/>
    <col min="11279" max="11520" width="8.83203125" style="33"/>
    <col min="11521" max="11521" width="43.6640625" style="33" customWidth="1"/>
    <col min="11522" max="11522" width="9.6640625" style="33" customWidth="1"/>
    <col min="11523" max="11523" width="8.6640625" style="33" customWidth="1"/>
    <col min="11524" max="11524" width="2.5" style="33" customWidth="1"/>
    <col min="11525" max="11526" width="9.6640625" style="33" customWidth="1"/>
    <col min="11527" max="11527" width="2.6640625" style="33" customWidth="1"/>
    <col min="11528" max="11529" width="9.6640625" style="33" customWidth="1"/>
    <col min="11530" max="11530" width="2.5" style="33" customWidth="1"/>
    <col min="11531" max="11531" width="9.6640625" style="33" customWidth="1"/>
    <col min="11532" max="11532" width="2.6640625" style="33" customWidth="1"/>
    <col min="11533" max="11533" width="9.6640625" style="33" customWidth="1"/>
    <col min="11534" max="11534" width="4" style="33" customWidth="1"/>
    <col min="11535" max="11776" width="8.83203125" style="33"/>
    <col min="11777" max="11777" width="43.6640625" style="33" customWidth="1"/>
    <col min="11778" max="11778" width="9.6640625" style="33" customWidth="1"/>
    <col min="11779" max="11779" width="8.6640625" style="33" customWidth="1"/>
    <col min="11780" max="11780" width="2.5" style="33" customWidth="1"/>
    <col min="11781" max="11782" width="9.6640625" style="33" customWidth="1"/>
    <col min="11783" max="11783" width="2.6640625" style="33" customWidth="1"/>
    <col min="11784" max="11785" width="9.6640625" style="33" customWidth="1"/>
    <col min="11786" max="11786" width="2.5" style="33" customWidth="1"/>
    <col min="11787" max="11787" width="9.6640625" style="33" customWidth="1"/>
    <col min="11788" max="11788" width="2.6640625" style="33" customWidth="1"/>
    <col min="11789" max="11789" width="9.6640625" style="33" customWidth="1"/>
    <col min="11790" max="11790" width="4" style="33" customWidth="1"/>
    <col min="11791" max="12032" width="8.83203125" style="33"/>
    <col min="12033" max="12033" width="43.6640625" style="33" customWidth="1"/>
    <col min="12034" max="12034" width="9.6640625" style="33" customWidth="1"/>
    <col min="12035" max="12035" width="8.6640625" style="33" customWidth="1"/>
    <col min="12036" max="12036" width="2.5" style="33" customWidth="1"/>
    <col min="12037" max="12038" width="9.6640625" style="33" customWidth="1"/>
    <col min="12039" max="12039" width="2.6640625" style="33" customWidth="1"/>
    <col min="12040" max="12041" width="9.6640625" style="33" customWidth="1"/>
    <col min="12042" max="12042" width="2.5" style="33" customWidth="1"/>
    <col min="12043" max="12043" width="9.6640625" style="33" customWidth="1"/>
    <col min="12044" max="12044" width="2.6640625" style="33" customWidth="1"/>
    <col min="12045" max="12045" width="9.6640625" style="33" customWidth="1"/>
    <col min="12046" max="12046" width="4" style="33" customWidth="1"/>
    <col min="12047" max="12288" width="8.83203125" style="33"/>
    <col min="12289" max="12289" width="43.6640625" style="33" customWidth="1"/>
    <col min="12290" max="12290" width="9.6640625" style="33" customWidth="1"/>
    <col min="12291" max="12291" width="8.6640625" style="33" customWidth="1"/>
    <col min="12292" max="12292" width="2.5" style="33" customWidth="1"/>
    <col min="12293" max="12294" width="9.6640625" style="33" customWidth="1"/>
    <col min="12295" max="12295" width="2.6640625" style="33" customWidth="1"/>
    <col min="12296" max="12297" width="9.6640625" style="33" customWidth="1"/>
    <col min="12298" max="12298" width="2.5" style="33" customWidth="1"/>
    <col min="12299" max="12299" width="9.6640625" style="33" customWidth="1"/>
    <col min="12300" max="12300" width="2.6640625" style="33" customWidth="1"/>
    <col min="12301" max="12301" width="9.6640625" style="33" customWidth="1"/>
    <col min="12302" max="12302" width="4" style="33" customWidth="1"/>
    <col min="12303" max="12544" width="8.83203125" style="33"/>
    <col min="12545" max="12545" width="43.6640625" style="33" customWidth="1"/>
    <col min="12546" max="12546" width="9.6640625" style="33" customWidth="1"/>
    <col min="12547" max="12547" width="8.6640625" style="33" customWidth="1"/>
    <col min="12548" max="12548" width="2.5" style="33" customWidth="1"/>
    <col min="12549" max="12550" width="9.6640625" style="33" customWidth="1"/>
    <col min="12551" max="12551" width="2.6640625" style="33" customWidth="1"/>
    <col min="12552" max="12553" width="9.6640625" style="33" customWidth="1"/>
    <col min="12554" max="12554" width="2.5" style="33" customWidth="1"/>
    <col min="12555" max="12555" width="9.6640625" style="33" customWidth="1"/>
    <col min="12556" max="12556" width="2.6640625" style="33" customWidth="1"/>
    <col min="12557" max="12557" width="9.6640625" style="33" customWidth="1"/>
    <col min="12558" max="12558" width="4" style="33" customWidth="1"/>
    <col min="12559" max="12800" width="8.83203125" style="33"/>
    <col min="12801" max="12801" width="43.6640625" style="33" customWidth="1"/>
    <col min="12802" max="12802" width="9.6640625" style="33" customWidth="1"/>
    <col min="12803" max="12803" width="8.6640625" style="33" customWidth="1"/>
    <col min="12804" max="12804" width="2.5" style="33" customWidth="1"/>
    <col min="12805" max="12806" width="9.6640625" style="33" customWidth="1"/>
    <col min="12807" max="12807" width="2.6640625" style="33" customWidth="1"/>
    <col min="12808" max="12809" width="9.6640625" style="33" customWidth="1"/>
    <col min="12810" max="12810" width="2.5" style="33" customWidth="1"/>
    <col min="12811" max="12811" width="9.6640625" style="33" customWidth="1"/>
    <col min="12812" max="12812" width="2.6640625" style="33" customWidth="1"/>
    <col min="12813" max="12813" width="9.6640625" style="33" customWidth="1"/>
    <col min="12814" max="12814" width="4" style="33" customWidth="1"/>
    <col min="12815" max="13056" width="8.83203125" style="33"/>
    <col min="13057" max="13057" width="43.6640625" style="33" customWidth="1"/>
    <col min="13058" max="13058" width="9.6640625" style="33" customWidth="1"/>
    <col min="13059" max="13059" width="8.6640625" style="33" customWidth="1"/>
    <col min="13060" max="13060" width="2.5" style="33" customWidth="1"/>
    <col min="13061" max="13062" width="9.6640625" style="33" customWidth="1"/>
    <col min="13063" max="13063" width="2.6640625" style="33" customWidth="1"/>
    <col min="13064" max="13065" width="9.6640625" style="33" customWidth="1"/>
    <col min="13066" max="13066" width="2.5" style="33" customWidth="1"/>
    <col min="13067" max="13067" width="9.6640625" style="33" customWidth="1"/>
    <col min="13068" max="13068" width="2.6640625" style="33" customWidth="1"/>
    <col min="13069" max="13069" width="9.6640625" style="33" customWidth="1"/>
    <col min="13070" max="13070" width="4" style="33" customWidth="1"/>
    <col min="13071" max="13312" width="8.83203125" style="33"/>
    <col min="13313" max="13313" width="43.6640625" style="33" customWidth="1"/>
    <col min="13314" max="13314" width="9.6640625" style="33" customWidth="1"/>
    <col min="13315" max="13315" width="8.6640625" style="33" customWidth="1"/>
    <col min="13316" max="13316" width="2.5" style="33" customWidth="1"/>
    <col min="13317" max="13318" width="9.6640625" style="33" customWidth="1"/>
    <col min="13319" max="13319" width="2.6640625" style="33" customWidth="1"/>
    <col min="13320" max="13321" width="9.6640625" style="33" customWidth="1"/>
    <col min="13322" max="13322" width="2.5" style="33" customWidth="1"/>
    <col min="13323" max="13323" width="9.6640625" style="33" customWidth="1"/>
    <col min="13324" max="13324" width="2.6640625" style="33" customWidth="1"/>
    <col min="13325" max="13325" width="9.6640625" style="33" customWidth="1"/>
    <col min="13326" max="13326" width="4" style="33" customWidth="1"/>
    <col min="13327" max="13568" width="8.83203125" style="33"/>
    <col min="13569" max="13569" width="43.6640625" style="33" customWidth="1"/>
    <col min="13570" max="13570" width="9.6640625" style="33" customWidth="1"/>
    <col min="13571" max="13571" width="8.6640625" style="33" customWidth="1"/>
    <col min="13572" max="13572" width="2.5" style="33" customWidth="1"/>
    <col min="13573" max="13574" width="9.6640625" style="33" customWidth="1"/>
    <col min="13575" max="13575" width="2.6640625" style="33" customWidth="1"/>
    <col min="13576" max="13577" width="9.6640625" style="33" customWidth="1"/>
    <col min="13578" max="13578" width="2.5" style="33" customWidth="1"/>
    <col min="13579" max="13579" width="9.6640625" style="33" customWidth="1"/>
    <col min="13580" max="13580" width="2.6640625" style="33" customWidth="1"/>
    <col min="13581" max="13581" width="9.6640625" style="33" customWidth="1"/>
    <col min="13582" max="13582" width="4" style="33" customWidth="1"/>
    <col min="13583" max="13824" width="8.83203125" style="33"/>
    <col min="13825" max="13825" width="43.6640625" style="33" customWidth="1"/>
    <col min="13826" max="13826" width="9.6640625" style="33" customWidth="1"/>
    <col min="13827" max="13827" width="8.6640625" style="33" customWidth="1"/>
    <col min="13828" max="13828" width="2.5" style="33" customWidth="1"/>
    <col min="13829" max="13830" width="9.6640625" style="33" customWidth="1"/>
    <col min="13831" max="13831" width="2.6640625" style="33" customWidth="1"/>
    <col min="13832" max="13833" width="9.6640625" style="33" customWidth="1"/>
    <col min="13834" max="13834" width="2.5" style="33" customWidth="1"/>
    <col min="13835" max="13835" width="9.6640625" style="33" customWidth="1"/>
    <col min="13836" max="13836" width="2.6640625" style="33" customWidth="1"/>
    <col min="13837" max="13837" width="9.6640625" style="33" customWidth="1"/>
    <col min="13838" max="13838" width="4" style="33" customWidth="1"/>
    <col min="13839" max="14080" width="8.83203125" style="33"/>
    <col min="14081" max="14081" width="43.6640625" style="33" customWidth="1"/>
    <col min="14082" max="14082" width="9.6640625" style="33" customWidth="1"/>
    <col min="14083" max="14083" width="8.6640625" style="33" customWidth="1"/>
    <col min="14084" max="14084" width="2.5" style="33" customWidth="1"/>
    <col min="14085" max="14086" width="9.6640625" style="33" customWidth="1"/>
    <col min="14087" max="14087" width="2.6640625" style="33" customWidth="1"/>
    <col min="14088" max="14089" width="9.6640625" style="33" customWidth="1"/>
    <col min="14090" max="14090" width="2.5" style="33" customWidth="1"/>
    <col min="14091" max="14091" width="9.6640625" style="33" customWidth="1"/>
    <col min="14092" max="14092" width="2.6640625" style="33" customWidth="1"/>
    <col min="14093" max="14093" width="9.6640625" style="33" customWidth="1"/>
    <col min="14094" max="14094" width="4" style="33" customWidth="1"/>
    <col min="14095" max="14336" width="8.83203125" style="33"/>
    <col min="14337" max="14337" width="43.6640625" style="33" customWidth="1"/>
    <col min="14338" max="14338" width="9.6640625" style="33" customWidth="1"/>
    <col min="14339" max="14339" width="8.6640625" style="33" customWidth="1"/>
    <col min="14340" max="14340" width="2.5" style="33" customWidth="1"/>
    <col min="14341" max="14342" width="9.6640625" style="33" customWidth="1"/>
    <col min="14343" max="14343" width="2.6640625" style="33" customWidth="1"/>
    <col min="14344" max="14345" width="9.6640625" style="33" customWidth="1"/>
    <col min="14346" max="14346" width="2.5" style="33" customWidth="1"/>
    <col min="14347" max="14347" width="9.6640625" style="33" customWidth="1"/>
    <col min="14348" max="14348" width="2.6640625" style="33" customWidth="1"/>
    <col min="14349" max="14349" width="9.6640625" style="33" customWidth="1"/>
    <col min="14350" max="14350" width="4" style="33" customWidth="1"/>
    <col min="14351" max="14592" width="8.83203125" style="33"/>
    <col min="14593" max="14593" width="43.6640625" style="33" customWidth="1"/>
    <col min="14594" max="14594" width="9.6640625" style="33" customWidth="1"/>
    <col min="14595" max="14595" width="8.6640625" style="33" customWidth="1"/>
    <col min="14596" max="14596" width="2.5" style="33" customWidth="1"/>
    <col min="14597" max="14598" width="9.6640625" style="33" customWidth="1"/>
    <col min="14599" max="14599" width="2.6640625" style="33" customWidth="1"/>
    <col min="14600" max="14601" width="9.6640625" style="33" customWidth="1"/>
    <col min="14602" max="14602" width="2.5" style="33" customWidth="1"/>
    <col min="14603" max="14603" width="9.6640625" style="33" customWidth="1"/>
    <col min="14604" max="14604" width="2.6640625" style="33" customWidth="1"/>
    <col min="14605" max="14605" width="9.6640625" style="33" customWidth="1"/>
    <col min="14606" max="14606" width="4" style="33" customWidth="1"/>
    <col min="14607" max="14848" width="8.83203125" style="33"/>
    <col min="14849" max="14849" width="43.6640625" style="33" customWidth="1"/>
    <col min="14850" max="14850" width="9.6640625" style="33" customWidth="1"/>
    <col min="14851" max="14851" width="8.6640625" style="33" customWidth="1"/>
    <col min="14852" max="14852" width="2.5" style="33" customWidth="1"/>
    <col min="14853" max="14854" width="9.6640625" style="33" customWidth="1"/>
    <col min="14855" max="14855" width="2.6640625" style="33" customWidth="1"/>
    <col min="14856" max="14857" width="9.6640625" style="33" customWidth="1"/>
    <col min="14858" max="14858" width="2.5" style="33" customWidth="1"/>
    <col min="14859" max="14859" width="9.6640625" style="33" customWidth="1"/>
    <col min="14860" max="14860" width="2.6640625" style="33" customWidth="1"/>
    <col min="14861" max="14861" width="9.6640625" style="33" customWidth="1"/>
    <col min="14862" max="14862" width="4" style="33" customWidth="1"/>
    <col min="14863" max="15104" width="8.83203125" style="33"/>
    <col min="15105" max="15105" width="43.6640625" style="33" customWidth="1"/>
    <col min="15106" max="15106" width="9.6640625" style="33" customWidth="1"/>
    <col min="15107" max="15107" width="8.6640625" style="33" customWidth="1"/>
    <col min="15108" max="15108" width="2.5" style="33" customWidth="1"/>
    <col min="15109" max="15110" width="9.6640625" style="33" customWidth="1"/>
    <col min="15111" max="15111" width="2.6640625" style="33" customWidth="1"/>
    <col min="15112" max="15113" width="9.6640625" style="33" customWidth="1"/>
    <col min="15114" max="15114" width="2.5" style="33" customWidth="1"/>
    <col min="15115" max="15115" width="9.6640625" style="33" customWidth="1"/>
    <col min="15116" max="15116" width="2.6640625" style="33" customWidth="1"/>
    <col min="15117" max="15117" width="9.6640625" style="33" customWidth="1"/>
    <col min="15118" max="15118" width="4" style="33" customWidth="1"/>
    <col min="15119" max="15360" width="8.83203125" style="33"/>
    <col min="15361" max="15361" width="43.6640625" style="33" customWidth="1"/>
    <col min="15362" max="15362" width="9.6640625" style="33" customWidth="1"/>
    <col min="15363" max="15363" width="8.6640625" style="33" customWidth="1"/>
    <col min="15364" max="15364" width="2.5" style="33" customWidth="1"/>
    <col min="15365" max="15366" width="9.6640625" style="33" customWidth="1"/>
    <col min="15367" max="15367" width="2.6640625" style="33" customWidth="1"/>
    <col min="15368" max="15369" width="9.6640625" style="33" customWidth="1"/>
    <col min="15370" max="15370" width="2.5" style="33" customWidth="1"/>
    <col min="15371" max="15371" width="9.6640625" style="33" customWidth="1"/>
    <col min="15372" max="15372" width="2.6640625" style="33" customWidth="1"/>
    <col min="15373" max="15373" width="9.6640625" style="33" customWidth="1"/>
    <col min="15374" max="15374" width="4" style="33" customWidth="1"/>
    <col min="15375" max="15616" width="8.83203125" style="33"/>
    <col min="15617" max="15617" width="43.6640625" style="33" customWidth="1"/>
    <col min="15618" max="15618" width="9.6640625" style="33" customWidth="1"/>
    <col min="15619" max="15619" width="8.6640625" style="33" customWidth="1"/>
    <col min="15620" max="15620" width="2.5" style="33" customWidth="1"/>
    <col min="15621" max="15622" width="9.6640625" style="33" customWidth="1"/>
    <col min="15623" max="15623" width="2.6640625" style="33" customWidth="1"/>
    <col min="15624" max="15625" width="9.6640625" style="33" customWidth="1"/>
    <col min="15626" max="15626" width="2.5" style="33" customWidth="1"/>
    <col min="15627" max="15627" width="9.6640625" style="33" customWidth="1"/>
    <col min="15628" max="15628" width="2.6640625" style="33" customWidth="1"/>
    <col min="15629" max="15629" width="9.6640625" style="33" customWidth="1"/>
    <col min="15630" max="15630" width="4" style="33" customWidth="1"/>
    <col min="15631" max="15872" width="8.83203125" style="33"/>
    <col min="15873" max="15873" width="43.6640625" style="33" customWidth="1"/>
    <col min="15874" max="15874" width="9.6640625" style="33" customWidth="1"/>
    <col min="15875" max="15875" width="8.6640625" style="33" customWidth="1"/>
    <col min="15876" max="15876" width="2.5" style="33" customWidth="1"/>
    <col min="15877" max="15878" width="9.6640625" style="33" customWidth="1"/>
    <col min="15879" max="15879" width="2.6640625" style="33" customWidth="1"/>
    <col min="15880" max="15881" width="9.6640625" style="33" customWidth="1"/>
    <col min="15882" max="15882" width="2.5" style="33" customWidth="1"/>
    <col min="15883" max="15883" width="9.6640625" style="33" customWidth="1"/>
    <col min="15884" max="15884" width="2.6640625" style="33" customWidth="1"/>
    <col min="15885" max="15885" width="9.6640625" style="33" customWidth="1"/>
    <col min="15886" max="15886" width="4" style="33" customWidth="1"/>
    <col min="15887" max="16128" width="8.83203125" style="33"/>
    <col min="16129" max="16129" width="43.6640625" style="33" customWidth="1"/>
    <col min="16130" max="16130" width="9.6640625" style="33" customWidth="1"/>
    <col min="16131" max="16131" width="8.6640625" style="33" customWidth="1"/>
    <col min="16132" max="16132" width="2.5" style="33" customWidth="1"/>
    <col min="16133" max="16134" width="9.6640625" style="33" customWidth="1"/>
    <col min="16135" max="16135" width="2.6640625" style="33" customWidth="1"/>
    <col min="16136" max="16137" width="9.6640625" style="33" customWidth="1"/>
    <col min="16138" max="16138" width="2.5" style="33" customWidth="1"/>
    <col min="16139" max="16139" width="9.6640625" style="33" customWidth="1"/>
    <col min="16140" max="16140" width="2.6640625" style="33" customWidth="1"/>
    <col min="16141" max="16141" width="9.6640625" style="33" customWidth="1"/>
    <col min="16142" max="16142" width="4" style="33" customWidth="1"/>
    <col min="16143" max="16384" width="8.83203125" style="33"/>
  </cols>
  <sheetData>
    <row r="1" spans="1:14" ht="13.5" customHeight="1">
      <c r="A1" s="83" t="s">
        <v>388</v>
      </c>
    </row>
    <row r="2" spans="1:14" ht="14.25" customHeight="1">
      <c r="A2" s="33" t="s">
        <v>389</v>
      </c>
    </row>
    <row r="3" spans="1:14" ht="10.5" customHeight="1">
      <c r="E3" s="372"/>
      <c r="G3" s="373"/>
    </row>
    <row r="4" spans="1:14" ht="15.75" customHeight="1">
      <c r="A4" s="14" t="s">
        <v>1944</v>
      </c>
    </row>
    <row r="5" spans="1:14" ht="11.25" customHeight="1" thickBot="1"/>
    <row r="6" spans="1:14" ht="10.5" customHeight="1">
      <c r="A6" s="188"/>
      <c r="B6" s="186"/>
      <c r="C6" s="374"/>
      <c r="D6" s="189"/>
      <c r="E6" s="189"/>
      <c r="F6" s="374"/>
      <c r="G6" s="375"/>
      <c r="H6" s="189"/>
      <c r="I6" s="374"/>
      <c r="J6" s="189"/>
      <c r="K6" s="376"/>
      <c r="L6" s="188"/>
      <c r="M6" s="374"/>
      <c r="N6" s="188"/>
    </row>
    <row r="7" spans="1:14" ht="16" customHeight="1">
      <c r="A7" s="57" t="s">
        <v>1052</v>
      </c>
      <c r="B7" s="1021" t="s">
        <v>1067</v>
      </c>
      <c r="C7" s="1021"/>
      <c r="D7" s="791"/>
      <c r="E7" s="1021" t="s">
        <v>1053</v>
      </c>
      <c r="F7" s="1021"/>
      <c r="G7" s="296"/>
      <c r="H7" s="1021" t="s">
        <v>501</v>
      </c>
      <c r="I7" s="1021"/>
      <c r="J7" s="296"/>
      <c r="K7" s="1037" t="s">
        <v>500</v>
      </c>
      <c r="L7" s="1037"/>
      <c r="M7" s="1037"/>
    </row>
    <row r="8" spans="1:14" ht="16" customHeight="1">
      <c r="A8" s="57"/>
      <c r="B8" s="235" t="s">
        <v>152</v>
      </c>
      <c r="C8" s="377" t="s">
        <v>153</v>
      </c>
      <c r="D8" s="791"/>
      <c r="E8" s="791" t="s">
        <v>152</v>
      </c>
      <c r="F8" s="377" t="s">
        <v>153</v>
      </c>
      <c r="G8" s="296"/>
      <c r="H8" s="791" t="s">
        <v>152</v>
      </c>
      <c r="I8" s="377" t="s">
        <v>153</v>
      </c>
      <c r="J8" s="296"/>
      <c r="K8" s="235" t="s">
        <v>152</v>
      </c>
      <c r="L8" s="791"/>
      <c r="M8" s="377" t="s">
        <v>153</v>
      </c>
    </row>
    <row r="9" spans="1:14" ht="12.75" customHeight="1" thickBot="1">
      <c r="A9" s="199"/>
      <c r="B9" s="197"/>
      <c r="C9" s="378"/>
      <c r="D9" s="200"/>
      <c r="E9" s="200"/>
      <c r="F9" s="378"/>
      <c r="G9" s="293"/>
      <c r="H9" s="200"/>
      <c r="I9" s="378"/>
      <c r="J9" s="200"/>
      <c r="K9" s="285"/>
      <c r="L9" s="199"/>
      <c r="M9" s="378"/>
      <c r="N9" s="199"/>
    </row>
    <row r="10" spans="1:14" ht="8.25" customHeight="1">
      <c r="A10" s="57"/>
      <c r="B10" s="190"/>
      <c r="C10" s="76"/>
      <c r="F10" s="76"/>
      <c r="G10" s="379"/>
      <c r="H10" s="201"/>
      <c r="I10" s="76"/>
      <c r="J10" s="201"/>
      <c r="K10" s="75"/>
      <c r="L10" s="57"/>
      <c r="M10" s="76"/>
      <c r="N10" s="57"/>
    </row>
    <row r="11" spans="1:14" s="55" customFormat="1" ht="14" customHeight="1">
      <c r="A11" s="55" t="s">
        <v>402</v>
      </c>
      <c r="B11" s="306">
        <f>B13+B96</f>
        <v>5274</v>
      </c>
      <c r="C11" s="310">
        <f>C13+C96</f>
        <v>100</v>
      </c>
      <c r="D11" s="307"/>
      <c r="E11" s="307">
        <f>E13+E96</f>
        <v>260</v>
      </c>
      <c r="F11" s="310">
        <f>IF($A11&lt;&gt;"",E11/$B11*100,"")</f>
        <v>4.9298445202882064</v>
      </c>
      <c r="G11" s="380"/>
      <c r="H11" s="307">
        <f>H13+H96</f>
        <v>3310</v>
      </c>
      <c r="I11" s="310">
        <f>IF($A11&lt;&gt;"",H11/$B11*100,"")</f>
        <v>62.760712931361397</v>
      </c>
      <c r="J11" s="307"/>
      <c r="K11" s="306">
        <f>K13+K96</f>
        <v>1704</v>
      </c>
      <c r="L11" s="307"/>
      <c r="M11" s="310">
        <f>IF($A11&lt;&gt;"",K11/$B11*100,"")</f>
        <v>32.309442548350397</v>
      </c>
    </row>
    <row r="12" spans="1:14" ht="9.75" customHeight="1">
      <c r="B12" s="306" t="str">
        <f t="shared" ref="B12:B75" si="0">IF(A12&lt;&gt;0,E12+H12+K12,"")</f>
        <v/>
      </c>
      <c r="C12" s="310"/>
      <c r="D12" s="307"/>
      <c r="E12" s="307"/>
      <c r="F12" s="310" t="str">
        <f>IF($A12&lt;&gt;"",E12/$B12*100,"")</f>
        <v/>
      </c>
      <c r="G12" s="380"/>
      <c r="H12" s="307"/>
      <c r="I12" s="310" t="str">
        <f>IF($A12&lt;&gt;"",H12/$B12*100,"")</f>
        <v/>
      </c>
      <c r="J12" s="307"/>
      <c r="K12" s="306"/>
      <c r="L12" s="72"/>
      <c r="M12" s="84" t="str">
        <f>IF($A12&lt;&gt;"",K12/$B12*100,"")</f>
        <v/>
      </c>
    </row>
    <row r="13" spans="1:14" ht="14" customHeight="1">
      <c r="A13" s="55" t="s">
        <v>403</v>
      </c>
      <c r="B13" s="306">
        <f t="shared" si="0"/>
        <v>4028</v>
      </c>
      <c r="C13" s="310">
        <f t="shared" ref="C13:C79" si="1">IF($A$11&lt;&gt;"",$B13/$B$11*100,"")</f>
        <v>76.3746681835419</v>
      </c>
      <c r="D13" s="307"/>
      <c r="E13" s="307">
        <f>E15+E26+E34+E74+E81+E60+E93+E94</f>
        <v>197</v>
      </c>
      <c r="F13" s="310">
        <f>IF($A13&lt;&gt;"",E13/$B13*100,"")</f>
        <v>4.8907646474677264</v>
      </c>
      <c r="G13" s="380"/>
      <c r="H13" s="307">
        <f>H15+H26+H34+H74+H81+H60+H93+H94</f>
        <v>2350</v>
      </c>
      <c r="I13" s="310">
        <f>IF($A13&lt;&gt;"",H13/$B13*100,"")</f>
        <v>58.341608738828199</v>
      </c>
      <c r="J13" s="307"/>
      <c r="K13" s="306">
        <f>K15+K26+K34+K74+K81+K60+K93+K94</f>
        <v>1481</v>
      </c>
      <c r="L13" s="72"/>
      <c r="M13" s="84">
        <f>IF($A13&lt;&gt;"",K13/$B13*100,"")</f>
        <v>36.767626613704074</v>
      </c>
    </row>
    <row r="14" spans="1:14" ht="6.75" customHeight="1">
      <c r="A14" s="33" t="s">
        <v>128</v>
      </c>
      <c r="K14" s="58"/>
      <c r="L14" s="72"/>
    </row>
    <row r="15" spans="1:14" ht="14" customHeight="1">
      <c r="A15" s="55" t="s">
        <v>161</v>
      </c>
      <c r="B15" s="58">
        <f t="shared" si="0"/>
        <v>302</v>
      </c>
      <c r="C15" s="84">
        <f t="shared" si="1"/>
        <v>5.7262040197193782</v>
      </c>
      <c r="E15" s="72">
        <f>E16+E21</f>
        <v>0</v>
      </c>
      <c r="F15" s="84">
        <f>IF($A15&lt;&gt;"",E15/$B15*100,"")</f>
        <v>0</v>
      </c>
      <c r="H15" s="72">
        <f>H16+H21</f>
        <v>264</v>
      </c>
      <c r="I15" s="84">
        <f>IF($A15&lt;&gt;"",H15/$B15*100,"")</f>
        <v>87.41721854304636</v>
      </c>
      <c r="K15" s="58">
        <f>K16+K21</f>
        <v>38</v>
      </c>
      <c r="L15" s="72"/>
      <c r="M15" s="84">
        <f t="shared" ref="M15:M78" si="2">IF($A15&lt;&gt;"",K15/$B15*100,"")</f>
        <v>12.582781456953644</v>
      </c>
    </row>
    <row r="16" spans="1:14" ht="14" customHeight="1">
      <c r="A16" s="33" t="s">
        <v>162</v>
      </c>
      <c r="B16" s="58">
        <f t="shared" si="0"/>
        <v>128</v>
      </c>
      <c r="C16" s="84">
        <f t="shared" si="1"/>
        <v>2.4270003792188093</v>
      </c>
      <c r="E16" s="72">
        <f>SUM(E17:E19)</f>
        <v>0</v>
      </c>
      <c r="F16" s="84">
        <f>IF($A16&lt;&gt;"",E16/$B16*100,"")</f>
        <v>0</v>
      </c>
      <c r="H16" s="72">
        <f>SUM(H17:H19)</f>
        <v>98</v>
      </c>
      <c r="I16" s="84">
        <f>IF($A16&lt;&gt;"",H16/$B16*100,"")</f>
        <v>76.5625</v>
      </c>
      <c r="K16" s="58">
        <f>SUM(K17:K19)</f>
        <v>30</v>
      </c>
      <c r="L16" s="72"/>
      <c r="M16" s="84">
        <f t="shared" si="2"/>
        <v>23.4375</v>
      </c>
    </row>
    <row r="17" spans="1:13" ht="14" customHeight="1">
      <c r="A17" s="33" t="s">
        <v>163</v>
      </c>
      <c r="B17" s="58">
        <f t="shared" si="0"/>
        <v>15</v>
      </c>
      <c r="C17" s="84">
        <f t="shared" si="1"/>
        <v>0.2844141069397042</v>
      </c>
      <c r="E17" s="381"/>
      <c r="G17" s="381"/>
      <c r="H17" s="382">
        <v>13</v>
      </c>
      <c r="I17" s="84">
        <f t="shared" ref="I17:I80" si="3">IF($A17&lt;&gt;"",H17/$B17*100,"")</f>
        <v>86.666666666666671</v>
      </c>
      <c r="J17" s="382"/>
      <c r="K17" s="382">
        <v>2</v>
      </c>
      <c r="L17" s="72"/>
      <c r="M17" s="84">
        <f t="shared" si="2"/>
        <v>13.333333333333334</v>
      </c>
    </row>
    <row r="18" spans="1:13" ht="14" customHeight="1">
      <c r="A18" s="33" t="s">
        <v>164</v>
      </c>
      <c r="B18" s="58">
        <f t="shared" si="0"/>
        <v>82</v>
      </c>
      <c r="C18" s="84">
        <f t="shared" si="1"/>
        <v>1.5547971179370497</v>
      </c>
      <c r="E18" s="381"/>
      <c r="G18" s="381"/>
      <c r="H18" s="382">
        <v>62</v>
      </c>
      <c r="I18" s="84">
        <f t="shared" si="3"/>
        <v>75.609756097560975</v>
      </c>
      <c r="J18" s="382"/>
      <c r="K18" s="382">
        <v>20</v>
      </c>
      <c r="L18" s="72"/>
      <c r="M18" s="84">
        <f t="shared" si="2"/>
        <v>24.390243902439025</v>
      </c>
    </row>
    <row r="19" spans="1:13" ht="14" customHeight="1">
      <c r="A19" s="33" t="s">
        <v>165</v>
      </c>
      <c r="B19" s="58">
        <f t="shared" si="0"/>
        <v>31</v>
      </c>
      <c r="C19" s="84">
        <f t="shared" si="1"/>
        <v>0.58778915434205536</v>
      </c>
      <c r="E19" s="381"/>
      <c r="G19" s="381"/>
      <c r="H19" s="382">
        <v>23</v>
      </c>
      <c r="I19" s="84">
        <f t="shared" si="3"/>
        <v>74.193548387096769</v>
      </c>
      <c r="J19" s="382"/>
      <c r="K19" s="382">
        <v>8</v>
      </c>
      <c r="L19" s="72"/>
      <c r="M19" s="84">
        <f t="shared" si="2"/>
        <v>25.806451612903224</v>
      </c>
    </row>
    <row r="20" spans="1:13" ht="8.25" customHeight="1">
      <c r="B20" s="58" t="str">
        <f t="shared" si="0"/>
        <v/>
      </c>
      <c r="F20" s="84" t="str">
        <f>IF($A20&lt;&gt;"",E20/$B20*100,"")</f>
        <v/>
      </c>
      <c r="H20" s="71"/>
      <c r="I20" s="84" t="str">
        <f t="shared" si="3"/>
        <v/>
      </c>
      <c r="J20" s="71"/>
      <c r="K20" s="71"/>
      <c r="L20" s="72"/>
      <c r="M20" s="84" t="str">
        <f t="shared" si="2"/>
        <v/>
      </c>
    </row>
    <row r="21" spans="1:13" ht="14" customHeight="1">
      <c r="A21" s="33" t="s">
        <v>166</v>
      </c>
      <c r="B21" s="58">
        <f t="shared" si="0"/>
        <v>174</v>
      </c>
      <c r="C21" s="84">
        <f t="shared" si="1"/>
        <v>3.2992036405005689</v>
      </c>
      <c r="E21" s="72">
        <f>SUM(E22:E24)</f>
        <v>0</v>
      </c>
      <c r="F21" s="84">
        <f>IF($A21&lt;&gt;"",E21/$B21*100,"")</f>
        <v>0</v>
      </c>
      <c r="H21" s="72">
        <f>SUM(H22:H24)</f>
        <v>166</v>
      </c>
      <c r="I21" s="84">
        <f t="shared" si="3"/>
        <v>95.402298850574709</v>
      </c>
      <c r="K21" s="58">
        <f>SUM(K22:K24)</f>
        <v>8</v>
      </c>
      <c r="L21" s="72"/>
      <c r="M21" s="84">
        <f t="shared" si="2"/>
        <v>4.5977011494252871</v>
      </c>
    </row>
    <row r="22" spans="1:13" ht="14" customHeight="1">
      <c r="A22" s="33" t="s">
        <v>167</v>
      </c>
      <c r="B22" s="58">
        <f t="shared" si="0"/>
        <v>63</v>
      </c>
      <c r="C22" s="84">
        <f t="shared" si="1"/>
        <v>1.1945392491467577</v>
      </c>
      <c r="E22" s="853"/>
      <c r="F22" s="853"/>
      <c r="G22" s="853"/>
      <c r="H22" s="382">
        <v>58</v>
      </c>
      <c r="I22" s="84">
        <f t="shared" si="3"/>
        <v>92.063492063492063</v>
      </c>
      <c r="J22" s="382"/>
      <c r="K22" s="382">
        <v>5</v>
      </c>
      <c r="L22" s="72"/>
      <c r="M22" s="84">
        <f t="shared" si="2"/>
        <v>7.9365079365079358</v>
      </c>
    </row>
    <row r="23" spans="1:13" ht="14" customHeight="1">
      <c r="A23" s="33" t="s">
        <v>168</v>
      </c>
      <c r="B23" s="58">
        <f t="shared" si="0"/>
        <v>26</v>
      </c>
      <c r="C23" s="84">
        <f t="shared" si="1"/>
        <v>0.49298445202882069</v>
      </c>
      <c r="E23" s="853"/>
      <c r="F23" s="853"/>
      <c r="G23" s="853"/>
      <c r="H23" s="382">
        <v>24</v>
      </c>
      <c r="I23" s="84">
        <f t="shared" si="3"/>
        <v>92.307692307692307</v>
      </c>
      <c r="J23" s="382"/>
      <c r="K23" s="382">
        <v>2</v>
      </c>
      <c r="L23" s="72"/>
      <c r="M23" s="84">
        <f t="shared" si="2"/>
        <v>7.6923076923076925</v>
      </c>
    </row>
    <row r="24" spans="1:13" ht="14" customHeight="1">
      <c r="A24" s="33" t="s">
        <v>1054</v>
      </c>
      <c r="B24" s="58">
        <f t="shared" si="0"/>
        <v>85</v>
      </c>
      <c r="C24" s="84">
        <f t="shared" si="1"/>
        <v>1.6116799393249905</v>
      </c>
      <c r="E24" s="853"/>
      <c r="F24" s="853"/>
      <c r="G24" s="853"/>
      <c r="H24" s="382">
        <v>84</v>
      </c>
      <c r="I24" s="84">
        <f t="shared" si="3"/>
        <v>98.82352941176471</v>
      </c>
      <c r="J24" s="382"/>
      <c r="K24" s="382">
        <v>1</v>
      </c>
      <c r="L24" s="72"/>
      <c r="M24" s="84">
        <f t="shared" si="2"/>
        <v>1.1764705882352942</v>
      </c>
    </row>
    <row r="25" spans="1:13" ht="9.75" customHeight="1">
      <c r="B25" s="58" t="str">
        <f>IF(A25&lt;&gt;0,E25+H25+K25,"")</f>
        <v/>
      </c>
      <c r="E25" s="71"/>
      <c r="F25" s="71"/>
      <c r="G25" s="71"/>
      <c r="H25" s="71"/>
      <c r="I25" s="84" t="str">
        <f t="shared" si="3"/>
        <v/>
      </c>
      <c r="J25" s="71"/>
      <c r="K25" s="71"/>
      <c r="L25" s="72"/>
      <c r="M25" s="84" t="str">
        <f t="shared" si="2"/>
        <v/>
      </c>
    </row>
    <row r="26" spans="1:13" ht="14" customHeight="1">
      <c r="A26" s="55" t="s">
        <v>464</v>
      </c>
      <c r="B26" s="58">
        <f>IF(A26&lt;&gt;0,E26+H26+K26,"")</f>
        <v>157</v>
      </c>
      <c r="C26" s="84">
        <f t="shared" si="1"/>
        <v>2.9768676526355708</v>
      </c>
      <c r="E26" s="72">
        <f>SUM(E28:E32)</f>
        <v>0</v>
      </c>
      <c r="F26" s="84">
        <f>IF($A26&lt;&gt;"",E26/$B26*100,"")</f>
        <v>0</v>
      </c>
      <c r="H26" s="72">
        <f>SUM(H28:H32)</f>
        <v>132</v>
      </c>
      <c r="I26" s="84">
        <f t="shared" si="3"/>
        <v>84.076433121019107</v>
      </c>
      <c r="K26" s="58">
        <f>SUM(K28:K32)</f>
        <v>25</v>
      </c>
      <c r="L26" s="72"/>
      <c r="M26" s="84">
        <f t="shared" si="2"/>
        <v>15.923566878980891</v>
      </c>
    </row>
    <row r="27" spans="1:13" ht="14" customHeight="1">
      <c r="A27" s="33" t="s">
        <v>171</v>
      </c>
      <c r="B27" s="58">
        <f>IF(A27&lt;&gt;0,E27+H27+K27,"")</f>
        <v>157</v>
      </c>
      <c r="C27" s="84">
        <f t="shared" si="1"/>
        <v>2.9768676526355708</v>
      </c>
      <c r="E27" s="72">
        <f>SUM(E28:E32)</f>
        <v>0</v>
      </c>
      <c r="F27" s="84">
        <f>IF($A27&lt;&gt;"",E27/$B27*100,"")</f>
        <v>0</v>
      </c>
      <c r="H27" s="72">
        <f>SUM(H28:H32)</f>
        <v>132</v>
      </c>
      <c r="I27" s="84">
        <f t="shared" si="3"/>
        <v>84.076433121019107</v>
      </c>
      <c r="K27" s="72">
        <f>SUM(K28:K32)</f>
        <v>25</v>
      </c>
      <c r="L27" s="72"/>
      <c r="M27" s="84">
        <f t="shared" si="2"/>
        <v>15.923566878980891</v>
      </c>
    </row>
    <row r="28" spans="1:13" ht="14" customHeight="1">
      <c r="A28" s="33" t="s">
        <v>172</v>
      </c>
      <c r="B28" s="58">
        <f t="shared" si="0"/>
        <v>52</v>
      </c>
      <c r="C28" s="84">
        <f t="shared" si="1"/>
        <v>0.98596890405764137</v>
      </c>
      <c r="E28" s="381"/>
      <c r="G28" s="381"/>
      <c r="H28" s="382">
        <v>45</v>
      </c>
      <c r="I28" s="84">
        <f t="shared" si="3"/>
        <v>86.538461538461547</v>
      </c>
      <c r="J28" s="382"/>
      <c r="K28" s="382">
        <v>7</v>
      </c>
      <c r="L28" s="72"/>
      <c r="M28" s="84">
        <f t="shared" si="2"/>
        <v>13.461538461538462</v>
      </c>
    </row>
    <row r="29" spans="1:13" ht="14" customHeight="1">
      <c r="A29" s="33" t="s">
        <v>173</v>
      </c>
      <c r="B29" s="58">
        <f t="shared" si="0"/>
        <v>23</v>
      </c>
      <c r="C29" s="84">
        <f t="shared" si="1"/>
        <v>0.43610163064087981</v>
      </c>
      <c r="E29" s="381"/>
      <c r="G29" s="381"/>
      <c r="H29" s="382">
        <v>23</v>
      </c>
      <c r="I29" s="84">
        <f t="shared" si="3"/>
        <v>100</v>
      </c>
      <c r="J29" s="382"/>
      <c r="K29" s="382"/>
      <c r="L29" s="72"/>
    </row>
    <row r="30" spans="1:13" ht="14" customHeight="1">
      <c r="A30" s="33" t="s">
        <v>174</v>
      </c>
      <c r="B30" s="58">
        <f t="shared" si="0"/>
        <v>26</v>
      </c>
      <c r="C30" s="84">
        <f t="shared" si="1"/>
        <v>0.49298445202882069</v>
      </c>
      <c r="E30" s="381"/>
      <c r="G30" s="381"/>
      <c r="H30" s="382">
        <v>16</v>
      </c>
      <c r="I30" s="84">
        <f t="shared" si="3"/>
        <v>61.53846153846154</v>
      </c>
      <c r="J30" s="382"/>
      <c r="K30" s="382">
        <v>10</v>
      </c>
      <c r="L30" s="72"/>
      <c r="M30" s="84">
        <f t="shared" si="2"/>
        <v>38.461538461538467</v>
      </c>
    </row>
    <row r="31" spans="1:13" ht="14" customHeight="1">
      <c r="A31" s="33" t="s">
        <v>175</v>
      </c>
      <c r="B31" s="58">
        <f t="shared" si="0"/>
        <v>22</v>
      </c>
      <c r="C31" s="84">
        <f t="shared" si="1"/>
        <v>0.41714069017823285</v>
      </c>
      <c r="E31" s="381"/>
      <c r="G31" s="381"/>
      <c r="H31" s="382">
        <v>21</v>
      </c>
      <c r="I31" s="84">
        <f t="shared" si="3"/>
        <v>95.454545454545453</v>
      </c>
      <c r="J31" s="382"/>
      <c r="K31" s="382">
        <v>1</v>
      </c>
      <c r="L31" s="72"/>
      <c r="M31" s="84">
        <f t="shared" si="2"/>
        <v>4.5454545454545459</v>
      </c>
    </row>
    <row r="32" spans="1:13" ht="14" customHeight="1">
      <c r="A32" s="33" t="s">
        <v>176</v>
      </c>
      <c r="B32" s="58">
        <f t="shared" si="0"/>
        <v>34</v>
      </c>
      <c r="C32" s="84">
        <f t="shared" si="1"/>
        <v>0.64467197572999624</v>
      </c>
      <c r="E32" s="381"/>
      <c r="G32" s="381"/>
      <c r="H32" s="382">
        <v>27</v>
      </c>
      <c r="I32" s="84">
        <f t="shared" si="3"/>
        <v>79.411764705882348</v>
      </c>
      <c r="J32" s="382"/>
      <c r="K32" s="382">
        <v>7</v>
      </c>
      <c r="L32" s="72"/>
      <c r="M32" s="84">
        <f t="shared" si="2"/>
        <v>20.588235294117645</v>
      </c>
    </row>
    <row r="33" spans="1:13" ht="8.25" customHeight="1">
      <c r="B33" s="58" t="str">
        <f t="shared" si="0"/>
        <v/>
      </c>
      <c r="F33" s="84" t="str">
        <f>IF($A33&lt;&gt;"",E33/$B33*100,"")</f>
        <v/>
      </c>
      <c r="I33" s="84" t="str">
        <f t="shared" si="3"/>
        <v/>
      </c>
      <c r="K33" s="58"/>
      <c r="L33" s="72"/>
      <c r="M33" s="84" t="str">
        <f t="shared" si="2"/>
        <v/>
      </c>
    </row>
    <row r="34" spans="1:13" ht="14" customHeight="1">
      <c r="A34" s="55" t="s">
        <v>406</v>
      </c>
      <c r="B34" s="58">
        <f t="shared" si="0"/>
        <v>2073</v>
      </c>
      <c r="C34" s="84">
        <f t="shared" si="1"/>
        <v>39.306029579067122</v>
      </c>
      <c r="E34" s="72">
        <f>E35+E41+E51+E53</f>
        <v>154</v>
      </c>
      <c r="F34" s="84">
        <f>IF($A34&lt;&gt;"",E34/$B34*100,"")</f>
        <v>7.4288470815243608</v>
      </c>
      <c r="H34" s="72">
        <f>H35+H41+H51+H53</f>
        <v>1304</v>
      </c>
      <c r="I34" s="84">
        <f t="shared" si="3"/>
        <v>62.904003859141341</v>
      </c>
      <c r="K34" s="58">
        <f>K35+K41+K51+K53</f>
        <v>615</v>
      </c>
      <c r="L34" s="72"/>
      <c r="M34" s="84">
        <f t="shared" si="2"/>
        <v>29.667149059334296</v>
      </c>
    </row>
    <row r="35" spans="1:13" ht="14" customHeight="1">
      <c r="A35" s="33" t="s">
        <v>178</v>
      </c>
      <c r="B35" s="58">
        <f t="shared" si="0"/>
        <v>769</v>
      </c>
      <c r="C35" s="84">
        <f t="shared" si="1"/>
        <v>14.580963215775503</v>
      </c>
      <c r="E35" s="72">
        <f>SUM(E36:E39)</f>
        <v>94</v>
      </c>
      <c r="F35" s="84">
        <f>IF($A35&lt;&gt;"",E35/$B35*100,"")</f>
        <v>12.22366710013004</v>
      </c>
      <c r="H35" s="72">
        <f>SUM(H36:H39)</f>
        <v>503</v>
      </c>
      <c r="I35" s="84">
        <f t="shared" si="3"/>
        <v>65.40962288686606</v>
      </c>
      <c r="K35" s="58">
        <f>SUM(K36:K39)</f>
        <v>172</v>
      </c>
      <c r="L35" s="72"/>
      <c r="M35" s="84">
        <f t="shared" si="2"/>
        <v>22.366710013003903</v>
      </c>
    </row>
    <row r="36" spans="1:13" ht="14" customHeight="1">
      <c r="A36" s="33" t="s">
        <v>179</v>
      </c>
      <c r="B36" s="58">
        <f t="shared" si="0"/>
        <v>396</v>
      </c>
      <c r="C36" s="84">
        <f t="shared" si="1"/>
        <v>7.5085324232081918</v>
      </c>
      <c r="E36" s="381"/>
      <c r="G36" s="381"/>
      <c r="H36" s="382">
        <v>302</v>
      </c>
      <c r="I36" s="84">
        <f t="shared" si="3"/>
        <v>76.26262626262627</v>
      </c>
      <c r="J36" s="382"/>
      <c r="K36" s="382">
        <v>94</v>
      </c>
      <c r="L36" s="72"/>
      <c r="M36" s="84">
        <f t="shared" si="2"/>
        <v>23.737373737373737</v>
      </c>
    </row>
    <row r="37" spans="1:13" ht="14" customHeight="1">
      <c r="A37" s="33" t="s">
        <v>180</v>
      </c>
      <c r="B37" s="58">
        <f>IF(A37&lt;&gt;0,E37+H37+K37,"")</f>
        <v>297</v>
      </c>
      <c r="C37" s="84">
        <f t="shared" si="1"/>
        <v>5.6313993174061432</v>
      </c>
      <c r="E37" s="381">
        <v>94</v>
      </c>
      <c r="F37" s="84">
        <f>IF($A37&lt;&gt;"",E37/$B37*100,"")</f>
        <v>31.649831649831651</v>
      </c>
      <c r="G37" s="288" t="s">
        <v>1055</v>
      </c>
      <c r="H37" s="382">
        <v>131</v>
      </c>
      <c r="I37" s="84">
        <f t="shared" si="3"/>
        <v>44.107744107744104</v>
      </c>
      <c r="J37" s="382"/>
      <c r="K37" s="382">
        <v>72</v>
      </c>
      <c r="L37" s="72"/>
    </row>
    <row r="38" spans="1:13" ht="14" customHeight="1">
      <c r="A38" s="33" t="s">
        <v>181</v>
      </c>
      <c r="B38" s="58">
        <f t="shared" si="0"/>
        <v>52</v>
      </c>
      <c r="C38" s="84">
        <f t="shared" si="1"/>
        <v>0.98596890405764137</v>
      </c>
      <c r="E38" s="381"/>
      <c r="G38" s="381"/>
      <c r="H38" s="382">
        <v>46</v>
      </c>
      <c r="I38" s="84">
        <f t="shared" si="3"/>
        <v>88.461538461538453</v>
      </c>
      <c r="J38" s="382"/>
      <c r="K38" s="382">
        <v>6</v>
      </c>
      <c r="L38" s="72"/>
      <c r="M38" s="84">
        <f t="shared" si="2"/>
        <v>11.538461538461538</v>
      </c>
    </row>
    <row r="39" spans="1:13" ht="14" customHeight="1">
      <c r="A39" s="33" t="s">
        <v>182</v>
      </c>
      <c r="B39" s="58">
        <f>IF(A39&lt;&gt;0,E39+H39+K39,"")</f>
        <v>24</v>
      </c>
      <c r="C39" s="84">
        <f t="shared" si="1"/>
        <v>0.45506257110352671</v>
      </c>
      <c r="E39" s="381"/>
      <c r="G39" s="381"/>
      <c r="H39" s="382">
        <v>24</v>
      </c>
      <c r="I39" s="84">
        <f t="shared" si="3"/>
        <v>100</v>
      </c>
      <c r="J39" s="382"/>
      <c r="K39" s="381"/>
      <c r="L39" s="72"/>
      <c r="M39" s="84">
        <f t="shared" si="2"/>
        <v>0</v>
      </c>
    </row>
    <row r="40" spans="1:13" ht="8.25" customHeight="1">
      <c r="B40" s="58" t="str">
        <f t="shared" si="0"/>
        <v/>
      </c>
      <c r="F40" s="84" t="str">
        <f>IF($A40&lt;&gt;"",E40/$B40*100,"")</f>
        <v/>
      </c>
      <c r="I40" s="84" t="str">
        <f t="shared" si="3"/>
        <v/>
      </c>
      <c r="K40" s="58"/>
      <c r="L40" s="72"/>
      <c r="M40" s="84" t="str">
        <f t="shared" si="2"/>
        <v/>
      </c>
    </row>
    <row r="41" spans="1:13" ht="14" customHeight="1">
      <c r="A41" s="33" t="s">
        <v>183</v>
      </c>
      <c r="B41" s="58">
        <f t="shared" si="0"/>
        <v>527</v>
      </c>
      <c r="C41" s="84">
        <f t="shared" si="1"/>
        <v>9.9924156238149422</v>
      </c>
      <c r="E41" s="72">
        <f>SUM(E42:E49)</f>
        <v>0</v>
      </c>
      <c r="F41" s="84">
        <f>IF($A41&lt;&gt;"",E41/$B41*100,"")</f>
        <v>0</v>
      </c>
      <c r="H41" s="72">
        <f>SUM(H42:H49)</f>
        <v>364</v>
      </c>
      <c r="I41" s="84">
        <f t="shared" si="3"/>
        <v>69.070208728652744</v>
      </c>
      <c r="K41" s="58">
        <f>SUM(K42:K49)</f>
        <v>163</v>
      </c>
      <c r="L41" s="72"/>
      <c r="M41" s="84">
        <f t="shared" si="2"/>
        <v>30.929791271347252</v>
      </c>
    </row>
    <row r="42" spans="1:13" ht="14" customHeight="1">
      <c r="A42" s="33" t="s">
        <v>191</v>
      </c>
      <c r="B42" s="58">
        <f t="shared" si="0"/>
        <v>46</v>
      </c>
      <c r="C42" s="84">
        <f t="shared" si="1"/>
        <v>0.87220326128175962</v>
      </c>
      <c r="E42" s="853"/>
      <c r="F42" s="853"/>
      <c r="G42" s="853"/>
      <c r="H42" s="382">
        <v>33</v>
      </c>
      <c r="I42" s="84">
        <f t="shared" si="3"/>
        <v>71.739130434782609</v>
      </c>
      <c r="J42" s="382"/>
      <c r="K42" s="382">
        <v>13</v>
      </c>
      <c r="L42" s="72"/>
      <c r="M42" s="84">
        <f t="shared" si="2"/>
        <v>28.260869565217391</v>
      </c>
    </row>
    <row r="43" spans="1:13" ht="14" customHeight="1">
      <c r="A43" s="33" t="s">
        <v>184</v>
      </c>
      <c r="B43" s="58">
        <f t="shared" si="0"/>
        <v>46</v>
      </c>
      <c r="C43" s="84">
        <f t="shared" si="1"/>
        <v>0.87220326128175962</v>
      </c>
      <c r="E43" s="853"/>
      <c r="F43" s="853"/>
      <c r="G43" s="853"/>
      <c r="H43" s="382">
        <v>30</v>
      </c>
      <c r="I43" s="84">
        <f t="shared" si="3"/>
        <v>65.217391304347828</v>
      </c>
      <c r="J43" s="382"/>
      <c r="K43" s="382">
        <v>16</v>
      </c>
      <c r="L43" s="72"/>
      <c r="M43" s="84">
        <f t="shared" si="2"/>
        <v>34.782608695652172</v>
      </c>
    </row>
    <row r="44" spans="1:13" ht="14" customHeight="1">
      <c r="A44" s="33" t="s">
        <v>185</v>
      </c>
      <c r="B44" s="58">
        <f t="shared" si="0"/>
        <v>79</v>
      </c>
      <c r="C44" s="84">
        <f t="shared" si="1"/>
        <v>1.4979142965491088</v>
      </c>
      <c r="E44" s="853"/>
      <c r="F44" s="853"/>
      <c r="G44" s="853"/>
      <c r="H44" s="382">
        <v>67</v>
      </c>
      <c r="I44" s="84">
        <f t="shared" si="3"/>
        <v>84.810126582278471</v>
      </c>
      <c r="J44" s="382"/>
      <c r="K44" s="382">
        <v>12</v>
      </c>
      <c r="L44" s="72"/>
      <c r="M44" s="84">
        <f t="shared" si="2"/>
        <v>15.18987341772152</v>
      </c>
    </row>
    <row r="45" spans="1:13" ht="14" customHeight="1">
      <c r="A45" s="33" t="s">
        <v>186</v>
      </c>
      <c r="B45" s="58">
        <f t="shared" si="0"/>
        <v>82</v>
      </c>
      <c r="C45" s="84">
        <f t="shared" si="1"/>
        <v>1.5547971179370497</v>
      </c>
      <c r="E45" s="853"/>
      <c r="F45" s="853"/>
      <c r="G45" s="853"/>
      <c r="H45" s="382">
        <v>67</v>
      </c>
      <c r="I45" s="84">
        <f t="shared" si="3"/>
        <v>81.707317073170728</v>
      </c>
      <c r="J45" s="382"/>
      <c r="K45" s="382">
        <v>15</v>
      </c>
      <c r="L45" s="72"/>
      <c r="M45" s="84">
        <f t="shared" si="2"/>
        <v>18.292682926829269</v>
      </c>
    </row>
    <row r="46" spans="1:13" ht="14" customHeight="1">
      <c r="A46" s="33" t="s">
        <v>190</v>
      </c>
      <c r="B46" s="58">
        <f t="shared" si="0"/>
        <v>28</v>
      </c>
      <c r="C46" s="84">
        <f t="shared" si="1"/>
        <v>0.53090633295411449</v>
      </c>
      <c r="E46" s="853"/>
      <c r="F46" s="853"/>
      <c r="G46" s="853"/>
      <c r="H46" s="382">
        <v>19</v>
      </c>
      <c r="I46" s="84">
        <f t="shared" si="3"/>
        <v>67.857142857142861</v>
      </c>
      <c r="J46" s="382"/>
      <c r="K46" s="382">
        <v>9</v>
      </c>
      <c r="L46" s="72"/>
      <c r="M46" s="84">
        <f t="shared" si="2"/>
        <v>32.142857142857146</v>
      </c>
    </row>
    <row r="47" spans="1:13" ht="14" customHeight="1">
      <c r="A47" s="33" t="s">
        <v>408</v>
      </c>
      <c r="B47" s="58">
        <f t="shared" si="0"/>
        <v>54</v>
      </c>
      <c r="C47" s="84">
        <f t="shared" si="1"/>
        <v>1.0238907849829351</v>
      </c>
      <c r="E47" s="853"/>
      <c r="F47" s="853"/>
      <c r="G47" s="853"/>
      <c r="H47" s="382">
        <v>41</v>
      </c>
      <c r="I47" s="84">
        <f t="shared" si="3"/>
        <v>75.925925925925924</v>
      </c>
      <c r="J47" s="382"/>
      <c r="K47" s="382">
        <v>13</v>
      </c>
      <c r="L47" s="72"/>
      <c r="M47" s="84">
        <f t="shared" si="2"/>
        <v>24.074074074074073</v>
      </c>
    </row>
    <row r="48" spans="1:13" ht="14" customHeight="1">
      <c r="A48" s="33" t="s">
        <v>189</v>
      </c>
      <c r="B48" s="58">
        <f t="shared" si="0"/>
        <v>111</v>
      </c>
      <c r="C48" s="84">
        <f t="shared" si="1"/>
        <v>2.1046643913538112</v>
      </c>
      <c r="E48" s="853"/>
      <c r="F48" s="853"/>
      <c r="G48" s="853"/>
      <c r="H48" s="382">
        <v>64</v>
      </c>
      <c r="I48" s="84">
        <f t="shared" si="3"/>
        <v>57.657657657657658</v>
      </c>
      <c r="J48" s="382"/>
      <c r="K48" s="382">
        <v>47</v>
      </c>
      <c r="L48" s="72"/>
      <c r="M48" s="84">
        <f t="shared" si="2"/>
        <v>42.342342342342342</v>
      </c>
    </row>
    <row r="49" spans="1:13" ht="14" customHeight="1">
      <c r="A49" s="33" t="s">
        <v>188</v>
      </c>
      <c r="B49" s="58">
        <f t="shared" si="0"/>
        <v>81</v>
      </c>
      <c r="C49" s="84">
        <f t="shared" si="1"/>
        <v>1.5358361774744027</v>
      </c>
      <c r="E49" s="853"/>
      <c r="F49" s="853"/>
      <c r="G49" s="853"/>
      <c r="H49" s="382">
        <v>43</v>
      </c>
      <c r="I49" s="84">
        <f t="shared" si="3"/>
        <v>53.086419753086425</v>
      </c>
      <c r="J49" s="382"/>
      <c r="K49" s="382">
        <v>38</v>
      </c>
      <c r="L49" s="72"/>
      <c r="M49" s="84">
        <f t="shared" si="2"/>
        <v>46.913580246913575</v>
      </c>
    </row>
    <row r="50" spans="1:13" ht="8.25" customHeight="1">
      <c r="B50" s="58" t="str">
        <f t="shared" si="0"/>
        <v/>
      </c>
      <c r="E50" s="71"/>
      <c r="F50" s="71"/>
      <c r="G50" s="71"/>
      <c r="H50" s="71"/>
      <c r="I50" s="84" t="str">
        <f t="shared" si="3"/>
        <v/>
      </c>
      <c r="J50" s="71"/>
      <c r="K50" s="71"/>
      <c r="L50" s="72"/>
      <c r="M50" s="84" t="str">
        <f t="shared" si="2"/>
        <v/>
      </c>
    </row>
    <row r="51" spans="1:13" ht="14" customHeight="1">
      <c r="A51" s="33" t="s">
        <v>192</v>
      </c>
      <c r="B51" s="58">
        <f t="shared" si="0"/>
        <v>250</v>
      </c>
      <c r="C51" s="84">
        <f t="shared" si="1"/>
        <v>4.7402351156617364</v>
      </c>
      <c r="E51" s="853"/>
      <c r="F51" s="853"/>
      <c r="G51" s="853"/>
      <c r="H51" s="382">
        <v>108</v>
      </c>
      <c r="I51" s="84">
        <f t="shared" si="3"/>
        <v>43.2</v>
      </c>
      <c r="J51" s="382"/>
      <c r="K51" s="382">
        <v>142</v>
      </c>
      <c r="L51" s="288"/>
      <c r="M51" s="84">
        <f t="shared" si="2"/>
        <v>56.8</v>
      </c>
    </row>
    <row r="52" spans="1:13" ht="8.25" customHeight="1">
      <c r="B52" s="58" t="str">
        <f t="shared" si="0"/>
        <v/>
      </c>
      <c r="F52" s="84" t="str">
        <f>IF($A52&lt;&gt;"",E52/$B52*100,"")</f>
        <v/>
      </c>
      <c r="I52" s="84" t="str">
        <f t="shared" si="3"/>
        <v/>
      </c>
      <c r="K52" s="58"/>
      <c r="L52" s="72"/>
      <c r="M52" s="84" t="str">
        <f t="shared" si="2"/>
        <v/>
      </c>
    </row>
    <row r="53" spans="1:13" ht="14" customHeight="1">
      <c r="A53" s="33" t="s">
        <v>193</v>
      </c>
      <c r="B53" s="58">
        <f t="shared" si="0"/>
        <v>527</v>
      </c>
      <c r="C53" s="84">
        <f t="shared" si="1"/>
        <v>9.9924156238149422</v>
      </c>
      <c r="E53" s="72">
        <f>SUM(E55:E58)</f>
        <v>60</v>
      </c>
      <c r="F53" s="84">
        <f>IF($A53&lt;&gt;"",E53/$B53*100,"")</f>
        <v>11.385199240986717</v>
      </c>
      <c r="H53" s="72">
        <f>SUM(H55:H58)</f>
        <v>329</v>
      </c>
      <c r="I53" s="84">
        <f t="shared" si="3"/>
        <v>62.428842504743834</v>
      </c>
      <c r="K53" s="58">
        <f>SUM(K54:K58)</f>
        <v>138</v>
      </c>
      <c r="L53" s="72"/>
      <c r="M53" s="84">
        <f t="shared" si="2"/>
        <v>26.185958254269448</v>
      </c>
    </row>
    <row r="54" spans="1:13" ht="14" customHeight="1">
      <c r="A54" s="33" t="s">
        <v>194</v>
      </c>
      <c r="B54" s="58">
        <f>IF(A54&lt;&gt;0,E54+H54+K54,"")</f>
        <v>22</v>
      </c>
      <c r="C54" s="84">
        <f t="shared" si="1"/>
        <v>0.41714069017823285</v>
      </c>
      <c r="E54" s="381"/>
      <c r="G54" s="381"/>
      <c r="H54" s="381"/>
      <c r="I54" s="84">
        <f t="shared" si="3"/>
        <v>0</v>
      </c>
      <c r="J54" s="383"/>
      <c r="K54" s="382">
        <v>22</v>
      </c>
      <c r="L54" s="72"/>
    </row>
    <row r="55" spans="1:13" ht="14" customHeight="1">
      <c r="A55" s="33" t="s">
        <v>195</v>
      </c>
      <c r="B55" s="58">
        <f t="shared" si="0"/>
        <v>290</v>
      </c>
      <c r="C55" s="84">
        <f t="shared" si="1"/>
        <v>5.4986727341676147</v>
      </c>
      <c r="E55" s="853">
        <v>51</v>
      </c>
      <c r="F55" s="853"/>
      <c r="G55" s="853" t="s">
        <v>1056</v>
      </c>
      <c r="H55" s="382">
        <v>184</v>
      </c>
      <c r="I55" s="84">
        <f t="shared" si="3"/>
        <v>63.448275862068968</v>
      </c>
      <c r="J55" s="382"/>
      <c r="K55" s="382">
        <v>55</v>
      </c>
      <c r="L55" s="72"/>
      <c r="M55" s="84">
        <f t="shared" si="2"/>
        <v>18.96551724137931</v>
      </c>
    </row>
    <row r="56" spans="1:13" ht="14" customHeight="1">
      <c r="A56" s="33" t="s">
        <v>196</v>
      </c>
      <c r="B56" s="58">
        <f t="shared" si="0"/>
        <v>96</v>
      </c>
      <c r="C56" s="84">
        <f t="shared" si="1"/>
        <v>1.8202502844141069</v>
      </c>
      <c r="E56" s="853"/>
      <c r="F56" s="853"/>
      <c r="G56" s="853"/>
      <c r="H56" s="382">
        <v>53</v>
      </c>
      <c r="I56" s="84">
        <f t="shared" si="3"/>
        <v>55.208333333333336</v>
      </c>
      <c r="J56" s="382"/>
      <c r="K56" s="382">
        <v>43</v>
      </c>
      <c r="L56" s="72"/>
      <c r="M56" s="84">
        <f t="shared" si="2"/>
        <v>44.791666666666671</v>
      </c>
    </row>
    <row r="57" spans="1:13" ht="14" customHeight="1">
      <c r="A57" s="33" t="s">
        <v>409</v>
      </c>
      <c r="B57" s="58">
        <f t="shared" si="0"/>
        <v>88</v>
      </c>
      <c r="C57" s="84">
        <f t="shared" si="1"/>
        <v>1.6685627607129314</v>
      </c>
      <c r="E57" s="853"/>
      <c r="F57" s="853"/>
      <c r="G57" s="853"/>
      <c r="H57" s="382">
        <v>70</v>
      </c>
      <c r="I57" s="84">
        <f t="shared" si="3"/>
        <v>79.545454545454547</v>
      </c>
      <c r="J57" s="382"/>
      <c r="K57" s="382">
        <v>18</v>
      </c>
      <c r="L57" s="72"/>
      <c r="M57" s="84">
        <f t="shared" si="2"/>
        <v>20.454545454545457</v>
      </c>
    </row>
    <row r="58" spans="1:13" ht="14" customHeight="1">
      <c r="A58" s="33" t="s">
        <v>198</v>
      </c>
      <c r="B58" s="58">
        <f>IF(A58&lt;&gt;0,E58+H58+K58,"")</f>
        <v>31</v>
      </c>
      <c r="C58" s="84">
        <f t="shared" si="1"/>
        <v>0.58778915434205536</v>
      </c>
      <c r="E58" s="381">
        <v>9</v>
      </c>
      <c r="F58" s="84">
        <f>IF($A58&lt;&gt;"",E58/$B58*100,"")</f>
        <v>29.032258064516132</v>
      </c>
      <c r="G58" s="381" t="s">
        <v>1057</v>
      </c>
      <c r="H58" s="382">
        <v>22</v>
      </c>
      <c r="I58" s="84">
        <f t="shared" si="3"/>
        <v>70.967741935483872</v>
      </c>
      <c r="J58" s="382"/>
      <c r="K58" s="381"/>
      <c r="L58" s="72"/>
      <c r="M58" s="84">
        <f t="shared" si="2"/>
        <v>0</v>
      </c>
    </row>
    <row r="59" spans="1:13" ht="8.25" customHeight="1">
      <c r="B59" s="58" t="str">
        <f t="shared" si="0"/>
        <v/>
      </c>
      <c r="E59" s="301"/>
      <c r="F59" s="84" t="str">
        <f>IF($A59&lt;&gt;"",E59/$B59*100,"")</f>
        <v/>
      </c>
      <c r="I59" s="84" t="str">
        <f t="shared" si="3"/>
        <v/>
      </c>
      <c r="K59" s="58"/>
      <c r="L59" s="72"/>
      <c r="M59" s="84" t="str">
        <f t="shared" si="2"/>
        <v/>
      </c>
    </row>
    <row r="60" spans="1:13" ht="14" customHeight="1">
      <c r="A60" s="55" t="s">
        <v>410</v>
      </c>
      <c r="B60" s="58">
        <f t="shared" si="0"/>
        <v>653</v>
      </c>
      <c r="C60" s="84">
        <f t="shared" si="1"/>
        <v>12.381494122108457</v>
      </c>
      <c r="E60" s="301">
        <f>E61+E63+E70+E72</f>
        <v>43</v>
      </c>
      <c r="F60" s="84">
        <f>IF($A60&lt;&gt;"",E60/$B60*100,"")</f>
        <v>6.5849923430321589</v>
      </c>
      <c r="H60" s="72">
        <f>H61+H63+H70+H72</f>
        <v>246</v>
      </c>
      <c r="I60" s="84">
        <f t="shared" si="3"/>
        <v>37.67228177641654</v>
      </c>
      <c r="K60" s="58">
        <f>K61+K63+K70+K72</f>
        <v>364</v>
      </c>
      <c r="L60" s="72"/>
      <c r="M60" s="84">
        <f t="shared" si="2"/>
        <v>55.742725880551305</v>
      </c>
    </row>
    <row r="61" spans="1:13" ht="14" customHeight="1">
      <c r="A61" s="33" t="s">
        <v>411</v>
      </c>
      <c r="B61" s="58">
        <f t="shared" si="0"/>
        <v>47</v>
      </c>
      <c r="C61" s="84">
        <f t="shared" si="1"/>
        <v>0.89116420174440647</v>
      </c>
      <c r="E61" s="381"/>
      <c r="G61" s="381"/>
      <c r="H61" s="381"/>
      <c r="I61" s="84">
        <f t="shared" si="3"/>
        <v>0</v>
      </c>
      <c r="J61" s="383"/>
      <c r="K61" s="382">
        <v>47</v>
      </c>
      <c r="L61" s="72"/>
      <c r="M61" s="84">
        <f t="shared" si="2"/>
        <v>100</v>
      </c>
    </row>
    <row r="62" spans="1:13" ht="8.25" customHeight="1">
      <c r="B62" s="58" t="str">
        <f t="shared" si="0"/>
        <v/>
      </c>
      <c r="E62" s="301"/>
      <c r="F62" s="84" t="str">
        <f>IF($A62&lt;&gt;"",E62/$B62*100,"")</f>
        <v/>
      </c>
      <c r="I62" s="84" t="str">
        <f t="shared" si="3"/>
        <v/>
      </c>
      <c r="K62" s="58"/>
      <c r="L62" s="72"/>
    </row>
    <row r="63" spans="1:13" ht="14" customHeight="1">
      <c r="A63" s="33" t="s">
        <v>202</v>
      </c>
      <c r="B63" s="58">
        <f t="shared" si="0"/>
        <v>486</v>
      </c>
      <c r="C63" s="84">
        <f t="shared" si="1"/>
        <v>9.2150170648464158</v>
      </c>
      <c r="E63" s="301">
        <f>SUM(E64:E68)</f>
        <v>20</v>
      </c>
      <c r="F63" s="84">
        <f>IF($A63&lt;&gt;"",E63/$B63*100,"")</f>
        <v>4.1152263374485596</v>
      </c>
      <c r="H63" s="72">
        <f>SUM(H64:H68)</f>
        <v>246</v>
      </c>
      <c r="I63" s="84">
        <f t="shared" si="3"/>
        <v>50.617283950617285</v>
      </c>
      <c r="K63" s="58">
        <f>SUM(K64:K68)</f>
        <v>220</v>
      </c>
      <c r="L63" s="72"/>
      <c r="M63" s="84">
        <f t="shared" si="2"/>
        <v>45.267489711934154</v>
      </c>
    </row>
    <row r="64" spans="1:13" ht="14" customHeight="1">
      <c r="A64" s="33" t="s">
        <v>203</v>
      </c>
      <c r="B64" s="58">
        <f t="shared" si="0"/>
        <v>254</v>
      </c>
      <c r="C64" s="84">
        <f t="shared" si="1"/>
        <v>4.8160788775123242</v>
      </c>
      <c r="E64" s="381"/>
      <c r="F64" s="84">
        <f>IF($A64&lt;&gt;"",E64/$B64*100,"")</f>
        <v>0</v>
      </c>
      <c r="G64" s="381"/>
      <c r="H64" s="382">
        <v>140</v>
      </c>
      <c r="I64" s="84">
        <f t="shared" si="3"/>
        <v>55.118110236220474</v>
      </c>
      <c r="J64" s="382"/>
      <c r="K64" s="382">
        <v>114</v>
      </c>
      <c r="L64" s="72"/>
      <c r="M64" s="84">
        <f t="shared" si="2"/>
        <v>44.881889763779526</v>
      </c>
    </row>
    <row r="65" spans="1:13" ht="14" customHeight="1">
      <c r="A65" s="33" t="s">
        <v>204</v>
      </c>
      <c r="B65" s="58">
        <f t="shared" si="0"/>
        <v>34</v>
      </c>
      <c r="C65" s="84">
        <f t="shared" si="1"/>
        <v>0.64467197572999624</v>
      </c>
      <c r="E65" s="381"/>
      <c r="F65" s="84">
        <f>IF($A65&lt;&gt;"",E65/$B65*100,"")</f>
        <v>0</v>
      </c>
      <c r="G65" s="381"/>
      <c r="H65" s="381"/>
      <c r="I65" s="84">
        <f t="shared" si="3"/>
        <v>0</v>
      </c>
      <c r="J65" s="383"/>
      <c r="K65" s="382">
        <v>34</v>
      </c>
      <c r="L65" s="72"/>
      <c r="M65" s="84">
        <f t="shared" si="2"/>
        <v>100</v>
      </c>
    </row>
    <row r="66" spans="1:13" ht="14" customHeight="1">
      <c r="A66" s="33" t="s">
        <v>207</v>
      </c>
      <c r="B66" s="58">
        <f t="shared" si="0"/>
        <v>128</v>
      </c>
      <c r="C66" s="84">
        <f t="shared" si="1"/>
        <v>2.4270003792188093</v>
      </c>
      <c r="E66" s="381">
        <v>20</v>
      </c>
      <c r="F66" s="84">
        <f>IF($A66&lt;&gt;"",E66/$B66*100,"")</f>
        <v>15.625</v>
      </c>
      <c r="G66" s="381" t="s">
        <v>1058</v>
      </c>
      <c r="H66" s="382">
        <v>70</v>
      </c>
      <c r="I66" s="84">
        <f t="shared" si="3"/>
        <v>54.6875</v>
      </c>
      <c r="J66" s="382"/>
      <c r="K66" s="382">
        <v>38</v>
      </c>
      <c r="L66" s="72"/>
      <c r="M66" s="84">
        <f t="shared" si="2"/>
        <v>29.6875</v>
      </c>
    </row>
    <row r="67" spans="1:13" ht="14" customHeight="1">
      <c r="A67" s="33" t="s">
        <v>205</v>
      </c>
      <c r="B67" s="58">
        <f t="shared" si="0"/>
        <v>29</v>
      </c>
      <c r="C67" s="84">
        <f t="shared" si="1"/>
        <v>0.54986727341676145</v>
      </c>
      <c r="E67" s="381"/>
      <c r="G67" s="381"/>
      <c r="H67" s="382">
        <v>12</v>
      </c>
      <c r="I67" s="84">
        <f t="shared" si="3"/>
        <v>41.379310344827587</v>
      </c>
      <c r="J67" s="382"/>
      <c r="K67" s="382">
        <v>17</v>
      </c>
      <c r="L67" s="72"/>
      <c r="M67" s="84">
        <f t="shared" si="2"/>
        <v>58.620689655172406</v>
      </c>
    </row>
    <row r="68" spans="1:13" ht="14" customHeight="1">
      <c r="A68" s="33" t="s">
        <v>206</v>
      </c>
      <c r="B68" s="58">
        <f t="shared" si="0"/>
        <v>41</v>
      </c>
      <c r="C68" s="84">
        <f t="shared" si="1"/>
        <v>0.77739855896852483</v>
      </c>
      <c r="E68" s="381"/>
      <c r="G68" s="381"/>
      <c r="H68" s="382">
        <v>24</v>
      </c>
      <c r="I68" s="84">
        <f t="shared" si="3"/>
        <v>58.536585365853654</v>
      </c>
      <c r="J68" s="382"/>
      <c r="K68" s="382">
        <v>17</v>
      </c>
      <c r="L68" s="72"/>
      <c r="M68" s="84">
        <f t="shared" si="2"/>
        <v>41.463414634146339</v>
      </c>
    </row>
    <row r="69" spans="1:13" ht="8.25" customHeight="1">
      <c r="B69" s="58" t="str">
        <f t="shared" si="0"/>
        <v/>
      </c>
      <c r="E69" s="75"/>
      <c r="F69" s="84" t="str">
        <f>IF($A69&lt;&gt;"",E69/$B69*100,"")</f>
        <v/>
      </c>
      <c r="G69" s="75"/>
      <c r="H69" s="75"/>
      <c r="I69" s="84" t="str">
        <f t="shared" si="3"/>
        <v/>
      </c>
      <c r="J69" s="75"/>
      <c r="K69" s="75"/>
      <c r="L69" s="72"/>
      <c r="M69" s="84" t="str">
        <f t="shared" si="2"/>
        <v/>
      </c>
    </row>
    <row r="70" spans="1:13" ht="14" customHeight="1">
      <c r="A70" s="33" t="s">
        <v>208</v>
      </c>
      <c r="B70" s="58">
        <f t="shared" si="0"/>
        <v>66</v>
      </c>
      <c r="C70" s="84">
        <f t="shared" si="1"/>
        <v>1.2514220705346986</v>
      </c>
      <c r="E70" s="381">
        <v>23</v>
      </c>
      <c r="F70" s="84">
        <f>IF($A70&lt;&gt;"",E70/$B70*100,"")</f>
        <v>34.848484848484851</v>
      </c>
      <c r="G70" s="381" t="s">
        <v>1059</v>
      </c>
      <c r="H70" s="381"/>
      <c r="I70" s="84">
        <f t="shared" si="3"/>
        <v>0</v>
      </c>
      <c r="J70" s="383"/>
      <c r="K70" s="382">
        <v>43</v>
      </c>
      <c r="L70" s="72"/>
      <c r="M70" s="84">
        <f t="shared" si="2"/>
        <v>65.151515151515156</v>
      </c>
    </row>
    <row r="71" spans="1:13" ht="10.5" customHeight="1">
      <c r="B71" s="58" t="str">
        <f t="shared" si="0"/>
        <v/>
      </c>
      <c r="E71" s="75"/>
      <c r="F71" s="84" t="str">
        <f>IF($A71&lt;&gt;"",E71/$B71*100,"")</f>
        <v/>
      </c>
      <c r="G71" s="75"/>
      <c r="H71" s="75"/>
      <c r="I71" s="84" t="str">
        <f t="shared" si="3"/>
        <v/>
      </c>
      <c r="J71" s="75"/>
      <c r="K71" s="75"/>
      <c r="L71" s="72"/>
      <c r="M71" s="84" t="str">
        <f t="shared" si="2"/>
        <v/>
      </c>
    </row>
    <row r="72" spans="1:13" ht="14" customHeight="1">
      <c r="A72" s="33" t="s">
        <v>209</v>
      </c>
      <c r="B72" s="58">
        <f t="shared" si="0"/>
        <v>54</v>
      </c>
      <c r="C72" s="84">
        <f t="shared" si="1"/>
        <v>1.0238907849829351</v>
      </c>
      <c r="E72" s="381"/>
      <c r="G72" s="381"/>
      <c r="H72" s="381"/>
      <c r="I72" s="84">
        <f t="shared" si="3"/>
        <v>0</v>
      </c>
      <c r="J72" s="383"/>
      <c r="K72" s="382">
        <v>54</v>
      </c>
      <c r="L72" s="72"/>
      <c r="M72" s="84">
        <f t="shared" si="2"/>
        <v>100</v>
      </c>
    </row>
    <row r="73" spans="1:13" ht="8.25" customHeight="1">
      <c r="B73" s="58" t="str">
        <f t="shared" si="0"/>
        <v/>
      </c>
      <c r="F73" s="84" t="str">
        <f>IF($A73&lt;&gt;"",E73/$B73*100,"")</f>
        <v/>
      </c>
      <c r="I73" s="84" t="str">
        <f t="shared" si="3"/>
        <v/>
      </c>
      <c r="K73" s="58"/>
      <c r="L73" s="72"/>
      <c r="M73" s="84" t="str">
        <f t="shared" si="2"/>
        <v/>
      </c>
    </row>
    <row r="74" spans="1:13" ht="14" customHeight="1">
      <c r="A74" s="55" t="s">
        <v>413</v>
      </c>
      <c r="B74" s="58">
        <f t="shared" si="0"/>
        <v>183</v>
      </c>
      <c r="C74" s="84">
        <f t="shared" si="1"/>
        <v>3.4698521046643913</v>
      </c>
      <c r="E74" s="72">
        <f>SUM(E75)</f>
        <v>0</v>
      </c>
      <c r="F74" s="84">
        <f>IF($A74&lt;&gt;"",E74/$B74*100,"")</f>
        <v>0</v>
      </c>
      <c r="H74" s="72">
        <f>SUM(H75)</f>
        <v>95</v>
      </c>
      <c r="I74" s="84">
        <f t="shared" si="3"/>
        <v>51.912568306010932</v>
      </c>
      <c r="K74" s="58">
        <f>SUM(K75)</f>
        <v>88</v>
      </c>
      <c r="L74" s="72"/>
      <c r="M74" s="84">
        <f t="shared" si="2"/>
        <v>48.087431693989068</v>
      </c>
    </row>
    <row r="75" spans="1:13" ht="14" customHeight="1">
      <c r="A75" s="33" t="s">
        <v>414</v>
      </c>
      <c r="B75" s="58">
        <f t="shared" si="0"/>
        <v>183</v>
      </c>
      <c r="C75" s="84">
        <f t="shared" si="1"/>
        <v>3.4698521046643913</v>
      </c>
      <c r="E75" s="72">
        <f>SUM(E76:E79)</f>
        <v>0</v>
      </c>
      <c r="F75" s="84">
        <f>IF($A75&lt;&gt;"",E75/$B75*100,"")</f>
        <v>0</v>
      </c>
      <c r="H75" s="72">
        <f>SUM(H76:H78)</f>
        <v>95</v>
      </c>
      <c r="I75" s="84">
        <f t="shared" si="3"/>
        <v>51.912568306010932</v>
      </c>
      <c r="K75" s="58">
        <f>SUM(K76:K79)</f>
        <v>88</v>
      </c>
      <c r="L75" s="72"/>
      <c r="M75" s="84">
        <f t="shared" si="2"/>
        <v>48.087431693989068</v>
      </c>
    </row>
    <row r="76" spans="1:13" ht="14" customHeight="1">
      <c r="A76" s="33" t="s">
        <v>212</v>
      </c>
      <c r="B76" s="58">
        <f>IF(A76&lt;&gt;0,E76+H76+K76,"")</f>
        <v>42</v>
      </c>
      <c r="C76" s="84">
        <f t="shared" si="1"/>
        <v>0.79635949943117168</v>
      </c>
      <c r="E76" s="853"/>
      <c r="F76" s="853"/>
      <c r="G76" s="853"/>
      <c r="H76" s="382">
        <v>35</v>
      </c>
      <c r="I76" s="84">
        <f t="shared" si="3"/>
        <v>83.333333333333343</v>
      </c>
      <c r="J76" s="382"/>
      <c r="K76" s="382">
        <v>7</v>
      </c>
      <c r="L76" s="72"/>
      <c r="M76" s="84">
        <f t="shared" si="2"/>
        <v>16.666666666666664</v>
      </c>
    </row>
    <row r="77" spans="1:13" ht="14" customHeight="1">
      <c r="A77" s="33" t="s">
        <v>213</v>
      </c>
      <c r="B77" s="58">
        <f>IF(A77&lt;&gt;0,E77+H77+K77,"")</f>
        <v>78</v>
      </c>
      <c r="C77" s="84">
        <f t="shared" si="1"/>
        <v>1.4789533560864618</v>
      </c>
      <c r="E77" s="853"/>
      <c r="F77" s="853"/>
      <c r="G77" s="853"/>
      <c r="H77" s="382">
        <v>37</v>
      </c>
      <c r="I77" s="84">
        <f t="shared" si="3"/>
        <v>47.435897435897431</v>
      </c>
      <c r="J77" s="382"/>
      <c r="K77" s="382">
        <v>41</v>
      </c>
      <c r="L77" s="72"/>
      <c r="M77" s="84">
        <f t="shared" si="2"/>
        <v>52.564102564102569</v>
      </c>
    </row>
    <row r="78" spans="1:13" ht="14" customHeight="1">
      <c r="A78" s="33" t="s">
        <v>214</v>
      </c>
      <c r="B78" s="58">
        <f>IF(A78&lt;&gt;0,E78+H78+K78,"")</f>
        <v>42</v>
      </c>
      <c r="C78" s="84">
        <f t="shared" si="1"/>
        <v>0.79635949943117168</v>
      </c>
      <c r="E78" s="853"/>
      <c r="F78" s="853"/>
      <c r="G78" s="853"/>
      <c r="H78" s="382">
        <v>23</v>
      </c>
      <c r="I78" s="84">
        <f t="shared" si="3"/>
        <v>54.761904761904766</v>
      </c>
      <c r="J78" s="382"/>
      <c r="K78" s="382">
        <v>19</v>
      </c>
      <c r="L78" s="72"/>
      <c r="M78" s="84">
        <f t="shared" si="2"/>
        <v>45.238095238095241</v>
      </c>
    </row>
    <row r="79" spans="1:13" ht="14" customHeight="1">
      <c r="A79" s="33" t="s">
        <v>215</v>
      </c>
      <c r="B79" s="58">
        <f>IF(A79&lt;&gt;0,E79+H79+K79,"")</f>
        <v>21</v>
      </c>
      <c r="C79" s="84">
        <f t="shared" si="1"/>
        <v>0.39817974971558584</v>
      </c>
      <c r="E79" s="381"/>
      <c r="F79" s="84">
        <f>IF($A79&lt;&gt;"",E79/$B79*100,"")</f>
        <v>0</v>
      </c>
      <c r="G79" s="381"/>
      <c r="H79" s="381"/>
      <c r="I79" s="84">
        <f t="shared" si="3"/>
        <v>0</v>
      </c>
      <c r="J79" s="383"/>
      <c r="K79" s="382">
        <v>21</v>
      </c>
      <c r="L79" s="72"/>
      <c r="M79" s="84">
        <f t="shared" ref="M79:M101" si="4">IF($A79&lt;&gt;"",K79/$B79*100,"")</f>
        <v>100</v>
      </c>
    </row>
    <row r="80" spans="1:13" ht="8.25" customHeight="1">
      <c r="F80" s="84" t="str">
        <f>IF($A80&lt;&gt;"",E80/$B80*100,"")</f>
        <v/>
      </c>
      <c r="I80" s="84" t="str">
        <f t="shared" si="3"/>
        <v/>
      </c>
      <c r="K80" s="58"/>
      <c r="L80" s="72"/>
      <c r="M80" s="84" t="str">
        <f t="shared" si="4"/>
        <v/>
      </c>
    </row>
    <row r="81" spans="1:13" ht="14" customHeight="1">
      <c r="A81" s="55" t="s">
        <v>483</v>
      </c>
      <c r="B81" s="58">
        <f t="shared" ref="B81:B96" si="5">IF(A81&lt;&gt;0,E81+H81+K81,"")</f>
        <v>580</v>
      </c>
      <c r="C81" s="84">
        <f t="shared" ref="C81:C101" si="6">IF($A$11&lt;&gt;"",$B81/$B$11*100,"")</f>
        <v>10.997345468335229</v>
      </c>
      <c r="E81" s="72">
        <f>SUM(E82)</f>
        <v>0</v>
      </c>
      <c r="F81" s="84">
        <f>IF($A81&lt;&gt;"",E81/$B81*100,"")</f>
        <v>0</v>
      </c>
      <c r="H81" s="72">
        <f>SUM(H82)</f>
        <v>272</v>
      </c>
      <c r="I81" s="84">
        <f t="shared" ref="I81:I101" si="7">IF($A81&lt;&gt;"",H81/$B81*100,"")</f>
        <v>46.896551724137929</v>
      </c>
      <c r="K81" s="58">
        <f>SUM(K82)</f>
        <v>308</v>
      </c>
      <c r="L81" s="72"/>
      <c r="M81" s="84">
        <f t="shared" si="4"/>
        <v>53.103448275862064</v>
      </c>
    </row>
    <row r="82" spans="1:13" ht="14" customHeight="1">
      <c r="A82" s="33" t="s">
        <v>217</v>
      </c>
      <c r="B82" s="58">
        <f t="shared" si="5"/>
        <v>580</v>
      </c>
      <c r="C82" s="84">
        <f t="shared" si="6"/>
        <v>10.997345468335229</v>
      </c>
      <c r="E82" s="72">
        <f>SUM(E83:E91)</f>
        <v>0</v>
      </c>
      <c r="F82" s="84">
        <f>IF($A82&lt;&gt;"",E82/$B82*100,"")</f>
        <v>0</v>
      </c>
      <c r="H82" s="72">
        <f>SUM(H83:H91)</f>
        <v>272</v>
      </c>
      <c r="I82" s="84">
        <f t="shared" si="7"/>
        <v>46.896551724137929</v>
      </c>
      <c r="K82" s="58">
        <f>SUM(K83:K91)</f>
        <v>308</v>
      </c>
      <c r="L82" s="72"/>
      <c r="M82" s="84">
        <f t="shared" si="4"/>
        <v>53.103448275862064</v>
      </c>
    </row>
    <row r="83" spans="1:13" ht="14" customHeight="1">
      <c r="A83" s="33" t="s">
        <v>1945</v>
      </c>
      <c r="B83" s="58">
        <f t="shared" si="5"/>
        <v>26</v>
      </c>
      <c r="C83" s="84">
        <f t="shared" si="6"/>
        <v>0.49298445202882069</v>
      </c>
      <c r="E83" s="381"/>
      <c r="G83" s="381"/>
      <c r="H83" s="382">
        <v>17</v>
      </c>
      <c r="I83" s="84">
        <f t="shared" si="7"/>
        <v>65.384615384615387</v>
      </c>
      <c r="J83" s="382"/>
      <c r="K83" s="382">
        <v>9</v>
      </c>
      <c r="L83" s="72"/>
      <c r="M83" s="84">
        <f t="shared" si="4"/>
        <v>34.615384615384613</v>
      </c>
    </row>
    <row r="84" spans="1:13" ht="14" customHeight="1">
      <c r="A84" s="33" t="s">
        <v>218</v>
      </c>
      <c r="B84" s="58">
        <f t="shared" si="5"/>
        <v>85</v>
      </c>
      <c r="C84" s="84">
        <f t="shared" si="6"/>
        <v>1.6116799393249905</v>
      </c>
      <c r="E84" s="381"/>
      <c r="G84" s="381"/>
      <c r="H84" s="381"/>
      <c r="I84" s="84">
        <f t="shared" si="7"/>
        <v>0</v>
      </c>
      <c r="J84" s="383"/>
      <c r="K84" s="382">
        <v>85</v>
      </c>
      <c r="L84" s="72"/>
      <c r="M84" s="84">
        <f t="shared" si="4"/>
        <v>100</v>
      </c>
    </row>
    <row r="85" spans="1:13" ht="14" customHeight="1">
      <c r="A85" s="33" t="s">
        <v>220</v>
      </c>
      <c r="B85" s="58">
        <f t="shared" si="5"/>
        <v>109</v>
      </c>
      <c r="C85" s="84">
        <f t="shared" si="6"/>
        <v>2.0667425104285173</v>
      </c>
      <c r="E85" s="381"/>
      <c r="G85" s="381"/>
      <c r="H85" s="382">
        <v>98</v>
      </c>
      <c r="I85" s="84">
        <f t="shared" si="7"/>
        <v>89.908256880733944</v>
      </c>
      <c r="J85" s="382"/>
      <c r="K85" s="382">
        <v>11</v>
      </c>
      <c r="L85" s="72"/>
      <c r="M85" s="84">
        <f t="shared" si="4"/>
        <v>10.091743119266056</v>
      </c>
    </row>
    <row r="86" spans="1:13" ht="14" customHeight="1">
      <c r="A86" s="33" t="s">
        <v>222</v>
      </c>
      <c r="B86" s="58">
        <f t="shared" si="5"/>
        <v>50</v>
      </c>
      <c r="C86" s="84">
        <f t="shared" si="6"/>
        <v>0.94804702313234734</v>
      </c>
      <c r="E86" s="381"/>
      <c r="G86" s="381"/>
      <c r="H86" s="381"/>
      <c r="I86" s="84">
        <f t="shared" si="7"/>
        <v>0</v>
      </c>
      <c r="J86" s="383"/>
      <c r="K86" s="382">
        <v>50</v>
      </c>
      <c r="L86" s="72"/>
      <c r="M86" s="84">
        <f t="shared" si="4"/>
        <v>100</v>
      </c>
    </row>
    <row r="87" spans="1:13" ht="14" customHeight="1">
      <c r="A87" s="33" t="s">
        <v>221</v>
      </c>
      <c r="B87" s="58">
        <f t="shared" si="5"/>
        <v>78</v>
      </c>
      <c r="C87" s="84">
        <f t="shared" si="6"/>
        <v>1.4789533560864618</v>
      </c>
      <c r="E87" s="381"/>
      <c r="G87" s="381"/>
      <c r="H87" s="382">
        <v>59</v>
      </c>
      <c r="I87" s="84">
        <f t="shared" si="7"/>
        <v>75.641025641025635</v>
      </c>
      <c r="J87" s="382"/>
      <c r="K87" s="382">
        <v>19</v>
      </c>
      <c r="L87" s="72"/>
      <c r="M87" s="84">
        <f t="shared" si="4"/>
        <v>24.358974358974358</v>
      </c>
    </row>
    <row r="88" spans="1:13" ht="14" customHeight="1">
      <c r="A88" s="33" t="s">
        <v>219</v>
      </c>
      <c r="B88" s="58">
        <f t="shared" si="5"/>
        <v>67</v>
      </c>
      <c r="C88" s="84">
        <f t="shared" si="6"/>
        <v>1.2703830109973455</v>
      </c>
      <c r="E88" s="381"/>
      <c r="G88" s="381"/>
      <c r="H88" s="381"/>
      <c r="I88" s="84">
        <f t="shared" si="7"/>
        <v>0</v>
      </c>
      <c r="J88" s="383"/>
      <c r="K88" s="382">
        <v>67</v>
      </c>
      <c r="L88" s="72"/>
      <c r="M88" s="84">
        <f t="shared" si="4"/>
        <v>100</v>
      </c>
    </row>
    <row r="89" spans="1:13" ht="14" customHeight="1">
      <c r="A89" s="33" t="s">
        <v>223</v>
      </c>
      <c r="B89" s="58">
        <f t="shared" si="5"/>
        <v>61</v>
      </c>
      <c r="C89" s="84">
        <f t="shared" si="6"/>
        <v>1.1566173682214638</v>
      </c>
      <c r="E89" s="381"/>
      <c r="G89" s="381"/>
      <c r="H89" s="381"/>
      <c r="I89" s="84">
        <f t="shared" si="7"/>
        <v>0</v>
      </c>
      <c r="J89" s="383"/>
      <c r="K89" s="382">
        <v>61</v>
      </c>
      <c r="L89" s="72"/>
      <c r="M89" s="84">
        <f t="shared" si="4"/>
        <v>100</v>
      </c>
    </row>
    <row r="90" spans="1:13" ht="14" customHeight="1">
      <c r="A90" s="33" t="s">
        <v>1060</v>
      </c>
      <c r="B90" s="58">
        <f t="shared" si="5"/>
        <v>22</v>
      </c>
      <c r="C90" s="84">
        <f t="shared" si="6"/>
        <v>0.41714069017823285</v>
      </c>
      <c r="E90" s="381"/>
      <c r="G90" s="381"/>
      <c r="H90" s="382">
        <v>17</v>
      </c>
      <c r="I90" s="84">
        <f t="shared" si="7"/>
        <v>77.272727272727266</v>
      </c>
      <c r="J90" s="382"/>
      <c r="K90" s="382">
        <v>5</v>
      </c>
      <c r="L90" s="72"/>
      <c r="M90" s="84">
        <f t="shared" si="4"/>
        <v>22.727272727272727</v>
      </c>
    </row>
    <row r="91" spans="1:13" ht="14" customHeight="1">
      <c r="A91" s="33" t="s">
        <v>225</v>
      </c>
      <c r="B91" s="58">
        <f t="shared" si="5"/>
        <v>82</v>
      </c>
      <c r="C91" s="84">
        <f t="shared" si="6"/>
        <v>1.5547971179370497</v>
      </c>
      <c r="E91" s="381"/>
      <c r="G91" s="381"/>
      <c r="H91" s="382">
        <v>81</v>
      </c>
      <c r="I91" s="84">
        <f t="shared" si="7"/>
        <v>98.780487804878049</v>
      </c>
      <c r="J91" s="382"/>
      <c r="K91" s="381">
        <v>1</v>
      </c>
      <c r="L91" s="72"/>
      <c r="M91" s="84">
        <f t="shared" si="4"/>
        <v>1.2195121951219512</v>
      </c>
    </row>
    <row r="92" spans="1:13" ht="6.75" customHeight="1">
      <c r="E92" s="75"/>
      <c r="F92" s="84" t="str">
        <f>IF($A92&lt;&gt;"",E92/$B92*100,"")</f>
        <v/>
      </c>
      <c r="G92" s="75"/>
      <c r="H92" s="384"/>
      <c r="I92" s="84" t="str">
        <f t="shared" si="7"/>
        <v/>
      </c>
      <c r="J92" s="75"/>
      <c r="K92" s="75"/>
      <c r="L92" s="72"/>
    </row>
    <row r="93" spans="1:13" ht="14" customHeight="1">
      <c r="A93" s="33" t="s">
        <v>535</v>
      </c>
      <c r="B93" s="58">
        <f t="shared" si="5"/>
        <v>23</v>
      </c>
      <c r="C93" s="84">
        <f t="shared" si="6"/>
        <v>0.43610163064087981</v>
      </c>
      <c r="E93" s="384"/>
      <c r="G93" s="384"/>
      <c r="H93" s="384">
        <v>23</v>
      </c>
      <c r="I93" s="84">
        <f t="shared" si="7"/>
        <v>100</v>
      </c>
      <c r="J93" s="384"/>
      <c r="K93" s="384"/>
      <c r="L93" s="72"/>
      <c r="M93" s="84">
        <f t="shared" si="4"/>
        <v>0</v>
      </c>
    </row>
    <row r="94" spans="1:13" ht="14" customHeight="1">
      <c r="A94" s="385" t="s">
        <v>495</v>
      </c>
      <c r="B94" s="58">
        <f>IF(A94&lt;&gt;0,E94+H94+K94,"")</f>
        <v>57</v>
      </c>
      <c r="C94" s="84">
        <f t="shared" si="6"/>
        <v>1.0807736063708762</v>
      </c>
      <c r="E94" s="381"/>
      <c r="G94" s="381"/>
      <c r="H94" s="381">
        <v>14</v>
      </c>
      <c r="I94" s="84">
        <f t="shared" si="7"/>
        <v>24.561403508771928</v>
      </c>
      <c r="J94" s="381"/>
      <c r="K94" s="381">
        <v>43</v>
      </c>
      <c r="L94" s="84"/>
      <c r="M94" s="84">
        <f>IF($A94&lt;&gt;"",K94/$B94*100,"")</f>
        <v>75.438596491228068</v>
      </c>
    </row>
    <row r="95" spans="1:13" ht="8.25" customHeight="1">
      <c r="B95" s="58" t="str">
        <f t="shared" si="5"/>
        <v/>
      </c>
      <c r="F95" s="84" t="str">
        <f>IF($A95&lt;&gt;"",E95/$B95*100,"")</f>
        <v/>
      </c>
      <c r="I95" s="84" t="str">
        <f t="shared" si="7"/>
        <v/>
      </c>
      <c r="K95" s="58"/>
      <c r="L95" s="72"/>
      <c r="M95" s="84" t="str">
        <f t="shared" si="4"/>
        <v/>
      </c>
    </row>
    <row r="96" spans="1:13" ht="14" customHeight="1">
      <c r="A96" s="55" t="s">
        <v>423</v>
      </c>
      <c r="B96" s="58">
        <f t="shared" si="5"/>
        <v>1246</v>
      </c>
      <c r="C96" s="84">
        <f t="shared" si="6"/>
        <v>23.625331816458093</v>
      </c>
      <c r="E96" s="72">
        <f>SUM(E97:E101)</f>
        <v>63</v>
      </c>
      <c r="F96" s="84">
        <f>IF($A96&lt;&gt;"",E96/$B96*100,"")</f>
        <v>5.0561797752808983</v>
      </c>
      <c r="H96" s="72">
        <f>SUM(H97:H101)</f>
        <v>960</v>
      </c>
      <c r="I96" s="84">
        <f t="shared" si="7"/>
        <v>77.046548956661326</v>
      </c>
      <c r="K96" s="58">
        <f>SUM(K97:K101)</f>
        <v>223</v>
      </c>
      <c r="L96" s="72"/>
      <c r="M96" s="84">
        <f t="shared" si="4"/>
        <v>17.897271268057786</v>
      </c>
    </row>
    <row r="97" spans="1:14" ht="14" customHeight="1">
      <c r="A97" s="33" t="s">
        <v>424</v>
      </c>
      <c r="B97" s="58">
        <f>IF(A97&lt;&gt;0,E97+H97+K97,"")</f>
        <v>422</v>
      </c>
      <c r="C97" s="84">
        <f t="shared" si="6"/>
        <v>8.0015168752370123</v>
      </c>
      <c r="E97" s="382">
        <v>0</v>
      </c>
      <c r="G97" s="382"/>
      <c r="H97" s="382">
        <v>306</v>
      </c>
      <c r="I97" s="84">
        <f t="shared" si="7"/>
        <v>72.511848341232238</v>
      </c>
      <c r="J97" s="382"/>
      <c r="K97" s="382">
        <v>116</v>
      </c>
      <c r="L97" s="72"/>
      <c r="M97" s="84">
        <f t="shared" si="4"/>
        <v>27.488151658767773</v>
      </c>
    </row>
    <row r="98" spans="1:14" ht="14" customHeight="1">
      <c r="A98" s="33" t="s">
        <v>425</v>
      </c>
      <c r="B98" s="58">
        <f>IF(A98&lt;&gt;0,E98+H98+K98,"")</f>
        <v>213</v>
      </c>
      <c r="C98" s="84">
        <f t="shared" si="6"/>
        <v>4.0386803185437996</v>
      </c>
      <c r="E98" s="382">
        <v>1</v>
      </c>
      <c r="F98" s="84">
        <f>IF($A98&lt;&gt;"",E98/$B98*100,"")</f>
        <v>0.46948356807511737</v>
      </c>
      <c r="G98" s="382" t="s">
        <v>1061</v>
      </c>
      <c r="H98" s="382">
        <v>206</v>
      </c>
      <c r="I98" s="84">
        <f t="shared" si="7"/>
        <v>96.713615023474176</v>
      </c>
      <c r="J98" s="382"/>
      <c r="K98" s="382">
        <v>6</v>
      </c>
      <c r="L98" s="72"/>
      <c r="M98" s="84">
        <f t="shared" si="4"/>
        <v>2.8169014084507045</v>
      </c>
    </row>
    <row r="99" spans="1:14" ht="14" customHeight="1">
      <c r="A99" s="33" t="s">
        <v>426</v>
      </c>
      <c r="B99" s="58">
        <f>IF(A99&lt;&gt;0,E99+H99+K99,"")</f>
        <v>270</v>
      </c>
      <c r="C99" s="84">
        <f t="shared" si="6"/>
        <v>5.1194539249146755</v>
      </c>
      <c r="E99" s="382">
        <v>27</v>
      </c>
      <c r="F99" s="84">
        <f>IF($A99&lt;&gt;"",E99/$B99*100,"")</f>
        <v>10</v>
      </c>
      <c r="G99" s="382" t="s">
        <v>1062</v>
      </c>
      <c r="H99" s="382">
        <v>179</v>
      </c>
      <c r="I99" s="84">
        <f t="shared" si="7"/>
        <v>66.296296296296305</v>
      </c>
      <c r="J99" s="382"/>
      <c r="K99" s="382">
        <v>64</v>
      </c>
      <c r="L99" s="72"/>
      <c r="M99" s="84">
        <f t="shared" si="4"/>
        <v>23.703703703703706</v>
      </c>
    </row>
    <row r="100" spans="1:14" ht="14" customHeight="1">
      <c r="A100" s="33" t="s">
        <v>790</v>
      </c>
      <c r="B100" s="58">
        <f>IF(A100&lt;&gt;0,E100+H100+K100,"")</f>
        <v>168</v>
      </c>
      <c r="C100" s="84">
        <f t="shared" si="6"/>
        <v>3.1854379977246867</v>
      </c>
      <c r="E100" s="382">
        <v>13</v>
      </c>
      <c r="F100" s="84">
        <f>IF($A100&lt;&gt;"",E100/$B100*100,"")</f>
        <v>7.7380952380952381</v>
      </c>
      <c r="G100" s="382" t="s">
        <v>1063</v>
      </c>
      <c r="H100" s="382">
        <v>128</v>
      </c>
      <c r="I100" s="84">
        <f t="shared" si="7"/>
        <v>76.19047619047619</v>
      </c>
      <c r="J100" s="382"/>
      <c r="K100" s="382">
        <v>27</v>
      </c>
      <c r="L100" s="72"/>
      <c r="M100" s="84">
        <f t="shared" si="4"/>
        <v>16.071428571428573</v>
      </c>
    </row>
    <row r="101" spans="1:14" ht="14" customHeight="1">
      <c r="A101" s="33" t="s">
        <v>587</v>
      </c>
      <c r="B101" s="58">
        <f>IF(A101&lt;&gt;0,E101+H101+K101,"")</f>
        <v>173</v>
      </c>
      <c r="C101" s="84">
        <f t="shared" si="6"/>
        <v>3.2802427000379222</v>
      </c>
      <c r="E101" s="382">
        <v>22</v>
      </c>
      <c r="F101" s="84">
        <f>IF($A101&lt;&gt;"",E101/$B101*100,"")</f>
        <v>12.716763005780345</v>
      </c>
      <c r="G101" s="382" t="s">
        <v>1064</v>
      </c>
      <c r="H101" s="382">
        <v>141</v>
      </c>
      <c r="I101" s="84">
        <f t="shared" si="7"/>
        <v>81.502890173410407</v>
      </c>
      <c r="J101" s="382"/>
      <c r="K101" s="382">
        <v>10</v>
      </c>
      <c r="L101" s="72"/>
      <c r="M101" s="84">
        <f t="shared" si="4"/>
        <v>5.7803468208092488</v>
      </c>
    </row>
    <row r="102" spans="1:14" ht="9" customHeight="1" thickBot="1">
      <c r="A102" s="199"/>
      <c r="B102" s="197"/>
      <c r="C102" s="378"/>
      <c r="D102" s="200"/>
      <c r="E102" s="200"/>
      <c r="F102" s="378"/>
      <c r="G102" s="293"/>
      <c r="H102" s="200"/>
      <c r="I102" s="378"/>
      <c r="J102" s="200"/>
      <c r="K102" s="197"/>
      <c r="L102" s="199"/>
      <c r="M102" s="378"/>
      <c r="N102" s="199"/>
    </row>
    <row r="103" spans="1:14" ht="6" customHeight="1">
      <c r="A103" s="57"/>
      <c r="B103" s="190"/>
      <c r="C103" s="76"/>
      <c r="D103" s="201"/>
      <c r="E103" s="201"/>
      <c r="F103" s="76"/>
      <c r="G103" s="379"/>
      <c r="H103" s="201"/>
      <c r="I103" s="76"/>
      <c r="J103" s="201"/>
      <c r="K103" s="190"/>
      <c r="L103" s="57"/>
      <c r="M103" s="76"/>
      <c r="N103" s="57"/>
    </row>
    <row r="104" spans="1:14" ht="13.5" customHeight="1">
      <c r="A104" s="57" t="s">
        <v>1065</v>
      </c>
      <c r="B104" s="190"/>
      <c r="C104" s="76"/>
      <c r="D104" s="201"/>
      <c r="E104" s="201"/>
      <c r="F104" s="76"/>
      <c r="G104" s="379"/>
      <c r="H104" s="201"/>
      <c r="I104" s="76"/>
      <c r="J104" s="201"/>
      <c r="K104" s="190"/>
      <c r="L104" s="57"/>
      <c r="M104" s="76"/>
      <c r="N104" s="57"/>
    </row>
    <row r="105" spans="1:14" ht="6.75" customHeight="1">
      <c r="A105" s="57"/>
      <c r="B105" s="190"/>
      <c r="C105" s="76"/>
      <c r="D105" s="201"/>
      <c r="E105" s="201"/>
      <c r="F105" s="76"/>
      <c r="G105" s="379"/>
      <c r="H105" s="201"/>
      <c r="I105" s="76"/>
      <c r="J105" s="201"/>
      <c r="K105" s="190"/>
      <c r="L105" s="57"/>
      <c r="M105" s="76"/>
      <c r="N105" s="57"/>
    </row>
    <row r="106" spans="1:14" ht="12.75" customHeight="1">
      <c r="A106" s="75" t="s">
        <v>1946</v>
      </c>
      <c r="B106" s="190"/>
      <c r="C106" s="76"/>
      <c r="D106" s="201"/>
      <c r="E106" s="201"/>
      <c r="F106" s="76"/>
      <c r="G106" s="379"/>
      <c r="H106" s="201"/>
      <c r="I106" s="76"/>
      <c r="J106" s="201"/>
      <c r="K106" s="75"/>
      <c r="L106" s="57"/>
      <c r="M106" s="76"/>
      <c r="N106" s="57"/>
    </row>
    <row r="107" spans="1:14" ht="12" customHeight="1">
      <c r="A107" s="75" t="s">
        <v>1947</v>
      </c>
      <c r="B107" s="190"/>
      <c r="C107" s="76"/>
      <c r="D107" s="201"/>
      <c r="E107" s="201"/>
      <c r="F107" s="76"/>
      <c r="G107" s="379"/>
      <c r="H107" s="201"/>
      <c r="I107" s="76"/>
      <c r="J107" s="201"/>
      <c r="K107" s="75"/>
      <c r="L107" s="57"/>
      <c r="M107" s="76"/>
      <c r="N107" s="57"/>
    </row>
    <row r="108" spans="1:14" ht="13.5" customHeight="1">
      <c r="A108" s="75" t="s">
        <v>1948</v>
      </c>
      <c r="B108" s="190"/>
      <c r="C108" s="76"/>
      <c r="D108" s="201"/>
      <c r="E108" s="201"/>
      <c r="F108" s="76"/>
      <c r="G108" s="379"/>
      <c r="H108" s="201"/>
      <c r="I108" s="76"/>
      <c r="J108" s="201"/>
      <c r="K108" s="75"/>
      <c r="L108" s="57"/>
      <c r="M108" s="76"/>
      <c r="N108" s="57"/>
    </row>
    <row r="109" spans="1:14" ht="13.5" customHeight="1">
      <c r="A109" s="75" t="s">
        <v>1949</v>
      </c>
      <c r="B109" s="190"/>
      <c r="C109" s="76"/>
      <c r="D109" s="201"/>
      <c r="E109" s="201"/>
      <c r="F109" s="76"/>
      <c r="G109" s="379"/>
      <c r="H109" s="201"/>
      <c r="I109" s="76"/>
      <c r="J109" s="201"/>
      <c r="K109" s="75"/>
      <c r="L109" s="57"/>
      <c r="M109" s="76"/>
      <c r="N109" s="57"/>
    </row>
    <row r="110" spans="1:14">
      <c r="A110" s="75" t="s">
        <v>1950</v>
      </c>
      <c r="B110" s="190"/>
      <c r="C110" s="76"/>
      <c r="D110" s="201"/>
      <c r="E110" s="201"/>
      <c r="F110" s="76"/>
      <c r="G110" s="379"/>
      <c r="H110" s="201"/>
      <c r="I110" s="76"/>
      <c r="J110" s="201"/>
      <c r="K110" s="75"/>
      <c r="L110" s="57"/>
      <c r="M110" s="76"/>
      <c r="N110" s="57"/>
    </row>
    <row r="111" spans="1:14">
      <c r="A111" s="75" t="s">
        <v>1951</v>
      </c>
      <c r="B111" s="190"/>
      <c r="C111" s="76"/>
      <c r="D111" s="201"/>
      <c r="E111" s="201"/>
      <c r="F111" s="76"/>
      <c r="G111" s="379"/>
      <c r="H111" s="201"/>
      <c r="I111" s="76"/>
      <c r="J111" s="201"/>
      <c r="K111" s="75"/>
      <c r="L111" s="57"/>
      <c r="M111" s="76"/>
      <c r="N111" s="57"/>
    </row>
    <row r="112" spans="1:14">
      <c r="A112" s="75" t="s">
        <v>1952</v>
      </c>
      <c r="B112" s="190"/>
      <c r="C112" s="76"/>
      <c r="D112" s="201"/>
      <c r="E112" s="201"/>
      <c r="F112" s="76"/>
      <c r="G112" s="379"/>
      <c r="H112" s="201"/>
      <c r="I112" s="76"/>
      <c r="J112" s="201"/>
      <c r="K112" s="75"/>
      <c r="L112" s="57"/>
      <c r="M112" s="76"/>
      <c r="N112" s="57"/>
    </row>
    <row r="113" spans="1:14">
      <c r="A113" s="75" t="s">
        <v>1953</v>
      </c>
      <c r="B113" s="190"/>
      <c r="C113" s="76"/>
      <c r="D113" s="201"/>
      <c r="E113" s="201"/>
      <c r="F113" s="76"/>
      <c r="G113" s="379"/>
      <c r="H113" s="201"/>
      <c r="I113" s="76"/>
      <c r="J113" s="201"/>
      <c r="K113" s="75"/>
      <c r="L113" s="57"/>
      <c r="M113" s="76"/>
      <c r="N113" s="57"/>
    </row>
    <row r="114" spans="1:14">
      <c r="A114" s="75" t="s">
        <v>1954</v>
      </c>
      <c r="B114" s="190"/>
      <c r="C114" s="76"/>
      <c r="D114" s="201"/>
      <c r="E114" s="201"/>
      <c r="F114" s="76"/>
      <c r="G114" s="379"/>
      <c r="H114" s="201"/>
      <c r="I114" s="76"/>
      <c r="J114" s="201"/>
      <c r="K114" s="75"/>
      <c r="L114" s="57"/>
      <c r="M114" s="76"/>
      <c r="N114" s="57"/>
    </row>
    <row r="115" spans="1:14" ht="15">
      <c r="A115" s="33" t="s">
        <v>1068</v>
      </c>
      <c r="B115" s="190"/>
      <c r="C115" s="76"/>
      <c r="D115" s="201"/>
      <c r="E115" s="201"/>
      <c r="F115" s="76"/>
      <c r="G115" s="379"/>
      <c r="H115" s="201"/>
      <c r="I115" s="76"/>
      <c r="J115" s="201"/>
      <c r="K115" s="75"/>
      <c r="L115" s="57"/>
      <c r="M115" s="76"/>
      <c r="N115" s="57"/>
    </row>
    <row r="116" spans="1:14" ht="8.25" customHeight="1">
      <c r="A116" s="57"/>
      <c r="B116" s="190"/>
      <c r="C116" s="76"/>
      <c r="D116" s="201"/>
      <c r="E116" s="201"/>
      <c r="F116" s="76"/>
      <c r="G116" s="379"/>
      <c r="H116" s="201"/>
      <c r="I116" s="76"/>
      <c r="J116" s="201"/>
      <c r="K116" s="75"/>
      <c r="L116" s="57"/>
      <c r="M116" s="76"/>
      <c r="N116" s="57"/>
    </row>
    <row r="117" spans="1:14" ht="14.25" customHeight="1">
      <c r="A117" s="33" t="s">
        <v>1066</v>
      </c>
    </row>
    <row r="118" spans="1:14" ht="11.25" customHeight="1">
      <c r="A118" s="33" t="s">
        <v>471</v>
      </c>
    </row>
    <row r="121" spans="1:14">
      <c r="C121" s="386"/>
      <c r="D121" s="386"/>
      <c r="E121" s="386"/>
    </row>
    <row r="122" spans="1:14">
      <c r="C122" s="386"/>
      <c r="D122" s="386"/>
      <c r="E122" s="386"/>
    </row>
    <row r="123" spans="1:14">
      <c r="C123" s="386"/>
      <c r="D123" s="386"/>
      <c r="E123" s="386"/>
    </row>
    <row r="124" spans="1:14">
      <c r="C124" s="58"/>
      <c r="D124" s="386"/>
      <c r="E124" s="58"/>
    </row>
    <row r="125" spans="1:14">
      <c r="C125" s="386"/>
      <c r="D125" s="386"/>
      <c r="E125" s="386"/>
    </row>
    <row r="126" spans="1:14">
      <c r="C126" s="386"/>
      <c r="D126" s="386"/>
      <c r="E126" s="386"/>
    </row>
  </sheetData>
  <mergeCells count="4">
    <mergeCell ref="B7:C7"/>
    <mergeCell ref="E7:F7"/>
    <mergeCell ref="H7:I7"/>
    <mergeCell ref="K7:M7"/>
  </mergeCells>
  <conditionalFormatting sqref="A1:XFD1048576">
    <cfRule type="cellIs" dxfId="60" priority="1" operator="equal">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5" tint="-0.249977111117893"/>
  </sheetPr>
  <dimension ref="A5:D14"/>
  <sheetViews>
    <sheetView workbookViewId="0">
      <selection activeCell="J9" sqref="J9"/>
    </sheetView>
  </sheetViews>
  <sheetFormatPr baseColWidth="10" defaultRowHeight="15"/>
  <sheetData>
    <row r="5" spans="1:4">
      <c r="B5" s="28"/>
      <c r="C5" s="28"/>
      <c r="D5" s="28"/>
    </row>
    <row r="13" spans="1:4">
      <c r="A13" s="28"/>
      <c r="B13" s="28"/>
      <c r="C13" s="28"/>
    </row>
    <row r="14" spans="1:4">
      <c r="A14" s="28"/>
      <c r="B14" s="28"/>
      <c r="C14" s="28"/>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09"/>
  <sheetViews>
    <sheetView workbookViewId="0">
      <selection activeCell="A2" sqref="A2"/>
    </sheetView>
  </sheetViews>
  <sheetFormatPr baseColWidth="10" defaultColWidth="8.83203125" defaultRowHeight="14"/>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92"/>
    <col min="257" max="257" width="45.33203125" style="392" customWidth="1"/>
    <col min="258" max="259" width="10.6640625" style="392" customWidth="1"/>
    <col min="260" max="260" width="3.33203125" style="392" customWidth="1"/>
    <col min="261" max="262" width="10.6640625" style="392" customWidth="1"/>
    <col min="263" max="263" width="3.1640625" style="392" customWidth="1"/>
    <col min="264" max="264" width="10.6640625" style="392" customWidth="1"/>
    <col min="265" max="265" width="12.83203125" style="392" customWidth="1"/>
    <col min="266" max="512" width="8.83203125" style="392"/>
    <col min="513" max="513" width="45.33203125" style="392" customWidth="1"/>
    <col min="514" max="515" width="10.6640625" style="392" customWidth="1"/>
    <col min="516" max="516" width="3.33203125" style="392" customWidth="1"/>
    <col min="517" max="518" width="10.6640625" style="392" customWidth="1"/>
    <col min="519" max="519" width="3.1640625" style="392" customWidth="1"/>
    <col min="520" max="520" width="10.6640625" style="392" customWidth="1"/>
    <col min="521" max="521" width="12.83203125" style="392" customWidth="1"/>
    <col min="522" max="768" width="8.83203125" style="392"/>
    <col min="769" max="769" width="45.33203125" style="392" customWidth="1"/>
    <col min="770" max="771" width="10.6640625" style="392" customWidth="1"/>
    <col min="772" max="772" width="3.33203125" style="392" customWidth="1"/>
    <col min="773" max="774" width="10.6640625" style="392" customWidth="1"/>
    <col min="775" max="775" width="3.1640625" style="392" customWidth="1"/>
    <col min="776" max="776" width="10.6640625" style="392" customWidth="1"/>
    <col min="777" max="777" width="12.83203125" style="392" customWidth="1"/>
    <col min="778" max="1024" width="8.83203125" style="392"/>
    <col min="1025" max="1025" width="45.33203125" style="392" customWidth="1"/>
    <col min="1026" max="1027" width="10.6640625" style="392" customWidth="1"/>
    <col min="1028" max="1028" width="3.33203125" style="392" customWidth="1"/>
    <col min="1029" max="1030" width="10.6640625" style="392" customWidth="1"/>
    <col min="1031" max="1031" width="3.1640625" style="392" customWidth="1"/>
    <col min="1032" max="1032" width="10.6640625" style="392" customWidth="1"/>
    <col min="1033" max="1033" width="12.83203125" style="392" customWidth="1"/>
    <col min="1034" max="1280" width="8.83203125" style="392"/>
    <col min="1281" max="1281" width="45.33203125" style="392" customWidth="1"/>
    <col min="1282" max="1283" width="10.6640625" style="392" customWidth="1"/>
    <col min="1284" max="1284" width="3.33203125" style="392" customWidth="1"/>
    <col min="1285" max="1286" width="10.6640625" style="392" customWidth="1"/>
    <col min="1287" max="1287" width="3.1640625" style="392" customWidth="1"/>
    <col min="1288" max="1288" width="10.6640625" style="392" customWidth="1"/>
    <col min="1289" max="1289" width="12.83203125" style="392" customWidth="1"/>
    <col min="1290" max="1536" width="8.83203125" style="392"/>
    <col min="1537" max="1537" width="45.33203125" style="392" customWidth="1"/>
    <col min="1538" max="1539" width="10.6640625" style="392" customWidth="1"/>
    <col min="1540" max="1540" width="3.33203125" style="392" customWidth="1"/>
    <col min="1541" max="1542" width="10.6640625" style="392" customWidth="1"/>
    <col min="1543" max="1543" width="3.1640625" style="392" customWidth="1"/>
    <col min="1544" max="1544" width="10.6640625" style="392" customWidth="1"/>
    <col min="1545" max="1545" width="12.83203125" style="392" customWidth="1"/>
    <col min="1546" max="1792" width="8.83203125" style="392"/>
    <col min="1793" max="1793" width="45.33203125" style="392" customWidth="1"/>
    <col min="1794" max="1795" width="10.6640625" style="392" customWidth="1"/>
    <col min="1796" max="1796" width="3.33203125" style="392" customWidth="1"/>
    <col min="1797" max="1798" width="10.6640625" style="392" customWidth="1"/>
    <col min="1799" max="1799" width="3.1640625" style="392" customWidth="1"/>
    <col min="1800" max="1800" width="10.6640625" style="392" customWidth="1"/>
    <col min="1801" max="1801" width="12.83203125" style="392" customWidth="1"/>
    <col min="1802" max="2048" width="8.83203125" style="392"/>
    <col min="2049" max="2049" width="45.33203125" style="392" customWidth="1"/>
    <col min="2050" max="2051" width="10.6640625" style="392" customWidth="1"/>
    <col min="2052" max="2052" width="3.33203125" style="392" customWidth="1"/>
    <col min="2053" max="2054" width="10.6640625" style="392" customWidth="1"/>
    <col min="2055" max="2055" width="3.1640625" style="392" customWidth="1"/>
    <col min="2056" max="2056" width="10.6640625" style="392" customWidth="1"/>
    <col min="2057" max="2057" width="12.83203125" style="392" customWidth="1"/>
    <col min="2058" max="2304" width="8.83203125" style="392"/>
    <col min="2305" max="2305" width="45.33203125" style="392" customWidth="1"/>
    <col min="2306" max="2307" width="10.6640625" style="392" customWidth="1"/>
    <col min="2308" max="2308" width="3.33203125" style="392" customWidth="1"/>
    <col min="2309" max="2310" width="10.6640625" style="392" customWidth="1"/>
    <col min="2311" max="2311" width="3.1640625" style="392" customWidth="1"/>
    <col min="2312" max="2312" width="10.6640625" style="392" customWidth="1"/>
    <col min="2313" max="2313" width="12.83203125" style="392" customWidth="1"/>
    <col min="2314" max="2560" width="8.83203125" style="392"/>
    <col min="2561" max="2561" width="45.33203125" style="392" customWidth="1"/>
    <col min="2562" max="2563" width="10.6640625" style="392" customWidth="1"/>
    <col min="2564" max="2564" width="3.33203125" style="392" customWidth="1"/>
    <col min="2565" max="2566" width="10.6640625" style="392" customWidth="1"/>
    <col min="2567" max="2567" width="3.1640625" style="392" customWidth="1"/>
    <col min="2568" max="2568" width="10.6640625" style="392" customWidth="1"/>
    <col min="2569" max="2569" width="12.83203125" style="392" customWidth="1"/>
    <col min="2570" max="2816" width="8.83203125" style="392"/>
    <col min="2817" max="2817" width="45.33203125" style="392" customWidth="1"/>
    <col min="2818" max="2819" width="10.6640625" style="392" customWidth="1"/>
    <col min="2820" max="2820" width="3.33203125" style="392" customWidth="1"/>
    <col min="2821" max="2822" width="10.6640625" style="392" customWidth="1"/>
    <col min="2823" max="2823" width="3.1640625" style="392" customWidth="1"/>
    <col min="2824" max="2824" width="10.6640625" style="392" customWidth="1"/>
    <col min="2825" max="2825" width="12.83203125" style="392" customWidth="1"/>
    <col min="2826" max="3072" width="8.83203125" style="392"/>
    <col min="3073" max="3073" width="45.33203125" style="392" customWidth="1"/>
    <col min="3074" max="3075" width="10.6640625" style="392" customWidth="1"/>
    <col min="3076" max="3076" width="3.33203125" style="392" customWidth="1"/>
    <col min="3077" max="3078" width="10.6640625" style="392" customWidth="1"/>
    <col min="3079" max="3079" width="3.1640625" style="392" customWidth="1"/>
    <col min="3080" max="3080" width="10.6640625" style="392" customWidth="1"/>
    <col min="3081" max="3081" width="12.83203125" style="392" customWidth="1"/>
    <col min="3082" max="3328" width="8.83203125" style="392"/>
    <col min="3329" max="3329" width="45.33203125" style="392" customWidth="1"/>
    <col min="3330" max="3331" width="10.6640625" style="392" customWidth="1"/>
    <col min="3332" max="3332" width="3.33203125" style="392" customWidth="1"/>
    <col min="3333" max="3334" width="10.6640625" style="392" customWidth="1"/>
    <col min="3335" max="3335" width="3.1640625" style="392" customWidth="1"/>
    <col min="3336" max="3336" width="10.6640625" style="392" customWidth="1"/>
    <col min="3337" max="3337" width="12.83203125" style="392" customWidth="1"/>
    <col min="3338" max="3584" width="8.83203125" style="392"/>
    <col min="3585" max="3585" width="45.33203125" style="392" customWidth="1"/>
    <col min="3586" max="3587" width="10.6640625" style="392" customWidth="1"/>
    <col min="3588" max="3588" width="3.33203125" style="392" customWidth="1"/>
    <col min="3589" max="3590" width="10.6640625" style="392" customWidth="1"/>
    <col min="3591" max="3591" width="3.1640625" style="392" customWidth="1"/>
    <col min="3592" max="3592" width="10.6640625" style="392" customWidth="1"/>
    <col min="3593" max="3593" width="12.83203125" style="392" customWidth="1"/>
    <col min="3594" max="3840" width="8.83203125" style="392"/>
    <col min="3841" max="3841" width="45.33203125" style="392" customWidth="1"/>
    <col min="3842" max="3843" width="10.6640625" style="392" customWidth="1"/>
    <col min="3844" max="3844" width="3.33203125" style="392" customWidth="1"/>
    <col min="3845" max="3846" width="10.6640625" style="392" customWidth="1"/>
    <col min="3847" max="3847" width="3.1640625" style="392" customWidth="1"/>
    <col min="3848" max="3848" width="10.6640625" style="392" customWidth="1"/>
    <col min="3849" max="3849" width="12.83203125" style="392" customWidth="1"/>
    <col min="3850" max="4096" width="8.83203125" style="392"/>
    <col min="4097" max="4097" width="45.33203125" style="392" customWidth="1"/>
    <col min="4098" max="4099" width="10.6640625" style="392" customWidth="1"/>
    <col min="4100" max="4100" width="3.33203125" style="392" customWidth="1"/>
    <col min="4101" max="4102" width="10.6640625" style="392" customWidth="1"/>
    <col min="4103" max="4103" width="3.1640625" style="392" customWidth="1"/>
    <col min="4104" max="4104" width="10.6640625" style="392" customWidth="1"/>
    <col min="4105" max="4105" width="12.83203125" style="392" customWidth="1"/>
    <col min="4106" max="4352" width="8.83203125" style="392"/>
    <col min="4353" max="4353" width="45.33203125" style="392" customWidth="1"/>
    <col min="4354" max="4355" width="10.6640625" style="392" customWidth="1"/>
    <col min="4356" max="4356" width="3.33203125" style="392" customWidth="1"/>
    <col min="4357" max="4358" width="10.6640625" style="392" customWidth="1"/>
    <col min="4359" max="4359" width="3.1640625" style="392" customWidth="1"/>
    <col min="4360" max="4360" width="10.6640625" style="392" customWidth="1"/>
    <col min="4361" max="4361" width="12.83203125" style="392" customWidth="1"/>
    <col min="4362" max="4608" width="8.83203125" style="392"/>
    <col min="4609" max="4609" width="45.33203125" style="392" customWidth="1"/>
    <col min="4610" max="4611" width="10.6640625" style="392" customWidth="1"/>
    <col min="4612" max="4612" width="3.33203125" style="392" customWidth="1"/>
    <col min="4613" max="4614" width="10.6640625" style="392" customWidth="1"/>
    <col min="4615" max="4615" width="3.1640625" style="392" customWidth="1"/>
    <col min="4616" max="4616" width="10.6640625" style="392" customWidth="1"/>
    <col min="4617" max="4617" width="12.83203125" style="392" customWidth="1"/>
    <col min="4618" max="4864" width="8.83203125" style="392"/>
    <col min="4865" max="4865" width="45.33203125" style="392" customWidth="1"/>
    <col min="4866" max="4867" width="10.6640625" style="392" customWidth="1"/>
    <col min="4868" max="4868" width="3.33203125" style="392" customWidth="1"/>
    <col min="4869" max="4870" width="10.6640625" style="392" customWidth="1"/>
    <col min="4871" max="4871" width="3.1640625" style="392" customWidth="1"/>
    <col min="4872" max="4872" width="10.6640625" style="392" customWidth="1"/>
    <col min="4873" max="4873" width="12.83203125" style="392" customWidth="1"/>
    <col min="4874" max="5120" width="8.83203125" style="392"/>
    <col min="5121" max="5121" width="45.33203125" style="392" customWidth="1"/>
    <col min="5122" max="5123" width="10.6640625" style="392" customWidth="1"/>
    <col min="5124" max="5124" width="3.33203125" style="392" customWidth="1"/>
    <col min="5125" max="5126" width="10.6640625" style="392" customWidth="1"/>
    <col min="5127" max="5127" width="3.1640625" style="392" customWidth="1"/>
    <col min="5128" max="5128" width="10.6640625" style="392" customWidth="1"/>
    <col min="5129" max="5129" width="12.83203125" style="392" customWidth="1"/>
    <col min="5130" max="5376" width="8.83203125" style="392"/>
    <col min="5377" max="5377" width="45.33203125" style="392" customWidth="1"/>
    <col min="5378" max="5379" width="10.6640625" style="392" customWidth="1"/>
    <col min="5380" max="5380" width="3.33203125" style="392" customWidth="1"/>
    <col min="5381" max="5382" width="10.6640625" style="392" customWidth="1"/>
    <col min="5383" max="5383" width="3.1640625" style="392" customWidth="1"/>
    <col min="5384" max="5384" width="10.6640625" style="392" customWidth="1"/>
    <col min="5385" max="5385" width="12.83203125" style="392" customWidth="1"/>
    <col min="5386" max="5632" width="8.83203125" style="392"/>
    <col min="5633" max="5633" width="45.33203125" style="392" customWidth="1"/>
    <col min="5634" max="5635" width="10.6640625" style="392" customWidth="1"/>
    <col min="5636" max="5636" width="3.33203125" style="392" customWidth="1"/>
    <col min="5637" max="5638" width="10.6640625" style="392" customWidth="1"/>
    <col min="5639" max="5639" width="3.1640625" style="392" customWidth="1"/>
    <col min="5640" max="5640" width="10.6640625" style="392" customWidth="1"/>
    <col min="5641" max="5641" width="12.83203125" style="392" customWidth="1"/>
    <col min="5642" max="5888" width="8.83203125" style="392"/>
    <col min="5889" max="5889" width="45.33203125" style="392" customWidth="1"/>
    <col min="5890" max="5891" width="10.6640625" style="392" customWidth="1"/>
    <col min="5892" max="5892" width="3.33203125" style="392" customWidth="1"/>
    <col min="5893" max="5894" width="10.6640625" style="392" customWidth="1"/>
    <col min="5895" max="5895" width="3.1640625" style="392" customWidth="1"/>
    <col min="5896" max="5896" width="10.6640625" style="392" customWidth="1"/>
    <col min="5897" max="5897" width="12.83203125" style="392" customWidth="1"/>
    <col min="5898" max="6144" width="8.83203125" style="392"/>
    <col min="6145" max="6145" width="45.33203125" style="392" customWidth="1"/>
    <col min="6146" max="6147" width="10.6640625" style="392" customWidth="1"/>
    <col min="6148" max="6148" width="3.33203125" style="392" customWidth="1"/>
    <col min="6149" max="6150" width="10.6640625" style="392" customWidth="1"/>
    <col min="6151" max="6151" width="3.1640625" style="392" customWidth="1"/>
    <col min="6152" max="6152" width="10.6640625" style="392" customWidth="1"/>
    <col min="6153" max="6153" width="12.83203125" style="392" customWidth="1"/>
    <col min="6154" max="6400" width="8.83203125" style="392"/>
    <col min="6401" max="6401" width="45.33203125" style="392" customWidth="1"/>
    <col min="6402" max="6403" width="10.6640625" style="392" customWidth="1"/>
    <col min="6404" max="6404" width="3.33203125" style="392" customWidth="1"/>
    <col min="6405" max="6406" width="10.6640625" style="392" customWidth="1"/>
    <col min="6407" max="6407" width="3.1640625" style="392" customWidth="1"/>
    <col min="6408" max="6408" width="10.6640625" style="392" customWidth="1"/>
    <col min="6409" max="6409" width="12.83203125" style="392" customWidth="1"/>
    <col min="6410" max="6656" width="8.83203125" style="392"/>
    <col min="6657" max="6657" width="45.33203125" style="392" customWidth="1"/>
    <col min="6658" max="6659" width="10.6640625" style="392" customWidth="1"/>
    <col min="6660" max="6660" width="3.33203125" style="392" customWidth="1"/>
    <col min="6661" max="6662" width="10.6640625" style="392" customWidth="1"/>
    <col min="6663" max="6663" width="3.1640625" style="392" customWidth="1"/>
    <col min="6664" max="6664" width="10.6640625" style="392" customWidth="1"/>
    <col min="6665" max="6665" width="12.83203125" style="392" customWidth="1"/>
    <col min="6666" max="6912" width="8.83203125" style="392"/>
    <col min="6913" max="6913" width="45.33203125" style="392" customWidth="1"/>
    <col min="6914" max="6915" width="10.6640625" style="392" customWidth="1"/>
    <col min="6916" max="6916" width="3.33203125" style="392" customWidth="1"/>
    <col min="6917" max="6918" width="10.6640625" style="392" customWidth="1"/>
    <col min="6919" max="6919" width="3.1640625" style="392" customWidth="1"/>
    <col min="6920" max="6920" width="10.6640625" style="392" customWidth="1"/>
    <col min="6921" max="6921" width="12.83203125" style="392" customWidth="1"/>
    <col min="6922" max="7168" width="8.83203125" style="392"/>
    <col min="7169" max="7169" width="45.33203125" style="392" customWidth="1"/>
    <col min="7170" max="7171" width="10.6640625" style="392" customWidth="1"/>
    <col min="7172" max="7172" width="3.33203125" style="392" customWidth="1"/>
    <col min="7173" max="7174" width="10.6640625" style="392" customWidth="1"/>
    <col min="7175" max="7175" width="3.1640625" style="392" customWidth="1"/>
    <col min="7176" max="7176" width="10.6640625" style="392" customWidth="1"/>
    <col min="7177" max="7177" width="12.83203125" style="392" customWidth="1"/>
    <col min="7178" max="7424" width="8.83203125" style="392"/>
    <col min="7425" max="7425" width="45.33203125" style="392" customWidth="1"/>
    <col min="7426" max="7427" width="10.6640625" style="392" customWidth="1"/>
    <col min="7428" max="7428" width="3.33203125" style="392" customWidth="1"/>
    <col min="7429" max="7430" width="10.6640625" style="392" customWidth="1"/>
    <col min="7431" max="7431" width="3.1640625" style="392" customWidth="1"/>
    <col min="7432" max="7432" width="10.6640625" style="392" customWidth="1"/>
    <col min="7433" max="7433" width="12.83203125" style="392" customWidth="1"/>
    <col min="7434" max="7680" width="8.83203125" style="392"/>
    <col min="7681" max="7681" width="45.33203125" style="392" customWidth="1"/>
    <col min="7682" max="7683" width="10.6640625" style="392" customWidth="1"/>
    <col min="7684" max="7684" width="3.33203125" style="392" customWidth="1"/>
    <col min="7685" max="7686" width="10.6640625" style="392" customWidth="1"/>
    <col min="7687" max="7687" width="3.1640625" style="392" customWidth="1"/>
    <col min="7688" max="7688" width="10.6640625" style="392" customWidth="1"/>
    <col min="7689" max="7689" width="12.83203125" style="392" customWidth="1"/>
    <col min="7690" max="7936" width="8.83203125" style="392"/>
    <col min="7937" max="7937" width="45.33203125" style="392" customWidth="1"/>
    <col min="7938" max="7939" width="10.6640625" style="392" customWidth="1"/>
    <col min="7940" max="7940" width="3.33203125" style="392" customWidth="1"/>
    <col min="7941" max="7942" width="10.6640625" style="392" customWidth="1"/>
    <col min="7943" max="7943" width="3.1640625" style="392" customWidth="1"/>
    <col min="7944" max="7944" width="10.6640625" style="392" customWidth="1"/>
    <col min="7945" max="7945" width="12.83203125" style="392" customWidth="1"/>
    <col min="7946" max="8192" width="8.83203125" style="392"/>
    <col min="8193" max="8193" width="45.33203125" style="392" customWidth="1"/>
    <col min="8194" max="8195" width="10.6640625" style="392" customWidth="1"/>
    <col min="8196" max="8196" width="3.33203125" style="392" customWidth="1"/>
    <col min="8197" max="8198" width="10.6640625" style="392" customWidth="1"/>
    <col min="8199" max="8199" width="3.1640625" style="392" customWidth="1"/>
    <col min="8200" max="8200" width="10.6640625" style="392" customWidth="1"/>
    <col min="8201" max="8201" width="12.83203125" style="392" customWidth="1"/>
    <col min="8202" max="8448" width="8.83203125" style="392"/>
    <col min="8449" max="8449" width="45.33203125" style="392" customWidth="1"/>
    <col min="8450" max="8451" width="10.6640625" style="392" customWidth="1"/>
    <col min="8452" max="8452" width="3.33203125" style="392" customWidth="1"/>
    <col min="8453" max="8454" width="10.6640625" style="392" customWidth="1"/>
    <col min="8455" max="8455" width="3.1640625" style="392" customWidth="1"/>
    <col min="8456" max="8456" width="10.6640625" style="392" customWidth="1"/>
    <col min="8457" max="8457" width="12.83203125" style="392" customWidth="1"/>
    <col min="8458" max="8704" width="8.83203125" style="392"/>
    <col min="8705" max="8705" width="45.33203125" style="392" customWidth="1"/>
    <col min="8706" max="8707" width="10.6640625" style="392" customWidth="1"/>
    <col min="8708" max="8708" width="3.33203125" style="392" customWidth="1"/>
    <col min="8709" max="8710" width="10.6640625" style="392" customWidth="1"/>
    <col min="8711" max="8711" width="3.1640625" style="392" customWidth="1"/>
    <col min="8712" max="8712" width="10.6640625" style="392" customWidth="1"/>
    <col min="8713" max="8713" width="12.83203125" style="392" customWidth="1"/>
    <col min="8714" max="8960" width="8.83203125" style="392"/>
    <col min="8961" max="8961" width="45.33203125" style="392" customWidth="1"/>
    <col min="8962" max="8963" width="10.6640625" style="392" customWidth="1"/>
    <col min="8964" max="8964" width="3.33203125" style="392" customWidth="1"/>
    <col min="8965" max="8966" width="10.6640625" style="392" customWidth="1"/>
    <col min="8967" max="8967" width="3.1640625" style="392" customWidth="1"/>
    <col min="8968" max="8968" width="10.6640625" style="392" customWidth="1"/>
    <col min="8969" max="8969" width="12.83203125" style="392" customWidth="1"/>
    <col min="8970" max="9216" width="8.83203125" style="392"/>
    <col min="9217" max="9217" width="45.33203125" style="392" customWidth="1"/>
    <col min="9218" max="9219" width="10.6640625" style="392" customWidth="1"/>
    <col min="9220" max="9220" width="3.33203125" style="392" customWidth="1"/>
    <col min="9221" max="9222" width="10.6640625" style="392" customWidth="1"/>
    <col min="9223" max="9223" width="3.1640625" style="392" customWidth="1"/>
    <col min="9224" max="9224" width="10.6640625" style="392" customWidth="1"/>
    <col min="9225" max="9225" width="12.83203125" style="392" customWidth="1"/>
    <col min="9226" max="9472" width="8.83203125" style="392"/>
    <col min="9473" max="9473" width="45.33203125" style="392" customWidth="1"/>
    <col min="9474" max="9475" width="10.6640625" style="392" customWidth="1"/>
    <col min="9476" max="9476" width="3.33203125" style="392" customWidth="1"/>
    <col min="9477" max="9478" width="10.6640625" style="392" customWidth="1"/>
    <col min="9479" max="9479" width="3.1640625" style="392" customWidth="1"/>
    <col min="9480" max="9480" width="10.6640625" style="392" customWidth="1"/>
    <col min="9481" max="9481" width="12.83203125" style="392" customWidth="1"/>
    <col min="9482" max="9728" width="8.83203125" style="392"/>
    <col min="9729" max="9729" width="45.33203125" style="392" customWidth="1"/>
    <col min="9730" max="9731" width="10.6640625" style="392" customWidth="1"/>
    <col min="9732" max="9732" width="3.33203125" style="392" customWidth="1"/>
    <col min="9733" max="9734" width="10.6640625" style="392" customWidth="1"/>
    <col min="9735" max="9735" width="3.1640625" style="392" customWidth="1"/>
    <col min="9736" max="9736" width="10.6640625" style="392" customWidth="1"/>
    <col min="9737" max="9737" width="12.83203125" style="392" customWidth="1"/>
    <col min="9738" max="9984" width="8.83203125" style="392"/>
    <col min="9985" max="9985" width="45.33203125" style="392" customWidth="1"/>
    <col min="9986" max="9987" width="10.6640625" style="392" customWidth="1"/>
    <col min="9988" max="9988" width="3.33203125" style="392" customWidth="1"/>
    <col min="9989" max="9990" width="10.6640625" style="392" customWidth="1"/>
    <col min="9991" max="9991" width="3.1640625" style="392" customWidth="1"/>
    <col min="9992" max="9992" width="10.6640625" style="392" customWidth="1"/>
    <col min="9993" max="9993" width="12.83203125" style="392" customWidth="1"/>
    <col min="9994" max="10240" width="8.83203125" style="392"/>
    <col min="10241" max="10241" width="45.33203125" style="392" customWidth="1"/>
    <col min="10242" max="10243" width="10.6640625" style="392" customWidth="1"/>
    <col min="10244" max="10244" width="3.33203125" style="392" customWidth="1"/>
    <col min="10245" max="10246" width="10.6640625" style="392" customWidth="1"/>
    <col min="10247" max="10247" width="3.1640625" style="392" customWidth="1"/>
    <col min="10248" max="10248" width="10.6640625" style="392" customWidth="1"/>
    <col min="10249" max="10249" width="12.83203125" style="392" customWidth="1"/>
    <col min="10250" max="10496" width="8.83203125" style="392"/>
    <col min="10497" max="10497" width="45.33203125" style="392" customWidth="1"/>
    <col min="10498" max="10499" width="10.6640625" style="392" customWidth="1"/>
    <col min="10500" max="10500" width="3.33203125" style="392" customWidth="1"/>
    <col min="10501" max="10502" width="10.6640625" style="392" customWidth="1"/>
    <col min="10503" max="10503" width="3.1640625" style="392" customWidth="1"/>
    <col min="10504" max="10504" width="10.6640625" style="392" customWidth="1"/>
    <col min="10505" max="10505" width="12.83203125" style="392" customWidth="1"/>
    <col min="10506" max="10752" width="8.83203125" style="392"/>
    <col min="10753" max="10753" width="45.33203125" style="392" customWidth="1"/>
    <col min="10754" max="10755" width="10.6640625" style="392" customWidth="1"/>
    <col min="10756" max="10756" width="3.33203125" style="392" customWidth="1"/>
    <col min="10757" max="10758" width="10.6640625" style="392" customWidth="1"/>
    <col min="10759" max="10759" width="3.1640625" style="392" customWidth="1"/>
    <col min="10760" max="10760" width="10.6640625" style="392" customWidth="1"/>
    <col min="10761" max="10761" width="12.83203125" style="392" customWidth="1"/>
    <col min="10762" max="11008" width="8.83203125" style="392"/>
    <col min="11009" max="11009" width="45.33203125" style="392" customWidth="1"/>
    <col min="11010" max="11011" width="10.6640625" style="392" customWidth="1"/>
    <col min="11012" max="11012" width="3.33203125" style="392" customWidth="1"/>
    <col min="11013" max="11014" width="10.6640625" style="392" customWidth="1"/>
    <col min="11015" max="11015" width="3.1640625" style="392" customWidth="1"/>
    <col min="11016" max="11016" width="10.6640625" style="392" customWidth="1"/>
    <col min="11017" max="11017" width="12.83203125" style="392" customWidth="1"/>
    <col min="11018" max="11264" width="8.83203125" style="392"/>
    <col min="11265" max="11265" width="45.33203125" style="392" customWidth="1"/>
    <col min="11266" max="11267" width="10.6640625" style="392" customWidth="1"/>
    <col min="11268" max="11268" width="3.33203125" style="392" customWidth="1"/>
    <col min="11269" max="11270" width="10.6640625" style="392" customWidth="1"/>
    <col min="11271" max="11271" width="3.1640625" style="392" customWidth="1"/>
    <col min="11272" max="11272" width="10.6640625" style="392" customWidth="1"/>
    <col min="11273" max="11273" width="12.83203125" style="392" customWidth="1"/>
    <col min="11274" max="11520" width="8.83203125" style="392"/>
    <col min="11521" max="11521" width="45.33203125" style="392" customWidth="1"/>
    <col min="11522" max="11523" width="10.6640625" style="392" customWidth="1"/>
    <col min="11524" max="11524" width="3.33203125" style="392" customWidth="1"/>
    <col min="11525" max="11526" width="10.6640625" style="392" customWidth="1"/>
    <col min="11527" max="11527" width="3.1640625" style="392" customWidth="1"/>
    <col min="11528" max="11528" width="10.6640625" style="392" customWidth="1"/>
    <col min="11529" max="11529" width="12.83203125" style="392" customWidth="1"/>
    <col min="11530" max="11776" width="8.83203125" style="392"/>
    <col min="11777" max="11777" width="45.33203125" style="392" customWidth="1"/>
    <col min="11778" max="11779" width="10.6640625" style="392" customWidth="1"/>
    <col min="11780" max="11780" width="3.33203125" style="392" customWidth="1"/>
    <col min="11781" max="11782" width="10.6640625" style="392" customWidth="1"/>
    <col min="11783" max="11783" width="3.1640625" style="392" customWidth="1"/>
    <col min="11784" max="11784" width="10.6640625" style="392" customWidth="1"/>
    <col min="11785" max="11785" width="12.83203125" style="392" customWidth="1"/>
    <col min="11786" max="12032" width="8.83203125" style="392"/>
    <col min="12033" max="12033" width="45.33203125" style="392" customWidth="1"/>
    <col min="12034" max="12035" width="10.6640625" style="392" customWidth="1"/>
    <col min="12036" max="12036" width="3.33203125" style="392" customWidth="1"/>
    <col min="12037" max="12038" width="10.6640625" style="392" customWidth="1"/>
    <col min="12039" max="12039" width="3.1640625" style="392" customWidth="1"/>
    <col min="12040" max="12040" width="10.6640625" style="392" customWidth="1"/>
    <col min="12041" max="12041" width="12.83203125" style="392" customWidth="1"/>
    <col min="12042" max="12288" width="8.83203125" style="392"/>
    <col min="12289" max="12289" width="45.33203125" style="392" customWidth="1"/>
    <col min="12290" max="12291" width="10.6640625" style="392" customWidth="1"/>
    <col min="12292" max="12292" width="3.33203125" style="392" customWidth="1"/>
    <col min="12293" max="12294" width="10.6640625" style="392" customWidth="1"/>
    <col min="12295" max="12295" width="3.1640625" style="392" customWidth="1"/>
    <col min="12296" max="12296" width="10.6640625" style="392" customWidth="1"/>
    <col min="12297" max="12297" width="12.83203125" style="392" customWidth="1"/>
    <col min="12298" max="12544" width="8.83203125" style="392"/>
    <col min="12545" max="12545" width="45.33203125" style="392" customWidth="1"/>
    <col min="12546" max="12547" width="10.6640625" style="392" customWidth="1"/>
    <col min="12548" max="12548" width="3.33203125" style="392" customWidth="1"/>
    <col min="12549" max="12550" width="10.6640625" style="392" customWidth="1"/>
    <col min="12551" max="12551" width="3.1640625" style="392" customWidth="1"/>
    <col min="12552" max="12552" width="10.6640625" style="392" customWidth="1"/>
    <col min="12553" max="12553" width="12.83203125" style="392" customWidth="1"/>
    <col min="12554" max="12800" width="8.83203125" style="392"/>
    <col min="12801" max="12801" width="45.33203125" style="392" customWidth="1"/>
    <col min="12802" max="12803" width="10.6640625" style="392" customWidth="1"/>
    <col min="12804" max="12804" width="3.33203125" style="392" customWidth="1"/>
    <col min="12805" max="12806" width="10.6640625" style="392" customWidth="1"/>
    <col min="12807" max="12807" width="3.1640625" style="392" customWidth="1"/>
    <col min="12808" max="12808" width="10.6640625" style="392" customWidth="1"/>
    <col min="12809" max="12809" width="12.83203125" style="392" customWidth="1"/>
    <col min="12810" max="13056" width="8.83203125" style="392"/>
    <col min="13057" max="13057" width="45.33203125" style="392" customWidth="1"/>
    <col min="13058" max="13059" width="10.6640625" style="392" customWidth="1"/>
    <col min="13060" max="13060" width="3.33203125" style="392" customWidth="1"/>
    <col min="13061" max="13062" width="10.6640625" style="392" customWidth="1"/>
    <col min="13063" max="13063" width="3.1640625" style="392" customWidth="1"/>
    <col min="13064" max="13064" width="10.6640625" style="392" customWidth="1"/>
    <col min="13065" max="13065" width="12.83203125" style="392" customWidth="1"/>
    <col min="13066" max="13312" width="8.83203125" style="392"/>
    <col min="13313" max="13313" width="45.33203125" style="392" customWidth="1"/>
    <col min="13314" max="13315" width="10.6640625" style="392" customWidth="1"/>
    <col min="13316" max="13316" width="3.33203125" style="392" customWidth="1"/>
    <col min="13317" max="13318" width="10.6640625" style="392" customWidth="1"/>
    <col min="13319" max="13319" width="3.1640625" style="392" customWidth="1"/>
    <col min="13320" max="13320" width="10.6640625" style="392" customWidth="1"/>
    <col min="13321" max="13321" width="12.83203125" style="392" customWidth="1"/>
    <col min="13322" max="13568" width="8.83203125" style="392"/>
    <col min="13569" max="13569" width="45.33203125" style="392" customWidth="1"/>
    <col min="13570" max="13571" width="10.6640625" style="392" customWidth="1"/>
    <col min="13572" max="13572" width="3.33203125" style="392" customWidth="1"/>
    <col min="13573" max="13574" width="10.6640625" style="392" customWidth="1"/>
    <col min="13575" max="13575" width="3.1640625" style="392" customWidth="1"/>
    <col min="13576" max="13576" width="10.6640625" style="392" customWidth="1"/>
    <col min="13577" max="13577" width="12.83203125" style="392" customWidth="1"/>
    <col min="13578" max="13824" width="8.83203125" style="392"/>
    <col min="13825" max="13825" width="45.33203125" style="392" customWidth="1"/>
    <col min="13826" max="13827" width="10.6640625" style="392" customWidth="1"/>
    <col min="13828" max="13828" width="3.33203125" style="392" customWidth="1"/>
    <col min="13829" max="13830" width="10.6640625" style="392" customWidth="1"/>
    <col min="13831" max="13831" width="3.1640625" style="392" customWidth="1"/>
    <col min="13832" max="13832" width="10.6640625" style="392" customWidth="1"/>
    <col min="13833" max="13833" width="12.83203125" style="392" customWidth="1"/>
    <col min="13834" max="14080" width="8.83203125" style="392"/>
    <col min="14081" max="14081" width="45.33203125" style="392" customWidth="1"/>
    <col min="14082" max="14083" width="10.6640625" style="392" customWidth="1"/>
    <col min="14084" max="14084" width="3.33203125" style="392" customWidth="1"/>
    <col min="14085" max="14086" width="10.6640625" style="392" customWidth="1"/>
    <col min="14087" max="14087" width="3.1640625" style="392" customWidth="1"/>
    <col min="14088" max="14088" width="10.6640625" style="392" customWidth="1"/>
    <col min="14089" max="14089" width="12.83203125" style="392" customWidth="1"/>
    <col min="14090" max="14336" width="8.83203125" style="392"/>
    <col min="14337" max="14337" width="45.33203125" style="392" customWidth="1"/>
    <col min="14338" max="14339" width="10.6640625" style="392" customWidth="1"/>
    <col min="14340" max="14340" width="3.33203125" style="392" customWidth="1"/>
    <col min="14341" max="14342" width="10.6640625" style="392" customWidth="1"/>
    <col min="14343" max="14343" width="3.1640625" style="392" customWidth="1"/>
    <col min="14344" max="14344" width="10.6640625" style="392" customWidth="1"/>
    <col min="14345" max="14345" width="12.83203125" style="392" customWidth="1"/>
    <col min="14346" max="14592" width="8.83203125" style="392"/>
    <col min="14593" max="14593" width="45.33203125" style="392" customWidth="1"/>
    <col min="14594" max="14595" width="10.6640625" style="392" customWidth="1"/>
    <col min="14596" max="14596" width="3.33203125" style="392" customWidth="1"/>
    <col min="14597" max="14598" width="10.6640625" style="392" customWidth="1"/>
    <col min="14599" max="14599" width="3.1640625" style="392" customWidth="1"/>
    <col min="14600" max="14600" width="10.6640625" style="392" customWidth="1"/>
    <col min="14601" max="14601" width="12.83203125" style="392" customWidth="1"/>
    <col min="14602" max="14848" width="8.83203125" style="392"/>
    <col min="14849" max="14849" width="45.33203125" style="392" customWidth="1"/>
    <col min="14850" max="14851" width="10.6640625" style="392" customWidth="1"/>
    <col min="14852" max="14852" width="3.33203125" style="392" customWidth="1"/>
    <col min="14853" max="14854" width="10.6640625" style="392" customWidth="1"/>
    <col min="14855" max="14855" width="3.1640625" style="392" customWidth="1"/>
    <col min="14856" max="14856" width="10.6640625" style="392" customWidth="1"/>
    <col min="14857" max="14857" width="12.83203125" style="392" customWidth="1"/>
    <col min="14858" max="15104" width="8.83203125" style="392"/>
    <col min="15105" max="15105" width="45.33203125" style="392" customWidth="1"/>
    <col min="15106" max="15107" width="10.6640625" style="392" customWidth="1"/>
    <col min="15108" max="15108" width="3.33203125" style="392" customWidth="1"/>
    <col min="15109" max="15110" width="10.6640625" style="392" customWidth="1"/>
    <col min="15111" max="15111" width="3.1640625" style="392" customWidth="1"/>
    <col min="15112" max="15112" width="10.6640625" style="392" customWidth="1"/>
    <col min="15113" max="15113" width="12.83203125" style="392" customWidth="1"/>
    <col min="15114" max="15360" width="8.83203125" style="392"/>
    <col min="15361" max="15361" width="45.33203125" style="392" customWidth="1"/>
    <col min="15362" max="15363" width="10.6640625" style="392" customWidth="1"/>
    <col min="15364" max="15364" width="3.33203125" style="392" customWidth="1"/>
    <col min="15365" max="15366" width="10.6640625" style="392" customWidth="1"/>
    <col min="15367" max="15367" width="3.1640625" style="392" customWidth="1"/>
    <col min="15368" max="15368" width="10.6640625" style="392" customWidth="1"/>
    <col min="15369" max="15369" width="12.83203125" style="392" customWidth="1"/>
    <col min="15370" max="15616" width="8.83203125" style="392"/>
    <col min="15617" max="15617" width="45.33203125" style="392" customWidth="1"/>
    <col min="15618" max="15619" width="10.6640625" style="392" customWidth="1"/>
    <col min="15620" max="15620" width="3.33203125" style="392" customWidth="1"/>
    <col min="15621" max="15622" width="10.6640625" style="392" customWidth="1"/>
    <col min="15623" max="15623" width="3.1640625" style="392" customWidth="1"/>
    <col min="15624" max="15624" width="10.6640625" style="392" customWidth="1"/>
    <col min="15625" max="15625" width="12.83203125" style="392" customWidth="1"/>
    <col min="15626" max="15872" width="8.83203125" style="392"/>
    <col min="15873" max="15873" width="45.33203125" style="392" customWidth="1"/>
    <col min="15874" max="15875" width="10.6640625" style="392" customWidth="1"/>
    <col min="15876" max="15876" width="3.33203125" style="392" customWidth="1"/>
    <col min="15877" max="15878" width="10.6640625" style="392" customWidth="1"/>
    <col min="15879" max="15879" width="3.1640625" style="392" customWidth="1"/>
    <col min="15880" max="15880" width="10.6640625" style="392" customWidth="1"/>
    <col min="15881" max="15881" width="12.83203125" style="392" customWidth="1"/>
    <col min="15882" max="16128" width="8.83203125" style="392"/>
    <col min="16129" max="16129" width="45.33203125" style="392" customWidth="1"/>
    <col min="16130" max="16131" width="10.6640625" style="392" customWidth="1"/>
    <col min="16132" max="16132" width="3.33203125" style="392" customWidth="1"/>
    <col min="16133" max="16134" width="10.6640625" style="392" customWidth="1"/>
    <col min="16135" max="16135" width="3.1640625" style="392" customWidth="1"/>
    <col min="16136" max="16136" width="10.6640625" style="392" customWidth="1"/>
    <col min="16137" max="16137" width="12.83203125" style="392" customWidth="1"/>
    <col min="16138" max="16384" width="8.83203125" style="392"/>
  </cols>
  <sheetData>
    <row r="1" spans="1:9" ht="12" customHeight="1">
      <c r="A1" s="83" t="s">
        <v>388</v>
      </c>
    </row>
    <row r="2" spans="1:9" ht="12" customHeight="1">
      <c r="A2" s="33" t="s">
        <v>389</v>
      </c>
    </row>
    <row r="3" spans="1:9" ht="8" customHeight="1">
      <c r="E3" s="393"/>
      <c r="F3" s="393"/>
      <c r="G3" s="393"/>
    </row>
    <row r="4" spans="1:9">
      <c r="A4" s="14" t="s">
        <v>1955</v>
      </c>
    </row>
    <row r="5" spans="1:9" ht="8.25" customHeight="1" thickBot="1">
      <c r="A5" s="33" t="s">
        <v>128</v>
      </c>
      <c r="I5" s="391"/>
    </row>
    <row r="6" spans="1:9" ht="8" customHeight="1">
      <c r="A6" s="188"/>
      <c r="B6" s="394"/>
      <c r="C6" s="394"/>
      <c r="D6" s="394"/>
      <c r="E6" s="395"/>
      <c r="F6" s="395"/>
      <c r="G6" s="395"/>
      <c r="H6" s="395"/>
      <c r="I6" s="395"/>
    </row>
    <row r="7" spans="1:9" ht="15" customHeight="1">
      <c r="A7" s="57" t="s">
        <v>1069</v>
      </c>
      <c r="B7" s="396" t="s">
        <v>457</v>
      </c>
      <c r="C7" s="397"/>
      <c r="D7" s="235"/>
      <c r="E7" s="1041" t="s">
        <v>1070</v>
      </c>
      <c r="F7" s="1041"/>
      <c r="G7" s="791"/>
      <c r="H7" s="1041" t="s">
        <v>1071</v>
      </c>
      <c r="I7" s="1041"/>
    </row>
    <row r="8" spans="1:9" ht="15" customHeight="1">
      <c r="A8" s="57"/>
      <c r="B8" s="235" t="s">
        <v>152</v>
      </c>
      <c r="C8" s="235" t="s">
        <v>153</v>
      </c>
      <c r="D8" s="235"/>
      <c r="E8" s="791" t="s">
        <v>152</v>
      </c>
      <c r="F8" s="398" t="s">
        <v>153</v>
      </c>
      <c r="G8" s="791"/>
      <c r="H8" s="791" t="s">
        <v>152</v>
      </c>
      <c r="I8" s="61" t="s">
        <v>153</v>
      </c>
    </row>
    <row r="9" spans="1:9" ht="8" customHeight="1" thickBot="1">
      <c r="A9" s="199"/>
      <c r="B9" s="399"/>
      <c r="C9" s="399"/>
      <c r="D9" s="399"/>
      <c r="E9" s="400"/>
      <c r="F9" s="400"/>
      <c r="G9" s="400"/>
      <c r="H9" s="400"/>
      <c r="I9" s="391"/>
    </row>
    <row r="10" spans="1:9" ht="8" customHeight="1">
      <c r="A10" s="57"/>
      <c r="B10" s="235"/>
      <c r="C10" s="235"/>
      <c r="D10" s="235"/>
      <c r="E10" s="791"/>
      <c r="F10" s="791"/>
      <c r="G10" s="791"/>
      <c r="H10" s="791"/>
      <c r="I10" s="395"/>
    </row>
    <row r="11" spans="1:9" ht="15" customHeight="1">
      <c r="A11" s="55" t="s">
        <v>402</v>
      </c>
      <c r="B11" s="390">
        <f>IF(A11&lt;&gt;0,E11+H11,"")</f>
        <v>5274</v>
      </c>
      <c r="C11" s="401">
        <f>C13+C96</f>
        <v>100</v>
      </c>
      <c r="E11" s="391">
        <f>E13+E96</f>
        <v>3118</v>
      </c>
      <c r="F11" s="401">
        <f>IF(A11&lt;&gt;0,E11/$B11*100,"")</f>
        <v>59.120212362533188</v>
      </c>
      <c r="H11" s="391">
        <f>H13+H96</f>
        <v>2156</v>
      </c>
      <c r="I11" s="401">
        <f>IF(A11&lt;&gt;0,H11/$B11*100,"")</f>
        <v>40.879787637466819</v>
      </c>
    </row>
    <row r="12" spans="1:9" ht="8" customHeight="1">
      <c r="C12" s="401"/>
      <c r="F12" s="401"/>
      <c r="I12" s="401"/>
    </row>
    <row r="13" spans="1:9" ht="15" customHeight="1">
      <c r="A13" s="55" t="s">
        <v>403</v>
      </c>
      <c r="B13" s="390">
        <f>IF(A13&lt;&gt;0,E13+H13,"")</f>
        <v>4028</v>
      </c>
      <c r="C13" s="401">
        <f>IF($A13&lt;&gt;"",B13/$B$11*100,"")</f>
        <v>76.3746681835419</v>
      </c>
      <c r="E13" s="391">
        <f>E15+E26+E34+E74+E60+E81+E93+E94</f>
        <v>2345</v>
      </c>
      <c r="F13" s="401">
        <f t="shared" ref="F13:F76" si="0">IF(A13&lt;&gt;0,E13/$B13*100,"")</f>
        <v>58.217477656405158</v>
      </c>
      <c r="H13" s="391">
        <f>H15+H26+H34+H74+H60+H81+H93+H94</f>
        <v>1683</v>
      </c>
      <c r="I13" s="401">
        <f t="shared" ref="I13:I77" si="1">IF(A13&lt;&gt;0,H13/$B13*100,"")</f>
        <v>41.782522343594835</v>
      </c>
    </row>
    <row r="14" spans="1:9" ht="8" customHeight="1">
      <c r="C14" s="401"/>
      <c r="F14" s="401"/>
      <c r="I14" s="401"/>
    </row>
    <row r="15" spans="1:9" ht="15" customHeight="1">
      <c r="A15" s="55" t="s">
        <v>161</v>
      </c>
      <c r="B15" s="390">
        <f>IF(A15&lt;&gt;0,E15+H15,"")</f>
        <v>302</v>
      </c>
      <c r="C15" s="401">
        <f>IF($A15&lt;&gt;"",B15/$B$11*100,"")</f>
        <v>5.7262040197193782</v>
      </c>
      <c r="E15" s="391">
        <f>E16+E21</f>
        <v>185</v>
      </c>
      <c r="F15" s="401">
        <f t="shared" si="0"/>
        <v>61.258278145695364</v>
      </c>
      <c r="H15" s="391">
        <f>H16+H21</f>
        <v>117</v>
      </c>
      <c r="I15" s="401">
        <f t="shared" si="1"/>
        <v>38.741721854304636</v>
      </c>
    </row>
    <row r="16" spans="1:9" ht="15" customHeight="1">
      <c r="A16" s="33" t="s">
        <v>162</v>
      </c>
      <c r="B16" s="390">
        <f>IF(A16&lt;&gt;0,E16+H16,"")</f>
        <v>128</v>
      </c>
      <c r="C16" s="401">
        <f t="shared" ref="C16:C79" si="2">IF($A16&lt;&gt;"",B16/$B$11*100,"")</f>
        <v>2.4270003792188093</v>
      </c>
      <c r="E16" s="391">
        <f>SUM(E17:E19)</f>
        <v>72</v>
      </c>
      <c r="F16" s="401">
        <f t="shared" si="0"/>
        <v>56.25</v>
      </c>
      <c r="H16" s="391">
        <f>SUM(H17:H19)</f>
        <v>56</v>
      </c>
      <c r="I16" s="401">
        <f t="shared" si="1"/>
        <v>43.75</v>
      </c>
    </row>
    <row r="17" spans="1:9" ht="15" customHeight="1">
      <c r="A17" s="33" t="s">
        <v>163</v>
      </c>
      <c r="B17" s="390">
        <f>IF(A17&lt;&gt;0,E17+H17,"")</f>
        <v>15</v>
      </c>
      <c r="C17" s="401">
        <f t="shared" si="2"/>
        <v>0.2844141069397042</v>
      </c>
      <c r="E17" s="402">
        <v>7</v>
      </c>
      <c r="F17" s="401">
        <f t="shared" si="0"/>
        <v>46.666666666666664</v>
      </c>
      <c r="G17" s="402"/>
      <c r="H17" s="402">
        <v>8</v>
      </c>
      <c r="I17" s="401">
        <f>IF(A17&lt;&gt;0,H17/$B17*100,"")</f>
        <v>53.333333333333336</v>
      </c>
    </row>
    <row r="18" spans="1:9" ht="15" customHeight="1">
      <c r="A18" s="33" t="s">
        <v>164</v>
      </c>
      <c r="B18" s="390">
        <f>IF(A18&lt;&gt;0,E18+H18,"")</f>
        <v>31</v>
      </c>
      <c r="C18" s="401">
        <f t="shared" si="2"/>
        <v>0.58778915434205536</v>
      </c>
      <c r="E18" s="402">
        <v>10</v>
      </c>
      <c r="F18" s="401">
        <f t="shared" si="0"/>
        <v>32.258064516129032</v>
      </c>
      <c r="G18" s="402"/>
      <c r="H18" s="402">
        <v>21</v>
      </c>
      <c r="I18" s="401">
        <f>IF(A18&lt;&gt;0,H18/$B18*100,"")</f>
        <v>67.741935483870961</v>
      </c>
    </row>
    <row r="19" spans="1:9" ht="15" customHeight="1">
      <c r="A19" s="33" t="s">
        <v>165</v>
      </c>
      <c r="B19" s="390">
        <f>IF(A19&lt;&gt;0,E19+H19,"")</f>
        <v>82</v>
      </c>
      <c r="C19" s="401">
        <f t="shared" si="2"/>
        <v>1.5547971179370497</v>
      </c>
      <c r="E19" s="402">
        <v>55</v>
      </c>
      <c r="F19" s="401">
        <f t="shared" si="0"/>
        <v>67.073170731707322</v>
      </c>
      <c r="G19" s="402"/>
      <c r="H19" s="402">
        <v>27</v>
      </c>
      <c r="I19" s="401">
        <f>IF(A19&lt;&gt;0,H19/$B19*100,"")</f>
        <v>32.926829268292686</v>
      </c>
    </row>
    <row r="20" spans="1:9" ht="8" customHeight="1">
      <c r="C20" s="401"/>
      <c r="F20" s="401" t="str">
        <f t="shared" si="0"/>
        <v/>
      </c>
      <c r="I20" s="401"/>
    </row>
    <row r="21" spans="1:9" ht="15" customHeight="1">
      <c r="A21" s="33" t="s">
        <v>166</v>
      </c>
      <c r="B21" s="390">
        <f>IF(A21&lt;&gt;0,E21+H21,"")</f>
        <v>174</v>
      </c>
      <c r="C21" s="401">
        <f t="shared" si="2"/>
        <v>3.2992036405005689</v>
      </c>
      <c r="E21" s="391">
        <f>SUM(E22:E24)</f>
        <v>113</v>
      </c>
      <c r="F21" s="401">
        <f t="shared" si="0"/>
        <v>64.942528735632195</v>
      </c>
      <c r="H21" s="391">
        <f>SUM(H22:H24)</f>
        <v>61</v>
      </c>
      <c r="I21" s="401">
        <f t="shared" si="1"/>
        <v>35.05747126436782</v>
      </c>
    </row>
    <row r="22" spans="1:9" ht="15" customHeight="1">
      <c r="A22" s="33" t="s">
        <v>167</v>
      </c>
      <c r="B22" s="390">
        <f>IF(A22&lt;&gt;0,E22+H22,"")</f>
        <v>63</v>
      </c>
      <c r="C22" s="401">
        <f t="shared" si="2"/>
        <v>1.1945392491467577</v>
      </c>
      <c r="E22" s="402">
        <v>42</v>
      </c>
      <c r="F22" s="401">
        <f t="shared" si="0"/>
        <v>66.666666666666657</v>
      </c>
      <c r="G22" s="402"/>
      <c r="H22" s="402">
        <v>21</v>
      </c>
      <c r="I22" s="401">
        <f t="shared" si="1"/>
        <v>33.333333333333329</v>
      </c>
    </row>
    <row r="23" spans="1:9" ht="15" customHeight="1">
      <c r="A23" s="33" t="s">
        <v>168</v>
      </c>
      <c r="B23" s="390">
        <f>IF(A23&lt;&gt;0,E23+H23,"")</f>
        <v>26</v>
      </c>
      <c r="C23" s="401">
        <f t="shared" si="2"/>
        <v>0.49298445202882069</v>
      </c>
      <c r="E23" s="402">
        <v>7</v>
      </c>
      <c r="F23" s="401">
        <f t="shared" si="0"/>
        <v>26.923076923076923</v>
      </c>
      <c r="G23" s="402"/>
      <c r="H23" s="402">
        <v>19</v>
      </c>
      <c r="I23" s="401">
        <f t="shared" si="1"/>
        <v>73.076923076923066</v>
      </c>
    </row>
    <row r="24" spans="1:9" ht="15" customHeight="1">
      <c r="A24" s="33" t="s">
        <v>169</v>
      </c>
      <c r="B24" s="390">
        <f>IF(A24&lt;&gt;0,E24+H24,"")</f>
        <v>85</v>
      </c>
      <c r="C24" s="401">
        <f t="shared" si="2"/>
        <v>1.6116799393249905</v>
      </c>
      <c r="E24" s="402">
        <v>64</v>
      </c>
      <c r="F24" s="401">
        <f t="shared" si="0"/>
        <v>75.294117647058826</v>
      </c>
      <c r="G24" s="402"/>
      <c r="H24" s="402">
        <v>21</v>
      </c>
      <c r="I24" s="401">
        <f t="shared" si="1"/>
        <v>24.705882352941178</v>
      </c>
    </row>
    <row r="25" spans="1:9" ht="8" customHeight="1">
      <c r="C25" s="401"/>
      <c r="F25" s="401" t="str">
        <f t="shared" si="0"/>
        <v/>
      </c>
      <c r="I25" s="401"/>
    </row>
    <row r="26" spans="1:9" ht="15" customHeight="1">
      <c r="A26" s="55" t="s">
        <v>170</v>
      </c>
      <c r="B26" s="390">
        <f t="shared" ref="B26:B32" si="3">IF(A26&lt;&gt;0,E26+H26,"")</f>
        <v>157</v>
      </c>
      <c r="C26" s="401">
        <f t="shared" si="2"/>
        <v>2.9768676526355708</v>
      </c>
      <c r="E26" s="391">
        <f>SUM(E27)</f>
        <v>77</v>
      </c>
      <c r="F26" s="401">
        <f t="shared" si="0"/>
        <v>49.044585987261144</v>
      </c>
      <c r="H26" s="391">
        <f>SUM(H27)</f>
        <v>80</v>
      </c>
      <c r="I26" s="401">
        <f t="shared" si="1"/>
        <v>50.955414012738856</v>
      </c>
    </row>
    <row r="27" spans="1:9" ht="15" customHeight="1">
      <c r="A27" s="33" t="s">
        <v>171</v>
      </c>
      <c r="B27" s="390">
        <f t="shared" si="3"/>
        <v>157</v>
      </c>
      <c r="C27" s="401">
        <f t="shared" si="2"/>
        <v>2.9768676526355708</v>
      </c>
      <c r="E27" s="391">
        <f>SUM(E28:E32)</f>
        <v>77</v>
      </c>
      <c r="F27" s="401">
        <f t="shared" si="0"/>
        <v>49.044585987261144</v>
      </c>
      <c r="H27" s="391">
        <f>SUM(H28:H32)</f>
        <v>80</v>
      </c>
      <c r="I27" s="401">
        <f t="shared" si="1"/>
        <v>50.955414012738856</v>
      </c>
    </row>
    <row r="28" spans="1:9" ht="13.5" customHeight="1">
      <c r="A28" s="33" t="s">
        <v>172</v>
      </c>
      <c r="B28" s="390">
        <f t="shared" si="3"/>
        <v>52</v>
      </c>
      <c r="C28" s="401">
        <f t="shared" si="2"/>
        <v>0.98596890405764137</v>
      </c>
      <c r="E28" s="402">
        <v>34</v>
      </c>
      <c r="F28" s="401">
        <f t="shared" si="0"/>
        <v>65.384615384615387</v>
      </c>
      <c r="G28" s="402"/>
      <c r="H28" s="402">
        <v>18</v>
      </c>
      <c r="I28" s="401">
        <f t="shared" si="1"/>
        <v>34.615384615384613</v>
      </c>
    </row>
    <row r="29" spans="1:9" ht="13.5" customHeight="1">
      <c r="A29" s="33" t="s">
        <v>173</v>
      </c>
      <c r="B29" s="390">
        <f t="shared" si="3"/>
        <v>23</v>
      </c>
      <c r="C29" s="401">
        <f t="shared" si="2"/>
        <v>0.43610163064087981</v>
      </c>
      <c r="E29" s="402">
        <v>7</v>
      </c>
      <c r="F29" s="401">
        <f t="shared" si="0"/>
        <v>30.434782608695656</v>
      </c>
      <c r="G29" s="402"/>
      <c r="H29" s="402">
        <v>16</v>
      </c>
      <c r="I29" s="401">
        <f t="shared" si="1"/>
        <v>69.565217391304344</v>
      </c>
    </row>
    <row r="30" spans="1:9" ht="13.5" customHeight="1">
      <c r="A30" s="33" t="s">
        <v>174</v>
      </c>
      <c r="B30" s="390">
        <f t="shared" si="3"/>
        <v>26</v>
      </c>
      <c r="C30" s="401">
        <f t="shared" si="2"/>
        <v>0.49298445202882069</v>
      </c>
      <c r="E30" s="402">
        <v>13</v>
      </c>
      <c r="F30" s="401">
        <f t="shared" si="0"/>
        <v>50</v>
      </c>
      <c r="G30" s="402"/>
      <c r="H30" s="402">
        <v>13</v>
      </c>
      <c r="I30" s="401">
        <f t="shared" si="1"/>
        <v>50</v>
      </c>
    </row>
    <row r="31" spans="1:9" ht="13.5" customHeight="1">
      <c r="A31" s="33" t="s">
        <v>175</v>
      </c>
      <c r="B31" s="390">
        <f t="shared" si="3"/>
        <v>22</v>
      </c>
      <c r="C31" s="401">
        <f t="shared" si="2"/>
        <v>0.41714069017823285</v>
      </c>
      <c r="E31" s="402">
        <v>5</v>
      </c>
      <c r="F31" s="401">
        <f t="shared" si="0"/>
        <v>22.727272727272727</v>
      </c>
      <c r="G31" s="402"/>
      <c r="H31" s="402">
        <v>17</v>
      </c>
      <c r="I31" s="401">
        <f t="shared" si="1"/>
        <v>77.272727272727266</v>
      </c>
    </row>
    <row r="32" spans="1:9" ht="13.5" customHeight="1">
      <c r="A32" s="33" t="s">
        <v>176</v>
      </c>
      <c r="B32" s="390">
        <f t="shared" si="3"/>
        <v>34</v>
      </c>
      <c r="C32" s="401">
        <f t="shared" si="2"/>
        <v>0.64467197572999624</v>
      </c>
      <c r="E32" s="402">
        <v>18</v>
      </c>
      <c r="F32" s="401">
        <f t="shared" si="0"/>
        <v>52.941176470588239</v>
      </c>
      <c r="G32" s="402"/>
      <c r="H32" s="402">
        <v>16</v>
      </c>
      <c r="I32" s="401">
        <f t="shared" si="1"/>
        <v>47.058823529411761</v>
      </c>
    </row>
    <row r="33" spans="1:9" ht="8" customHeight="1">
      <c r="C33" s="401"/>
      <c r="F33" s="401" t="str">
        <f t="shared" si="0"/>
        <v/>
      </c>
      <c r="I33" s="401"/>
    </row>
    <row r="34" spans="1:9" ht="15" customHeight="1">
      <c r="A34" s="55" t="s">
        <v>177</v>
      </c>
      <c r="B34" s="390">
        <f t="shared" ref="B34:B39" si="4">IF(A34&lt;&gt;0,E34+H34,"")</f>
        <v>2073</v>
      </c>
      <c r="C34" s="401">
        <f t="shared" si="2"/>
        <v>39.306029579067122</v>
      </c>
      <c r="E34" s="391">
        <f>E35+E41+E51+E53</f>
        <v>1319</v>
      </c>
      <c r="F34" s="401">
        <f t="shared" si="0"/>
        <v>63.627592860588521</v>
      </c>
      <c r="H34" s="391">
        <f>H35+H41+H51+H53</f>
        <v>754</v>
      </c>
      <c r="I34" s="401">
        <f t="shared" si="1"/>
        <v>36.372407139411486</v>
      </c>
    </row>
    <row r="35" spans="1:9" ht="15" customHeight="1">
      <c r="A35" s="33" t="s">
        <v>178</v>
      </c>
      <c r="B35" s="390">
        <f t="shared" si="4"/>
        <v>769</v>
      </c>
      <c r="C35" s="401">
        <f t="shared" si="2"/>
        <v>14.580963215775503</v>
      </c>
      <c r="E35" s="391">
        <f>SUM(E36:E39)</f>
        <v>451</v>
      </c>
      <c r="F35" s="401">
        <f t="shared" si="0"/>
        <v>58.647594278283485</v>
      </c>
      <c r="H35" s="391">
        <f>SUM(H36:H39)</f>
        <v>318</v>
      </c>
      <c r="I35" s="401">
        <f t="shared" si="1"/>
        <v>41.352405721716515</v>
      </c>
    </row>
    <row r="36" spans="1:9" ht="14.25" customHeight="1">
      <c r="A36" s="33" t="s">
        <v>179</v>
      </c>
      <c r="B36" s="390">
        <f t="shared" si="4"/>
        <v>396</v>
      </c>
      <c r="C36" s="401">
        <f t="shared" si="2"/>
        <v>7.5085324232081918</v>
      </c>
      <c r="E36" s="402">
        <v>225</v>
      </c>
      <c r="F36" s="401">
        <f t="shared" si="0"/>
        <v>56.81818181818182</v>
      </c>
      <c r="G36" s="402"/>
      <c r="H36" s="402">
        <v>171</v>
      </c>
      <c r="I36" s="401">
        <f t="shared" si="1"/>
        <v>43.18181818181818</v>
      </c>
    </row>
    <row r="37" spans="1:9" ht="14.25" customHeight="1">
      <c r="A37" s="33" t="s">
        <v>180</v>
      </c>
      <c r="B37" s="390">
        <f t="shared" si="4"/>
        <v>297</v>
      </c>
      <c r="C37" s="401">
        <f t="shared" si="2"/>
        <v>5.6313993174061432</v>
      </c>
      <c r="E37" s="402">
        <v>192</v>
      </c>
      <c r="F37" s="401">
        <f t="shared" si="0"/>
        <v>64.646464646464651</v>
      </c>
      <c r="G37" s="402"/>
      <c r="H37" s="402">
        <v>105</v>
      </c>
      <c r="I37" s="401">
        <f t="shared" si="1"/>
        <v>35.353535353535356</v>
      </c>
    </row>
    <row r="38" spans="1:9" ht="14.25" customHeight="1">
      <c r="A38" s="33" t="s">
        <v>181</v>
      </c>
      <c r="B38" s="390">
        <f t="shared" si="4"/>
        <v>52</v>
      </c>
      <c r="C38" s="401">
        <f t="shared" si="2"/>
        <v>0.98596890405764137</v>
      </c>
      <c r="E38" s="402">
        <v>18</v>
      </c>
      <c r="F38" s="401">
        <f t="shared" si="0"/>
        <v>34.615384615384613</v>
      </c>
      <c r="G38" s="402"/>
      <c r="H38" s="402">
        <v>34</v>
      </c>
      <c r="I38" s="401">
        <f t="shared" si="1"/>
        <v>65.384615384615387</v>
      </c>
    </row>
    <row r="39" spans="1:9" ht="14.25" customHeight="1">
      <c r="A39" s="33" t="s">
        <v>182</v>
      </c>
      <c r="B39" s="390">
        <f t="shared" si="4"/>
        <v>24</v>
      </c>
      <c r="C39" s="401">
        <f t="shared" si="2"/>
        <v>0.45506257110352671</v>
      </c>
      <c r="E39" s="402">
        <v>16</v>
      </c>
      <c r="F39" s="401">
        <f t="shared" si="0"/>
        <v>66.666666666666657</v>
      </c>
      <c r="G39" s="402"/>
      <c r="H39" s="402">
        <v>8</v>
      </c>
      <c r="I39" s="401">
        <f t="shared" si="1"/>
        <v>33.333333333333329</v>
      </c>
    </row>
    <row r="40" spans="1:9" ht="8" customHeight="1">
      <c r="C40" s="401"/>
      <c r="F40" s="401" t="str">
        <f t="shared" si="0"/>
        <v/>
      </c>
      <c r="I40" s="401"/>
    </row>
    <row r="41" spans="1:9" ht="15" customHeight="1">
      <c r="A41" s="33" t="s">
        <v>183</v>
      </c>
      <c r="B41" s="390">
        <f t="shared" ref="B41:B49" si="5">IF(A41&lt;&gt;0,E41+H41,"")</f>
        <v>527</v>
      </c>
      <c r="C41" s="401">
        <f t="shared" si="2"/>
        <v>9.9924156238149422</v>
      </c>
      <c r="E41" s="391">
        <f>SUM(E42:E49)</f>
        <v>345</v>
      </c>
      <c r="F41" s="401">
        <f t="shared" si="0"/>
        <v>65.464895635673628</v>
      </c>
      <c r="H41" s="391">
        <f>SUM(H42:H49)</f>
        <v>182</v>
      </c>
      <c r="I41" s="401">
        <f t="shared" si="1"/>
        <v>34.535104364326372</v>
      </c>
    </row>
    <row r="42" spans="1:9" ht="15" customHeight="1">
      <c r="A42" s="33" t="s">
        <v>191</v>
      </c>
      <c r="B42" s="390">
        <f t="shared" si="5"/>
        <v>46</v>
      </c>
      <c r="C42" s="401">
        <f t="shared" si="2"/>
        <v>0.87220326128175962</v>
      </c>
      <c r="E42" s="402">
        <v>29</v>
      </c>
      <c r="F42" s="401">
        <f t="shared" si="0"/>
        <v>63.04347826086957</v>
      </c>
      <c r="G42" s="402"/>
      <c r="H42" s="402">
        <v>17</v>
      </c>
      <c r="I42" s="401">
        <f t="shared" si="1"/>
        <v>36.95652173913043</v>
      </c>
    </row>
    <row r="43" spans="1:9" ht="15" customHeight="1">
      <c r="A43" s="33" t="s">
        <v>184</v>
      </c>
      <c r="B43" s="390">
        <f t="shared" si="5"/>
        <v>46</v>
      </c>
      <c r="C43" s="401">
        <f t="shared" si="2"/>
        <v>0.87220326128175962</v>
      </c>
      <c r="E43" s="402">
        <v>30</v>
      </c>
      <c r="F43" s="401">
        <f t="shared" si="0"/>
        <v>65.217391304347828</v>
      </c>
      <c r="G43" s="402"/>
      <c r="H43" s="402">
        <v>16</v>
      </c>
      <c r="I43" s="401">
        <f t="shared" si="1"/>
        <v>34.782608695652172</v>
      </c>
    </row>
    <row r="44" spans="1:9" ht="15" customHeight="1">
      <c r="A44" s="33" t="s">
        <v>185</v>
      </c>
      <c r="B44" s="390">
        <f t="shared" si="5"/>
        <v>79</v>
      </c>
      <c r="C44" s="401">
        <f t="shared" si="2"/>
        <v>1.4979142965491088</v>
      </c>
      <c r="E44" s="402">
        <v>45</v>
      </c>
      <c r="F44" s="401">
        <f t="shared" si="0"/>
        <v>56.962025316455701</v>
      </c>
      <c r="G44" s="402"/>
      <c r="H44" s="402">
        <v>34</v>
      </c>
      <c r="I44" s="401">
        <f t="shared" si="1"/>
        <v>43.037974683544306</v>
      </c>
    </row>
    <row r="45" spans="1:9" ht="15" customHeight="1">
      <c r="A45" s="33" t="s">
        <v>186</v>
      </c>
      <c r="B45" s="390">
        <f t="shared" si="5"/>
        <v>82</v>
      </c>
      <c r="C45" s="401">
        <f t="shared" si="2"/>
        <v>1.5547971179370497</v>
      </c>
      <c r="E45" s="402">
        <v>43</v>
      </c>
      <c r="F45" s="401">
        <f t="shared" si="0"/>
        <v>52.439024390243901</v>
      </c>
      <c r="G45" s="402"/>
      <c r="H45" s="402">
        <v>39</v>
      </c>
      <c r="I45" s="401">
        <f t="shared" si="1"/>
        <v>47.560975609756099</v>
      </c>
    </row>
    <row r="46" spans="1:9" ht="15" customHeight="1">
      <c r="A46" s="33" t="s">
        <v>190</v>
      </c>
      <c r="B46" s="390">
        <f t="shared" si="5"/>
        <v>28</v>
      </c>
      <c r="C46" s="401">
        <f t="shared" si="2"/>
        <v>0.53090633295411449</v>
      </c>
      <c r="E46" s="402">
        <v>11</v>
      </c>
      <c r="F46" s="401">
        <f t="shared" si="0"/>
        <v>39.285714285714285</v>
      </c>
      <c r="G46" s="402"/>
      <c r="H46" s="402">
        <v>17</v>
      </c>
      <c r="I46" s="401">
        <f t="shared" si="1"/>
        <v>60.714285714285708</v>
      </c>
    </row>
    <row r="47" spans="1:9" ht="15" customHeight="1">
      <c r="A47" s="33" t="s">
        <v>408</v>
      </c>
      <c r="B47" s="390">
        <f t="shared" si="5"/>
        <v>54</v>
      </c>
      <c r="C47" s="401">
        <f t="shared" si="2"/>
        <v>1.0238907849829351</v>
      </c>
      <c r="E47" s="402">
        <v>36</v>
      </c>
      <c r="F47" s="401">
        <f t="shared" si="0"/>
        <v>66.666666666666657</v>
      </c>
      <c r="G47" s="402"/>
      <c r="H47" s="402">
        <v>18</v>
      </c>
      <c r="I47" s="401">
        <f t="shared" si="1"/>
        <v>33.333333333333329</v>
      </c>
    </row>
    <row r="48" spans="1:9" ht="15" customHeight="1">
      <c r="A48" s="33" t="s">
        <v>189</v>
      </c>
      <c r="B48" s="390">
        <f t="shared" si="5"/>
        <v>111</v>
      </c>
      <c r="C48" s="401">
        <f t="shared" si="2"/>
        <v>2.1046643913538112</v>
      </c>
      <c r="E48" s="402">
        <v>87</v>
      </c>
      <c r="F48" s="401">
        <f t="shared" si="0"/>
        <v>78.378378378378372</v>
      </c>
      <c r="G48" s="402"/>
      <c r="H48" s="402">
        <v>24</v>
      </c>
      <c r="I48" s="401">
        <f t="shared" si="1"/>
        <v>21.621621621621621</v>
      </c>
    </row>
    <row r="49" spans="1:9" ht="15" customHeight="1">
      <c r="A49" s="33" t="s">
        <v>188</v>
      </c>
      <c r="B49" s="390">
        <f t="shared" si="5"/>
        <v>81</v>
      </c>
      <c r="C49" s="401">
        <f t="shared" si="2"/>
        <v>1.5358361774744027</v>
      </c>
      <c r="E49" s="402">
        <v>64</v>
      </c>
      <c r="F49" s="401">
        <f t="shared" si="0"/>
        <v>79.012345679012341</v>
      </c>
      <c r="G49" s="402"/>
      <c r="H49" s="402">
        <v>17</v>
      </c>
      <c r="I49" s="401">
        <f t="shared" si="1"/>
        <v>20.987654320987652</v>
      </c>
    </row>
    <row r="50" spans="1:9" ht="8" customHeight="1">
      <c r="C50" s="401"/>
      <c r="E50" s="794"/>
      <c r="F50" s="401" t="str">
        <f t="shared" si="0"/>
        <v/>
      </c>
      <c r="G50" s="794"/>
      <c r="H50" s="794"/>
      <c r="I50" s="401"/>
    </row>
    <row r="51" spans="1:9" ht="15" customHeight="1">
      <c r="A51" s="33" t="s">
        <v>192</v>
      </c>
      <c r="B51" s="390">
        <f>IF(A51&lt;&gt;0,E51+H51,"")</f>
        <v>250</v>
      </c>
      <c r="C51" s="401">
        <f t="shared" si="2"/>
        <v>4.7402351156617364</v>
      </c>
      <c r="E51" s="402">
        <v>141</v>
      </c>
      <c r="F51" s="401">
        <f t="shared" si="0"/>
        <v>56.399999999999991</v>
      </c>
      <c r="G51" s="402"/>
      <c r="H51" s="402">
        <v>109</v>
      </c>
      <c r="I51" s="401">
        <f t="shared" si="1"/>
        <v>43.6</v>
      </c>
    </row>
    <row r="52" spans="1:9" ht="8" customHeight="1">
      <c r="C52" s="401"/>
      <c r="F52" s="401" t="str">
        <f t="shared" si="0"/>
        <v/>
      </c>
      <c r="I52" s="401"/>
    </row>
    <row r="53" spans="1:9" ht="15" customHeight="1">
      <c r="A53" s="33" t="s">
        <v>193</v>
      </c>
      <c r="B53" s="390">
        <f t="shared" ref="B53:B58" si="6">IF(A53&lt;&gt;0,E53+H53,"")</f>
        <v>527</v>
      </c>
      <c r="C53" s="401">
        <f t="shared" si="2"/>
        <v>9.9924156238149422</v>
      </c>
      <c r="E53" s="391">
        <f>SUM(E54:E58)</f>
        <v>382</v>
      </c>
      <c r="F53" s="401">
        <f t="shared" si="0"/>
        <v>72.485768500948765</v>
      </c>
      <c r="H53" s="391">
        <f>SUM(H54:H58)</f>
        <v>145</v>
      </c>
      <c r="I53" s="401">
        <f t="shared" si="1"/>
        <v>27.514231499051235</v>
      </c>
    </row>
    <row r="54" spans="1:9" ht="15" customHeight="1">
      <c r="A54" s="33" t="s">
        <v>194</v>
      </c>
      <c r="B54" s="390">
        <f t="shared" si="6"/>
        <v>22</v>
      </c>
      <c r="C54" s="401">
        <f t="shared" si="2"/>
        <v>0.41714069017823285</v>
      </c>
      <c r="E54" s="402">
        <v>18</v>
      </c>
      <c r="F54" s="401">
        <f t="shared" si="0"/>
        <v>81.818181818181827</v>
      </c>
      <c r="G54" s="402"/>
      <c r="H54" s="402">
        <v>4</v>
      </c>
      <c r="I54" s="401">
        <f t="shared" si="1"/>
        <v>18.181818181818183</v>
      </c>
    </row>
    <row r="55" spans="1:9" ht="15" customHeight="1">
      <c r="A55" s="33" t="s">
        <v>195</v>
      </c>
      <c r="B55" s="390">
        <f t="shared" si="6"/>
        <v>290</v>
      </c>
      <c r="C55" s="401">
        <f t="shared" si="2"/>
        <v>5.4986727341676147</v>
      </c>
      <c r="E55" s="402">
        <v>209</v>
      </c>
      <c r="F55" s="401">
        <f t="shared" si="0"/>
        <v>72.068965517241381</v>
      </c>
      <c r="G55" s="402"/>
      <c r="H55" s="402">
        <v>81</v>
      </c>
      <c r="I55" s="401">
        <f t="shared" si="1"/>
        <v>27.931034482758619</v>
      </c>
    </row>
    <row r="56" spans="1:9" ht="15" customHeight="1">
      <c r="A56" s="33" t="s">
        <v>196</v>
      </c>
      <c r="B56" s="390">
        <f t="shared" si="6"/>
        <v>96</v>
      </c>
      <c r="C56" s="401">
        <f t="shared" si="2"/>
        <v>1.8202502844141069</v>
      </c>
      <c r="E56" s="402">
        <v>78</v>
      </c>
      <c r="F56" s="401">
        <f t="shared" si="0"/>
        <v>81.25</v>
      </c>
      <c r="G56" s="402"/>
      <c r="H56" s="402">
        <v>18</v>
      </c>
      <c r="I56" s="401">
        <f t="shared" si="1"/>
        <v>18.75</v>
      </c>
    </row>
    <row r="57" spans="1:9" ht="15" customHeight="1">
      <c r="A57" s="33" t="s">
        <v>409</v>
      </c>
      <c r="B57" s="390">
        <f t="shared" si="6"/>
        <v>88</v>
      </c>
      <c r="C57" s="401">
        <f t="shared" si="2"/>
        <v>1.6685627607129314</v>
      </c>
      <c r="E57" s="402">
        <v>62</v>
      </c>
      <c r="F57" s="401">
        <f t="shared" si="0"/>
        <v>70.454545454545453</v>
      </c>
      <c r="G57" s="402"/>
      <c r="H57" s="402">
        <v>26</v>
      </c>
      <c r="I57" s="401">
        <f t="shared" si="1"/>
        <v>29.545454545454547</v>
      </c>
    </row>
    <row r="58" spans="1:9" ht="15" customHeight="1">
      <c r="A58" s="33" t="s">
        <v>198</v>
      </c>
      <c r="B58" s="390">
        <f t="shared" si="6"/>
        <v>31</v>
      </c>
      <c r="C58" s="401">
        <f t="shared" si="2"/>
        <v>0.58778915434205536</v>
      </c>
      <c r="E58" s="402">
        <v>15</v>
      </c>
      <c r="F58" s="401">
        <f t="shared" si="0"/>
        <v>48.387096774193552</v>
      </c>
      <c r="G58" s="402"/>
      <c r="H58" s="402">
        <v>16</v>
      </c>
      <c r="I58" s="401">
        <f t="shared" si="1"/>
        <v>51.612903225806448</v>
      </c>
    </row>
    <row r="59" spans="1:9" ht="8" customHeight="1">
      <c r="C59" s="401"/>
      <c r="F59" s="401" t="str">
        <f t="shared" si="0"/>
        <v/>
      </c>
      <c r="I59" s="401"/>
    </row>
    <row r="60" spans="1:9" ht="15" customHeight="1">
      <c r="A60" s="55" t="s">
        <v>199</v>
      </c>
      <c r="B60" s="390">
        <f>IF(A60&lt;&gt;0,E60+H60,"")</f>
        <v>653</v>
      </c>
      <c r="C60" s="401">
        <f t="shared" si="2"/>
        <v>12.381494122108457</v>
      </c>
      <c r="E60" s="391">
        <f>E61+E63+E70+E72</f>
        <v>447</v>
      </c>
      <c r="F60" s="401">
        <f t="shared" si="0"/>
        <v>68.453292496171514</v>
      </c>
      <c r="H60" s="391">
        <f>H61+H63+H70+H72</f>
        <v>206</v>
      </c>
      <c r="I60" s="401">
        <f t="shared" si="1"/>
        <v>31.546707503828486</v>
      </c>
    </row>
    <row r="61" spans="1:9" ht="15" customHeight="1">
      <c r="A61" s="33" t="s">
        <v>411</v>
      </c>
      <c r="B61" s="390">
        <f>IF(A61&lt;&gt;0,E61+H61,"")</f>
        <v>47</v>
      </c>
      <c r="C61" s="401">
        <f t="shared" si="2"/>
        <v>0.89116420174440647</v>
      </c>
      <c r="E61" s="402">
        <v>37</v>
      </c>
      <c r="F61" s="401">
        <f t="shared" si="0"/>
        <v>78.723404255319153</v>
      </c>
      <c r="G61" s="402"/>
      <c r="H61" s="402">
        <v>10</v>
      </c>
      <c r="I61" s="401">
        <f t="shared" si="1"/>
        <v>21.276595744680851</v>
      </c>
    </row>
    <row r="62" spans="1:9" ht="8" customHeight="1">
      <c r="C62" s="401"/>
      <c r="F62" s="401" t="str">
        <f t="shared" si="0"/>
        <v/>
      </c>
      <c r="I62" s="401"/>
    </row>
    <row r="63" spans="1:9" ht="15" customHeight="1">
      <c r="A63" s="33" t="s">
        <v>202</v>
      </c>
      <c r="B63" s="390">
        <f t="shared" ref="B63:B70" si="7">IF(A63&lt;&gt;0,E63+H63,"")</f>
        <v>486</v>
      </c>
      <c r="C63" s="401">
        <f t="shared" si="2"/>
        <v>9.2150170648464158</v>
      </c>
      <c r="E63" s="391">
        <f>SUM(E64:E68)</f>
        <v>325</v>
      </c>
      <c r="F63" s="401">
        <f t="shared" si="0"/>
        <v>66.872427983539097</v>
      </c>
      <c r="H63" s="391">
        <f>SUM(H64:H68)</f>
        <v>161</v>
      </c>
      <c r="I63" s="401">
        <f t="shared" si="1"/>
        <v>33.127572016460903</v>
      </c>
    </row>
    <row r="64" spans="1:9" ht="15" customHeight="1">
      <c r="A64" s="33" t="s">
        <v>203</v>
      </c>
      <c r="B64" s="390">
        <f t="shared" si="7"/>
        <v>254</v>
      </c>
      <c r="C64" s="401">
        <f t="shared" si="2"/>
        <v>4.8160788775123242</v>
      </c>
      <c r="E64" s="402">
        <v>143</v>
      </c>
      <c r="F64" s="401">
        <f t="shared" si="0"/>
        <v>56.2992125984252</v>
      </c>
      <c r="G64" s="402"/>
      <c r="H64" s="402">
        <v>111</v>
      </c>
      <c r="I64" s="401">
        <f t="shared" si="1"/>
        <v>43.7007874015748</v>
      </c>
    </row>
    <row r="65" spans="1:9" ht="15" customHeight="1">
      <c r="A65" s="33" t="s">
        <v>204</v>
      </c>
      <c r="B65" s="390">
        <f t="shared" si="7"/>
        <v>34</v>
      </c>
      <c r="C65" s="401">
        <f t="shared" si="2"/>
        <v>0.64467197572999624</v>
      </c>
      <c r="E65" s="402">
        <v>30</v>
      </c>
      <c r="F65" s="401">
        <f t="shared" si="0"/>
        <v>88.235294117647058</v>
      </c>
      <c r="G65" s="402"/>
      <c r="H65" s="402">
        <v>4</v>
      </c>
      <c r="I65" s="401">
        <f t="shared" si="1"/>
        <v>11.76470588235294</v>
      </c>
    </row>
    <row r="66" spans="1:9" ht="15" customHeight="1">
      <c r="A66" s="33" t="s">
        <v>206</v>
      </c>
      <c r="B66" s="390">
        <f t="shared" si="7"/>
        <v>41</v>
      </c>
      <c r="C66" s="401">
        <f t="shared" si="2"/>
        <v>0.77739855896852483</v>
      </c>
      <c r="E66" s="402">
        <v>40</v>
      </c>
      <c r="F66" s="401">
        <f t="shared" si="0"/>
        <v>97.560975609756099</v>
      </c>
      <c r="G66" s="402"/>
      <c r="H66" s="402">
        <v>1</v>
      </c>
      <c r="I66" s="401">
        <f t="shared" si="1"/>
        <v>2.4390243902439024</v>
      </c>
    </row>
    <row r="67" spans="1:9" ht="15" customHeight="1">
      <c r="A67" s="33" t="s">
        <v>205</v>
      </c>
      <c r="B67" s="390">
        <f t="shared" si="7"/>
        <v>29</v>
      </c>
      <c r="C67" s="401">
        <f t="shared" si="2"/>
        <v>0.54986727341676145</v>
      </c>
      <c r="E67" s="402">
        <v>22</v>
      </c>
      <c r="F67" s="401">
        <f t="shared" si="0"/>
        <v>75.862068965517238</v>
      </c>
      <c r="G67" s="402"/>
      <c r="H67" s="402">
        <v>7</v>
      </c>
      <c r="I67" s="401">
        <f t="shared" si="1"/>
        <v>24.137931034482758</v>
      </c>
    </row>
    <row r="68" spans="1:9" ht="15" customHeight="1">
      <c r="A68" s="33" t="s">
        <v>532</v>
      </c>
      <c r="B68" s="390">
        <f t="shared" si="7"/>
        <v>128</v>
      </c>
      <c r="C68" s="401">
        <f t="shared" si="2"/>
        <v>2.4270003792188093</v>
      </c>
      <c r="E68" s="402">
        <v>90</v>
      </c>
      <c r="F68" s="401">
        <f t="shared" si="0"/>
        <v>70.3125</v>
      </c>
      <c r="G68" s="402"/>
      <c r="H68" s="402">
        <v>38</v>
      </c>
      <c r="I68" s="401">
        <f t="shared" si="1"/>
        <v>29.6875</v>
      </c>
    </row>
    <row r="69" spans="1:9" ht="8" customHeight="1">
      <c r="B69" s="390" t="str">
        <f t="shared" si="7"/>
        <v/>
      </c>
      <c r="C69" s="401"/>
      <c r="E69" s="794"/>
      <c r="F69" s="401" t="str">
        <f t="shared" si="0"/>
        <v/>
      </c>
      <c r="G69" s="794"/>
      <c r="H69" s="794"/>
      <c r="I69" s="401"/>
    </row>
    <row r="70" spans="1:9" ht="15" customHeight="1">
      <c r="A70" s="33" t="s">
        <v>208</v>
      </c>
      <c r="B70" s="390">
        <f t="shared" si="7"/>
        <v>66</v>
      </c>
      <c r="C70" s="401">
        <f t="shared" si="2"/>
        <v>1.2514220705346986</v>
      </c>
      <c r="E70" s="402">
        <v>49</v>
      </c>
      <c r="F70" s="401">
        <f t="shared" si="0"/>
        <v>74.242424242424249</v>
      </c>
      <c r="G70" s="402"/>
      <c r="H70" s="402">
        <v>17</v>
      </c>
      <c r="I70" s="401">
        <f t="shared" si="1"/>
        <v>25.757575757575758</v>
      </c>
    </row>
    <row r="71" spans="1:9" ht="8" customHeight="1">
      <c r="C71" s="401"/>
      <c r="E71" s="794"/>
      <c r="F71" s="401" t="str">
        <f t="shared" si="0"/>
        <v/>
      </c>
      <c r="G71" s="794"/>
      <c r="H71" s="794"/>
      <c r="I71" s="401"/>
    </row>
    <row r="72" spans="1:9" ht="15" customHeight="1">
      <c r="A72" s="33" t="s">
        <v>209</v>
      </c>
      <c r="B72" s="390">
        <f>IF(A72&lt;&gt;0,E72+H72,"")</f>
        <v>54</v>
      </c>
      <c r="C72" s="401">
        <f t="shared" si="2"/>
        <v>1.0238907849829351</v>
      </c>
      <c r="E72" s="402">
        <v>36</v>
      </c>
      <c r="F72" s="401">
        <f t="shared" si="0"/>
        <v>66.666666666666657</v>
      </c>
      <c r="G72" s="402"/>
      <c r="H72" s="402">
        <v>18</v>
      </c>
      <c r="I72" s="401">
        <f t="shared" si="1"/>
        <v>33.333333333333329</v>
      </c>
    </row>
    <row r="73" spans="1:9" ht="8" customHeight="1">
      <c r="C73" s="401"/>
      <c r="F73" s="401" t="str">
        <f t="shared" si="0"/>
        <v/>
      </c>
      <c r="I73" s="401"/>
    </row>
    <row r="74" spans="1:9" ht="15" customHeight="1">
      <c r="A74" s="55" t="s">
        <v>413</v>
      </c>
      <c r="B74" s="390">
        <f t="shared" ref="B74:B79" si="8">IF(A74&lt;&gt;0,E74+H74,"")</f>
        <v>183</v>
      </c>
      <c r="C74" s="401">
        <f t="shared" si="2"/>
        <v>3.4698521046643913</v>
      </c>
      <c r="E74" s="391">
        <f>SUM(E75)</f>
        <v>110</v>
      </c>
      <c r="F74" s="401">
        <f t="shared" si="0"/>
        <v>60.10928961748634</v>
      </c>
      <c r="H74" s="391">
        <f>SUM(H75)</f>
        <v>73</v>
      </c>
      <c r="I74" s="401">
        <f t="shared" si="1"/>
        <v>39.89071038251366</v>
      </c>
    </row>
    <row r="75" spans="1:9" ht="15" customHeight="1">
      <c r="A75" s="33" t="s">
        <v>414</v>
      </c>
      <c r="B75" s="390">
        <f t="shared" si="8"/>
        <v>183</v>
      </c>
      <c r="C75" s="401">
        <f t="shared" si="2"/>
        <v>3.4698521046643913</v>
      </c>
      <c r="E75" s="391">
        <f>SUM(E76:E79)</f>
        <v>110</v>
      </c>
      <c r="F75" s="401">
        <f t="shared" si="0"/>
        <v>60.10928961748634</v>
      </c>
      <c r="H75" s="391">
        <f>SUM(H76:H79)</f>
        <v>73</v>
      </c>
      <c r="I75" s="401">
        <f t="shared" si="1"/>
        <v>39.89071038251366</v>
      </c>
    </row>
    <row r="76" spans="1:9" ht="15" customHeight="1">
      <c r="A76" s="33" t="s">
        <v>212</v>
      </c>
      <c r="B76" s="390">
        <f t="shared" si="8"/>
        <v>42</v>
      </c>
      <c r="C76" s="401">
        <f t="shared" si="2"/>
        <v>0.79635949943117168</v>
      </c>
      <c r="E76" s="402">
        <v>29</v>
      </c>
      <c r="F76" s="401">
        <f t="shared" si="0"/>
        <v>69.047619047619051</v>
      </c>
      <c r="G76" s="402"/>
      <c r="H76" s="402">
        <v>13</v>
      </c>
      <c r="I76" s="401">
        <f t="shared" si="1"/>
        <v>30.952380952380953</v>
      </c>
    </row>
    <row r="77" spans="1:9" ht="15" customHeight="1">
      <c r="A77" s="33" t="s">
        <v>213</v>
      </c>
      <c r="B77" s="390">
        <f t="shared" si="8"/>
        <v>78</v>
      </c>
      <c r="C77" s="401">
        <f t="shared" si="2"/>
        <v>1.4789533560864618</v>
      </c>
      <c r="E77" s="402">
        <v>33</v>
      </c>
      <c r="F77" s="401">
        <f t="shared" ref="F77:F101" si="9">IF(A77&lt;&gt;0,E77/$B77*100,"")</f>
        <v>42.307692307692307</v>
      </c>
      <c r="G77" s="402"/>
      <c r="H77" s="402">
        <v>45</v>
      </c>
      <c r="I77" s="401">
        <f t="shared" si="1"/>
        <v>57.692307692307686</v>
      </c>
    </row>
    <row r="78" spans="1:9" ht="15" customHeight="1">
      <c r="A78" s="33" t="s">
        <v>214</v>
      </c>
      <c r="B78" s="390">
        <f t="shared" si="8"/>
        <v>42</v>
      </c>
      <c r="C78" s="401">
        <f t="shared" si="2"/>
        <v>0.79635949943117168</v>
      </c>
      <c r="E78" s="402">
        <v>30</v>
      </c>
      <c r="F78" s="401">
        <f t="shared" si="9"/>
        <v>71.428571428571431</v>
      </c>
      <c r="G78" s="402"/>
      <c r="H78" s="402">
        <v>12</v>
      </c>
      <c r="I78" s="401">
        <f t="shared" ref="I78:I101" si="10">IF(A78&lt;&gt;0,H78/$B78*100,"")</f>
        <v>28.571428571428569</v>
      </c>
    </row>
    <row r="79" spans="1:9" ht="15" customHeight="1">
      <c r="A79" s="33" t="s">
        <v>215</v>
      </c>
      <c r="B79" s="390">
        <f t="shared" si="8"/>
        <v>21</v>
      </c>
      <c r="C79" s="401">
        <f t="shared" si="2"/>
        <v>0.39817974971558584</v>
      </c>
      <c r="E79" s="402">
        <v>18</v>
      </c>
      <c r="F79" s="401">
        <f t="shared" si="9"/>
        <v>85.714285714285708</v>
      </c>
      <c r="G79" s="402"/>
      <c r="H79" s="402">
        <v>3</v>
      </c>
      <c r="I79" s="401">
        <f t="shared" si="10"/>
        <v>14.285714285714285</v>
      </c>
    </row>
    <row r="80" spans="1:9" ht="8" customHeight="1">
      <c r="C80" s="401"/>
      <c r="E80" s="61"/>
      <c r="F80" s="401" t="str">
        <f t="shared" si="9"/>
        <v/>
      </c>
      <c r="G80" s="61"/>
      <c r="I80" s="401"/>
    </row>
    <row r="81" spans="1:9" ht="15" customHeight="1">
      <c r="A81" s="55" t="s">
        <v>483</v>
      </c>
      <c r="B81" s="390">
        <f t="shared" ref="B81:B101" si="11">IF(A81&lt;&gt;0,E81+H81,"")</f>
        <v>580</v>
      </c>
      <c r="C81" s="401">
        <f t="shared" ref="C81:C101" si="12">IF($A81&lt;&gt;"",B81/$B$11*100,"")</f>
        <v>10.997345468335229</v>
      </c>
      <c r="E81" s="391">
        <f>SUM(E82)</f>
        <v>169</v>
      </c>
      <c r="F81" s="401">
        <f t="shared" si="9"/>
        <v>29.137931034482762</v>
      </c>
      <c r="H81" s="391">
        <f>SUM(H82)</f>
        <v>411</v>
      </c>
      <c r="I81" s="401">
        <f t="shared" si="10"/>
        <v>70.862068965517238</v>
      </c>
    </row>
    <row r="82" spans="1:9" ht="15" customHeight="1">
      <c r="A82" s="33" t="s">
        <v>1072</v>
      </c>
      <c r="B82" s="390">
        <f t="shared" si="11"/>
        <v>580</v>
      </c>
      <c r="C82" s="401">
        <f t="shared" si="12"/>
        <v>10.997345468335229</v>
      </c>
      <c r="E82" s="391">
        <f>SUM(E83:E91)</f>
        <v>169</v>
      </c>
      <c r="F82" s="401">
        <f t="shared" si="9"/>
        <v>29.137931034482762</v>
      </c>
      <c r="H82" s="391">
        <f>SUM(H83:H91)</f>
        <v>411</v>
      </c>
      <c r="I82" s="401">
        <f t="shared" si="10"/>
        <v>70.862068965517238</v>
      </c>
    </row>
    <row r="83" spans="1:9" ht="15" customHeight="1">
      <c r="A83" s="33" t="s">
        <v>1921</v>
      </c>
      <c r="B83" s="390">
        <f t="shared" si="11"/>
        <v>26</v>
      </c>
      <c r="C83" s="401">
        <f t="shared" si="12"/>
        <v>0.49298445202882069</v>
      </c>
      <c r="E83" s="402">
        <v>6</v>
      </c>
      <c r="F83" s="401">
        <f t="shared" si="9"/>
        <v>23.076923076923077</v>
      </c>
      <c r="G83" s="402"/>
      <c r="H83" s="402">
        <v>20</v>
      </c>
      <c r="I83" s="401">
        <f t="shared" si="10"/>
        <v>76.923076923076934</v>
      </c>
    </row>
    <row r="84" spans="1:9" ht="15" customHeight="1">
      <c r="A84" s="33" t="s">
        <v>218</v>
      </c>
      <c r="B84" s="390">
        <f t="shared" si="11"/>
        <v>85</v>
      </c>
      <c r="C84" s="401">
        <f t="shared" si="12"/>
        <v>1.6116799393249905</v>
      </c>
      <c r="E84" s="402">
        <v>31</v>
      </c>
      <c r="F84" s="401">
        <f t="shared" si="9"/>
        <v>36.470588235294116</v>
      </c>
      <c r="G84" s="402"/>
      <c r="H84" s="402">
        <v>54</v>
      </c>
      <c r="I84" s="401">
        <f t="shared" si="10"/>
        <v>63.529411764705877</v>
      </c>
    </row>
    <row r="85" spans="1:9" ht="15" customHeight="1">
      <c r="A85" s="33" t="s">
        <v>220</v>
      </c>
      <c r="B85" s="390">
        <f t="shared" si="11"/>
        <v>109</v>
      </c>
      <c r="C85" s="401">
        <f t="shared" si="12"/>
        <v>2.0667425104285173</v>
      </c>
      <c r="E85" s="402">
        <v>15</v>
      </c>
      <c r="F85" s="401">
        <f t="shared" si="9"/>
        <v>13.761467889908257</v>
      </c>
      <c r="G85" s="402"/>
      <c r="H85" s="402">
        <v>94</v>
      </c>
      <c r="I85" s="401">
        <f t="shared" si="10"/>
        <v>86.238532110091754</v>
      </c>
    </row>
    <row r="86" spans="1:9" ht="15" customHeight="1">
      <c r="A86" s="33" t="s">
        <v>222</v>
      </c>
      <c r="B86" s="390">
        <f t="shared" si="11"/>
        <v>50</v>
      </c>
      <c r="C86" s="401">
        <f t="shared" si="12"/>
        <v>0.94804702313234734</v>
      </c>
      <c r="E86" s="402">
        <v>18</v>
      </c>
      <c r="F86" s="401">
        <f t="shared" si="9"/>
        <v>36</v>
      </c>
      <c r="G86" s="402"/>
      <c r="H86" s="402">
        <v>32</v>
      </c>
      <c r="I86" s="401">
        <f t="shared" si="10"/>
        <v>64</v>
      </c>
    </row>
    <row r="87" spans="1:9" ht="15" customHeight="1">
      <c r="A87" s="33" t="s">
        <v>221</v>
      </c>
      <c r="B87" s="390">
        <f t="shared" si="11"/>
        <v>78</v>
      </c>
      <c r="C87" s="401">
        <f t="shared" si="12"/>
        <v>1.4789533560864618</v>
      </c>
      <c r="E87" s="402">
        <v>17</v>
      </c>
      <c r="F87" s="401">
        <f t="shared" si="9"/>
        <v>21.794871794871796</v>
      </c>
      <c r="G87" s="402"/>
      <c r="H87" s="402">
        <v>61</v>
      </c>
      <c r="I87" s="401">
        <f t="shared" si="10"/>
        <v>78.205128205128204</v>
      </c>
    </row>
    <row r="88" spans="1:9" ht="15" customHeight="1">
      <c r="A88" s="33" t="s">
        <v>219</v>
      </c>
      <c r="B88" s="390">
        <f t="shared" si="11"/>
        <v>67</v>
      </c>
      <c r="C88" s="401">
        <f t="shared" si="12"/>
        <v>1.2703830109973455</v>
      </c>
      <c r="E88" s="402">
        <v>32</v>
      </c>
      <c r="F88" s="401">
        <f t="shared" si="9"/>
        <v>47.761194029850742</v>
      </c>
      <c r="G88" s="402"/>
      <c r="H88" s="402">
        <v>35</v>
      </c>
      <c r="I88" s="401">
        <f t="shared" si="10"/>
        <v>52.238805970149251</v>
      </c>
    </row>
    <row r="89" spans="1:9" ht="15" customHeight="1">
      <c r="A89" s="33" t="s">
        <v>223</v>
      </c>
      <c r="B89" s="390">
        <f t="shared" si="11"/>
        <v>61</v>
      </c>
      <c r="C89" s="401">
        <f t="shared" si="12"/>
        <v>1.1566173682214638</v>
      </c>
      <c r="E89" s="402">
        <v>31</v>
      </c>
      <c r="F89" s="401">
        <f t="shared" si="9"/>
        <v>50.819672131147541</v>
      </c>
      <c r="G89" s="402"/>
      <c r="H89" s="402">
        <v>30</v>
      </c>
      <c r="I89" s="401">
        <f t="shared" si="10"/>
        <v>49.180327868852459</v>
      </c>
    </row>
    <row r="90" spans="1:9" ht="15" customHeight="1">
      <c r="A90" s="33" t="s">
        <v>1073</v>
      </c>
      <c r="B90" s="390">
        <f t="shared" si="11"/>
        <v>22</v>
      </c>
      <c r="C90" s="401">
        <f t="shared" si="12"/>
        <v>0.41714069017823285</v>
      </c>
      <c r="E90" s="402">
        <v>8</v>
      </c>
      <c r="F90" s="401">
        <f t="shared" si="9"/>
        <v>36.363636363636367</v>
      </c>
      <c r="G90" s="402"/>
      <c r="H90" s="402">
        <v>14</v>
      </c>
      <c r="I90" s="401">
        <f t="shared" si="10"/>
        <v>63.636363636363633</v>
      </c>
    </row>
    <row r="91" spans="1:9" ht="15" customHeight="1">
      <c r="A91" s="33" t="s">
        <v>416</v>
      </c>
      <c r="B91" s="390">
        <f t="shared" si="11"/>
        <v>82</v>
      </c>
      <c r="C91" s="401">
        <f t="shared" si="12"/>
        <v>1.5547971179370497</v>
      </c>
      <c r="E91" s="402">
        <v>11</v>
      </c>
      <c r="F91" s="401">
        <f t="shared" si="9"/>
        <v>13.414634146341465</v>
      </c>
      <c r="G91" s="402"/>
      <c r="H91" s="402">
        <v>71</v>
      </c>
      <c r="I91" s="401">
        <f t="shared" si="10"/>
        <v>86.58536585365853</v>
      </c>
    </row>
    <row r="92" spans="1:9" ht="6" customHeight="1">
      <c r="B92" s="390" t="str">
        <f t="shared" si="11"/>
        <v/>
      </c>
      <c r="C92" s="401" t="str">
        <f t="shared" si="12"/>
        <v/>
      </c>
      <c r="E92" s="794"/>
      <c r="F92" s="401" t="str">
        <f t="shared" si="9"/>
        <v/>
      </c>
      <c r="G92" s="794"/>
      <c r="H92" s="794"/>
      <c r="I92" s="401" t="str">
        <f t="shared" si="10"/>
        <v/>
      </c>
    </row>
    <row r="93" spans="1:9" ht="13.5" customHeight="1">
      <c r="A93" s="33" t="s">
        <v>535</v>
      </c>
      <c r="B93" s="390">
        <f t="shared" si="11"/>
        <v>23</v>
      </c>
      <c r="C93" s="401">
        <f t="shared" si="12"/>
        <v>0.43610163064087981</v>
      </c>
      <c r="E93" s="402">
        <v>12</v>
      </c>
      <c r="F93" s="401">
        <f t="shared" si="9"/>
        <v>52.173913043478258</v>
      </c>
      <c r="G93" s="402"/>
      <c r="H93" s="402">
        <v>11</v>
      </c>
      <c r="I93" s="401">
        <f t="shared" si="10"/>
        <v>47.826086956521742</v>
      </c>
    </row>
    <row r="94" spans="1:9" ht="15" customHeight="1">
      <c r="A94" s="385" t="s">
        <v>495</v>
      </c>
      <c r="B94" s="390">
        <f t="shared" si="11"/>
        <v>57</v>
      </c>
      <c r="C94" s="401">
        <f t="shared" si="12"/>
        <v>1.0807736063708762</v>
      </c>
      <c r="E94" s="402">
        <v>26</v>
      </c>
      <c r="F94" s="401">
        <f t="shared" si="9"/>
        <v>45.614035087719294</v>
      </c>
      <c r="G94" s="402"/>
      <c r="H94" s="402">
        <v>31</v>
      </c>
      <c r="I94" s="401">
        <f t="shared" si="10"/>
        <v>54.385964912280706</v>
      </c>
    </row>
    <row r="95" spans="1:9" ht="8" customHeight="1">
      <c r="B95" s="390" t="str">
        <f t="shared" si="11"/>
        <v/>
      </c>
      <c r="C95" s="401" t="str">
        <f t="shared" si="12"/>
        <v/>
      </c>
      <c r="F95" s="401" t="str">
        <f t="shared" si="9"/>
        <v/>
      </c>
      <c r="I95" s="401" t="str">
        <f t="shared" si="10"/>
        <v/>
      </c>
    </row>
    <row r="96" spans="1:9" ht="15" customHeight="1">
      <c r="A96" s="55" t="s">
        <v>423</v>
      </c>
      <c r="B96" s="390">
        <f t="shared" si="11"/>
        <v>1246</v>
      </c>
      <c r="C96" s="401">
        <f t="shared" si="12"/>
        <v>23.625331816458093</v>
      </c>
      <c r="E96" s="391">
        <f>SUM(E97:E101)</f>
        <v>773</v>
      </c>
      <c r="F96" s="401">
        <f t="shared" si="9"/>
        <v>62.038523274478329</v>
      </c>
      <c r="H96" s="391">
        <f>SUM(H97:H101)</f>
        <v>473</v>
      </c>
      <c r="I96" s="401">
        <f t="shared" si="10"/>
        <v>37.961476725521671</v>
      </c>
    </row>
    <row r="97" spans="1:9" ht="14.25" customHeight="1">
      <c r="A97" s="33" t="s">
        <v>424</v>
      </c>
      <c r="B97" s="390">
        <f t="shared" si="11"/>
        <v>422</v>
      </c>
      <c r="C97" s="401">
        <f t="shared" si="12"/>
        <v>8.0015168752370123</v>
      </c>
      <c r="E97" s="402">
        <v>291</v>
      </c>
      <c r="F97" s="401">
        <f t="shared" si="9"/>
        <v>68.957345971563981</v>
      </c>
      <c r="G97" s="402"/>
      <c r="H97" s="402">
        <v>131</v>
      </c>
      <c r="I97" s="401">
        <f t="shared" si="10"/>
        <v>31.042654028436019</v>
      </c>
    </row>
    <row r="98" spans="1:9" ht="14.25" customHeight="1">
      <c r="A98" s="33" t="s">
        <v>425</v>
      </c>
      <c r="B98" s="390">
        <f t="shared" si="11"/>
        <v>213</v>
      </c>
      <c r="C98" s="401">
        <f t="shared" si="12"/>
        <v>4.0386803185437996</v>
      </c>
      <c r="E98" s="402">
        <v>100</v>
      </c>
      <c r="F98" s="401">
        <f t="shared" si="9"/>
        <v>46.948356807511736</v>
      </c>
      <c r="G98" s="402"/>
      <c r="H98" s="402">
        <v>113</v>
      </c>
      <c r="I98" s="401">
        <f t="shared" si="10"/>
        <v>53.051643192488264</v>
      </c>
    </row>
    <row r="99" spans="1:9" ht="14.25" customHeight="1">
      <c r="A99" s="33" t="s">
        <v>426</v>
      </c>
      <c r="B99" s="390">
        <f t="shared" si="11"/>
        <v>270</v>
      </c>
      <c r="C99" s="401">
        <f t="shared" si="12"/>
        <v>5.1194539249146755</v>
      </c>
      <c r="E99" s="402">
        <v>167</v>
      </c>
      <c r="F99" s="401">
        <f t="shared" si="9"/>
        <v>61.851851851851848</v>
      </c>
      <c r="G99" s="402"/>
      <c r="H99" s="402">
        <v>103</v>
      </c>
      <c r="I99" s="401">
        <f t="shared" si="10"/>
        <v>38.148148148148145</v>
      </c>
    </row>
    <row r="100" spans="1:9" ht="14.25" customHeight="1">
      <c r="A100" s="33" t="s">
        <v>522</v>
      </c>
      <c r="B100" s="390">
        <f t="shared" si="11"/>
        <v>168</v>
      </c>
      <c r="C100" s="401">
        <f t="shared" si="12"/>
        <v>3.1854379977246867</v>
      </c>
      <c r="E100" s="402">
        <v>120</v>
      </c>
      <c r="F100" s="401">
        <f t="shared" si="9"/>
        <v>71.428571428571431</v>
      </c>
      <c r="G100" s="402"/>
      <c r="H100" s="402">
        <v>48</v>
      </c>
      <c r="I100" s="401">
        <f t="shared" si="10"/>
        <v>28.571428571428569</v>
      </c>
    </row>
    <row r="101" spans="1:9" ht="14.25" customHeight="1">
      <c r="A101" s="33" t="s">
        <v>587</v>
      </c>
      <c r="B101" s="390">
        <f t="shared" si="11"/>
        <v>173</v>
      </c>
      <c r="C101" s="401">
        <f t="shared" si="12"/>
        <v>3.2802427000379222</v>
      </c>
      <c r="E101" s="402">
        <v>95</v>
      </c>
      <c r="F101" s="401">
        <f t="shared" si="9"/>
        <v>54.913294797687861</v>
      </c>
      <c r="G101" s="402"/>
      <c r="H101" s="402">
        <v>78</v>
      </c>
      <c r="I101" s="401">
        <f t="shared" si="10"/>
        <v>45.086705202312139</v>
      </c>
    </row>
    <row r="102" spans="1:9" ht="8" customHeight="1" thickBot="1"/>
    <row r="103" spans="1:9" ht="8" customHeight="1">
      <c r="A103" s="188"/>
      <c r="B103" s="394"/>
      <c r="C103" s="394"/>
      <c r="D103" s="394"/>
      <c r="E103" s="395"/>
      <c r="F103" s="395"/>
      <c r="G103" s="395"/>
      <c r="H103" s="395"/>
      <c r="I103" s="395"/>
    </row>
    <row r="104" spans="1:9" ht="15" customHeight="1">
      <c r="A104" s="27" t="s">
        <v>1075</v>
      </c>
      <c r="B104" s="403"/>
      <c r="C104" s="404"/>
      <c r="D104" s="64"/>
      <c r="E104" s="403"/>
      <c r="F104" s="404"/>
      <c r="I104" s="391"/>
    </row>
    <row r="105" spans="1:9" ht="13.5" customHeight="1">
      <c r="A105" s="14" t="s">
        <v>1074</v>
      </c>
      <c r="B105" s="403"/>
      <c r="C105" s="404"/>
      <c r="D105" s="64"/>
      <c r="E105" s="403"/>
      <c r="F105" s="404"/>
      <c r="I105" s="391"/>
    </row>
    <row r="106" spans="1:9" ht="6.75" customHeight="1">
      <c r="A106" s="14"/>
      <c r="B106" s="403"/>
      <c r="C106" s="404"/>
      <c r="D106" s="64"/>
      <c r="E106" s="403"/>
      <c r="F106" s="404"/>
      <c r="I106" s="391"/>
    </row>
    <row r="107" spans="1:9" ht="12.75" customHeight="1">
      <c r="A107" s="33" t="s">
        <v>1066</v>
      </c>
      <c r="G107" s="791"/>
      <c r="H107" s="791"/>
    </row>
    <row r="108" spans="1:9" ht="15" customHeight="1">
      <c r="A108" s="33" t="s">
        <v>471</v>
      </c>
    </row>
    <row r="109" spans="1:9" ht="15" customHeight="1">
      <c r="A109" s="57"/>
      <c r="B109" s="235"/>
      <c r="C109" s="235"/>
      <c r="D109" s="235"/>
      <c r="E109" s="791"/>
      <c r="F109" s="791"/>
    </row>
  </sheetData>
  <mergeCells count="2">
    <mergeCell ref="E7:F7"/>
    <mergeCell ref="H7:I7"/>
  </mergeCells>
  <conditionalFormatting sqref="A1:XFD1048576">
    <cfRule type="cellIs" dxfId="59" priority="1" operator="equal">
      <formula>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249977111117893"/>
  </sheetPr>
  <dimension ref="A2:J21"/>
  <sheetViews>
    <sheetView workbookViewId="0">
      <selection sqref="A1:XFD1048576"/>
    </sheetView>
  </sheetViews>
  <sheetFormatPr baseColWidth="10" defaultRowHeight="15"/>
  <cols>
    <col min="2" max="2" width="11.5" customWidth="1"/>
    <col min="258" max="258" width="11.5" customWidth="1"/>
    <col min="514" max="514" width="11.5" customWidth="1"/>
    <col min="770" max="770" width="11.5" customWidth="1"/>
    <col min="1026" max="1026" width="11.5" customWidth="1"/>
    <col min="1282" max="1282" width="11.5" customWidth="1"/>
    <col min="1538" max="1538" width="11.5" customWidth="1"/>
    <col min="1794" max="1794" width="11.5" customWidth="1"/>
    <col min="2050" max="2050" width="11.5" customWidth="1"/>
    <col min="2306" max="2306" width="11.5" customWidth="1"/>
    <col min="2562" max="2562" width="11.5" customWidth="1"/>
    <col min="2818" max="2818" width="11.5" customWidth="1"/>
    <col min="3074" max="3074" width="11.5" customWidth="1"/>
    <col min="3330" max="3330" width="11.5" customWidth="1"/>
    <col min="3586" max="3586" width="11.5" customWidth="1"/>
    <col min="3842" max="3842" width="11.5" customWidth="1"/>
    <col min="4098" max="4098" width="11.5" customWidth="1"/>
    <col min="4354" max="4354" width="11.5" customWidth="1"/>
    <col min="4610" max="4610" width="11.5" customWidth="1"/>
    <col min="4866" max="4866" width="11.5" customWidth="1"/>
    <col min="5122" max="5122" width="11.5" customWidth="1"/>
    <col min="5378" max="5378" width="11.5" customWidth="1"/>
    <col min="5634" max="5634" width="11.5" customWidth="1"/>
    <col min="5890" max="5890" width="11.5" customWidth="1"/>
    <col min="6146" max="6146" width="11.5" customWidth="1"/>
    <col min="6402" max="6402" width="11.5" customWidth="1"/>
    <col min="6658" max="6658" width="11.5" customWidth="1"/>
    <col min="6914" max="6914" width="11.5" customWidth="1"/>
    <col min="7170" max="7170" width="11.5" customWidth="1"/>
    <col min="7426" max="7426" width="11.5" customWidth="1"/>
    <col min="7682" max="7682" width="11.5" customWidth="1"/>
    <col min="7938" max="7938" width="11.5" customWidth="1"/>
    <col min="8194" max="8194" width="11.5" customWidth="1"/>
    <col min="8450" max="8450" width="11.5" customWidth="1"/>
    <col min="8706" max="8706" width="11.5" customWidth="1"/>
    <col min="8962" max="8962" width="11.5" customWidth="1"/>
    <col min="9218" max="9218" width="11.5" customWidth="1"/>
    <col min="9474" max="9474" width="11.5" customWidth="1"/>
    <col min="9730" max="9730" width="11.5" customWidth="1"/>
    <col min="9986" max="9986" width="11.5" customWidth="1"/>
    <col min="10242" max="10242" width="11.5" customWidth="1"/>
    <col min="10498" max="10498" width="11.5" customWidth="1"/>
    <col min="10754" max="10754" width="11.5" customWidth="1"/>
    <col min="11010" max="11010" width="11.5" customWidth="1"/>
    <col min="11266" max="11266" width="11.5" customWidth="1"/>
    <col min="11522" max="11522" width="11.5" customWidth="1"/>
    <col min="11778" max="11778" width="11.5" customWidth="1"/>
    <col min="12034" max="12034" width="11.5" customWidth="1"/>
    <col min="12290" max="12290" width="11.5" customWidth="1"/>
    <col min="12546" max="12546" width="11.5" customWidth="1"/>
    <col min="12802" max="12802" width="11.5" customWidth="1"/>
    <col min="13058" max="13058" width="11.5" customWidth="1"/>
    <col min="13314" max="13314" width="11.5" customWidth="1"/>
    <col min="13570" max="13570" width="11.5" customWidth="1"/>
    <col min="13826" max="13826" width="11.5" customWidth="1"/>
    <col min="14082" max="14082" width="11.5" customWidth="1"/>
    <col min="14338" max="14338" width="11.5" customWidth="1"/>
    <col min="14594" max="14594" width="11.5" customWidth="1"/>
    <col min="14850" max="14850" width="11.5" customWidth="1"/>
    <col min="15106" max="15106" width="11.5" customWidth="1"/>
    <col min="15362" max="15362" width="11.5" customWidth="1"/>
    <col min="15618" max="15618" width="11.5" customWidth="1"/>
    <col min="15874" max="15874" width="11.5" customWidth="1"/>
    <col min="16130" max="16130" width="11.5" customWidth="1"/>
  </cols>
  <sheetData>
    <row r="2" spans="1:10">
      <c r="B2" s="33"/>
      <c r="C2" s="3"/>
      <c r="E2" s="33"/>
      <c r="F2" s="390"/>
      <c r="G2" s="61"/>
      <c r="H2" s="61"/>
      <c r="I2" s="3"/>
    </row>
    <row r="3" spans="1:10">
      <c r="C3" s="3"/>
      <c r="E3" s="33"/>
      <c r="F3" s="390"/>
      <c r="G3" s="429"/>
      <c r="H3" s="429"/>
      <c r="I3" s="3"/>
      <c r="J3" s="33"/>
    </row>
    <row r="4" spans="1:10">
      <c r="C4" s="3"/>
      <c r="E4" s="33"/>
      <c r="F4" s="390"/>
      <c r="G4" s="429"/>
      <c r="H4" s="429"/>
      <c r="I4" s="3"/>
      <c r="J4" s="33"/>
    </row>
    <row r="5" spans="1:10">
      <c r="C5" s="3"/>
      <c r="E5" s="33"/>
      <c r="F5" s="390"/>
      <c r="G5" s="429"/>
      <c r="I5" s="3"/>
      <c r="J5" s="33"/>
    </row>
    <row r="6" spans="1:10">
      <c r="C6" s="3"/>
      <c r="E6" s="33"/>
      <c r="F6" s="390"/>
      <c r="G6" s="429"/>
      <c r="H6" s="429"/>
      <c r="I6" s="3"/>
      <c r="J6" s="33"/>
    </row>
    <row r="7" spans="1:10">
      <c r="C7" s="3"/>
      <c r="E7" s="33"/>
      <c r="F7" s="390"/>
      <c r="G7" s="429"/>
      <c r="H7" s="429"/>
      <c r="I7" s="3"/>
      <c r="J7" s="33"/>
    </row>
    <row r="8" spans="1:10">
      <c r="C8" s="3"/>
      <c r="E8" s="33"/>
      <c r="F8" s="390"/>
      <c r="G8" s="429"/>
      <c r="H8" s="429"/>
      <c r="I8" s="3"/>
      <c r="J8" s="33"/>
    </row>
    <row r="9" spans="1:10">
      <c r="F9" s="33"/>
      <c r="G9" s="429"/>
      <c r="H9" s="429"/>
      <c r="I9" s="3"/>
      <c r="J9" s="33"/>
    </row>
    <row r="15" spans="1:10">
      <c r="A15" s="33"/>
      <c r="B15" s="3"/>
    </row>
    <row r="16" spans="1:10">
      <c r="A16" s="33"/>
      <c r="B16" s="3"/>
    </row>
    <row r="17" spans="1:2">
      <c r="A17" s="33"/>
      <c r="B17" s="3"/>
    </row>
    <row r="18" spans="1:2">
      <c r="A18" s="33"/>
      <c r="B18" s="3"/>
    </row>
    <row r="19" spans="1:2">
      <c r="A19" s="33"/>
      <c r="B19" s="3"/>
    </row>
    <row r="20" spans="1:2">
      <c r="A20" s="33"/>
      <c r="B20" s="3"/>
    </row>
    <row r="21" spans="1:2">
      <c r="A21" s="33"/>
      <c r="B21" s="3"/>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5" tint="-0.249977111117893"/>
  </sheetPr>
  <dimension ref="B2:M24"/>
  <sheetViews>
    <sheetView workbookViewId="0">
      <selection activeCell="J8" sqref="J8"/>
    </sheetView>
  </sheetViews>
  <sheetFormatPr baseColWidth="10" defaultRowHeight="15"/>
  <cols>
    <col min="3" max="5" width="11.5" style="3" customWidth="1"/>
    <col min="259" max="261" width="11.5" customWidth="1"/>
    <col min="515" max="517" width="11.5" customWidth="1"/>
    <col min="771" max="773" width="11.5" customWidth="1"/>
    <col min="1027" max="1029" width="11.5" customWidth="1"/>
    <col min="1283" max="1285" width="11.5" customWidth="1"/>
    <col min="1539" max="1541" width="11.5" customWidth="1"/>
    <col min="1795" max="1797" width="11.5" customWidth="1"/>
    <col min="2051" max="2053" width="11.5" customWidth="1"/>
    <col min="2307" max="2309" width="11.5" customWidth="1"/>
    <col min="2563" max="2565" width="11.5" customWidth="1"/>
    <col min="2819" max="2821" width="11.5" customWidth="1"/>
    <col min="3075" max="3077" width="11.5" customWidth="1"/>
    <col min="3331" max="3333" width="11.5" customWidth="1"/>
    <col min="3587" max="3589" width="11.5" customWidth="1"/>
    <col min="3843" max="3845" width="11.5" customWidth="1"/>
    <col min="4099" max="4101" width="11.5" customWidth="1"/>
    <col min="4355" max="4357" width="11.5" customWidth="1"/>
    <col min="4611" max="4613" width="11.5" customWidth="1"/>
    <col min="4867" max="4869" width="11.5" customWidth="1"/>
    <col min="5123" max="5125" width="11.5" customWidth="1"/>
    <col min="5379" max="5381" width="11.5" customWidth="1"/>
    <col min="5635" max="5637" width="11.5" customWidth="1"/>
    <col min="5891" max="5893" width="11.5" customWidth="1"/>
    <col min="6147" max="6149" width="11.5" customWidth="1"/>
    <col min="6403" max="6405" width="11.5" customWidth="1"/>
    <col min="6659" max="6661" width="11.5" customWidth="1"/>
    <col min="6915" max="6917" width="11.5" customWidth="1"/>
    <col min="7171" max="7173" width="11.5" customWidth="1"/>
    <col min="7427" max="7429" width="11.5" customWidth="1"/>
    <col min="7683" max="7685" width="11.5" customWidth="1"/>
    <col min="7939" max="7941" width="11.5" customWidth="1"/>
    <col min="8195" max="8197" width="11.5" customWidth="1"/>
    <col min="8451" max="8453" width="11.5" customWidth="1"/>
    <col min="8707" max="8709" width="11.5" customWidth="1"/>
    <col min="8963" max="8965" width="11.5" customWidth="1"/>
    <col min="9219" max="9221" width="11.5" customWidth="1"/>
    <col min="9475" max="9477" width="11.5" customWidth="1"/>
    <col min="9731" max="9733" width="11.5" customWidth="1"/>
    <col min="9987" max="9989" width="11.5" customWidth="1"/>
    <col min="10243" max="10245" width="11.5" customWidth="1"/>
    <col min="10499" max="10501" width="11.5" customWidth="1"/>
    <col min="10755" max="10757" width="11.5" customWidth="1"/>
    <col min="11011" max="11013" width="11.5" customWidth="1"/>
    <col min="11267" max="11269" width="11.5" customWidth="1"/>
    <col min="11523" max="11525" width="11.5" customWidth="1"/>
    <col min="11779" max="11781" width="11.5" customWidth="1"/>
    <col min="12035" max="12037" width="11.5" customWidth="1"/>
    <col min="12291" max="12293" width="11.5" customWidth="1"/>
    <col min="12547" max="12549" width="11.5" customWidth="1"/>
    <col min="12803" max="12805" width="11.5" customWidth="1"/>
    <col min="13059" max="13061" width="11.5" customWidth="1"/>
    <col min="13315" max="13317" width="11.5" customWidth="1"/>
    <col min="13571" max="13573" width="11.5" customWidth="1"/>
    <col min="13827" max="13829" width="11.5" customWidth="1"/>
    <col min="14083" max="14085" width="11.5" customWidth="1"/>
    <col min="14339" max="14341" width="11.5" customWidth="1"/>
    <col min="14595" max="14597" width="11.5" customWidth="1"/>
    <col min="14851" max="14853" width="11.5" customWidth="1"/>
    <col min="15107" max="15109" width="11.5" customWidth="1"/>
    <col min="15363" max="15365" width="11.5" customWidth="1"/>
    <col min="15619" max="15621" width="11.5" customWidth="1"/>
    <col min="15875" max="15877" width="11.5" customWidth="1"/>
    <col min="16131" max="16133" width="11.5" customWidth="1"/>
  </cols>
  <sheetData>
    <row r="2" spans="2:13">
      <c r="C2" s="61"/>
      <c r="D2" s="61"/>
      <c r="K2" s="61"/>
      <c r="L2" s="61"/>
      <c r="M2" s="61"/>
    </row>
    <row r="3" spans="2:13">
      <c r="B3" s="33"/>
      <c r="C3" s="391"/>
      <c r="D3" s="391"/>
      <c r="F3" s="33"/>
      <c r="G3" s="3"/>
      <c r="H3" s="3"/>
      <c r="I3" s="3"/>
      <c r="J3" s="33"/>
      <c r="K3" s="3"/>
      <c r="L3" s="3"/>
      <c r="M3" s="3"/>
    </row>
    <row r="4" spans="2:13">
      <c r="B4" s="33"/>
      <c r="C4" s="391"/>
      <c r="D4" s="391"/>
      <c r="F4" s="33"/>
      <c r="G4" s="3"/>
      <c r="H4" s="3"/>
      <c r="I4" s="3"/>
    </row>
    <row r="5" spans="2:13">
      <c r="B5" s="33"/>
      <c r="C5" s="391"/>
      <c r="D5" s="391"/>
      <c r="F5" s="33"/>
      <c r="G5" s="3"/>
      <c r="H5" s="3"/>
      <c r="I5" s="3"/>
      <c r="J5" s="33"/>
      <c r="K5" s="3"/>
      <c r="L5" s="3"/>
      <c r="M5" s="3"/>
    </row>
    <row r="6" spans="2:13">
      <c r="B6" s="33"/>
      <c r="C6" s="391"/>
      <c r="D6" s="391"/>
      <c r="F6" s="33"/>
      <c r="G6" s="3"/>
      <c r="H6" s="3"/>
      <c r="I6" s="3"/>
      <c r="J6" s="33"/>
      <c r="K6" s="3"/>
      <c r="L6" s="3"/>
      <c r="M6" s="3"/>
    </row>
    <row r="7" spans="2:13">
      <c r="B7" s="33"/>
      <c r="C7" s="391"/>
      <c r="D7" s="391"/>
      <c r="F7" s="33"/>
      <c r="G7" s="3"/>
      <c r="H7" s="3"/>
      <c r="I7" s="3"/>
      <c r="J7" s="33"/>
      <c r="K7" s="3"/>
      <c r="L7" s="3"/>
      <c r="M7" s="3"/>
    </row>
    <row r="8" spans="2:13">
      <c r="B8" s="33"/>
      <c r="C8" s="391"/>
      <c r="D8" s="391"/>
      <c r="F8" s="33"/>
      <c r="G8" s="3"/>
      <c r="H8" s="3"/>
      <c r="I8" s="3"/>
      <c r="J8" s="33"/>
      <c r="K8" s="3"/>
      <c r="L8" s="3"/>
      <c r="M8" s="3"/>
    </row>
    <row r="9" spans="2:13">
      <c r="B9" s="33"/>
      <c r="C9" s="391"/>
      <c r="D9" s="391"/>
      <c r="F9" s="33"/>
      <c r="G9" s="3"/>
      <c r="H9" s="3"/>
      <c r="I9" s="3"/>
      <c r="J9" s="33"/>
      <c r="K9" s="3"/>
      <c r="L9" s="3"/>
      <c r="M9" s="3"/>
    </row>
    <row r="10" spans="2:13">
      <c r="F10" s="33"/>
    </row>
    <row r="17" spans="2:5" ht="16">
      <c r="B17" s="388"/>
      <c r="C17" s="389"/>
      <c r="D17" s="389"/>
      <c r="E17" s="389"/>
    </row>
    <row r="18" spans="2:5" ht="16">
      <c r="B18" s="387"/>
      <c r="C18" s="391"/>
      <c r="D18" s="391"/>
      <c r="E18" s="391"/>
    </row>
    <row r="19" spans="2:5" ht="16">
      <c r="B19" s="387"/>
      <c r="C19" s="391"/>
      <c r="D19" s="391"/>
      <c r="E19" s="391"/>
    </row>
    <row r="20" spans="2:5" ht="16">
      <c r="B20" s="387"/>
      <c r="C20" s="391"/>
      <c r="D20" s="391"/>
      <c r="E20" s="391"/>
    </row>
    <row r="21" spans="2:5" ht="16">
      <c r="B21" s="387"/>
      <c r="C21" s="391"/>
      <c r="D21" s="391"/>
      <c r="E21" s="391"/>
    </row>
    <row r="22" spans="2:5" ht="16">
      <c r="B22" s="387"/>
      <c r="C22" s="391"/>
      <c r="D22" s="391"/>
      <c r="E22" s="391"/>
    </row>
    <row r="23" spans="2:5" ht="16">
      <c r="B23" s="387"/>
      <c r="C23" s="391"/>
      <c r="D23" s="391"/>
      <c r="E23" s="391"/>
    </row>
    <row r="24" spans="2:5" ht="16">
      <c r="B24" s="387"/>
      <c r="C24" s="391"/>
      <c r="D24" s="391"/>
      <c r="E24" s="391"/>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89"/>
  <sheetViews>
    <sheetView workbookViewId="0">
      <selection activeCell="A3" sqref="A3"/>
    </sheetView>
  </sheetViews>
  <sheetFormatPr baseColWidth="10" defaultColWidth="8.83203125" defaultRowHeight="13"/>
  <cols>
    <col min="1" max="1" width="59.5" style="14" customWidth="1"/>
    <col min="2" max="2" width="11.6640625" style="403" customWidth="1"/>
    <col min="3" max="3" width="11.6640625" style="404" customWidth="1"/>
    <col min="4" max="4" width="3.5" style="390" customWidth="1"/>
    <col min="5" max="5" width="9.6640625" style="403" customWidth="1"/>
    <col min="6" max="6" width="9.6640625" style="404" hidden="1" customWidth="1"/>
    <col min="7" max="7" width="3.5" style="390" hidden="1" customWidth="1"/>
    <col min="8" max="8" width="9.6640625" style="403" customWidth="1"/>
    <col min="9" max="9" width="11.6640625" style="404" customWidth="1"/>
    <col min="10" max="256" width="8.83203125" style="33"/>
    <col min="257" max="257" width="59.5" style="33" customWidth="1"/>
    <col min="258" max="259" width="11.6640625" style="33" customWidth="1"/>
    <col min="260" max="260" width="3.5" style="33" customWidth="1"/>
    <col min="261" max="261" width="9.6640625" style="33" customWidth="1"/>
    <col min="262" max="263" width="0" style="33" hidden="1" customWidth="1"/>
    <col min="264" max="264" width="9.6640625" style="33" customWidth="1"/>
    <col min="265" max="265" width="11.6640625" style="33" customWidth="1"/>
    <col min="266" max="512" width="8.83203125" style="33"/>
    <col min="513" max="513" width="59.5" style="33" customWidth="1"/>
    <col min="514" max="515" width="11.6640625" style="33" customWidth="1"/>
    <col min="516" max="516" width="3.5" style="33" customWidth="1"/>
    <col min="517" max="517" width="9.6640625" style="33" customWidth="1"/>
    <col min="518" max="519" width="0" style="33" hidden="1" customWidth="1"/>
    <col min="520" max="520" width="9.6640625" style="33" customWidth="1"/>
    <col min="521" max="521" width="11.6640625" style="33" customWidth="1"/>
    <col min="522" max="768" width="8.83203125" style="33"/>
    <col min="769" max="769" width="59.5" style="33" customWidth="1"/>
    <col min="770" max="771" width="11.6640625" style="33" customWidth="1"/>
    <col min="772" max="772" width="3.5" style="33" customWidth="1"/>
    <col min="773" max="773" width="9.6640625" style="33" customWidth="1"/>
    <col min="774" max="775" width="0" style="33" hidden="1" customWidth="1"/>
    <col min="776" max="776" width="9.6640625" style="33" customWidth="1"/>
    <col min="777" max="777" width="11.6640625" style="33" customWidth="1"/>
    <col min="778" max="1024" width="8.83203125" style="33"/>
    <col min="1025" max="1025" width="59.5" style="33" customWidth="1"/>
    <col min="1026" max="1027" width="11.6640625" style="33" customWidth="1"/>
    <col min="1028" max="1028" width="3.5" style="33" customWidth="1"/>
    <col min="1029" max="1029" width="9.6640625" style="33" customWidth="1"/>
    <col min="1030" max="1031" width="0" style="33" hidden="1" customWidth="1"/>
    <col min="1032" max="1032" width="9.6640625" style="33" customWidth="1"/>
    <col min="1033" max="1033" width="11.6640625" style="33" customWidth="1"/>
    <col min="1034" max="1280" width="8.83203125" style="33"/>
    <col min="1281" max="1281" width="59.5" style="33" customWidth="1"/>
    <col min="1282" max="1283" width="11.6640625" style="33" customWidth="1"/>
    <col min="1284" max="1284" width="3.5" style="33" customWidth="1"/>
    <col min="1285" max="1285" width="9.6640625" style="33" customWidth="1"/>
    <col min="1286" max="1287" width="0" style="33" hidden="1" customWidth="1"/>
    <col min="1288" max="1288" width="9.6640625" style="33" customWidth="1"/>
    <col min="1289" max="1289" width="11.6640625" style="33" customWidth="1"/>
    <col min="1290" max="1536" width="8.83203125" style="33"/>
    <col min="1537" max="1537" width="59.5" style="33" customWidth="1"/>
    <col min="1538" max="1539" width="11.6640625" style="33" customWidth="1"/>
    <col min="1540" max="1540" width="3.5" style="33" customWidth="1"/>
    <col min="1541" max="1541" width="9.6640625" style="33" customWidth="1"/>
    <col min="1542" max="1543" width="0" style="33" hidden="1" customWidth="1"/>
    <col min="1544" max="1544" width="9.6640625" style="33" customWidth="1"/>
    <col min="1545" max="1545" width="11.6640625" style="33" customWidth="1"/>
    <col min="1546" max="1792" width="8.83203125" style="33"/>
    <col min="1793" max="1793" width="59.5" style="33" customWidth="1"/>
    <col min="1794" max="1795" width="11.6640625" style="33" customWidth="1"/>
    <col min="1796" max="1796" width="3.5" style="33" customWidth="1"/>
    <col min="1797" max="1797" width="9.6640625" style="33" customWidth="1"/>
    <col min="1798" max="1799" width="0" style="33" hidden="1" customWidth="1"/>
    <col min="1800" max="1800" width="9.6640625" style="33" customWidth="1"/>
    <col min="1801" max="1801" width="11.6640625" style="33" customWidth="1"/>
    <col min="1802" max="2048" width="8.83203125" style="33"/>
    <col min="2049" max="2049" width="59.5" style="33" customWidth="1"/>
    <col min="2050" max="2051" width="11.6640625" style="33" customWidth="1"/>
    <col min="2052" max="2052" width="3.5" style="33" customWidth="1"/>
    <col min="2053" max="2053" width="9.6640625" style="33" customWidth="1"/>
    <col min="2054" max="2055" width="0" style="33" hidden="1" customWidth="1"/>
    <col min="2056" max="2056" width="9.6640625" style="33" customWidth="1"/>
    <col min="2057" max="2057" width="11.6640625" style="33" customWidth="1"/>
    <col min="2058" max="2304" width="8.83203125" style="33"/>
    <col min="2305" max="2305" width="59.5" style="33" customWidth="1"/>
    <col min="2306" max="2307" width="11.6640625" style="33" customWidth="1"/>
    <col min="2308" max="2308" width="3.5" style="33" customWidth="1"/>
    <col min="2309" max="2309" width="9.6640625" style="33" customWidth="1"/>
    <col min="2310" max="2311" width="0" style="33" hidden="1" customWidth="1"/>
    <col min="2312" max="2312" width="9.6640625" style="33" customWidth="1"/>
    <col min="2313" max="2313" width="11.6640625" style="33" customWidth="1"/>
    <col min="2314" max="2560" width="8.83203125" style="33"/>
    <col min="2561" max="2561" width="59.5" style="33" customWidth="1"/>
    <col min="2562" max="2563" width="11.6640625" style="33" customWidth="1"/>
    <col min="2564" max="2564" width="3.5" style="33" customWidth="1"/>
    <col min="2565" max="2565" width="9.6640625" style="33" customWidth="1"/>
    <col min="2566" max="2567" width="0" style="33" hidden="1" customWidth="1"/>
    <col min="2568" max="2568" width="9.6640625" style="33" customWidth="1"/>
    <col min="2569" max="2569" width="11.6640625" style="33" customWidth="1"/>
    <col min="2570" max="2816" width="8.83203125" style="33"/>
    <col min="2817" max="2817" width="59.5" style="33" customWidth="1"/>
    <col min="2818" max="2819" width="11.6640625" style="33" customWidth="1"/>
    <col min="2820" max="2820" width="3.5" style="33" customWidth="1"/>
    <col min="2821" max="2821" width="9.6640625" style="33" customWidth="1"/>
    <col min="2822" max="2823" width="0" style="33" hidden="1" customWidth="1"/>
    <col min="2824" max="2824" width="9.6640625" style="33" customWidth="1"/>
    <col min="2825" max="2825" width="11.6640625" style="33" customWidth="1"/>
    <col min="2826" max="3072" width="8.83203125" style="33"/>
    <col min="3073" max="3073" width="59.5" style="33" customWidth="1"/>
    <col min="3074" max="3075" width="11.6640625" style="33" customWidth="1"/>
    <col min="3076" max="3076" width="3.5" style="33" customWidth="1"/>
    <col min="3077" max="3077" width="9.6640625" style="33" customWidth="1"/>
    <col min="3078" max="3079" width="0" style="33" hidden="1" customWidth="1"/>
    <col min="3080" max="3080" width="9.6640625" style="33" customWidth="1"/>
    <col min="3081" max="3081" width="11.6640625" style="33" customWidth="1"/>
    <col min="3082" max="3328" width="8.83203125" style="33"/>
    <col min="3329" max="3329" width="59.5" style="33" customWidth="1"/>
    <col min="3330" max="3331" width="11.6640625" style="33" customWidth="1"/>
    <col min="3332" max="3332" width="3.5" style="33" customWidth="1"/>
    <col min="3333" max="3333" width="9.6640625" style="33" customWidth="1"/>
    <col min="3334" max="3335" width="0" style="33" hidden="1" customWidth="1"/>
    <col min="3336" max="3336" width="9.6640625" style="33" customWidth="1"/>
    <col min="3337" max="3337" width="11.6640625" style="33" customWidth="1"/>
    <col min="3338" max="3584" width="8.83203125" style="33"/>
    <col min="3585" max="3585" width="59.5" style="33" customWidth="1"/>
    <col min="3586" max="3587" width="11.6640625" style="33" customWidth="1"/>
    <col min="3588" max="3588" width="3.5" style="33" customWidth="1"/>
    <col min="3589" max="3589" width="9.6640625" style="33" customWidth="1"/>
    <col min="3590" max="3591" width="0" style="33" hidden="1" customWidth="1"/>
    <col min="3592" max="3592" width="9.6640625" style="33" customWidth="1"/>
    <col min="3593" max="3593" width="11.6640625" style="33" customWidth="1"/>
    <col min="3594" max="3840" width="8.83203125" style="33"/>
    <col min="3841" max="3841" width="59.5" style="33" customWidth="1"/>
    <col min="3842" max="3843" width="11.6640625" style="33" customWidth="1"/>
    <col min="3844" max="3844" width="3.5" style="33" customWidth="1"/>
    <col min="3845" max="3845" width="9.6640625" style="33" customWidth="1"/>
    <col min="3846" max="3847" width="0" style="33" hidden="1" customWidth="1"/>
    <col min="3848" max="3848" width="9.6640625" style="33" customWidth="1"/>
    <col min="3849" max="3849" width="11.6640625" style="33" customWidth="1"/>
    <col min="3850" max="4096" width="8.83203125" style="33"/>
    <col min="4097" max="4097" width="59.5" style="33" customWidth="1"/>
    <col min="4098" max="4099" width="11.6640625" style="33" customWidth="1"/>
    <col min="4100" max="4100" width="3.5" style="33" customWidth="1"/>
    <col min="4101" max="4101" width="9.6640625" style="33" customWidth="1"/>
    <col min="4102" max="4103" width="0" style="33" hidden="1" customWidth="1"/>
    <col min="4104" max="4104" width="9.6640625" style="33" customWidth="1"/>
    <col min="4105" max="4105" width="11.6640625" style="33" customWidth="1"/>
    <col min="4106" max="4352" width="8.83203125" style="33"/>
    <col min="4353" max="4353" width="59.5" style="33" customWidth="1"/>
    <col min="4354" max="4355" width="11.6640625" style="33" customWidth="1"/>
    <col min="4356" max="4356" width="3.5" style="33" customWidth="1"/>
    <col min="4357" max="4357" width="9.6640625" style="33" customWidth="1"/>
    <col min="4358" max="4359" width="0" style="33" hidden="1" customWidth="1"/>
    <col min="4360" max="4360" width="9.6640625" style="33" customWidth="1"/>
    <col min="4361" max="4361" width="11.6640625" style="33" customWidth="1"/>
    <col min="4362" max="4608" width="8.83203125" style="33"/>
    <col min="4609" max="4609" width="59.5" style="33" customWidth="1"/>
    <col min="4610" max="4611" width="11.6640625" style="33" customWidth="1"/>
    <col min="4612" max="4612" width="3.5" style="33" customWidth="1"/>
    <col min="4613" max="4613" width="9.6640625" style="33" customWidth="1"/>
    <col min="4614" max="4615" width="0" style="33" hidden="1" customWidth="1"/>
    <col min="4616" max="4616" width="9.6640625" style="33" customWidth="1"/>
    <col min="4617" max="4617" width="11.6640625" style="33" customWidth="1"/>
    <col min="4618" max="4864" width="8.83203125" style="33"/>
    <col min="4865" max="4865" width="59.5" style="33" customWidth="1"/>
    <col min="4866" max="4867" width="11.6640625" style="33" customWidth="1"/>
    <col min="4868" max="4868" width="3.5" style="33" customWidth="1"/>
    <col min="4869" max="4869" width="9.6640625" style="33" customWidth="1"/>
    <col min="4870" max="4871" width="0" style="33" hidden="1" customWidth="1"/>
    <col min="4872" max="4872" width="9.6640625" style="33" customWidth="1"/>
    <col min="4873" max="4873" width="11.6640625" style="33" customWidth="1"/>
    <col min="4874" max="5120" width="8.83203125" style="33"/>
    <col min="5121" max="5121" width="59.5" style="33" customWidth="1"/>
    <col min="5122" max="5123" width="11.6640625" style="33" customWidth="1"/>
    <col min="5124" max="5124" width="3.5" style="33" customWidth="1"/>
    <col min="5125" max="5125" width="9.6640625" style="33" customWidth="1"/>
    <col min="5126" max="5127" width="0" style="33" hidden="1" customWidth="1"/>
    <col min="5128" max="5128" width="9.6640625" style="33" customWidth="1"/>
    <col min="5129" max="5129" width="11.6640625" style="33" customWidth="1"/>
    <col min="5130" max="5376" width="8.83203125" style="33"/>
    <col min="5377" max="5377" width="59.5" style="33" customWidth="1"/>
    <col min="5378" max="5379" width="11.6640625" style="33" customWidth="1"/>
    <col min="5380" max="5380" width="3.5" style="33" customWidth="1"/>
    <col min="5381" max="5381" width="9.6640625" style="33" customWidth="1"/>
    <col min="5382" max="5383" width="0" style="33" hidden="1" customWidth="1"/>
    <col min="5384" max="5384" width="9.6640625" style="33" customWidth="1"/>
    <col min="5385" max="5385" width="11.6640625" style="33" customWidth="1"/>
    <col min="5386" max="5632" width="8.83203125" style="33"/>
    <col min="5633" max="5633" width="59.5" style="33" customWidth="1"/>
    <col min="5634" max="5635" width="11.6640625" style="33" customWidth="1"/>
    <col min="5636" max="5636" width="3.5" style="33" customWidth="1"/>
    <col min="5637" max="5637" width="9.6640625" style="33" customWidth="1"/>
    <col min="5638" max="5639" width="0" style="33" hidden="1" customWidth="1"/>
    <col min="5640" max="5640" width="9.6640625" style="33" customWidth="1"/>
    <col min="5641" max="5641" width="11.6640625" style="33" customWidth="1"/>
    <col min="5642" max="5888" width="8.83203125" style="33"/>
    <col min="5889" max="5889" width="59.5" style="33" customWidth="1"/>
    <col min="5890" max="5891" width="11.6640625" style="33" customWidth="1"/>
    <col min="5892" max="5892" width="3.5" style="33" customWidth="1"/>
    <col min="5893" max="5893" width="9.6640625" style="33" customWidth="1"/>
    <col min="5894" max="5895" width="0" style="33" hidden="1" customWidth="1"/>
    <col min="5896" max="5896" width="9.6640625" style="33" customWidth="1"/>
    <col min="5897" max="5897" width="11.6640625" style="33" customWidth="1"/>
    <col min="5898" max="6144" width="8.83203125" style="33"/>
    <col min="6145" max="6145" width="59.5" style="33" customWidth="1"/>
    <col min="6146" max="6147" width="11.6640625" style="33" customWidth="1"/>
    <col min="6148" max="6148" width="3.5" style="33" customWidth="1"/>
    <col min="6149" max="6149" width="9.6640625" style="33" customWidth="1"/>
    <col min="6150" max="6151" width="0" style="33" hidden="1" customWidth="1"/>
    <col min="6152" max="6152" width="9.6640625" style="33" customWidth="1"/>
    <col min="6153" max="6153" width="11.6640625" style="33" customWidth="1"/>
    <col min="6154" max="6400" width="8.83203125" style="33"/>
    <col min="6401" max="6401" width="59.5" style="33" customWidth="1"/>
    <col min="6402" max="6403" width="11.6640625" style="33" customWidth="1"/>
    <col min="6404" max="6404" width="3.5" style="33" customWidth="1"/>
    <col min="6405" max="6405" width="9.6640625" style="33" customWidth="1"/>
    <col min="6406" max="6407" width="0" style="33" hidden="1" customWidth="1"/>
    <col min="6408" max="6408" width="9.6640625" style="33" customWidth="1"/>
    <col min="6409" max="6409" width="11.6640625" style="33" customWidth="1"/>
    <col min="6410" max="6656" width="8.83203125" style="33"/>
    <col min="6657" max="6657" width="59.5" style="33" customWidth="1"/>
    <col min="6658" max="6659" width="11.6640625" style="33" customWidth="1"/>
    <col min="6660" max="6660" width="3.5" style="33" customWidth="1"/>
    <col min="6661" max="6661" width="9.6640625" style="33" customWidth="1"/>
    <col min="6662" max="6663" width="0" style="33" hidden="1" customWidth="1"/>
    <col min="6664" max="6664" width="9.6640625" style="33" customWidth="1"/>
    <col min="6665" max="6665" width="11.6640625" style="33" customWidth="1"/>
    <col min="6666" max="6912" width="8.83203125" style="33"/>
    <col min="6913" max="6913" width="59.5" style="33" customWidth="1"/>
    <col min="6914" max="6915" width="11.6640625" style="33" customWidth="1"/>
    <col min="6916" max="6916" width="3.5" style="33" customWidth="1"/>
    <col min="6917" max="6917" width="9.6640625" style="33" customWidth="1"/>
    <col min="6918" max="6919" width="0" style="33" hidden="1" customWidth="1"/>
    <col min="6920" max="6920" width="9.6640625" style="33" customWidth="1"/>
    <col min="6921" max="6921" width="11.6640625" style="33" customWidth="1"/>
    <col min="6922" max="7168" width="8.83203125" style="33"/>
    <col min="7169" max="7169" width="59.5" style="33" customWidth="1"/>
    <col min="7170" max="7171" width="11.6640625" style="33" customWidth="1"/>
    <col min="7172" max="7172" width="3.5" style="33" customWidth="1"/>
    <col min="7173" max="7173" width="9.6640625" style="33" customWidth="1"/>
    <col min="7174" max="7175" width="0" style="33" hidden="1" customWidth="1"/>
    <col min="7176" max="7176" width="9.6640625" style="33" customWidth="1"/>
    <col min="7177" max="7177" width="11.6640625" style="33" customWidth="1"/>
    <col min="7178" max="7424" width="8.83203125" style="33"/>
    <col min="7425" max="7425" width="59.5" style="33" customWidth="1"/>
    <col min="7426" max="7427" width="11.6640625" style="33" customWidth="1"/>
    <col min="7428" max="7428" width="3.5" style="33" customWidth="1"/>
    <col min="7429" max="7429" width="9.6640625" style="33" customWidth="1"/>
    <col min="7430" max="7431" width="0" style="33" hidden="1" customWidth="1"/>
    <col min="7432" max="7432" width="9.6640625" style="33" customWidth="1"/>
    <col min="7433" max="7433" width="11.6640625" style="33" customWidth="1"/>
    <col min="7434" max="7680" width="8.83203125" style="33"/>
    <col min="7681" max="7681" width="59.5" style="33" customWidth="1"/>
    <col min="7682" max="7683" width="11.6640625" style="33" customWidth="1"/>
    <col min="7684" max="7684" width="3.5" style="33" customWidth="1"/>
    <col min="7685" max="7685" width="9.6640625" style="33" customWidth="1"/>
    <col min="7686" max="7687" width="0" style="33" hidden="1" customWidth="1"/>
    <col min="7688" max="7688" width="9.6640625" style="33" customWidth="1"/>
    <col min="7689" max="7689" width="11.6640625" style="33" customWidth="1"/>
    <col min="7690" max="7936" width="8.83203125" style="33"/>
    <col min="7937" max="7937" width="59.5" style="33" customWidth="1"/>
    <col min="7938" max="7939" width="11.6640625" style="33" customWidth="1"/>
    <col min="7940" max="7940" width="3.5" style="33" customWidth="1"/>
    <col min="7941" max="7941" width="9.6640625" style="33" customWidth="1"/>
    <col min="7942" max="7943" width="0" style="33" hidden="1" customWidth="1"/>
    <col min="7944" max="7944" width="9.6640625" style="33" customWidth="1"/>
    <col min="7945" max="7945" width="11.6640625" style="33" customWidth="1"/>
    <col min="7946" max="8192" width="8.83203125" style="33"/>
    <col min="8193" max="8193" width="59.5" style="33" customWidth="1"/>
    <col min="8194" max="8195" width="11.6640625" style="33" customWidth="1"/>
    <col min="8196" max="8196" width="3.5" style="33" customWidth="1"/>
    <col min="8197" max="8197" width="9.6640625" style="33" customWidth="1"/>
    <col min="8198" max="8199" width="0" style="33" hidden="1" customWidth="1"/>
    <col min="8200" max="8200" width="9.6640625" style="33" customWidth="1"/>
    <col min="8201" max="8201" width="11.6640625" style="33" customWidth="1"/>
    <col min="8202" max="8448" width="8.83203125" style="33"/>
    <col min="8449" max="8449" width="59.5" style="33" customWidth="1"/>
    <col min="8450" max="8451" width="11.6640625" style="33" customWidth="1"/>
    <col min="8452" max="8452" width="3.5" style="33" customWidth="1"/>
    <col min="8453" max="8453" width="9.6640625" style="33" customWidth="1"/>
    <col min="8454" max="8455" width="0" style="33" hidden="1" customWidth="1"/>
    <col min="8456" max="8456" width="9.6640625" style="33" customWidth="1"/>
    <col min="8457" max="8457" width="11.6640625" style="33" customWidth="1"/>
    <col min="8458" max="8704" width="8.83203125" style="33"/>
    <col min="8705" max="8705" width="59.5" style="33" customWidth="1"/>
    <col min="8706" max="8707" width="11.6640625" style="33" customWidth="1"/>
    <col min="8708" max="8708" width="3.5" style="33" customWidth="1"/>
    <col min="8709" max="8709" width="9.6640625" style="33" customWidth="1"/>
    <col min="8710" max="8711" width="0" style="33" hidden="1" customWidth="1"/>
    <col min="8712" max="8712" width="9.6640625" style="33" customWidth="1"/>
    <col min="8713" max="8713" width="11.6640625" style="33" customWidth="1"/>
    <col min="8714" max="8960" width="8.83203125" style="33"/>
    <col min="8961" max="8961" width="59.5" style="33" customWidth="1"/>
    <col min="8962" max="8963" width="11.6640625" style="33" customWidth="1"/>
    <col min="8964" max="8964" width="3.5" style="33" customWidth="1"/>
    <col min="8965" max="8965" width="9.6640625" style="33" customWidth="1"/>
    <col min="8966" max="8967" width="0" style="33" hidden="1" customWidth="1"/>
    <col min="8968" max="8968" width="9.6640625" style="33" customWidth="1"/>
    <col min="8969" max="8969" width="11.6640625" style="33" customWidth="1"/>
    <col min="8970" max="9216" width="8.83203125" style="33"/>
    <col min="9217" max="9217" width="59.5" style="33" customWidth="1"/>
    <col min="9218" max="9219" width="11.6640625" style="33" customWidth="1"/>
    <col min="9220" max="9220" width="3.5" style="33" customWidth="1"/>
    <col min="9221" max="9221" width="9.6640625" style="33" customWidth="1"/>
    <col min="9222" max="9223" width="0" style="33" hidden="1" customWidth="1"/>
    <col min="9224" max="9224" width="9.6640625" style="33" customWidth="1"/>
    <col min="9225" max="9225" width="11.6640625" style="33" customWidth="1"/>
    <col min="9226" max="9472" width="8.83203125" style="33"/>
    <col min="9473" max="9473" width="59.5" style="33" customWidth="1"/>
    <col min="9474" max="9475" width="11.6640625" style="33" customWidth="1"/>
    <col min="9476" max="9476" width="3.5" style="33" customWidth="1"/>
    <col min="9477" max="9477" width="9.6640625" style="33" customWidth="1"/>
    <col min="9478" max="9479" width="0" style="33" hidden="1" customWidth="1"/>
    <col min="9480" max="9480" width="9.6640625" style="33" customWidth="1"/>
    <col min="9481" max="9481" width="11.6640625" style="33" customWidth="1"/>
    <col min="9482" max="9728" width="8.83203125" style="33"/>
    <col min="9729" max="9729" width="59.5" style="33" customWidth="1"/>
    <col min="9730" max="9731" width="11.6640625" style="33" customWidth="1"/>
    <col min="9732" max="9732" width="3.5" style="33" customWidth="1"/>
    <col min="9733" max="9733" width="9.6640625" style="33" customWidth="1"/>
    <col min="9734" max="9735" width="0" style="33" hidden="1" customWidth="1"/>
    <col min="9736" max="9736" width="9.6640625" style="33" customWidth="1"/>
    <col min="9737" max="9737" width="11.6640625" style="33" customWidth="1"/>
    <col min="9738" max="9984" width="8.83203125" style="33"/>
    <col min="9985" max="9985" width="59.5" style="33" customWidth="1"/>
    <col min="9986" max="9987" width="11.6640625" style="33" customWidth="1"/>
    <col min="9988" max="9988" width="3.5" style="33" customWidth="1"/>
    <col min="9989" max="9989" width="9.6640625" style="33" customWidth="1"/>
    <col min="9990" max="9991" width="0" style="33" hidden="1" customWidth="1"/>
    <col min="9992" max="9992" width="9.6640625" style="33" customWidth="1"/>
    <col min="9993" max="9993" width="11.6640625" style="33" customWidth="1"/>
    <col min="9994" max="10240" width="8.83203125" style="33"/>
    <col min="10241" max="10241" width="59.5" style="33" customWidth="1"/>
    <col min="10242" max="10243" width="11.6640625" style="33" customWidth="1"/>
    <col min="10244" max="10244" width="3.5" style="33" customWidth="1"/>
    <col min="10245" max="10245" width="9.6640625" style="33" customWidth="1"/>
    <col min="10246" max="10247" width="0" style="33" hidden="1" customWidth="1"/>
    <col min="10248" max="10248" width="9.6640625" style="33" customWidth="1"/>
    <col min="10249" max="10249" width="11.6640625" style="33" customWidth="1"/>
    <col min="10250" max="10496" width="8.83203125" style="33"/>
    <col min="10497" max="10497" width="59.5" style="33" customWidth="1"/>
    <col min="10498" max="10499" width="11.6640625" style="33" customWidth="1"/>
    <col min="10500" max="10500" width="3.5" style="33" customWidth="1"/>
    <col min="10501" max="10501" width="9.6640625" style="33" customWidth="1"/>
    <col min="10502" max="10503" width="0" style="33" hidden="1" customWidth="1"/>
    <col min="10504" max="10504" width="9.6640625" style="33" customWidth="1"/>
    <col min="10505" max="10505" width="11.6640625" style="33" customWidth="1"/>
    <col min="10506" max="10752" width="8.83203125" style="33"/>
    <col min="10753" max="10753" width="59.5" style="33" customWidth="1"/>
    <col min="10754" max="10755" width="11.6640625" style="33" customWidth="1"/>
    <col min="10756" max="10756" width="3.5" style="33" customWidth="1"/>
    <col min="10757" max="10757" width="9.6640625" style="33" customWidth="1"/>
    <col min="10758" max="10759" width="0" style="33" hidden="1" customWidth="1"/>
    <col min="10760" max="10760" width="9.6640625" style="33" customWidth="1"/>
    <col min="10761" max="10761" width="11.6640625" style="33" customWidth="1"/>
    <col min="10762" max="11008" width="8.83203125" style="33"/>
    <col min="11009" max="11009" width="59.5" style="33" customWidth="1"/>
    <col min="11010" max="11011" width="11.6640625" style="33" customWidth="1"/>
    <col min="11012" max="11012" width="3.5" style="33" customWidth="1"/>
    <col min="11013" max="11013" width="9.6640625" style="33" customWidth="1"/>
    <col min="11014" max="11015" width="0" style="33" hidden="1" customWidth="1"/>
    <col min="11016" max="11016" width="9.6640625" style="33" customWidth="1"/>
    <col min="11017" max="11017" width="11.6640625" style="33" customWidth="1"/>
    <col min="11018" max="11264" width="8.83203125" style="33"/>
    <col min="11265" max="11265" width="59.5" style="33" customWidth="1"/>
    <col min="11266" max="11267" width="11.6640625" style="33" customWidth="1"/>
    <col min="11268" max="11268" width="3.5" style="33" customWidth="1"/>
    <col min="11269" max="11269" width="9.6640625" style="33" customWidth="1"/>
    <col min="11270" max="11271" width="0" style="33" hidden="1" customWidth="1"/>
    <col min="11272" max="11272" width="9.6640625" style="33" customWidth="1"/>
    <col min="11273" max="11273" width="11.6640625" style="33" customWidth="1"/>
    <col min="11274" max="11520" width="8.83203125" style="33"/>
    <col min="11521" max="11521" width="59.5" style="33" customWidth="1"/>
    <col min="11522" max="11523" width="11.6640625" style="33" customWidth="1"/>
    <col min="11524" max="11524" width="3.5" style="33" customWidth="1"/>
    <col min="11525" max="11525" width="9.6640625" style="33" customWidth="1"/>
    <col min="11526" max="11527" width="0" style="33" hidden="1" customWidth="1"/>
    <col min="11528" max="11528" width="9.6640625" style="33" customWidth="1"/>
    <col min="11529" max="11529" width="11.6640625" style="33" customWidth="1"/>
    <col min="11530" max="11776" width="8.83203125" style="33"/>
    <col min="11777" max="11777" width="59.5" style="33" customWidth="1"/>
    <col min="11778" max="11779" width="11.6640625" style="33" customWidth="1"/>
    <col min="11780" max="11780" width="3.5" style="33" customWidth="1"/>
    <col min="11781" max="11781" width="9.6640625" style="33" customWidth="1"/>
    <col min="11782" max="11783" width="0" style="33" hidden="1" customWidth="1"/>
    <col min="11784" max="11784" width="9.6640625" style="33" customWidth="1"/>
    <col min="11785" max="11785" width="11.6640625" style="33" customWidth="1"/>
    <col min="11786" max="12032" width="8.83203125" style="33"/>
    <col min="12033" max="12033" width="59.5" style="33" customWidth="1"/>
    <col min="12034" max="12035" width="11.6640625" style="33" customWidth="1"/>
    <col min="12036" max="12036" width="3.5" style="33" customWidth="1"/>
    <col min="12037" max="12037" width="9.6640625" style="33" customWidth="1"/>
    <col min="12038" max="12039" width="0" style="33" hidden="1" customWidth="1"/>
    <col min="12040" max="12040" width="9.6640625" style="33" customWidth="1"/>
    <col min="12041" max="12041" width="11.6640625" style="33" customWidth="1"/>
    <col min="12042" max="12288" width="8.83203125" style="33"/>
    <col min="12289" max="12289" width="59.5" style="33" customWidth="1"/>
    <col min="12290" max="12291" width="11.6640625" style="33" customWidth="1"/>
    <col min="12292" max="12292" width="3.5" style="33" customWidth="1"/>
    <col min="12293" max="12293" width="9.6640625" style="33" customWidth="1"/>
    <col min="12294" max="12295" width="0" style="33" hidden="1" customWidth="1"/>
    <col min="12296" max="12296" width="9.6640625" style="33" customWidth="1"/>
    <col min="12297" max="12297" width="11.6640625" style="33" customWidth="1"/>
    <col min="12298" max="12544" width="8.83203125" style="33"/>
    <col min="12545" max="12545" width="59.5" style="33" customWidth="1"/>
    <col min="12546" max="12547" width="11.6640625" style="33" customWidth="1"/>
    <col min="12548" max="12548" width="3.5" style="33" customWidth="1"/>
    <col min="12549" max="12549" width="9.6640625" style="33" customWidth="1"/>
    <col min="12550" max="12551" width="0" style="33" hidden="1" customWidth="1"/>
    <col min="12552" max="12552" width="9.6640625" style="33" customWidth="1"/>
    <col min="12553" max="12553" width="11.6640625" style="33" customWidth="1"/>
    <col min="12554" max="12800" width="8.83203125" style="33"/>
    <col min="12801" max="12801" width="59.5" style="33" customWidth="1"/>
    <col min="12802" max="12803" width="11.6640625" style="33" customWidth="1"/>
    <col min="12804" max="12804" width="3.5" style="33" customWidth="1"/>
    <col min="12805" max="12805" width="9.6640625" style="33" customWidth="1"/>
    <col min="12806" max="12807" width="0" style="33" hidden="1" customWidth="1"/>
    <col min="12808" max="12808" width="9.6640625" style="33" customWidth="1"/>
    <col min="12809" max="12809" width="11.6640625" style="33" customWidth="1"/>
    <col min="12810" max="13056" width="8.83203125" style="33"/>
    <col min="13057" max="13057" width="59.5" style="33" customWidth="1"/>
    <col min="13058" max="13059" width="11.6640625" style="33" customWidth="1"/>
    <col min="13060" max="13060" width="3.5" style="33" customWidth="1"/>
    <col min="13061" max="13061" width="9.6640625" style="33" customWidth="1"/>
    <col min="13062" max="13063" width="0" style="33" hidden="1" customWidth="1"/>
    <col min="13064" max="13064" width="9.6640625" style="33" customWidth="1"/>
    <col min="13065" max="13065" width="11.6640625" style="33" customWidth="1"/>
    <col min="13066" max="13312" width="8.83203125" style="33"/>
    <col min="13313" max="13313" width="59.5" style="33" customWidth="1"/>
    <col min="13314" max="13315" width="11.6640625" style="33" customWidth="1"/>
    <col min="13316" max="13316" width="3.5" style="33" customWidth="1"/>
    <col min="13317" max="13317" width="9.6640625" style="33" customWidth="1"/>
    <col min="13318" max="13319" width="0" style="33" hidden="1" customWidth="1"/>
    <col min="13320" max="13320" width="9.6640625" style="33" customWidth="1"/>
    <col min="13321" max="13321" width="11.6640625" style="33" customWidth="1"/>
    <col min="13322" max="13568" width="8.83203125" style="33"/>
    <col min="13569" max="13569" width="59.5" style="33" customWidth="1"/>
    <col min="13570" max="13571" width="11.6640625" style="33" customWidth="1"/>
    <col min="13572" max="13572" width="3.5" style="33" customWidth="1"/>
    <col min="13573" max="13573" width="9.6640625" style="33" customWidth="1"/>
    <col min="13574" max="13575" width="0" style="33" hidden="1" customWidth="1"/>
    <col min="13576" max="13576" width="9.6640625" style="33" customWidth="1"/>
    <col min="13577" max="13577" width="11.6640625" style="33" customWidth="1"/>
    <col min="13578" max="13824" width="8.83203125" style="33"/>
    <col min="13825" max="13825" width="59.5" style="33" customWidth="1"/>
    <col min="13826" max="13827" width="11.6640625" style="33" customWidth="1"/>
    <col min="13828" max="13828" width="3.5" style="33" customWidth="1"/>
    <col min="13829" max="13829" width="9.6640625" style="33" customWidth="1"/>
    <col min="13830" max="13831" width="0" style="33" hidden="1" customWidth="1"/>
    <col min="13832" max="13832" width="9.6640625" style="33" customWidth="1"/>
    <col min="13833" max="13833" width="11.6640625" style="33" customWidth="1"/>
    <col min="13834" max="14080" width="8.83203125" style="33"/>
    <col min="14081" max="14081" width="59.5" style="33" customWidth="1"/>
    <col min="14082" max="14083" width="11.6640625" style="33" customWidth="1"/>
    <col min="14084" max="14084" width="3.5" style="33" customWidth="1"/>
    <col min="14085" max="14085" width="9.6640625" style="33" customWidth="1"/>
    <col min="14086" max="14087" width="0" style="33" hidden="1" customWidth="1"/>
    <col min="14088" max="14088" width="9.6640625" style="33" customWidth="1"/>
    <col min="14089" max="14089" width="11.6640625" style="33" customWidth="1"/>
    <col min="14090" max="14336" width="8.83203125" style="33"/>
    <col min="14337" max="14337" width="59.5" style="33" customWidth="1"/>
    <col min="14338" max="14339" width="11.6640625" style="33" customWidth="1"/>
    <col min="14340" max="14340" width="3.5" style="33" customWidth="1"/>
    <col min="14341" max="14341" width="9.6640625" style="33" customWidth="1"/>
    <col min="14342" max="14343" width="0" style="33" hidden="1" customWidth="1"/>
    <col min="14344" max="14344" width="9.6640625" style="33" customWidth="1"/>
    <col min="14345" max="14345" width="11.6640625" style="33" customWidth="1"/>
    <col min="14346" max="14592" width="8.83203125" style="33"/>
    <col min="14593" max="14593" width="59.5" style="33" customWidth="1"/>
    <col min="14594" max="14595" width="11.6640625" style="33" customWidth="1"/>
    <col min="14596" max="14596" width="3.5" style="33" customWidth="1"/>
    <col min="14597" max="14597" width="9.6640625" style="33" customWidth="1"/>
    <col min="14598" max="14599" width="0" style="33" hidden="1" customWidth="1"/>
    <col min="14600" max="14600" width="9.6640625" style="33" customWidth="1"/>
    <col min="14601" max="14601" width="11.6640625" style="33" customWidth="1"/>
    <col min="14602" max="14848" width="8.83203125" style="33"/>
    <col min="14849" max="14849" width="59.5" style="33" customWidth="1"/>
    <col min="14850" max="14851" width="11.6640625" style="33" customWidth="1"/>
    <col min="14852" max="14852" width="3.5" style="33" customWidth="1"/>
    <col min="14853" max="14853" width="9.6640625" style="33" customWidth="1"/>
    <col min="14854" max="14855" width="0" style="33" hidden="1" customWidth="1"/>
    <col min="14856" max="14856" width="9.6640625" style="33" customWidth="1"/>
    <col min="14857" max="14857" width="11.6640625" style="33" customWidth="1"/>
    <col min="14858" max="15104" width="8.83203125" style="33"/>
    <col min="15105" max="15105" width="59.5" style="33" customWidth="1"/>
    <col min="15106" max="15107" width="11.6640625" style="33" customWidth="1"/>
    <col min="15108" max="15108" width="3.5" style="33" customWidth="1"/>
    <col min="15109" max="15109" width="9.6640625" style="33" customWidth="1"/>
    <col min="15110" max="15111" width="0" style="33" hidden="1" customWidth="1"/>
    <col min="15112" max="15112" width="9.6640625" style="33" customWidth="1"/>
    <col min="15113" max="15113" width="11.6640625" style="33" customWidth="1"/>
    <col min="15114" max="15360" width="8.83203125" style="33"/>
    <col min="15361" max="15361" width="59.5" style="33" customWidth="1"/>
    <col min="15362" max="15363" width="11.6640625" style="33" customWidth="1"/>
    <col min="15364" max="15364" width="3.5" style="33" customWidth="1"/>
    <col min="15365" max="15365" width="9.6640625" style="33" customWidth="1"/>
    <col min="15366" max="15367" width="0" style="33" hidden="1" customWidth="1"/>
    <col min="15368" max="15368" width="9.6640625" style="33" customWidth="1"/>
    <col min="15369" max="15369" width="11.6640625" style="33" customWidth="1"/>
    <col min="15370" max="15616" width="8.83203125" style="33"/>
    <col min="15617" max="15617" width="59.5" style="33" customWidth="1"/>
    <col min="15618" max="15619" width="11.6640625" style="33" customWidth="1"/>
    <col min="15620" max="15620" width="3.5" style="33" customWidth="1"/>
    <col min="15621" max="15621" width="9.6640625" style="33" customWidth="1"/>
    <col min="15622" max="15623" width="0" style="33" hidden="1" customWidth="1"/>
    <col min="15624" max="15624" width="9.6640625" style="33" customWidth="1"/>
    <col min="15625" max="15625" width="11.6640625" style="33" customWidth="1"/>
    <col min="15626" max="15872" width="8.83203125" style="33"/>
    <col min="15873" max="15873" width="59.5" style="33" customWidth="1"/>
    <col min="15874" max="15875" width="11.6640625" style="33" customWidth="1"/>
    <col min="15876" max="15876" width="3.5" style="33" customWidth="1"/>
    <col min="15877" max="15877" width="9.6640625" style="33" customWidth="1"/>
    <col min="15878" max="15879" width="0" style="33" hidden="1" customWidth="1"/>
    <col min="15880" max="15880" width="9.6640625" style="33" customWidth="1"/>
    <col min="15881" max="15881" width="11.6640625" style="33" customWidth="1"/>
    <col min="15882" max="16128" width="8.83203125" style="33"/>
    <col min="16129" max="16129" width="59.5" style="33" customWidth="1"/>
    <col min="16130" max="16131" width="11.6640625" style="33" customWidth="1"/>
    <col min="16132" max="16132" width="3.5" style="33" customWidth="1"/>
    <col min="16133" max="16133" width="9.6640625" style="33" customWidth="1"/>
    <col min="16134" max="16135" width="0" style="33" hidden="1" customWidth="1"/>
    <col min="16136" max="16136" width="9.6640625" style="33" customWidth="1"/>
    <col min="16137" max="16137" width="11.6640625" style="33" customWidth="1"/>
    <col min="16138" max="16384" width="8.83203125" style="33"/>
  </cols>
  <sheetData>
    <row r="1" spans="1:9" ht="13.5" customHeight="1">
      <c r="A1" s="405" t="s">
        <v>388</v>
      </c>
    </row>
    <row r="2" spans="1:9" ht="13.5" customHeight="1">
      <c r="A2" s="14" t="s">
        <v>389</v>
      </c>
    </row>
    <row r="3" spans="1:9" ht="6.75" customHeight="1">
      <c r="G3" s="406"/>
    </row>
    <row r="4" spans="1:9" ht="17" customHeight="1">
      <c r="A4" s="14" t="s">
        <v>1956</v>
      </c>
    </row>
    <row r="5" spans="1:9" ht="7.5" customHeight="1" thickBot="1"/>
    <row r="6" spans="1:9" ht="4.5" customHeight="1">
      <c r="A6" s="376"/>
      <c r="B6" s="407"/>
      <c r="C6" s="408"/>
      <c r="D6" s="394"/>
      <c r="E6" s="407"/>
      <c r="F6" s="408"/>
      <c r="G6" s="394"/>
      <c r="H6" s="407"/>
      <c r="I6" s="408"/>
    </row>
    <row r="7" spans="1:9" ht="14" customHeight="1">
      <c r="A7" s="75" t="s">
        <v>995</v>
      </c>
      <c r="B7" s="792" t="s">
        <v>457</v>
      </c>
      <c r="C7" s="409"/>
      <c r="D7" s="235"/>
      <c r="E7" s="1042" t="s">
        <v>1070</v>
      </c>
      <c r="F7" s="1042"/>
      <c r="G7" s="235"/>
      <c r="H7" s="1042" t="s">
        <v>1071</v>
      </c>
      <c r="I7" s="1042"/>
    </row>
    <row r="8" spans="1:9" ht="14" customHeight="1">
      <c r="A8" s="14" t="s">
        <v>1076</v>
      </c>
      <c r="B8" s="410" t="s">
        <v>152</v>
      </c>
      <c r="C8" s="80" t="s">
        <v>153</v>
      </c>
      <c r="D8" s="235"/>
      <c r="E8" s="410" t="s">
        <v>152</v>
      </c>
      <c r="F8" s="80" t="s">
        <v>153</v>
      </c>
      <c r="G8" s="235"/>
      <c r="H8" s="410" t="s">
        <v>152</v>
      </c>
      <c r="I8" s="80" t="s">
        <v>153</v>
      </c>
    </row>
    <row r="9" spans="1:9" ht="4.5" customHeight="1" thickBot="1">
      <c r="A9" s="285"/>
      <c r="B9" s="411"/>
      <c r="C9" s="412"/>
      <c r="D9" s="399"/>
      <c r="E9" s="411"/>
      <c r="F9" s="412"/>
      <c r="G9" s="399"/>
      <c r="H9" s="411"/>
      <c r="I9" s="412"/>
    </row>
    <row r="10" spans="1:9" ht="9.75" customHeight="1">
      <c r="A10" s="75"/>
      <c r="B10" s="410"/>
      <c r="C10" s="80"/>
      <c r="D10" s="235"/>
      <c r="E10" s="410"/>
      <c r="F10" s="80"/>
      <c r="G10" s="235"/>
      <c r="H10" s="410"/>
      <c r="I10" s="80"/>
    </row>
    <row r="11" spans="1:9" s="55" customFormat="1" ht="14" customHeight="1">
      <c r="A11" s="17" t="s">
        <v>290</v>
      </c>
      <c r="B11" s="854">
        <f>IF($A11&lt;&gt;0,E11+H11,"")</f>
        <v>614</v>
      </c>
      <c r="C11" s="414">
        <f>(C13+C22+C79)</f>
        <v>100</v>
      </c>
      <c r="D11" s="415"/>
      <c r="E11" s="854">
        <f>(E13+E22+E79)</f>
        <v>332</v>
      </c>
      <c r="F11" s="414">
        <f>IF($A11&lt;&gt;"",E11/$B11*100,"")</f>
        <v>54.071661237785015</v>
      </c>
      <c r="G11" s="415"/>
      <c r="H11" s="413">
        <f>(H13+H22+H79)</f>
        <v>282</v>
      </c>
      <c r="I11" s="414">
        <f>IF($A11&lt;&gt;"",H11/$B11*100,"")</f>
        <v>45.928338762214985</v>
      </c>
    </row>
    <row r="12" spans="1:9" ht="6" customHeight="1">
      <c r="B12" s="403" t="str">
        <f t="shared" ref="B12:B75" si="0">IF($A12&lt;&gt;0,E12+H12,"")</f>
        <v/>
      </c>
      <c r="C12" s="404" t="str">
        <f>IF($A12&lt;&gt;"",$B12/$B$11*100,"")</f>
        <v/>
      </c>
      <c r="F12" s="404" t="str">
        <f t="shared" ref="F12:F77" si="1">IF($A12&lt;&gt;"",E12/$B12*100,"")</f>
        <v/>
      </c>
      <c r="I12" s="404" t="str">
        <f t="shared" ref="I12:I67" si="2">IF($A12&lt;&gt;"",H12/$B12*100,"")</f>
        <v/>
      </c>
    </row>
    <row r="13" spans="1:9" s="55" customFormat="1" ht="14" customHeight="1">
      <c r="A13" s="17" t="s">
        <v>678</v>
      </c>
      <c r="B13" s="413">
        <f t="shared" si="0"/>
        <v>21</v>
      </c>
      <c r="C13" s="414">
        <f t="shared" ref="C13:C75" si="3">IF($A13&lt;&gt;"",$B13/$B$11*100,"")</f>
        <v>3.4201954397394139</v>
      </c>
      <c r="D13" s="415"/>
      <c r="E13" s="413">
        <f>SUM(E14:E20)</f>
        <v>12</v>
      </c>
      <c r="F13" s="414">
        <f t="shared" si="1"/>
        <v>57.142857142857139</v>
      </c>
      <c r="G13" s="415"/>
      <c r="H13" s="413">
        <f>SUM(H14:H20)</f>
        <v>9</v>
      </c>
      <c r="I13" s="414">
        <f t="shared" si="2"/>
        <v>42.857142857142854</v>
      </c>
    </row>
    <row r="14" spans="1:9" ht="13.5" customHeight="1">
      <c r="A14" s="14" t="s">
        <v>731</v>
      </c>
      <c r="B14" s="403">
        <f t="shared" si="0"/>
        <v>3</v>
      </c>
      <c r="C14" s="404">
        <f>IF($A14&lt;&gt;"",$B14/$B$11*100,"")</f>
        <v>0.48859934853420189</v>
      </c>
      <c r="E14" s="417">
        <v>0</v>
      </c>
      <c r="F14" s="404">
        <f t="shared" si="1"/>
        <v>0</v>
      </c>
      <c r="G14" s="417"/>
      <c r="H14" s="402">
        <v>3</v>
      </c>
      <c r="I14" s="404">
        <f t="shared" si="2"/>
        <v>100</v>
      </c>
    </row>
    <row r="15" spans="1:9" ht="13.5" customHeight="1">
      <c r="A15" s="14" t="s">
        <v>1077</v>
      </c>
      <c r="B15" s="403">
        <f t="shared" si="0"/>
        <v>4</v>
      </c>
      <c r="C15" s="404">
        <f t="shared" si="3"/>
        <v>0.65146579804560267</v>
      </c>
      <c r="E15" s="402">
        <v>4</v>
      </c>
      <c r="F15" s="404">
        <f t="shared" si="1"/>
        <v>100</v>
      </c>
      <c r="G15" s="402"/>
      <c r="H15" s="402"/>
      <c r="I15" s="404">
        <f t="shared" si="2"/>
        <v>0</v>
      </c>
    </row>
    <row r="16" spans="1:9" ht="13.5" customHeight="1">
      <c r="A16" s="14" t="s">
        <v>1957</v>
      </c>
      <c r="B16" s="403">
        <f>IF($A16&lt;&gt;0,E16+H16,"")</f>
        <v>1</v>
      </c>
      <c r="C16" s="404">
        <f t="shared" si="3"/>
        <v>0.16286644951140067</v>
      </c>
      <c r="E16" s="402">
        <v>1</v>
      </c>
      <c r="F16" s="404">
        <f t="shared" si="1"/>
        <v>100</v>
      </c>
      <c r="G16" s="402"/>
      <c r="H16" s="417"/>
      <c r="I16" s="404">
        <f t="shared" si="2"/>
        <v>0</v>
      </c>
    </row>
    <row r="17" spans="1:9" ht="13.5" customHeight="1">
      <c r="A17" s="14" t="s">
        <v>775</v>
      </c>
      <c r="B17" s="403">
        <f>IF($A17&lt;&gt;0,E17+H17,"")</f>
        <v>1</v>
      </c>
      <c r="C17" s="404">
        <f t="shared" si="3"/>
        <v>0.16286644951140067</v>
      </c>
      <c r="E17" s="402"/>
      <c r="F17" s="404">
        <f t="shared" si="1"/>
        <v>0</v>
      </c>
      <c r="G17" s="402"/>
      <c r="H17" s="402">
        <v>1</v>
      </c>
      <c r="I17" s="404">
        <f t="shared" si="2"/>
        <v>100</v>
      </c>
    </row>
    <row r="18" spans="1:9" ht="13.5" customHeight="1">
      <c r="A18" s="14" t="s">
        <v>736</v>
      </c>
      <c r="B18" s="403">
        <f>IF($A18&lt;&gt;0,E18+H18,"")</f>
        <v>6</v>
      </c>
      <c r="C18" s="404">
        <f t="shared" si="3"/>
        <v>0.97719869706840379</v>
      </c>
      <c r="E18" s="402">
        <v>4</v>
      </c>
      <c r="F18" s="404">
        <f t="shared" si="1"/>
        <v>66.666666666666657</v>
      </c>
      <c r="G18" s="402"/>
      <c r="H18" s="417">
        <v>2</v>
      </c>
      <c r="I18" s="404">
        <f t="shared" si="2"/>
        <v>33.333333333333329</v>
      </c>
    </row>
    <row r="19" spans="1:9" ht="13.5" customHeight="1">
      <c r="A19" s="14" t="s">
        <v>741</v>
      </c>
      <c r="B19" s="403">
        <f>IF($A19&lt;&gt;0,E19+H19,"")</f>
        <v>3</v>
      </c>
      <c r="C19" s="404">
        <f t="shared" si="3"/>
        <v>0.48859934853420189</v>
      </c>
      <c r="E19" s="402">
        <v>1</v>
      </c>
      <c r="F19" s="404">
        <f t="shared" si="1"/>
        <v>33.333333333333329</v>
      </c>
      <c r="G19" s="402"/>
      <c r="H19" s="402">
        <v>2</v>
      </c>
      <c r="I19" s="404">
        <f t="shared" si="2"/>
        <v>66.666666666666657</v>
      </c>
    </row>
    <row r="20" spans="1:9" ht="13.5" customHeight="1">
      <c r="A20" s="14" t="s">
        <v>1078</v>
      </c>
      <c r="B20" s="403">
        <f>IF($A20&lt;&gt;0,E20+H20,"")</f>
        <v>3</v>
      </c>
      <c r="C20" s="404">
        <f t="shared" si="3"/>
        <v>0.48859934853420189</v>
      </c>
      <c r="E20" s="417">
        <v>2</v>
      </c>
      <c r="F20" s="404">
        <f t="shared" si="1"/>
        <v>66.666666666666657</v>
      </c>
      <c r="G20" s="417"/>
      <c r="H20" s="402">
        <v>1</v>
      </c>
      <c r="I20" s="404">
        <f t="shared" si="2"/>
        <v>33.333333333333329</v>
      </c>
    </row>
    <row r="21" spans="1:9" ht="9" customHeight="1">
      <c r="B21" s="403" t="str">
        <f t="shared" si="0"/>
        <v/>
      </c>
      <c r="C21" s="404" t="str">
        <f t="shared" si="3"/>
        <v/>
      </c>
      <c r="F21" s="414" t="str">
        <f t="shared" si="1"/>
        <v/>
      </c>
      <c r="I21" s="404" t="str">
        <f t="shared" si="2"/>
        <v/>
      </c>
    </row>
    <row r="22" spans="1:9" s="55" customFormat="1" ht="14" customHeight="1">
      <c r="A22" s="17" t="s">
        <v>1079</v>
      </c>
      <c r="B22" s="854">
        <f t="shared" si="0"/>
        <v>339</v>
      </c>
      <c r="C22" s="414">
        <f t="shared" si="3"/>
        <v>55.211726384364823</v>
      </c>
      <c r="D22" s="415"/>
      <c r="E22" s="854">
        <f>SUM(E23:E77)</f>
        <v>193</v>
      </c>
      <c r="F22" s="414">
        <f t="shared" si="1"/>
        <v>56.932153392330385</v>
      </c>
      <c r="G22" s="415"/>
      <c r="H22" s="413">
        <f>SUM(H23:H77)</f>
        <v>146</v>
      </c>
      <c r="I22" s="414">
        <f t="shared" si="2"/>
        <v>43.067846607669615</v>
      </c>
    </row>
    <row r="23" spans="1:9" s="14" customFormat="1" ht="13.5" customHeight="1">
      <c r="A23" s="14" t="s">
        <v>1080</v>
      </c>
      <c r="B23" s="403">
        <f t="shared" si="0"/>
        <v>26</v>
      </c>
      <c r="C23" s="404">
        <f t="shared" si="3"/>
        <v>4.234527687296417</v>
      </c>
      <c r="D23" s="390"/>
      <c r="E23" s="402">
        <v>20</v>
      </c>
      <c r="F23" s="404">
        <f t="shared" si="1"/>
        <v>76.923076923076934</v>
      </c>
      <c r="G23" s="402"/>
      <c r="H23" s="402">
        <v>6</v>
      </c>
      <c r="I23" s="404">
        <f t="shared" si="2"/>
        <v>23.076923076923077</v>
      </c>
    </row>
    <row r="24" spans="1:9" s="14" customFormat="1" ht="13.5" customHeight="1">
      <c r="A24" s="14" t="s">
        <v>1081</v>
      </c>
      <c r="B24" s="403">
        <f t="shared" si="0"/>
        <v>5</v>
      </c>
      <c r="C24" s="404">
        <f t="shared" si="3"/>
        <v>0.81433224755700329</v>
      </c>
      <c r="D24" s="390"/>
      <c r="E24" s="402">
        <v>5</v>
      </c>
      <c r="F24" s="404">
        <f t="shared" si="1"/>
        <v>100</v>
      </c>
      <c r="G24" s="402"/>
      <c r="H24" s="402"/>
      <c r="I24" s="404">
        <f t="shared" si="2"/>
        <v>0</v>
      </c>
    </row>
    <row r="25" spans="1:9" s="14" customFormat="1" ht="14" customHeight="1">
      <c r="A25" s="14" t="s">
        <v>1082</v>
      </c>
      <c r="B25" s="403">
        <f t="shared" si="0"/>
        <v>43</v>
      </c>
      <c r="C25" s="404">
        <f t="shared" si="3"/>
        <v>7.0032573289902285</v>
      </c>
      <c r="D25" s="390"/>
      <c r="E25" s="402">
        <v>21</v>
      </c>
      <c r="F25" s="404">
        <f t="shared" si="1"/>
        <v>48.837209302325576</v>
      </c>
      <c r="G25" s="402"/>
      <c r="H25" s="402">
        <v>22</v>
      </c>
      <c r="I25" s="404">
        <f t="shared" si="2"/>
        <v>51.162790697674424</v>
      </c>
    </row>
    <row r="26" spans="1:9" s="14" customFormat="1" ht="14" customHeight="1">
      <c r="A26" s="14" t="s">
        <v>191</v>
      </c>
      <c r="B26" s="403">
        <f t="shared" si="0"/>
        <v>4</v>
      </c>
      <c r="C26" s="404">
        <f t="shared" si="3"/>
        <v>0.65146579804560267</v>
      </c>
      <c r="D26" s="390"/>
      <c r="E26" s="402">
        <v>2</v>
      </c>
      <c r="F26" s="404">
        <f t="shared" si="1"/>
        <v>50</v>
      </c>
      <c r="G26" s="402"/>
      <c r="H26" s="402">
        <v>2</v>
      </c>
      <c r="I26" s="404">
        <f t="shared" si="2"/>
        <v>50</v>
      </c>
    </row>
    <row r="27" spans="1:9" s="14" customFormat="1" ht="14" customHeight="1">
      <c r="A27" s="14" t="s">
        <v>1083</v>
      </c>
      <c r="B27" s="403">
        <f t="shared" si="0"/>
        <v>4</v>
      </c>
      <c r="C27" s="404">
        <f t="shared" si="3"/>
        <v>0.65146579804560267</v>
      </c>
      <c r="D27" s="390"/>
      <c r="E27" s="402">
        <v>2</v>
      </c>
      <c r="F27" s="404">
        <f t="shared" si="1"/>
        <v>50</v>
      </c>
      <c r="G27" s="402"/>
      <c r="H27" s="402">
        <v>2</v>
      </c>
      <c r="I27" s="404">
        <f t="shared" si="2"/>
        <v>50</v>
      </c>
    </row>
    <row r="28" spans="1:9" s="14" customFormat="1" ht="14" customHeight="1">
      <c r="A28" s="14" t="s">
        <v>1084</v>
      </c>
      <c r="B28" s="403">
        <f t="shared" si="0"/>
        <v>5</v>
      </c>
      <c r="C28" s="404">
        <f t="shared" si="3"/>
        <v>0.81433224755700329</v>
      </c>
      <c r="D28" s="390"/>
      <c r="E28" s="402">
        <v>3</v>
      </c>
      <c r="F28" s="404">
        <f t="shared" si="1"/>
        <v>60</v>
      </c>
      <c r="G28" s="402"/>
      <c r="H28" s="402">
        <v>2</v>
      </c>
      <c r="I28" s="404">
        <f t="shared" si="2"/>
        <v>40</v>
      </c>
    </row>
    <row r="29" spans="1:9" s="14" customFormat="1" ht="14" customHeight="1">
      <c r="A29" s="14" t="s">
        <v>1085</v>
      </c>
      <c r="B29" s="403">
        <f t="shared" si="0"/>
        <v>3</v>
      </c>
      <c r="C29" s="404">
        <f t="shared" si="3"/>
        <v>0.48859934853420189</v>
      </c>
      <c r="D29" s="390"/>
      <c r="E29" s="402">
        <v>2</v>
      </c>
      <c r="F29" s="404">
        <f t="shared" si="1"/>
        <v>66.666666666666657</v>
      </c>
      <c r="G29" s="402"/>
      <c r="H29" s="402">
        <v>1</v>
      </c>
      <c r="I29" s="404">
        <f t="shared" si="2"/>
        <v>33.333333333333329</v>
      </c>
    </row>
    <row r="30" spans="1:9" s="14" customFormat="1" ht="14" customHeight="1">
      <c r="A30" s="14" t="s">
        <v>172</v>
      </c>
      <c r="B30" s="403">
        <f t="shared" si="0"/>
        <v>5</v>
      </c>
      <c r="C30" s="404">
        <f t="shared" si="3"/>
        <v>0.81433224755700329</v>
      </c>
      <c r="D30" s="390"/>
      <c r="E30" s="402">
        <v>2</v>
      </c>
      <c r="F30" s="404">
        <f t="shared" si="1"/>
        <v>40</v>
      </c>
      <c r="G30" s="402"/>
      <c r="H30" s="402">
        <v>3</v>
      </c>
      <c r="I30" s="404">
        <f t="shared" si="2"/>
        <v>60</v>
      </c>
    </row>
    <row r="31" spans="1:9" s="14" customFormat="1" ht="14" customHeight="1">
      <c r="A31" s="14" t="s">
        <v>1086</v>
      </c>
      <c r="B31" s="403">
        <f t="shared" si="0"/>
        <v>6</v>
      </c>
      <c r="C31" s="404">
        <f t="shared" si="3"/>
        <v>0.97719869706840379</v>
      </c>
      <c r="D31" s="390"/>
      <c r="E31" s="402">
        <v>5</v>
      </c>
      <c r="F31" s="404">
        <f t="shared" si="1"/>
        <v>83.333333333333343</v>
      </c>
      <c r="G31" s="402"/>
      <c r="H31" s="402">
        <v>1</v>
      </c>
      <c r="I31" s="404">
        <f t="shared" si="2"/>
        <v>16.666666666666664</v>
      </c>
    </row>
    <row r="32" spans="1:9" s="14" customFormat="1" ht="14" customHeight="1">
      <c r="A32" s="14" t="s">
        <v>1087</v>
      </c>
      <c r="B32" s="403">
        <f t="shared" si="0"/>
        <v>12</v>
      </c>
      <c r="C32" s="404">
        <f t="shared" si="3"/>
        <v>1.9543973941368076</v>
      </c>
      <c r="D32" s="390"/>
      <c r="E32" s="402">
        <v>9</v>
      </c>
      <c r="F32" s="404">
        <f t="shared" si="1"/>
        <v>75</v>
      </c>
      <c r="G32" s="402"/>
      <c r="H32" s="402">
        <v>3</v>
      </c>
      <c r="I32" s="404">
        <f t="shared" si="2"/>
        <v>25</v>
      </c>
    </row>
    <row r="33" spans="1:9" s="14" customFormat="1" ht="14" customHeight="1">
      <c r="A33" s="14" t="s">
        <v>1088</v>
      </c>
      <c r="B33" s="403">
        <f t="shared" si="0"/>
        <v>43</v>
      </c>
      <c r="C33" s="404">
        <f t="shared" si="3"/>
        <v>7.0032573289902285</v>
      </c>
      <c r="D33" s="390"/>
      <c r="E33" s="402">
        <v>36</v>
      </c>
      <c r="F33" s="404">
        <f t="shared" si="1"/>
        <v>83.720930232558146</v>
      </c>
      <c r="G33" s="402"/>
      <c r="H33" s="402">
        <v>7</v>
      </c>
      <c r="I33" s="404">
        <f t="shared" si="2"/>
        <v>16.279069767441861</v>
      </c>
    </row>
    <row r="34" spans="1:9" s="14" customFormat="1" ht="14" customHeight="1">
      <c r="A34" s="14" t="s">
        <v>1958</v>
      </c>
      <c r="B34" s="403">
        <f t="shared" si="0"/>
        <v>1</v>
      </c>
      <c r="C34" s="404">
        <f t="shared" si="3"/>
        <v>0.16286644951140067</v>
      </c>
      <c r="D34" s="390"/>
      <c r="E34" s="402"/>
      <c r="F34" s="404">
        <f t="shared" si="1"/>
        <v>0</v>
      </c>
      <c r="G34" s="402"/>
      <c r="H34" s="402">
        <v>1</v>
      </c>
      <c r="I34" s="404">
        <f t="shared" si="2"/>
        <v>100</v>
      </c>
    </row>
    <row r="35" spans="1:9" s="14" customFormat="1" ht="14" customHeight="1">
      <c r="A35" s="14" t="s">
        <v>1089</v>
      </c>
      <c r="B35" s="403">
        <f t="shared" si="0"/>
        <v>3</v>
      </c>
      <c r="C35" s="404">
        <f t="shared" si="3"/>
        <v>0.48859934853420189</v>
      </c>
      <c r="D35" s="390"/>
      <c r="E35" s="402">
        <v>2</v>
      </c>
      <c r="F35" s="404">
        <f t="shared" si="1"/>
        <v>66.666666666666657</v>
      </c>
      <c r="G35" s="402"/>
      <c r="H35" s="402">
        <v>1</v>
      </c>
      <c r="I35" s="404">
        <f t="shared" si="2"/>
        <v>33.333333333333329</v>
      </c>
    </row>
    <row r="36" spans="1:9" s="14" customFormat="1" ht="14" customHeight="1">
      <c r="A36" s="14" t="s">
        <v>186</v>
      </c>
      <c r="B36" s="403">
        <f t="shared" si="0"/>
        <v>2</v>
      </c>
      <c r="C36" s="404">
        <f t="shared" si="3"/>
        <v>0.32573289902280134</v>
      </c>
      <c r="D36" s="390"/>
      <c r="E36" s="402"/>
      <c r="F36" s="404">
        <f t="shared" si="1"/>
        <v>0</v>
      </c>
      <c r="G36" s="402"/>
      <c r="H36" s="402">
        <v>2</v>
      </c>
      <c r="I36" s="404">
        <f t="shared" si="2"/>
        <v>100</v>
      </c>
    </row>
    <row r="37" spans="1:9" s="14" customFormat="1" ht="14" customHeight="1">
      <c r="A37" s="14" t="s">
        <v>1090</v>
      </c>
      <c r="B37" s="403">
        <f t="shared" si="0"/>
        <v>13</v>
      </c>
      <c r="C37" s="404">
        <f t="shared" si="3"/>
        <v>2.1172638436482085</v>
      </c>
      <c r="D37" s="390"/>
      <c r="E37" s="402">
        <v>3</v>
      </c>
      <c r="F37" s="404">
        <f t="shared" si="1"/>
        <v>23.076923076923077</v>
      </c>
      <c r="G37" s="402"/>
      <c r="H37" s="402">
        <v>10</v>
      </c>
      <c r="I37" s="404">
        <f t="shared" si="2"/>
        <v>76.923076923076934</v>
      </c>
    </row>
    <row r="38" spans="1:9" s="14" customFormat="1" ht="14" customHeight="1">
      <c r="A38" s="14" t="s">
        <v>1091</v>
      </c>
      <c r="B38" s="403">
        <f t="shared" si="0"/>
        <v>13</v>
      </c>
      <c r="C38" s="404">
        <f t="shared" si="3"/>
        <v>2.1172638436482085</v>
      </c>
      <c r="D38" s="390"/>
      <c r="E38" s="402">
        <v>6</v>
      </c>
      <c r="F38" s="404">
        <f t="shared" si="1"/>
        <v>46.153846153846153</v>
      </c>
      <c r="G38" s="402"/>
      <c r="H38" s="402">
        <v>7</v>
      </c>
      <c r="I38" s="404">
        <f t="shared" si="2"/>
        <v>53.846153846153847</v>
      </c>
    </row>
    <row r="39" spans="1:9" s="14" customFormat="1" ht="14" customHeight="1">
      <c r="A39" s="14" t="s">
        <v>1092</v>
      </c>
      <c r="B39" s="403">
        <f t="shared" si="0"/>
        <v>4</v>
      </c>
      <c r="C39" s="404">
        <f t="shared" si="3"/>
        <v>0.65146579804560267</v>
      </c>
      <c r="D39" s="390"/>
      <c r="E39" s="402">
        <v>2</v>
      </c>
      <c r="F39" s="404">
        <f t="shared" si="1"/>
        <v>50</v>
      </c>
      <c r="G39" s="402"/>
      <c r="H39" s="402">
        <v>2</v>
      </c>
      <c r="I39" s="404">
        <f t="shared" si="2"/>
        <v>50</v>
      </c>
    </row>
    <row r="40" spans="1:9" s="14" customFormat="1" ht="14" customHeight="1">
      <c r="A40" s="14" t="s">
        <v>1093</v>
      </c>
      <c r="B40" s="403">
        <f t="shared" si="0"/>
        <v>1</v>
      </c>
      <c r="C40" s="404">
        <f t="shared" si="3"/>
        <v>0.16286644951140067</v>
      </c>
      <c r="D40" s="390"/>
      <c r="E40" s="402"/>
      <c r="F40" s="404">
        <f t="shared" si="1"/>
        <v>0</v>
      </c>
      <c r="G40" s="402"/>
      <c r="H40" s="402">
        <v>1</v>
      </c>
      <c r="I40" s="404">
        <f t="shared" si="2"/>
        <v>100</v>
      </c>
    </row>
    <row r="41" spans="1:9" s="14" customFormat="1" ht="14" customHeight="1">
      <c r="A41" s="14" t="s">
        <v>1094</v>
      </c>
      <c r="B41" s="403">
        <f t="shared" si="0"/>
        <v>5</v>
      </c>
      <c r="C41" s="404">
        <f t="shared" si="3"/>
        <v>0.81433224755700329</v>
      </c>
      <c r="D41" s="390"/>
      <c r="E41" s="402">
        <v>2</v>
      </c>
      <c r="F41" s="404">
        <f t="shared" si="1"/>
        <v>40</v>
      </c>
      <c r="G41" s="402"/>
      <c r="H41" s="402">
        <v>3</v>
      </c>
      <c r="I41" s="404">
        <f t="shared" si="2"/>
        <v>60</v>
      </c>
    </row>
    <row r="42" spans="1:9" s="14" customFormat="1" ht="14" customHeight="1">
      <c r="A42" s="14" t="s">
        <v>780</v>
      </c>
      <c r="B42" s="403">
        <f t="shared" si="0"/>
        <v>8</v>
      </c>
      <c r="C42" s="404">
        <f t="shared" si="3"/>
        <v>1.3029315960912053</v>
      </c>
      <c r="D42" s="390"/>
      <c r="E42" s="402">
        <v>3</v>
      </c>
      <c r="F42" s="404">
        <f t="shared" si="1"/>
        <v>37.5</v>
      </c>
      <c r="G42" s="402"/>
      <c r="H42" s="402">
        <v>5</v>
      </c>
      <c r="I42" s="404">
        <f t="shared" si="2"/>
        <v>62.5</v>
      </c>
    </row>
    <row r="43" spans="1:9" s="14" customFormat="1" ht="14" customHeight="1">
      <c r="A43" s="14" t="s">
        <v>1095</v>
      </c>
      <c r="B43" s="403">
        <f t="shared" si="0"/>
        <v>6</v>
      </c>
      <c r="C43" s="404">
        <f t="shared" si="3"/>
        <v>0.97719869706840379</v>
      </c>
      <c r="D43" s="390"/>
      <c r="E43" s="402">
        <v>1</v>
      </c>
      <c r="F43" s="404">
        <f t="shared" si="1"/>
        <v>16.666666666666664</v>
      </c>
      <c r="G43" s="402"/>
      <c r="H43" s="402">
        <v>5</v>
      </c>
      <c r="I43" s="404">
        <f t="shared" si="2"/>
        <v>83.333333333333343</v>
      </c>
    </row>
    <row r="44" spans="1:9" s="14" customFormat="1" ht="14" customHeight="1">
      <c r="A44" s="14" t="s">
        <v>711</v>
      </c>
      <c r="B44" s="403">
        <f t="shared" si="0"/>
        <v>2</v>
      </c>
      <c r="C44" s="404">
        <f t="shared" si="3"/>
        <v>0.32573289902280134</v>
      </c>
      <c r="D44" s="390"/>
      <c r="E44" s="402">
        <v>1</v>
      </c>
      <c r="F44" s="404">
        <f t="shared" si="1"/>
        <v>50</v>
      </c>
      <c r="G44" s="402"/>
      <c r="H44" s="402">
        <v>1</v>
      </c>
      <c r="I44" s="404">
        <f t="shared" si="2"/>
        <v>50</v>
      </c>
    </row>
    <row r="45" spans="1:9" s="14" customFormat="1" ht="14" customHeight="1">
      <c r="A45" s="418" t="s">
        <v>1096</v>
      </c>
      <c r="B45" s="403">
        <f t="shared" si="0"/>
        <v>2</v>
      </c>
      <c r="C45" s="404">
        <f t="shared" si="3"/>
        <v>0.32573289902280134</v>
      </c>
      <c r="D45" s="390"/>
      <c r="E45" s="402">
        <v>2</v>
      </c>
      <c r="F45" s="404">
        <f t="shared" si="1"/>
        <v>100</v>
      </c>
      <c r="G45" s="402"/>
      <c r="H45" s="417"/>
      <c r="I45" s="404"/>
    </row>
    <row r="46" spans="1:9" s="14" customFormat="1" ht="14" customHeight="1">
      <c r="A46" s="14" t="s">
        <v>784</v>
      </c>
      <c r="B46" s="403">
        <f t="shared" si="0"/>
        <v>13</v>
      </c>
      <c r="C46" s="404">
        <f t="shared" si="3"/>
        <v>2.1172638436482085</v>
      </c>
      <c r="D46" s="390"/>
      <c r="E46" s="402">
        <v>10</v>
      </c>
      <c r="F46" s="404">
        <f t="shared" si="1"/>
        <v>76.923076923076934</v>
      </c>
      <c r="G46" s="402"/>
      <c r="H46" s="402">
        <v>3</v>
      </c>
      <c r="I46" s="404">
        <f t="shared" si="2"/>
        <v>23.076923076923077</v>
      </c>
    </row>
    <row r="47" spans="1:9" s="14" customFormat="1" ht="14" customHeight="1">
      <c r="A47" s="14" t="s">
        <v>1097</v>
      </c>
      <c r="B47" s="403">
        <f t="shared" si="0"/>
        <v>1</v>
      </c>
      <c r="C47" s="404">
        <f t="shared" si="3"/>
        <v>0.16286644951140067</v>
      </c>
      <c r="D47" s="390"/>
      <c r="E47" s="402">
        <v>1</v>
      </c>
      <c r="F47" s="404">
        <f t="shared" si="1"/>
        <v>100</v>
      </c>
      <c r="G47" s="402"/>
      <c r="H47" s="417"/>
      <c r="I47" s="404">
        <f t="shared" si="2"/>
        <v>0</v>
      </c>
    </row>
    <row r="48" spans="1:9" ht="14" customHeight="1">
      <c r="A48" s="14" t="s">
        <v>182</v>
      </c>
      <c r="B48" s="403">
        <f t="shared" si="0"/>
        <v>5</v>
      </c>
      <c r="C48" s="404">
        <f t="shared" si="3"/>
        <v>0.81433224755700329</v>
      </c>
      <c r="E48" s="402">
        <v>3</v>
      </c>
      <c r="F48" s="404">
        <f t="shared" si="1"/>
        <v>60</v>
      </c>
      <c r="G48" s="417"/>
      <c r="H48" s="402">
        <v>2</v>
      </c>
      <c r="I48" s="404">
        <f t="shared" si="2"/>
        <v>40</v>
      </c>
    </row>
    <row r="49" spans="1:9" ht="14" customHeight="1">
      <c r="A49" s="14" t="s">
        <v>1098</v>
      </c>
      <c r="B49" s="403">
        <f t="shared" si="0"/>
        <v>1</v>
      </c>
      <c r="C49" s="404">
        <f t="shared" si="3"/>
        <v>0.16286644951140067</v>
      </c>
      <c r="E49" s="402">
        <v>1</v>
      </c>
      <c r="F49" s="404">
        <f t="shared" si="1"/>
        <v>100</v>
      </c>
      <c r="G49" s="402"/>
      <c r="H49" s="417"/>
      <c r="I49" s="404">
        <f t="shared" si="2"/>
        <v>0</v>
      </c>
    </row>
    <row r="50" spans="1:9" ht="12.75" customHeight="1">
      <c r="A50" s="14" t="s">
        <v>1099</v>
      </c>
      <c r="B50" s="403">
        <f t="shared" si="0"/>
        <v>3</v>
      </c>
      <c r="C50" s="404">
        <f t="shared" si="3"/>
        <v>0.48859934853420189</v>
      </c>
      <c r="E50" s="402">
        <v>3</v>
      </c>
      <c r="F50" s="404">
        <f t="shared" si="1"/>
        <v>100</v>
      </c>
      <c r="G50" s="402"/>
      <c r="H50" s="417"/>
      <c r="I50" s="404">
        <f t="shared" si="2"/>
        <v>0</v>
      </c>
    </row>
    <row r="51" spans="1:9" ht="12.75" customHeight="1">
      <c r="A51" s="14" t="s">
        <v>1100</v>
      </c>
      <c r="B51" s="403">
        <f t="shared" si="0"/>
        <v>2</v>
      </c>
      <c r="C51" s="404">
        <f t="shared" si="3"/>
        <v>0.32573289902280134</v>
      </c>
      <c r="E51" s="402">
        <v>2</v>
      </c>
      <c r="F51" s="404">
        <f t="shared" si="1"/>
        <v>100</v>
      </c>
      <c r="G51" s="402"/>
      <c r="H51" s="402"/>
    </row>
    <row r="52" spans="1:9" ht="14" customHeight="1">
      <c r="A52" s="14" t="s">
        <v>1101</v>
      </c>
      <c r="B52" s="403">
        <f t="shared" si="0"/>
        <v>2</v>
      </c>
      <c r="C52" s="404">
        <f t="shared" si="3"/>
        <v>0.32573289902280134</v>
      </c>
      <c r="E52" s="402">
        <v>2</v>
      </c>
      <c r="F52" s="404">
        <f t="shared" si="1"/>
        <v>100</v>
      </c>
      <c r="G52" s="402"/>
      <c r="H52" s="402"/>
      <c r="I52" s="404">
        <f t="shared" si="2"/>
        <v>0</v>
      </c>
    </row>
    <row r="53" spans="1:9" ht="14" customHeight="1">
      <c r="A53" s="14" t="s">
        <v>1102</v>
      </c>
      <c r="B53" s="403">
        <f t="shared" si="0"/>
        <v>2</v>
      </c>
      <c r="C53" s="404">
        <f t="shared" si="3"/>
        <v>0.32573289902280134</v>
      </c>
      <c r="E53" s="417"/>
      <c r="F53" s="404">
        <f t="shared" si="1"/>
        <v>0</v>
      </c>
      <c r="G53" s="417"/>
      <c r="H53" s="402">
        <v>2</v>
      </c>
    </row>
    <row r="54" spans="1:9" ht="14" customHeight="1">
      <c r="A54" s="14" t="s">
        <v>173</v>
      </c>
      <c r="B54" s="403">
        <f t="shared" si="0"/>
        <v>2</v>
      </c>
      <c r="C54" s="404">
        <f t="shared" si="3"/>
        <v>0.32573289902280134</v>
      </c>
      <c r="E54" s="417"/>
      <c r="F54" s="404">
        <f t="shared" si="1"/>
        <v>0</v>
      </c>
      <c r="G54" s="417"/>
      <c r="H54" s="402">
        <v>2</v>
      </c>
    </row>
    <row r="55" spans="1:9" ht="14" customHeight="1">
      <c r="A55" s="14" t="s">
        <v>190</v>
      </c>
      <c r="B55" s="403">
        <f t="shared" si="0"/>
        <v>2</v>
      </c>
      <c r="C55" s="404">
        <f t="shared" si="3"/>
        <v>0.32573289902280134</v>
      </c>
      <c r="E55" s="402">
        <v>1</v>
      </c>
      <c r="F55" s="404">
        <f t="shared" si="1"/>
        <v>50</v>
      </c>
      <c r="G55" s="402"/>
      <c r="H55" s="402">
        <v>1</v>
      </c>
      <c r="I55" s="404">
        <f t="shared" si="2"/>
        <v>50</v>
      </c>
    </row>
    <row r="56" spans="1:9" ht="14" customHeight="1">
      <c r="A56" s="14" t="s">
        <v>1103</v>
      </c>
      <c r="B56" s="403">
        <f t="shared" si="0"/>
        <v>10</v>
      </c>
      <c r="C56" s="404">
        <f t="shared" si="3"/>
        <v>1.6286644951140066</v>
      </c>
      <c r="E56" s="402">
        <v>6</v>
      </c>
      <c r="F56" s="404">
        <f t="shared" si="1"/>
        <v>60</v>
      </c>
      <c r="G56" s="402"/>
      <c r="H56" s="402">
        <v>4</v>
      </c>
    </row>
    <row r="57" spans="1:9" ht="14" customHeight="1">
      <c r="A57" s="14" t="s">
        <v>785</v>
      </c>
      <c r="B57" s="403">
        <f t="shared" si="0"/>
        <v>5</v>
      </c>
      <c r="C57" s="404">
        <f t="shared" si="3"/>
        <v>0.81433224755700329</v>
      </c>
      <c r="E57" s="402"/>
      <c r="F57" s="404">
        <f t="shared" si="1"/>
        <v>0</v>
      </c>
      <c r="G57" s="402"/>
      <c r="H57" s="402">
        <v>5</v>
      </c>
      <c r="I57" s="404">
        <f t="shared" si="2"/>
        <v>100</v>
      </c>
    </row>
    <row r="58" spans="1:9" ht="14" customHeight="1">
      <c r="A58" s="14" t="s">
        <v>1104</v>
      </c>
      <c r="B58" s="403">
        <f t="shared" si="0"/>
        <v>2</v>
      </c>
      <c r="C58" s="404">
        <f t="shared" si="3"/>
        <v>0.32573289902280134</v>
      </c>
      <c r="E58" s="402">
        <v>2</v>
      </c>
      <c r="F58" s="404">
        <f t="shared" si="1"/>
        <v>100</v>
      </c>
      <c r="G58" s="402"/>
      <c r="H58" s="402"/>
      <c r="I58" s="404">
        <f t="shared" si="2"/>
        <v>0</v>
      </c>
    </row>
    <row r="59" spans="1:9" ht="14" customHeight="1">
      <c r="A59" s="14" t="s">
        <v>1105</v>
      </c>
      <c r="B59" s="403">
        <f t="shared" si="0"/>
        <v>1</v>
      </c>
      <c r="C59" s="404">
        <f t="shared" si="3"/>
        <v>0.16286644951140067</v>
      </c>
      <c r="E59" s="402"/>
      <c r="F59" s="404">
        <f t="shared" si="1"/>
        <v>0</v>
      </c>
      <c r="G59" s="402"/>
      <c r="H59" s="402">
        <v>1</v>
      </c>
      <c r="I59" s="404">
        <f t="shared" si="2"/>
        <v>100</v>
      </c>
    </row>
    <row r="60" spans="1:9" ht="14" customHeight="1">
      <c r="A60" s="14" t="s">
        <v>1106</v>
      </c>
      <c r="B60" s="403">
        <f t="shared" si="0"/>
        <v>1</v>
      </c>
      <c r="C60" s="404">
        <f t="shared" si="3"/>
        <v>0.16286644951140067</v>
      </c>
      <c r="E60" s="402">
        <v>1</v>
      </c>
      <c r="F60" s="404">
        <f t="shared" si="1"/>
        <v>100</v>
      </c>
      <c r="G60" s="402"/>
      <c r="H60" s="417"/>
      <c r="I60" s="404">
        <f t="shared" si="2"/>
        <v>0</v>
      </c>
    </row>
    <row r="61" spans="1:9" ht="14" customHeight="1">
      <c r="A61" s="14" t="s">
        <v>408</v>
      </c>
      <c r="B61" s="403">
        <f t="shared" si="0"/>
        <v>7</v>
      </c>
      <c r="C61" s="404">
        <f t="shared" si="3"/>
        <v>1.1400651465798046</v>
      </c>
      <c r="E61" s="402">
        <v>3</v>
      </c>
      <c r="F61" s="404">
        <f t="shared" si="1"/>
        <v>42.857142857142854</v>
      </c>
      <c r="G61" s="402"/>
      <c r="H61" s="402">
        <v>4</v>
      </c>
    </row>
    <row r="62" spans="1:9" ht="14" customHeight="1">
      <c r="A62" s="14" t="s">
        <v>218</v>
      </c>
      <c r="B62" s="403">
        <f t="shared" si="0"/>
        <v>12</v>
      </c>
      <c r="C62" s="404">
        <f t="shared" si="3"/>
        <v>1.9543973941368076</v>
      </c>
      <c r="E62" s="402">
        <v>3</v>
      </c>
      <c r="F62" s="404">
        <f t="shared" si="1"/>
        <v>25</v>
      </c>
      <c r="G62" s="402"/>
      <c r="H62" s="402">
        <v>9</v>
      </c>
      <c r="I62" s="404">
        <f>IF($A62&lt;&gt;"",H62/$B62*100,"")</f>
        <v>75</v>
      </c>
    </row>
    <row r="63" spans="1:9" ht="14" customHeight="1">
      <c r="A63" s="14" t="s">
        <v>1107</v>
      </c>
      <c r="B63" s="403">
        <f t="shared" si="0"/>
        <v>2</v>
      </c>
      <c r="C63" s="404">
        <f t="shared" si="3"/>
        <v>0.32573289902280134</v>
      </c>
      <c r="E63" s="402">
        <v>1</v>
      </c>
      <c r="F63" s="404">
        <f t="shared" si="1"/>
        <v>50</v>
      </c>
      <c r="G63" s="402"/>
      <c r="H63" s="402">
        <v>1</v>
      </c>
      <c r="I63" s="404">
        <f t="shared" si="2"/>
        <v>50</v>
      </c>
    </row>
    <row r="64" spans="1:9" ht="14" customHeight="1">
      <c r="A64" s="14" t="s">
        <v>222</v>
      </c>
      <c r="B64" s="403">
        <f t="shared" si="0"/>
        <v>2</v>
      </c>
      <c r="C64" s="404">
        <f t="shared" si="3"/>
        <v>0.32573289902280134</v>
      </c>
      <c r="E64" s="402">
        <v>2</v>
      </c>
      <c r="F64" s="404">
        <f t="shared" si="1"/>
        <v>100</v>
      </c>
      <c r="G64" s="417"/>
      <c r="H64" s="402"/>
      <c r="I64" s="404">
        <f t="shared" si="2"/>
        <v>0</v>
      </c>
    </row>
    <row r="65" spans="1:9" ht="14" customHeight="1">
      <c r="A65" s="14" t="s">
        <v>221</v>
      </c>
      <c r="B65" s="403">
        <f t="shared" si="0"/>
        <v>3</v>
      </c>
      <c r="C65" s="404">
        <f t="shared" si="3"/>
        <v>0.48859934853420189</v>
      </c>
      <c r="E65" s="402"/>
      <c r="F65" s="404">
        <f t="shared" si="1"/>
        <v>0</v>
      </c>
      <c r="G65" s="402"/>
      <c r="H65" s="402">
        <v>3</v>
      </c>
      <c r="I65" s="404">
        <f t="shared" si="2"/>
        <v>100</v>
      </c>
    </row>
    <row r="66" spans="1:9" ht="14" customHeight="1">
      <c r="A66" s="14" t="s">
        <v>1108</v>
      </c>
      <c r="B66" s="403">
        <f t="shared" si="0"/>
        <v>1</v>
      </c>
      <c r="C66" s="404">
        <f t="shared" si="3"/>
        <v>0.16286644951140067</v>
      </c>
      <c r="E66" s="417">
        <v>1</v>
      </c>
      <c r="F66" s="404">
        <f t="shared" si="1"/>
        <v>100</v>
      </c>
      <c r="G66" s="417"/>
      <c r="H66" s="402"/>
      <c r="I66" s="404">
        <f t="shared" si="2"/>
        <v>0</v>
      </c>
    </row>
    <row r="67" spans="1:9" ht="14" customHeight="1">
      <c r="A67" s="14" t="s">
        <v>1109</v>
      </c>
      <c r="B67" s="403">
        <f t="shared" si="0"/>
        <v>7</v>
      </c>
      <c r="C67" s="404">
        <f t="shared" si="3"/>
        <v>1.1400651465798046</v>
      </c>
      <c r="E67" s="402">
        <v>4</v>
      </c>
      <c r="F67" s="404">
        <f t="shared" si="1"/>
        <v>57.142857142857139</v>
      </c>
      <c r="G67" s="402"/>
      <c r="H67" s="402">
        <v>3</v>
      </c>
      <c r="I67" s="404">
        <f t="shared" si="2"/>
        <v>42.857142857142854</v>
      </c>
    </row>
    <row r="68" spans="1:9" ht="14" customHeight="1">
      <c r="A68" s="14" t="s">
        <v>175</v>
      </c>
      <c r="B68" s="403">
        <f t="shared" si="0"/>
        <v>3</v>
      </c>
      <c r="C68" s="404">
        <f t="shared" si="3"/>
        <v>0.48859934853420189</v>
      </c>
      <c r="E68" s="402"/>
      <c r="F68" s="404">
        <f t="shared" si="1"/>
        <v>0</v>
      </c>
      <c r="G68" s="402"/>
      <c r="H68" s="402">
        <v>3</v>
      </c>
      <c r="I68" s="404">
        <f>IF($A68&lt;&gt;"",H68/$B68*100,"")</f>
        <v>100</v>
      </c>
    </row>
    <row r="69" spans="1:9" ht="14" customHeight="1">
      <c r="A69" s="14" t="s">
        <v>1110</v>
      </c>
      <c r="B69" s="403">
        <f t="shared" si="0"/>
        <v>5</v>
      </c>
      <c r="C69" s="404">
        <f t="shared" si="3"/>
        <v>0.81433224755700329</v>
      </c>
      <c r="E69" s="402"/>
      <c r="F69" s="404">
        <f t="shared" si="1"/>
        <v>0</v>
      </c>
      <c r="G69" s="402"/>
      <c r="H69" s="402">
        <v>5</v>
      </c>
      <c r="I69" s="404">
        <f>IF($A69&lt;&gt;"",H69/$B69*100,"")</f>
        <v>100</v>
      </c>
    </row>
    <row r="70" spans="1:9" ht="14" customHeight="1">
      <c r="A70" s="14" t="s">
        <v>1111</v>
      </c>
      <c r="B70" s="403">
        <f t="shared" si="0"/>
        <v>2</v>
      </c>
      <c r="C70" s="404">
        <f t="shared" si="3"/>
        <v>0.32573289902280134</v>
      </c>
      <c r="E70" s="402">
        <v>2</v>
      </c>
      <c r="F70" s="404">
        <f t="shared" si="1"/>
        <v>100</v>
      </c>
      <c r="G70" s="402"/>
      <c r="H70" s="417"/>
      <c r="I70" s="404">
        <f t="shared" ref="I70:I83" si="4">IF($A70&lt;&gt;"",H70/$B70*100,"")</f>
        <v>0</v>
      </c>
    </row>
    <row r="71" spans="1:9" ht="14" customHeight="1">
      <c r="A71" s="14" t="s">
        <v>1112</v>
      </c>
      <c r="B71" s="403">
        <f t="shared" si="0"/>
        <v>2</v>
      </c>
      <c r="C71" s="404">
        <f t="shared" si="3"/>
        <v>0.32573289902280134</v>
      </c>
      <c r="E71" s="402">
        <v>2</v>
      </c>
      <c r="F71" s="404">
        <f t="shared" si="1"/>
        <v>100</v>
      </c>
      <c r="G71" s="402"/>
      <c r="H71" s="417"/>
      <c r="I71" s="404">
        <f t="shared" si="4"/>
        <v>0</v>
      </c>
    </row>
    <row r="72" spans="1:9" ht="14" customHeight="1">
      <c r="A72" s="14" t="s">
        <v>786</v>
      </c>
      <c r="B72" s="403">
        <f t="shared" si="0"/>
        <v>2</v>
      </c>
      <c r="C72" s="404">
        <f t="shared" si="3"/>
        <v>0.32573289902280134</v>
      </c>
      <c r="E72" s="402">
        <v>1</v>
      </c>
      <c r="F72" s="404">
        <f t="shared" si="1"/>
        <v>50</v>
      </c>
      <c r="G72" s="402"/>
      <c r="H72" s="402">
        <v>1</v>
      </c>
      <c r="I72" s="404">
        <f t="shared" si="4"/>
        <v>50</v>
      </c>
    </row>
    <row r="73" spans="1:9" ht="14" customHeight="1">
      <c r="A73" s="14" t="s">
        <v>189</v>
      </c>
      <c r="B73" s="403">
        <f t="shared" si="0"/>
        <v>8</v>
      </c>
      <c r="C73" s="404">
        <f t="shared" si="3"/>
        <v>1.3029315960912053</v>
      </c>
      <c r="E73" s="402">
        <v>6</v>
      </c>
      <c r="F73" s="404">
        <f t="shared" si="1"/>
        <v>75</v>
      </c>
      <c r="G73" s="402"/>
      <c r="H73" s="402">
        <v>2</v>
      </c>
    </row>
    <row r="74" spans="1:9" ht="14" customHeight="1">
      <c r="A74" s="14" t="s">
        <v>176</v>
      </c>
      <c r="B74" s="403">
        <f t="shared" si="0"/>
        <v>6</v>
      </c>
      <c r="C74" s="404">
        <f t="shared" si="3"/>
        <v>0.97719869706840379</v>
      </c>
      <c r="E74" s="402">
        <v>2</v>
      </c>
      <c r="F74" s="404">
        <f t="shared" si="1"/>
        <v>33.333333333333329</v>
      </c>
      <c r="G74" s="402"/>
      <c r="H74" s="402">
        <v>4</v>
      </c>
      <c r="I74" s="404">
        <f t="shared" si="4"/>
        <v>66.666666666666657</v>
      </c>
    </row>
    <row r="75" spans="1:9">
      <c r="A75" s="14" t="s">
        <v>1113</v>
      </c>
      <c r="B75" s="403">
        <f t="shared" si="0"/>
        <v>3</v>
      </c>
      <c r="C75" s="404">
        <f t="shared" si="3"/>
        <v>0.48859934853420189</v>
      </c>
      <c r="E75" s="402">
        <v>2</v>
      </c>
      <c r="F75" s="404">
        <f t="shared" si="1"/>
        <v>66.666666666666657</v>
      </c>
      <c r="G75" s="402"/>
      <c r="H75" s="402">
        <v>1</v>
      </c>
      <c r="I75" s="404">
        <f t="shared" si="4"/>
        <v>33.333333333333329</v>
      </c>
    </row>
    <row r="76" spans="1:9">
      <c r="A76" s="418" t="s">
        <v>184</v>
      </c>
      <c r="B76" s="403">
        <f t="shared" ref="B76:B79" si="5">IF($A76&lt;&gt;0,E76+H76,"")</f>
        <v>4</v>
      </c>
      <c r="C76" s="404">
        <f>IF($A76&lt;&gt;"",$B76/$B$11*100,"")</f>
        <v>0.65146579804560267</v>
      </c>
      <c r="E76" s="402">
        <v>1</v>
      </c>
      <c r="F76" s="404">
        <f t="shared" si="1"/>
        <v>25</v>
      </c>
      <c r="G76" s="402"/>
      <c r="H76" s="402">
        <v>3</v>
      </c>
      <c r="I76" s="404">
        <f t="shared" si="4"/>
        <v>75</v>
      </c>
    </row>
    <row r="77" spans="1:9" ht="15" customHeight="1">
      <c r="A77" s="14" t="s">
        <v>1114</v>
      </c>
      <c r="B77" s="403">
        <f t="shared" si="5"/>
        <v>2</v>
      </c>
      <c r="C77" s="404">
        <f t="shared" ref="C77:C82" si="6">IF($A77&lt;&gt;"",$B77/$B$11*100,"")</f>
        <v>0.32573289902280134</v>
      </c>
      <c r="E77" s="402">
        <v>2</v>
      </c>
      <c r="F77" s="404">
        <f t="shared" si="1"/>
        <v>100</v>
      </c>
      <c r="I77" s="404">
        <f t="shared" si="4"/>
        <v>0</v>
      </c>
    </row>
    <row r="78" spans="1:9" s="55" customFormat="1" ht="14" customHeight="1">
      <c r="A78" s="14"/>
      <c r="B78" s="403" t="str">
        <f t="shared" si="5"/>
        <v/>
      </c>
      <c r="C78" s="404" t="str">
        <f t="shared" si="6"/>
        <v/>
      </c>
      <c r="D78" s="415"/>
      <c r="E78" s="413"/>
      <c r="F78" s="404"/>
      <c r="G78" s="415"/>
      <c r="H78" s="413"/>
      <c r="I78" s="404" t="str">
        <f t="shared" si="4"/>
        <v/>
      </c>
    </row>
    <row r="79" spans="1:9" ht="14" customHeight="1">
      <c r="A79" s="17" t="s">
        <v>774</v>
      </c>
      <c r="B79" s="413">
        <f t="shared" si="5"/>
        <v>254</v>
      </c>
      <c r="C79" s="414">
        <f t="shared" si="6"/>
        <v>41.368078175895768</v>
      </c>
      <c r="D79" s="415"/>
      <c r="E79" s="413">
        <f>SUM(E80:E83)</f>
        <v>127</v>
      </c>
      <c r="F79" s="414">
        <f>IF($A79&lt;&gt;"",E79/$B79*100,"")</f>
        <v>50</v>
      </c>
      <c r="G79" s="855"/>
      <c r="H79" s="413">
        <f>SUM(H80:H83)</f>
        <v>127</v>
      </c>
      <c r="I79" s="414">
        <f t="shared" si="4"/>
        <v>50</v>
      </c>
    </row>
    <row r="80" spans="1:9" ht="14" customHeight="1">
      <c r="A80" s="14" t="s">
        <v>780</v>
      </c>
      <c r="B80" s="403">
        <f>IF($A80&lt;&gt;0,E80+H80,"")</f>
        <v>35</v>
      </c>
      <c r="C80" s="404">
        <f t="shared" si="6"/>
        <v>5.7003257328990227</v>
      </c>
      <c r="E80" s="402">
        <v>23</v>
      </c>
      <c r="F80" s="404">
        <f>IF($A80&lt;&gt;"",E80/$B80*100,"")</f>
        <v>65.714285714285708</v>
      </c>
      <c r="G80" s="402"/>
      <c r="H80" s="402">
        <v>12</v>
      </c>
      <c r="I80" s="404">
        <f t="shared" si="4"/>
        <v>34.285714285714285</v>
      </c>
    </row>
    <row r="81" spans="1:9" ht="14" customHeight="1">
      <c r="A81" s="14" t="s">
        <v>1115</v>
      </c>
      <c r="B81" s="403">
        <f>IF($A81&lt;&gt;0,E81+H81,"")</f>
        <v>211</v>
      </c>
      <c r="C81" s="404">
        <f t="shared" si="6"/>
        <v>34.364820846905538</v>
      </c>
      <c r="E81" s="402">
        <v>98</v>
      </c>
      <c r="F81" s="404">
        <f>IF($A81&lt;&gt;"",E81/$B81*100,"")</f>
        <v>46.445497630331758</v>
      </c>
      <c r="G81" s="402"/>
      <c r="H81" s="402">
        <v>113</v>
      </c>
      <c r="I81" s="404">
        <f t="shared" si="4"/>
        <v>53.554502369668242</v>
      </c>
    </row>
    <row r="82" spans="1:9" ht="14" customHeight="1">
      <c r="A82" s="14" t="s">
        <v>1110</v>
      </c>
      <c r="B82" s="403">
        <f>IF($A82&lt;&gt;0,E82+H82,"")</f>
        <v>4</v>
      </c>
      <c r="C82" s="404">
        <f t="shared" si="6"/>
        <v>0.65146579804560267</v>
      </c>
      <c r="E82" s="402">
        <v>2</v>
      </c>
      <c r="F82" s="404">
        <f>IF($A82&lt;&gt;"",E82/$B82*100,"")</f>
        <v>50</v>
      </c>
      <c r="G82" s="402"/>
      <c r="H82" s="402">
        <v>2</v>
      </c>
      <c r="I82" s="404">
        <f t="shared" si="4"/>
        <v>50</v>
      </c>
    </row>
    <row r="83" spans="1:9" ht="14" customHeight="1" thickBot="1">
      <c r="A83" s="14" t="s">
        <v>1116</v>
      </c>
      <c r="B83" s="403">
        <f>IF($A83&lt;&gt;0,E83+H83,"")</f>
        <v>4</v>
      </c>
      <c r="C83" s="404">
        <f>IF($A83&lt;&gt;"",$B83/$B$11*100,"")</f>
        <v>0.65146579804560267</v>
      </c>
      <c r="E83" s="402">
        <v>4</v>
      </c>
      <c r="F83" s="404">
        <f>IF($A83&lt;&gt;"",E83/$B83*100,"")</f>
        <v>100</v>
      </c>
      <c r="G83" s="402"/>
      <c r="H83" s="417">
        <v>0</v>
      </c>
      <c r="I83" s="404">
        <f t="shared" si="4"/>
        <v>0</v>
      </c>
    </row>
    <row r="84" spans="1:9" ht="3.75" customHeight="1">
      <c r="A84" s="376"/>
      <c r="B84" s="407"/>
      <c r="C84" s="408"/>
      <c r="D84" s="394"/>
      <c r="E84" s="407"/>
      <c r="F84" s="408"/>
      <c r="G84" s="394"/>
      <c r="H84" s="407"/>
      <c r="I84" s="408"/>
    </row>
    <row r="85" spans="1:9" ht="15">
      <c r="A85" s="27" t="s">
        <v>1075</v>
      </c>
      <c r="D85" s="64"/>
      <c r="G85" s="64"/>
    </row>
    <row r="86" spans="1:9">
      <c r="A86" s="14" t="s">
        <v>1074</v>
      </c>
      <c r="D86" s="64"/>
      <c r="G86" s="64"/>
    </row>
    <row r="87" spans="1:9" ht="3.75" customHeight="1">
      <c r="A87" s="75"/>
      <c r="B87" s="410"/>
      <c r="C87" s="80"/>
      <c r="D87" s="235"/>
      <c r="E87" s="410"/>
      <c r="F87" s="80"/>
      <c r="G87" s="235"/>
      <c r="H87" s="410"/>
      <c r="I87" s="80"/>
    </row>
    <row r="88" spans="1:9">
      <c r="A88" s="14" t="s">
        <v>1066</v>
      </c>
    </row>
    <row r="89" spans="1:9">
      <c r="A89" s="14" t="s">
        <v>471</v>
      </c>
    </row>
  </sheetData>
  <mergeCells count="2">
    <mergeCell ref="E7:F7"/>
    <mergeCell ref="H7:I7"/>
  </mergeCells>
  <conditionalFormatting sqref="A1:XFD1048576">
    <cfRule type="cellIs" dxfId="58"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24"/>
  <sheetViews>
    <sheetView workbookViewId="0">
      <selection activeCell="B4" sqref="B4"/>
    </sheetView>
  </sheetViews>
  <sheetFormatPr baseColWidth="10" defaultColWidth="9.1640625" defaultRowHeight="13"/>
  <cols>
    <col min="1" max="1" width="36.6640625" style="111" customWidth="1"/>
    <col min="2" max="2" width="6.33203125" style="155" customWidth="1"/>
    <col min="3" max="3" width="7.5" style="139" customWidth="1"/>
    <col min="4" max="4" width="2.1640625" style="111" customWidth="1"/>
    <col min="5" max="5" width="6.33203125" style="155" customWidth="1"/>
    <col min="6" max="6" width="7.5" style="139" customWidth="1"/>
    <col min="7" max="7" width="2.1640625" style="111" customWidth="1"/>
    <col min="8" max="8" width="6.33203125" style="155" customWidth="1"/>
    <col min="9" max="9" width="7.5" style="139" customWidth="1"/>
    <col min="10" max="10" width="5.33203125" style="139" customWidth="1"/>
    <col min="11" max="11" width="6.33203125" style="155" customWidth="1"/>
    <col min="12" max="12" width="7.5" style="139" customWidth="1"/>
    <col min="13" max="13" width="2.1640625" style="111" customWidth="1"/>
    <col min="14" max="14" width="6.33203125" style="155" customWidth="1"/>
    <col min="15" max="15" width="7.5" style="111" customWidth="1"/>
    <col min="16" max="16" width="2.1640625" style="111" customWidth="1"/>
    <col min="17" max="17" width="6.33203125" style="155" customWidth="1"/>
    <col min="18" max="18" width="7.5" style="111" customWidth="1"/>
    <col min="19" max="19" width="2.1640625" style="111" customWidth="1"/>
    <col min="20" max="20" width="3.5" style="111" customWidth="1"/>
    <col min="21" max="256" width="9.1640625" style="111"/>
    <col min="257" max="257" width="36.6640625" style="111" customWidth="1"/>
    <col min="258" max="258" width="6.33203125" style="111" customWidth="1"/>
    <col min="259" max="259" width="7.5" style="111" customWidth="1"/>
    <col min="260" max="260" width="2.1640625" style="111" customWidth="1"/>
    <col min="261" max="261" width="6.33203125" style="111" customWidth="1"/>
    <col min="262" max="262" width="7.5" style="111" customWidth="1"/>
    <col min="263" max="263" width="2.1640625" style="111" customWidth="1"/>
    <col min="264" max="264" width="6.33203125" style="111" customWidth="1"/>
    <col min="265" max="265" width="7.5" style="111" customWidth="1"/>
    <col min="266" max="266" width="5.33203125" style="111" customWidth="1"/>
    <col min="267" max="267" width="6.33203125" style="111" customWidth="1"/>
    <col min="268" max="268" width="7.5" style="111" customWidth="1"/>
    <col min="269" max="269" width="2.1640625" style="111" customWidth="1"/>
    <col min="270" max="270" width="6.33203125" style="111" customWidth="1"/>
    <col min="271" max="271" width="7.5" style="111" customWidth="1"/>
    <col min="272" max="272" width="2.1640625" style="111" customWidth="1"/>
    <col min="273" max="273" width="6.33203125" style="111" customWidth="1"/>
    <col min="274" max="274" width="7.5" style="111" customWidth="1"/>
    <col min="275" max="275" width="2.1640625" style="111" customWidth="1"/>
    <col min="276" max="276" width="3.5" style="111" customWidth="1"/>
    <col min="277" max="512" width="9.1640625" style="111"/>
    <col min="513" max="513" width="36.6640625" style="111" customWidth="1"/>
    <col min="514" max="514" width="6.33203125" style="111" customWidth="1"/>
    <col min="515" max="515" width="7.5" style="111" customWidth="1"/>
    <col min="516" max="516" width="2.1640625" style="111" customWidth="1"/>
    <col min="517" max="517" width="6.33203125" style="111" customWidth="1"/>
    <col min="518" max="518" width="7.5" style="111" customWidth="1"/>
    <col min="519" max="519" width="2.1640625" style="111" customWidth="1"/>
    <col min="520" max="520" width="6.33203125" style="111" customWidth="1"/>
    <col min="521" max="521" width="7.5" style="111" customWidth="1"/>
    <col min="522" max="522" width="5.33203125" style="111" customWidth="1"/>
    <col min="523" max="523" width="6.33203125" style="111" customWidth="1"/>
    <col min="524" max="524" width="7.5" style="111" customWidth="1"/>
    <col min="525" max="525" width="2.1640625" style="111" customWidth="1"/>
    <col min="526" max="526" width="6.33203125" style="111" customWidth="1"/>
    <col min="527" max="527" width="7.5" style="111" customWidth="1"/>
    <col min="528" max="528" width="2.1640625" style="111" customWidth="1"/>
    <col min="529" max="529" width="6.33203125" style="111" customWidth="1"/>
    <col min="530" max="530" width="7.5" style="111" customWidth="1"/>
    <col min="531" max="531" width="2.1640625" style="111" customWidth="1"/>
    <col min="532" max="532" width="3.5" style="111" customWidth="1"/>
    <col min="533" max="768" width="9.1640625" style="111"/>
    <col min="769" max="769" width="36.6640625" style="111" customWidth="1"/>
    <col min="770" max="770" width="6.33203125" style="111" customWidth="1"/>
    <col min="771" max="771" width="7.5" style="111" customWidth="1"/>
    <col min="772" max="772" width="2.1640625" style="111" customWidth="1"/>
    <col min="773" max="773" width="6.33203125" style="111" customWidth="1"/>
    <col min="774" max="774" width="7.5" style="111" customWidth="1"/>
    <col min="775" max="775" width="2.1640625" style="111" customWidth="1"/>
    <col min="776" max="776" width="6.33203125" style="111" customWidth="1"/>
    <col min="777" max="777" width="7.5" style="111" customWidth="1"/>
    <col min="778" max="778" width="5.33203125" style="111" customWidth="1"/>
    <col min="779" max="779" width="6.33203125" style="111" customWidth="1"/>
    <col min="780" max="780" width="7.5" style="111" customWidth="1"/>
    <col min="781" max="781" width="2.1640625" style="111" customWidth="1"/>
    <col min="782" max="782" width="6.33203125" style="111" customWidth="1"/>
    <col min="783" max="783" width="7.5" style="111" customWidth="1"/>
    <col min="784" max="784" width="2.1640625" style="111" customWidth="1"/>
    <col min="785" max="785" width="6.33203125" style="111" customWidth="1"/>
    <col min="786" max="786" width="7.5" style="111" customWidth="1"/>
    <col min="787" max="787" width="2.1640625" style="111" customWidth="1"/>
    <col min="788" max="788" width="3.5" style="111" customWidth="1"/>
    <col min="789" max="1024" width="9.1640625" style="111"/>
    <col min="1025" max="1025" width="36.6640625" style="111" customWidth="1"/>
    <col min="1026" max="1026" width="6.33203125" style="111" customWidth="1"/>
    <col min="1027" max="1027" width="7.5" style="111" customWidth="1"/>
    <col min="1028" max="1028" width="2.1640625" style="111" customWidth="1"/>
    <col min="1029" max="1029" width="6.33203125" style="111" customWidth="1"/>
    <col min="1030" max="1030" width="7.5" style="111" customWidth="1"/>
    <col min="1031" max="1031" width="2.1640625" style="111" customWidth="1"/>
    <col min="1032" max="1032" width="6.33203125" style="111" customWidth="1"/>
    <col min="1033" max="1033" width="7.5" style="111" customWidth="1"/>
    <col min="1034" max="1034" width="5.33203125" style="111" customWidth="1"/>
    <col min="1035" max="1035" width="6.33203125" style="111" customWidth="1"/>
    <col min="1036" max="1036" width="7.5" style="111" customWidth="1"/>
    <col min="1037" max="1037" width="2.1640625" style="111" customWidth="1"/>
    <col min="1038" max="1038" width="6.33203125" style="111" customWidth="1"/>
    <col min="1039" max="1039" width="7.5" style="111" customWidth="1"/>
    <col min="1040" max="1040" width="2.1640625" style="111" customWidth="1"/>
    <col min="1041" max="1041" width="6.33203125" style="111" customWidth="1"/>
    <col min="1042" max="1042" width="7.5" style="111" customWidth="1"/>
    <col min="1043" max="1043" width="2.1640625" style="111" customWidth="1"/>
    <col min="1044" max="1044" width="3.5" style="111" customWidth="1"/>
    <col min="1045" max="1280" width="9.1640625" style="111"/>
    <col min="1281" max="1281" width="36.6640625" style="111" customWidth="1"/>
    <col min="1282" max="1282" width="6.33203125" style="111" customWidth="1"/>
    <col min="1283" max="1283" width="7.5" style="111" customWidth="1"/>
    <col min="1284" max="1284" width="2.1640625" style="111" customWidth="1"/>
    <col min="1285" max="1285" width="6.33203125" style="111" customWidth="1"/>
    <col min="1286" max="1286" width="7.5" style="111" customWidth="1"/>
    <col min="1287" max="1287" width="2.1640625" style="111" customWidth="1"/>
    <col min="1288" max="1288" width="6.33203125" style="111" customWidth="1"/>
    <col min="1289" max="1289" width="7.5" style="111" customWidth="1"/>
    <col min="1290" max="1290" width="5.33203125" style="111" customWidth="1"/>
    <col min="1291" max="1291" width="6.33203125" style="111" customWidth="1"/>
    <col min="1292" max="1292" width="7.5" style="111" customWidth="1"/>
    <col min="1293" max="1293" width="2.1640625" style="111" customWidth="1"/>
    <col min="1294" max="1294" width="6.33203125" style="111" customWidth="1"/>
    <col min="1295" max="1295" width="7.5" style="111" customWidth="1"/>
    <col min="1296" max="1296" width="2.1640625" style="111" customWidth="1"/>
    <col min="1297" max="1297" width="6.33203125" style="111" customWidth="1"/>
    <col min="1298" max="1298" width="7.5" style="111" customWidth="1"/>
    <col min="1299" max="1299" width="2.1640625" style="111" customWidth="1"/>
    <col min="1300" max="1300" width="3.5" style="111" customWidth="1"/>
    <col min="1301" max="1536" width="9.1640625" style="111"/>
    <col min="1537" max="1537" width="36.6640625" style="111" customWidth="1"/>
    <col min="1538" max="1538" width="6.33203125" style="111" customWidth="1"/>
    <col min="1539" max="1539" width="7.5" style="111" customWidth="1"/>
    <col min="1540" max="1540" width="2.1640625" style="111" customWidth="1"/>
    <col min="1541" max="1541" width="6.33203125" style="111" customWidth="1"/>
    <col min="1542" max="1542" width="7.5" style="111" customWidth="1"/>
    <col min="1543" max="1543" width="2.1640625" style="111" customWidth="1"/>
    <col min="1544" max="1544" width="6.33203125" style="111" customWidth="1"/>
    <col min="1545" max="1545" width="7.5" style="111" customWidth="1"/>
    <col min="1546" max="1546" width="5.33203125" style="111" customWidth="1"/>
    <col min="1547" max="1547" width="6.33203125" style="111" customWidth="1"/>
    <col min="1548" max="1548" width="7.5" style="111" customWidth="1"/>
    <col min="1549" max="1549" width="2.1640625" style="111" customWidth="1"/>
    <col min="1550" max="1550" width="6.33203125" style="111" customWidth="1"/>
    <col min="1551" max="1551" width="7.5" style="111" customWidth="1"/>
    <col min="1552" max="1552" width="2.1640625" style="111" customWidth="1"/>
    <col min="1553" max="1553" width="6.33203125" style="111" customWidth="1"/>
    <col min="1554" max="1554" width="7.5" style="111" customWidth="1"/>
    <col min="1555" max="1555" width="2.1640625" style="111" customWidth="1"/>
    <col min="1556" max="1556" width="3.5" style="111" customWidth="1"/>
    <col min="1557" max="1792" width="9.1640625" style="111"/>
    <col min="1793" max="1793" width="36.6640625" style="111" customWidth="1"/>
    <col min="1794" max="1794" width="6.33203125" style="111" customWidth="1"/>
    <col min="1795" max="1795" width="7.5" style="111" customWidth="1"/>
    <col min="1796" max="1796" width="2.1640625" style="111" customWidth="1"/>
    <col min="1797" max="1797" width="6.33203125" style="111" customWidth="1"/>
    <col min="1798" max="1798" width="7.5" style="111" customWidth="1"/>
    <col min="1799" max="1799" width="2.1640625" style="111" customWidth="1"/>
    <col min="1800" max="1800" width="6.33203125" style="111" customWidth="1"/>
    <col min="1801" max="1801" width="7.5" style="111" customWidth="1"/>
    <col min="1802" max="1802" width="5.33203125" style="111" customWidth="1"/>
    <col min="1803" max="1803" width="6.33203125" style="111" customWidth="1"/>
    <col min="1804" max="1804" width="7.5" style="111" customWidth="1"/>
    <col min="1805" max="1805" width="2.1640625" style="111" customWidth="1"/>
    <col min="1806" max="1806" width="6.33203125" style="111" customWidth="1"/>
    <col min="1807" max="1807" width="7.5" style="111" customWidth="1"/>
    <col min="1808" max="1808" width="2.1640625" style="111" customWidth="1"/>
    <col min="1809" max="1809" width="6.33203125" style="111" customWidth="1"/>
    <col min="1810" max="1810" width="7.5" style="111" customWidth="1"/>
    <col min="1811" max="1811" width="2.1640625" style="111" customWidth="1"/>
    <col min="1812" max="1812" width="3.5" style="111" customWidth="1"/>
    <col min="1813" max="2048" width="9.1640625" style="111"/>
    <col min="2049" max="2049" width="36.6640625" style="111" customWidth="1"/>
    <col min="2050" max="2050" width="6.33203125" style="111" customWidth="1"/>
    <col min="2051" max="2051" width="7.5" style="111" customWidth="1"/>
    <col min="2052" max="2052" width="2.1640625" style="111" customWidth="1"/>
    <col min="2053" max="2053" width="6.33203125" style="111" customWidth="1"/>
    <col min="2054" max="2054" width="7.5" style="111" customWidth="1"/>
    <col min="2055" max="2055" width="2.1640625" style="111" customWidth="1"/>
    <col min="2056" max="2056" width="6.33203125" style="111" customWidth="1"/>
    <col min="2057" max="2057" width="7.5" style="111" customWidth="1"/>
    <col min="2058" max="2058" width="5.33203125" style="111" customWidth="1"/>
    <col min="2059" max="2059" width="6.33203125" style="111" customWidth="1"/>
    <col min="2060" max="2060" width="7.5" style="111" customWidth="1"/>
    <col min="2061" max="2061" width="2.1640625" style="111" customWidth="1"/>
    <col min="2062" max="2062" width="6.33203125" style="111" customWidth="1"/>
    <col min="2063" max="2063" width="7.5" style="111" customWidth="1"/>
    <col min="2064" max="2064" width="2.1640625" style="111" customWidth="1"/>
    <col min="2065" max="2065" width="6.33203125" style="111" customWidth="1"/>
    <col min="2066" max="2066" width="7.5" style="111" customWidth="1"/>
    <col min="2067" max="2067" width="2.1640625" style="111" customWidth="1"/>
    <col min="2068" max="2068" width="3.5" style="111" customWidth="1"/>
    <col min="2069" max="2304" width="9.1640625" style="111"/>
    <col min="2305" max="2305" width="36.6640625" style="111" customWidth="1"/>
    <col min="2306" max="2306" width="6.33203125" style="111" customWidth="1"/>
    <col min="2307" max="2307" width="7.5" style="111" customWidth="1"/>
    <col min="2308" max="2308" width="2.1640625" style="111" customWidth="1"/>
    <col min="2309" max="2309" width="6.33203125" style="111" customWidth="1"/>
    <col min="2310" max="2310" width="7.5" style="111" customWidth="1"/>
    <col min="2311" max="2311" width="2.1640625" style="111" customWidth="1"/>
    <col min="2312" max="2312" width="6.33203125" style="111" customWidth="1"/>
    <col min="2313" max="2313" width="7.5" style="111" customWidth="1"/>
    <col min="2314" max="2314" width="5.33203125" style="111" customWidth="1"/>
    <col min="2315" max="2315" width="6.33203125" style="111" customWidth="1"/>
    <col min="2316" max="2316" width="7.5" style="111" customWidth="1"/>
    <col min="2317" max="2317" width="2.1640625" style="111" customWidth="1"/>
    <col min="2318" max="2318" width="6.33203125" style="111" customWidth="1"/>
    <col min="2319" max="2319" width="7.5" style="111" customWidth="1"/>
    <col min="2320" max="2320" width="2.1640625" style="111" customWidth="1"/>
    <col min="2321" max="2321" width="6.33203125" style="111" customWidth="1"/>
    <col min="2322" max="2322" width="7.5" style="111" customWidth="1"/>
    <col min="2323" max="2323" width="2.1640625" style="111" customWidth="1"/>
    <col min="2324" max="2324" width="3.5" style="111" customWidth="1"/>
    <col min="2325" max="2560" width="9.1640625" style="111"/>
    <col min="2561" max="2561" width="36.6640625" style="111" customWidth="1"/>
    <col min="2562" max="2562" width="6.33203125" style="111" customWidth="1"/>
    <col min="2563" max="2563" width="7.5" style="111" customWidth="1"/>
    <col min="2564" max="2564" width="2.1640625" style="111" customWidth="1"/>
    <col min="2565" max="2565" width="6.33203125" style="111" customWidth="1"/>
    <col min="2566" max="2566" width="7.5" style="111" customWidth="1"/>
    <col min="2567" max="2567" width="2.1640625" style="111" customWidth="1"/>
    <col min="2568" max="2568" width="6.33203125" style="111" customWidth="1"/>
    <col min="2569" max="2569" width="7.5" style="111" customWidth="1"/>
    <col min="2570" max="2570" width="5.33203125" style="111" customWidth="1"/>
    <col min="2571" max="2571" width="6.33203125" style="111" customWidth="1"/>
    <col min="2572" max="2572" width="7.5" style="111" customWidth="1"/>
    <col min="2573" max="2573" width="2.1640625" style="111" customWidth="1"/>
    <col min="2574" max="2574" width="6.33203125" style="111" customWidth="1"/>
    <col min="2575" max="2575" width="7.5" style="111" customWidth="1"/>
    <col min="2576" max="2576" width="2.1640625" style="111" customWidth="1"/>
    <col min="2577" max="2577" width="6.33203125" style="111" customWidth="1"/>
    <col min="2578" max="2578" width="7.5" style="111" customWidth="1"/>
    <col min="2579" max="2579" width="2.1640625" style="111" customWidth="1"/>
    <col min="2580" max="2580" width="3.5" style="111" customWidth="1"/>
    <col min="2581" max="2816" width="9.1640625" style="111"/>
    <col min="2817" max="2817" width="36.6640625" style="111" customWidth="1"/>
    <col min="2818" max="2818" width="6.33203125" style="111" customWidth="1"/>
    <col min="2819" max="2819" width="7.5" style="111" customWidth="1"/>
    <col min="2820" max="2820" width="2.1640625" style="111" customWidth="1"/>
    <col min="2821" max="2821" width="6.33203125" style="111" customWidth="1"/>
    <col min="2822" max="2822" width="7.5" style="111" customWidth="1"/>
    <col min="2823" max="2823" width="2.1640625" style="111" customWidth="1"/>
    <col min="2824" max="2824" width="6.33203125" style="111" customWidth="1"/>
    <col min="2825" max="2825" width="7.5" style="111" customWidth="1"/>
    <col min="2826" max="2826" width="5.33203125" style="111" customWidth="1"/>
    <col min="2827" max="2827" width="6.33203125" style="111" customWidth="1"/>
    <col min="2828" max="2828" width="7.5" style="111" customWidth="1"/>
    <col min="2829" max="2829" width="2.1640625" style="111" customWidth="1"/>
    <col min="2830" max="2830" width="6.33203125" style="111" customWidth="1"/>
    <col min="2831" max="2831" width="7.5" style="111" customWidth="1"/>
    <col min="2832" max="2832" width="2.1640625" style="111" customWidth="1"/>
    <col min="2833" max="2833" width="6.33203125" style="111" customWidth="1"/>
    <col min="2834" max="2834" width="7.5" style="111" customWidth="1"/>
    <col min="2835" max="2835" width="2.1640625" style="111" customWidth="1"/>
    <col min="2836" max="2836" width="3.5" style="111" customWidth="1"/>
    <col min="2837" max="3072" width="9.1640625" style="111"/>
    <col min="3073" max="3073" width="36.6640625" style="111" customWidth="1"/>
    <col min="3074" max="3074" width="6.33203125" style="111" customWidth="1"/>
    <col min="3075" max="3075" width="7.5" style="111" customWidth="1"/>
    <col min="3076" max="3076" width="2.1640625" style="111" customWidth="1"/>
    <col min="3077" max="3077" width="6.33203125" style="111" customWidth="1"/>
    <col min="3078" max="3078" width="7.5" style="111" customWidth="1"/>
    <col min="3079" max="3079" width="2.1640625" style="111" customWidth="1"/>
    <col min="3080" max="3080" width="6.33203125" style="111" customWidth="1"/>
    <col min="3081" max="3081" width="7.5" style="111" customWidth="1"/>
    <col min="3082" max="3082" width="5.33203125" style="111" customWidth="1"/>
    <col min="3083" max="3083" width="6.33203125" style="111" customWidth="1"/>
    <col min="3084" max="3084" width="7.5" style="111" customWidth="1"/>
    <col min="3085" max="3085" width="2.1640625" style="111" customWidth="1"/>
    <col min="3086" max="3086" width="6.33203125" style="111" customWidth="1"/>
    <col min="3087" max="3087" width="7.5" style="111" customWidth="1"/>
    <col min="3088" max="3088" width="2.1640625" style="111" customWidth="1"/>
    <col min="3089" max="3089" width="6.33203125" style="111" customWidth="1"/>
    <col min="3090" max="3090" width="7.5" style="111" customWidth="1"/>
    <col min="3091" max="3091" width="2.1640625" style="111" customWidth="1"/>
    <col min="3092" max="3092" width="3.5" style="111" customWidth="1"/>
    <col min="3093" max="3328" width="9.1640625" style="111"/>
    <col min="3329" max="3329" width="36.6640625" style="111" customWidth="1"/>
    <col min="3330" max="3330" width="6.33203125" style="111" customWidth="1"/>
    <col min="3331" max="3331" width="7.5" style="111" customWidth="1"/>
    <col min="3332" max="3332" width="2.1640625" style="111" customWidth="1"/>
    <col min="3333" max="3333" width="6.33203125" style="111" customWidth="1"/>
    <col min="3334" max="3334" width="7.5" style="111" customWidth="1"/>
    <col min="3335" max="3335" width="2.1640625" style="111" customWidth="1"/>
    <col min="3336" max="3336" width="6.33203125" style="111" customWidth="1"/>
    <col min="3337" max="3337" width="7.5" style="111" customWidth="1"/>
    <col min="3338" max="3338" width="5.33203125" style="111" customWidth="1"/>
    <col min="3339" max="3339" width="6.33203125" style="111" customWidth="1"/>
    <col min="3340" max="3340" width="7.5" style="111" customWidth="1"/>
    <col min="3341" max="3341" width="2.1640625" style="111" customWidth="1"/>
    <col min="3342" max="3342" width="6.33203125" style="111" customWidth="1"/>
    <col min="3343" max="3343" width="7.5" style="111" customWidth="1"/>
    <col min="3344" max="3344" width="2.1640625" style="111" customWidth="1"/>
    <col min="3345" max="3345" width="6.33203125" style="111" customWidth="1"/>
    <col min="3346" max="3346" width="7.5" style="111" customWidth="1"/>
    <col min="3347" max="3347" width="2.1640625" style="111" customWidth="1"/>
    <col min="3348" max="3348" width="3.5" style="111" customWidth="1"/>
    <col min="3349" max="3584" width="9.1640625" style="111"/>
    <col min="3585" max="3585" width="36.6640625" style="111" customWidth="1"/>
    <col min="3586" max="3586" width="6.33203125" style="111" customWidth="1"/>
    <col min="3587" max="3587" width="7.5" style="111" customWidth="1"/>
    <col min="3588" max="3588" width="2.1640625" style="111" customWidth="1"/>
    <col min="3589" max="3589" width="6.33203125" style="111" customWidth="1"/>
    <col min="3590" max="3590" width="7.5" style="111" customWidth="1"/>
    <col min="3591" max="3591" width="2.1640625" style="111" customWidth="1"/>
    <col min="3592" max="3592" width="6.33203125" style="111" customWidth="1"/>
    <col min="3593" max="3593" width="7.5" style="111" customWidth="1"/>
    <col min="3594" max="3594" width="5.33203125" style="111" customWidth="1"/>
    <col min="3595" max="3595" width="6.33203125" style="111" customWidth="1"/>
    <col min="3596" max="3596" width="7.5" style="111" customWidth="1"/>
    <col min="3597" max="3597" width="2.1640625" style="111" customWidth="1"/>
    <col min="3598" max="3598" width="6.33203125" style="111" customWidth="1"/>
    <col min="3599" max="3599" width="7.5" style="111" customWidth="1"/>
    <col min="3600" max="3600" width="2.1640625" style="111" customWidth="1"/>
    <col min="3601" max="3601" width="6.33203125" style="111" customWidth="1"/>
    <col min="3602" max="3602" width="7.5" style="111" customWidth="1"/>
    <col min="3603" max="3603" width="2.1640625" style="111" customWidth="1"/>
    <col min="3604" max="3604" width="3.5" style="111" customWidth="1"/>
    <col min="3605" max="3840" width="9.1640625" style="111"/>
    <col min="3841" max="3841" width="36.6640625" style="111" customWidth="1"/>
    <col min="3842" max="3842" width="6.33203125" style="111" customWidth="1"/>
    <col min="3843" max="3843" width="7.5" style="111" customWidth="1"/>
    <col min="3844" max="3844" width="2.1640625" style="111" customWidth="1"/>
    <col min="3845" max="3845" width="6.33203125" style="111" customWidth="1"/>
    <col min="3846" max="3846" width="7.5" style="111" customWidth="1"/>
    <col min="3847" max="3847" width="2.1640625" style="111" customWidth="1"/>
    <col min="3848" max="3848" width="6.33203125" style="111" customWidth="1"/>
    <col min="3849" max="3849" width="7.5" style="111" customWidth="1"/>
    <col min="3850" max="3850" width="5.33203125" style="111" customWidth="1"/>
    <col min="3851" max="3851" width="6.33203125" style="111" customWidth="1"/>
    <col min="3852" max="3852" width="7.5" style="111" customWidth="1"/>
    <col min="3853" max="3853" width="2.1640625" style="111" customWidth="1"/>
    <col min="3854" max="3854" width="6.33203125" style="111" customWidth="1"/>
    <col min="3855" max="3855" width="7.5" style="111" customWidth="1"/>
    <col min="3856" max="3856" width="2.1640625" style="111" customWidth="1"/>
    <col min="3857" max="3857" width="6.33203125" style="111" customWidth="1"/>
    <col min="3858" max="3858" width="7.5" style="111" customWidth="1"/>
    <col min="3859" max="3859" width="2.1640625" style="111" customWidth="1"/>
    <col min="3860" max="3860" width="3.5" style="111" customWidth="1"/>
    <col min="3861" max="4096" width="9.1640625" style="111"/>
    <col min="4097" max="4097" width="36.6640625" style="111" customWidth="1"/>
    <col min="4098" max="4098" width="6.33203125" style="111" customWidth="1"/>
    <col min="4099" max="4099" width="7.5" style="111" customWidth="1"/>
    <col min="4100" max="4100" width="2.1640625" style="111" customWidth="1"/>
    <col min="4101" max="4101" width="6.33203125" style="111" customWidth="1"/>
    <col min="4102" max="4102" width="7.5" style="111" customWidth="1"/>
    <col min="4103" max="4103" width="2.1640625" style="111" customWidth="1"/>
    <col min="4104" max="4104" width="6.33203125" style="111" customWidth="1"/>
    <col min="4105" max="4105" width="7.5" style="111" customWidth="1"/>
    <col min="4106" max="4106" width="5.33203125" style="111" customWidth="1"/>
    <col min="4107" max="4107" width="6.33203125" style="111" customWidth="1"/>
    <col min="4108" max="4108" width="7.5" style="111" customWidth="1"/>
    <col min="4109" max="4109" width="2.1640625" style="111" customWidth="1"/>
    <col min="4110" max="4110" width="6.33203125" style="111" customWidth="1"/>
    <col min="4111" max="4111" width="7.5" style="111" customWidth="1"/>
    <col min="4112" max="4112" width="2.1640625" style="111" customWidth="1"/>
    <col min="4113" max="4113" width="6.33203125" style="111" customWidth="1"/>
    <col min="4114" max="4114" width="7.5" style="111" customWidth="1"/>
    <col min="4115" max="4115" width="2.1640625" style="111" customWidth="1"/>
    <col min="4116" max="4116" width="3.5" style="111" customWidth="1"/>
    <col min="4117" max="4352" width="9.1640625" style="111"/>
    <col min="4353" max="4353" width="36.6640625" style="111" customWidth="1"/>
    <col min="4354" max="4354" width="6.33203125" style="111" customWidth="1"/>
    <col min="4355" max="4355" width="7.5" style="111" customWidth="1"/>
    <col min="4356" max="4356" width="2.1640625" style="111" customWidth="1"/>
    <col min="4357" max="4357" width="6.33203125" style="111" customWidth="1"/>
    <col min="4358" max="4358" width="7.5" style="111" customWidth="1"/>
    <col min="4359" max="4359" width="2.1640625" style="111" customWidth="1"/>
    <col min="4360" max="4360" width="6.33203125" style="111" customWidth="1"/>
    <col min="4361" max="4361" width="7.5" style="111" customWidth="1"/>
    <col min="4362" max="4362" width="5.33203125" style="111" customWidth="1"/>
    <col min="4363" max="4363" width="6.33203125" style="111" customWidth="1"/>
    <col min="4364" max="4364" width="7.5" style="111" customWidth="1"/>
    <col min="4365" max="4365" width="2.1640625" style="111" customWidth="1"/>
    <col min="4366" max="4366" width="6.33203125" style="111" customWidth="1"/>
    <col min="4367" max="4367" width="7.5" style="111" customWidth="1"/>
    <col min="4368" max="4368" width="2.1640625" style="111" customWidth="1"/>
    <col min="4369" max="4369" width="6.33203125" style="111" customWidth="1"/>
    <col min="4370" max="4370" width="7.5" style="111" customWidth="1"/>
    <col min="4371" max="4371" width="2.1640625" style="111" customWidth="1"/>
    <col min="4372" max="4372" width="3.5" style="111" customWidth="1"/>
    <col min="4373" max="4608" width="9.1640625" style="111"/>
    <col min="4609" max="4609" width="36.6640625" style="111" customWidth="1"/>
    <col min="4610" max="4610" width="6.33203125" style="111" customWidth="1"/>
    <col min="4611" max="4611" width="7.5" style="111" customWidth="1"/>
    <col min="4612" max="4612" width="2.1640625" style="111" customWidth="1"/>
    <col min="4613" max="4613" width="6.33203125" style="111" customWidth="1"/>
    <col min="4614" max="4614" width="7.5" style="111" customWidth="1"/>
    <col min="4615" max="4615" width="2.1640625" style="111" customWidth="1"/>
    <col min="4616" max="4616" width="6.33203125" style="111" customWidth="1"/>
    <col min="4617" max="4617" width="7.5" style="111" customWidth="1"/>
    <col min="4618" max="4618" width="5.33203125" style="111" customWidth="1"/>
    <col min="4619" max="4619" width="6.33203125" style="111" customWidth="1"/>
    <col min="4620" max="4620" width="7.5" style="111" customWidth="1"/>
    <col min="4621" max="4621" width="2.1640625" style="111" customWidth="1"/>
    <col min="4622" max="4622" width="6.33203125" style="111" customWidth="1"/>
    <col min="4623" max="4623" width="7.5" style="111" customWidth="1"/>
    <col min="4624" max="4624" width="2.1640625" style="111" customWidth="1"/>
    <col min="4625" max="4625" width="6.33203125" style="111" customWidth="1"/>
    <col min="4626" max="4626" width="7.5" style="111" customWidth="1"/>
    <col min="4627" max="4627" width="2.1640625" style="111" customWidth="1"/>
    <col min="4628" max="4628" width="3.5" style="111" customWidth="1"/>
    <col min="4629" max="4864" width="9.1640625" style="111"/>
    <col min="4865" max="4865" width="36.6640625" style="111" customWidth="1"/>
    <col min="4866" max="4866" width="6.33203125" style="111" customWidth="1"/>
    <col min="4867" max="4867" width="7.5" style="111" customWidth="1"/>
    <col min="4868" max="4868" width="2.1640625" style="111" customWidth="1"/>
    <col min="4869" max="4869" width="6.33203125" style="111" customWidth="1"/>
    <col min="4870" max="4870" width="7.5" style="111" customWidth="1"/>
    <col min="4871" max="4871" width="2.1640625" style="111" customWidth="1"/>
    <col min="4872" max="4872" width="6.33203125" style="111" customWidth="1"/>
    <col min="4873" max="4873" width="7.5" style="111" customWidth="1"/>
    <col min="4874" max="4874" width="5.33203125" style="111" customWidth="1"/>
    <col min="4875" max="4875" width="6.33203125" style="111" customWidth="1"/>
    <col min="4876" max="4876" width="7.5" style="111" customWidth="1"/>
    <col min="4877" max="4877" width="2.1640625" style="111" customWidth="1"/>
    <col min="4878" max="4878" width="6.33203125" style="111" customWidth="1"/>
    <col min="4879" max="4879" width="7.5" style="111" customWidth="1"/>
    <col min="4880" max="4880" width="2.1640625" style="111" customWidth="1"/>
    <col min="4881" max="4881" width="6.33203125" style="111" customWidth="1"/>
    <col min="4882" max="4882" width="7.5" style="111" customWidth="1"/>
    <col min="4883" max="4883" width="2.1640625" style="111" customWidth="1"/>
    <col min="4884" max="4884" width="3.5" style="111" customWidth="1"/>
    <col min="4885" max="5120" width="9.1640625" style="111"/>
    <col min="5121" max="5121" width="36.6640625" style="111" customWidth="1"/>
    <col min="5122" max="5122" width="6.33203125" style="111" customWidth="1"/>
    <col min="5123" max="5123" width="7.5" style="111" customWidth="1"/>
    <col min="5124" max="5124" width="2.1640625" style="111" customWidth="1"/>
    <col min="5125" max="5125" width="6.33203125" style="111" customWidth="1"/>
    <col min="5126" max="5126" width="7.5" style="111" customWidth="1"/>
    <col min="5127" max="5127" width="2.1640625" style="111" customWidth="1"/>
    <col min="5128" max="5128" width="6.33203125" style="111" customWidth="1"/>
    <col min="5129" max="5129" width="7.5" style="111" customWidth="1"/>
    <col min="5130" max="5130" width="5.33203125" style="111" customWidth="1"/>
    <col min="5131" max="5131" width="6.33203125" style="111" customWidth="1"/>
    <col min="5132" max="5132" width="7.5" style="111" customWidth="1"/>
    <col min="5133" max="5133" width="2.1640625" style="111" customWidth="1"/>
    <col min="5134" max="5134" width="6.33203125" style="111" customWidth="1"/>
    <col min="5135" max="5135" width="7.5" style="111" customWidth="1"/>
    <col min="5136" max="5136" width="2.1640625" style="111" customWidth="1"/>
    <col min="5137" max="5137" width="6.33203125" style="111" customWidth="1"/>
    <col min="5138" max="5138" width="7.5" style="111" customWidth="1"/>
    <col min="5139" max="5139" width="2.1640625" style="111" customWidth="1"/>
    <col min="5140" max="5140" width="3.5" style="111" customWidth="1"/>
    <col min="5141" max="5376" width="9.1640625" style="111"/>
    <col min="5377" max="5377" width="36.6640625" style="111" customWidth="1"/>
    <col min="5378" max="5378" width="6.33203125" style="111" customWidth="1"/>
    <col min="5379" max="5379" width="7.5" style="111" customWidth="1"/>
    <col min="5380" max="5380" width="2.1640625" style="111" customWidth="1"/>
    <col min="5381" max="5381" width="6.33203125" style="111" customWidth="1"/>
    <col min="5382" max="5382" width="7.5" style="111" customWidth="1"/>
    <col min="5383" max="5383" width="2.1640625" style="111" customWidth="1"/>
    <col min="5384" max="5384" width="6.33203125" style="111" customWidth="1"/>
    <col min="5385" max="5385" width="7.5" style="111" customWidth="1"/>
    <col min="5386" max="5386" width="5.33203125" style="111" customWidth="1"/>
    <col min="5387" max="5387" width="6.33203125" style="111" customWidth="1"/>
    <col min="5388" max="5388" width="7.5" style="111" customWidth="1"/>
    <col min="5389" max="5389" width="2.1640625" style="111" customWidth="1"/>
    <col min="5390" max="5390" width="6.33203125" style="111" customWidth="1"/>
    <col min="5391" max="5391" width="7.5" style="111" customWidth="1"/>
    <col min="5392" max="5392" width="2.1640625" style="111" customWidth="1"/>
    <col min="5393" max="5393" width="6.33203125" style="111" customWidth="1"/>
    <col min="5394" max="5394" width="7.5" style="111" customWidth="1"/>
    <col min="5395" max="5395" width="2.1640625" style="111" customWidth="1"/>
    <col min="5396" max="5396" width="3.5" style="111" customWidth="1"/>
    <col min="5397" max="5632" width="9.1640625" style="111"/>
    <col min="5633" max="5633" width="36.6640625" style="111" customWidth="1"/>
    <col min="5634" max="5634" width="6.33203125" style="111" customWidth="1"/>
    <col min="5635" max="5635" width="7.5" style="111" customWidth="1"/>
    <col min="5636" max="5636" width="2.1640625" style="111" customWidth="1"/>
    <col min="5637" max="5637" width="6.33203125" style="111" customWidth="1"/>
    <col min="5638" max="5638" width="7.5" style="111" customWidth="1"/>
    <col min="5639" max="5639" width="2.1640625" style="111" customWidth="1"/>
    <col min="5640" max="5640" width="6.33203125" style="111" customWidth="1"/>
    <col min="5641" max="5641" width="7.5" style="111" customWidth="1"/>
    <col min="5642" max="5642" width="5.33203125" style="111" customWidth="1"/>
    <col min="5643" max="5643" width="6.33203125" style="111" customWidth="1"/>
    <col min="5644" max="5644" width="7.5" style="111" customWidth="1"/>
    <col min="5645" max="5645" width="2.1640625" style="111" customWidth="1"/>
    <col min="5646" max="5646" width="6.33203125" style="111" customWidth="1"/>
    <col min="5647" max="5647" width="7.5" style="111" customWidth="1"/>
    <col min="5648" max="5648" width="2.1640625" style="111" customWidth="1"/>
    <col min="5649" max="5649" width="6.33203125" style="111" customWidth="1"/>
    <col min="5650" max="5650" width="7.5" style="111" customWidth="1"/>
    <col min="5651" max="5651" width="2.1640625" style="111" customWidth="1"/>
    <col min="5652" max="5652" width="3.5" style="111" customWidth="1"/>
    <col min="5653" max="5888" width="9.1640625" style="111"/>
    <col min="5889" max="5889" width="36.6640625" style="111" customWidth="1"/>
    <col min="5890" max="5890" width="6.33203125" style="111" customWidth="1"/>
    <col min="5891" max="5891" width="7.5" style="111" customWidth="1"/>
    <col min="5892" max="5892" width="2.1640625" style="111" customWidth="1"/>
    <col min="5893" max="5893" width="6.33203125" style="111" customWidth="1"/>
    <col min="5894" max="5894" width="7.5" style="111" customWidth="1"/>
    <col min="5895" max="5895" width="2.1640625" style="111" customWidth="1"/>
    <col min="5896" max="5896" width="6.33203125" style="111" customWidth="1"/>
    <col min="5897" max="5897" width="7.5" style="111" customWidth="1"/>
    <col min="5898" max="5898" width="5.33203125" style="111" customWidth="1"/>
    <col min="5899" max="5899" width="6.33203125" style="111" customWidth="1"/>
    <col min="5900" max="5900" width="7.5" style="111" customWidth="1"/>
    <col min="5901" max="5901" width="2.1640625" style="111" customWidth="1"/>
    <col min="5902" max="5902" width="6.33203125" style="111" customWidth="1"/>
    <col min="5903" max="5903" width="7.5" style="111" customWidth="1"/>
    <col min="5904" max="5904" width="2.1640625" style="111" customWidth="1"/>
    <col min="5905" max="5905" width="6.33203125" style="111" customWidth="1"/>
    <col min="5906" max="5906" width="7.5" style="111" customWidth="1"/>
    <col min="5907" max="5907" width="2.1640625" style="111" customWidth="1"/>
    <col min="5908" max="5908" width="3.5" style="111" customWidth="1"/>
    <col min="5909" max="6144" width="9.1640625" style="111"/>
    <col min="6145" max="6145" width="36.6640625" style="111" customWidth="1"/>
    <col min="6146" max="6146" width="6.33203125" style="111" customWidth="1"/>
    <col min="6147" max="6147" width="7.5" style="111" customWidth="1"/>
    <col min="6148" max="6148" width="2.1640625" style="111" customWidth="1"/>
    <col min="6149" max="6149" width="6.33203125" style="111" customWidth="1"/>
    <col min="6150" max="6150" width="7.5" style="111" customWidth="1"/>
    <col min="6151" max="6151" width="2.1640625" style="111" customWidth="1"/>
    <col min="6152" max="6152" width="6.33203125" style="111" customWidth="1"/>
    <col min="6153" max="6153" width="7.5" style="111" customWidth="1"/>
    <col min="6154" max="6154" width="5.33203125" style="111" customWidth="1"/>
    <col min="6155" max="6155" width="6.33203125" style="111" customWidth="1"/>
    <col min="6156" max="6156" width="7.5" style="111" customWidth="1"/>
    <col min="6157" max="6157" width="2.1640625" style="111" customWidth="1"/>
    <col min="6158" max="6158" width="6.33203125" style="111" customWidth="1"/>
    <col min="6159" max="6159" width="7.5" style="111" customWidth="1"/>
    <col min="6160" max="6160" width="2.1640625" style="111" customWidth="1"/>
    <col min="6161" max="6161" width="6.33203125" style="111" customWidth="1"/>
    <col min="6162" max="6162" width="7.5" style="111" customWidth="1"/>
    <col min="6163" max="6163" width="2.1640625" style="111" customWidth="1"/>
    <col min="6164" max="6164" width="3.5" style="111" customWidth="1"/>
    <col min="6165" max="6400" width="9.1640625" style="111"/>
    <col min="6401" max="6401" width="36.6640625" style="111" customWidth="1"/>
    <col min="6402" max="6402" width="6.33203125" style="111" customWidth="1"/>
    <col min="6403" max="6403" width="7.5" style="111" customWidth="1"/>
    <col min="6404" max="6404" width="2.1640625" style="111" customWidth="1"/>
    <col min="6405" max="6405" width="6.33203125" style="111" customWidth="1"/>
    <col min="6406" max="6406" width="7.5" style="111" customWidth="1"/>
    <col min="6407" max="6407" width="2.1640625" style="111" customWidth="1"/>
    <col min="6408" max="6408" width="6.33203125" style="111" customWidth="1"/>
    <col min="6409" max="6409" width="7.5" style="111" customWidth="1"/>
    <col min="6410" max="6410" width="5.33203125" style="111" customWidth="1"/>
    <col min="6411" max="6411" width="6.33203125" style="111" customWidth="1"/>
    <col min="6412" max="6412" width="7.5" style="111" customWidth="1"/>
    <col min="6413" max="6413" width="2.1640625" style="111" customWidth="1"/>
    <col min="6414" max="6414" width="6.33203125" style="111" customWidth="1"/>
    <col min="6415" max="6415" width="7.5" style="111" customWidth="1"/>
    <col min="6416" max="6416" width="2.1640625" style="111" customWidth="1"/>
    <col min="6417" max="6417" width="6.33203125" style="111" customWidth="1"/>
    <col min="6418" max="6418" width="7.5" style="111" customWidth="1"/>
    <col min="6419" max="6419" width="2.1640625" style="111" customWidth="1"/>
    <col min="6420" max="6420" width="3.5" style="111" customWidth="1"/>
    <col min="6421" max="6656" width="9.1640625" style="111"/>
    <col min="6657" max="6657" width="36.6640625" style="111" customWidth="1"/>
    <col min="6658" max="6658" width="6.33203125" style="111" customWidth="1"/>
    <col min="6659" max="6659" width="7.5" style="111" customWidth="1"/>
    <col min="6660" max="6660" width="2.1640625" style="111" customWidth="1"/>
    <col min="6661" max="6661" width="6.33203125" style="111" customWidth="1"/>
    <col min="6662" max="6662" width="7.5" style="111" customWidth="1"/>
    <col min="6663" max="6663" width="2.1640625" style="111" customWidth="1"/>
    <col min="6664" max="6664" width="6.33203125" style="111" customWidth="1"/>
    <col min="6665" max="6665" width="7.5" style="111" customWidth="1"/>
    <col min="6666" max="6666" width="5.33203125" style="111" customWidth="1"/>
    <col min="6667" max="6667" width="6.33203125" style="111" customWidth="1"/>
    <col min="6668" max="6668" width="7.5" style="111" customWidth="1"/>
    <col min="6669" max="6669" width="2.1640625" style="111" customWidth="1"/>
    <col min="6670" max="6670" width="6.33203125" style="111" customWidth="1"/>
    <col min="6671" max="6671" width="7.5" style="111" customWidth="1"/>
    <col min="6672" max="6672" width="2.1640625" style="111" customWidth="1"/>
    <col min="6673" max="6673" width="6.33203125" style="111" customWidth="1"/>
    <col min="6674" max="6674" width="7.5" style="111" customWidth="1"/>
    <col min="6675" max="6675" width="2.1640625" style="111" customWidth="1"/>
    <col min="6676" max="6676" width="3.5" style="111" customWidth="1"/>
    <col min="6677" max="6912" width="9.1640625" style="111"/>
    <col min="6913" max="6913" width="36.6640625" style="111" customWidth="1"/>
    <col min="6914" max="6914" width="6.33203125" style="111" customWidth="1"/>
    <col min="6915" max="6915" width="7.5" style="111" customWidth="1"/>
    <col min="6916" max="6916" width="2.1640625" style="111" customWidth="1"/>
    <col min="6917" max="6917" width="6.33203125" style="111" customWidth="1"/>
    <col min="6918" max="6918" width="7.5" style="111" customWidth="1"/>
    <col min="6919" max="6919" width="2.1640625" style="111" customWidth="1"/>
    <col min="6920" max="6920" width="6.33203125" style="111" customWidth="1"/>
    <col min="6921" max="6921" width="7.5" style="111" customWidth="1"/>
    <col min="6922" max="6922" width="5.33203125" style="111" customWidth="1"/>
    <col min="6923" max="6923" width="6.33203125" style="111" customWidth="1"/>
    <col min="6924" max="6924" width="7.5" style="111" customWidth="1"/>
    <col min="6925" max="6925" width="2.1640625" style="111" customWidth="1"/>
    <col min="6926" max="6926" width="6.33203125" style="111" customWidth="1"/>
    <col min="6927" max="6927" width="7.5" style="111" customWidth="1"/>
    <col min="6928" max="6928" width="2.1640625" style="111" customWidth="1"/>
    <col min="6929" max="6929" width="6.33203125" style="111" customWidth="1"/>
    <col min="6930" max="6930" width="7.5" style="111" customWidth="1"/>
    <col min="6931" max="6931" width="2.1640625" style="111" customWidth="1"/>
    <col min="6932" max="6932" width="3.5" style="111" customWidth="1"/>
    <col min="6933" max="7168" width="9.1640625" style="111"/>
    <col min="7169" max="7169" width="36.6640625" style="111" customWidth="1"/>
    <col min="7170" max="7170" width="6.33203125" style="111" customWidth="1"/>
    <col min="7171" max="7171" width="7.5" style="111" customWidth="1"/>
    <col min="7172" max="7172" width="2.1640625" style="111" customWidth="1"/>
    <col min="7173" max="7173" width="6.33203125" style="111" customWidth="1"/>
    <col min="7174" max="7174" width="7.5" style="111" customWidth="1"/>
    <col min="7175" max="7175" width="2.1640625" style="111" customWidth="1"/>
    <col min="7176" max="7176" width="6.33203125" style="111" customWidth="1"/>
    <col min="7177" max="7177" width="7.5" style="111" customWidth="1"/>
    <col min="7178" max="7178" width="5.33203125" style="111" customWidth="1"/>
    <col min="7179" max="7179" width="6.33203125" style="111" customWidth="1"/>
    <col min="7180" max="7180" width="7.5" style="111" customWidth="1"/>
    <col min="7181" max="7181" width="2.1640625" style="111" customWidth="1"/>
    <col min="7182" max="7182" width="6.33203125" style="111" customWidth="1"/>
    <col min="7183" max="7183" width="7.5" style="111" customWidth="1"/>
    <col min="7184" max="7184" width="2.1640625" style="111" customWidth="1"/>
    <col min="7185" max="7185" width="6.33203125" style="111" customWidth="1"/>
    <col min="7186" max="7186" width="7.5" style="111" customWidth="1"/>
    <col min="7187" max="7187" width="2.1640625" style="111" customWidth="1"/>
    <col min="7188" max="7188" width="3.5" style="111" customWidth="1"/>
    <col min="7189" max="7424" width="9.1640625" style="111"/>
    <col min="7425" max="7425" width="36.6640625" style="111" customWidth="1"/>
    <col min="7426" max="7426" width="6.33203125" style="111" customWidth="1"/>
    <col min="7427" max="7427" width="7.5" style="111" customWidth="1"/>
    <col min="7428" max="7428" width="2.1640625" style="111" customWidth="1"/>
    <col min="7429" max="7429" width="6.33203125" style="111" customWidth="1"/>
    <col min="7430" max="7430" width="7.5" style="111" customWidth="1"/>
    <col min="7431" max="7431" width="2.1640625" style="111" customWidth="1"/>
    <col min="7432" max="7432" width="6.33203125" style="111" customWidth="1"/>
    <col min="7433" max="7433" width="7.5" style="111" customWidth="1"/>
    <col min="7434" max="7434" width="5.33203125" style="111" customWidth="1"/>
    <col min="7435" max="7435" width="6.33203125" style="111" customWidth="1"/>
    <col min="7436" max="7436" width="7.5" style="111" customWidth="1"/>
    <col min="7437" max="7437" width="2.1640625" style="111" customWidth="1"/>
    <col min="7438" max="7438" width="6.33203125" style="111" customWidth="1"/>
    <col min="7439" max="7439" width="7.5" style="111" customWidth="1"/>
    <col min="7440" max="7440" width="2.1640625" style="111" customWidth="1"/>
    <col min="7441" max="7441" width="6.33203125" style="111" customWidth="1"/>
    <col min="7442" max="7442" width="7.5" style="111" customWidth="1"/>
    <col min="7443" max="7443" width="2.1640625" style="111" customWidth="1"/>
    <col min="7444" max="7444" width="3.5" style="111" customWidth="1"/>
    <col min="7445" max="7680" width="9.1640625" style="111"/>
    <col min="7681" max="7681" width="36.6640625" style="111" customWidth="1"/>
    <col min="7682" max="7682" width="6.33203125" style="111" customWidth="1"/>
    <col min="7683" max="7683" width="7.5" style="111" customWidth="1"/>
    <col min="7684" max="7684" width="2.1640625" style="111" customWidth="1"/>
    <col min="7685" max="7685" width="6.33203125" style="111" customWidth="1"/>
    <col min="7686" max="7686" width="7.5" style="111" customWidth="1"/>
    <col min="7687" max="7687" width="2.1640625" style="111" customWidth="1"/>
    <col min="7688" max="7688" width="6.33203125" style="111" customWidth="1"/>
    <col min="7689" max="7689" width="7.5" style="111" customWidth="1"/>
    <col min="7690" max="7690" width="5.33203125" style="111" customWidth="1"/>
    <col min="7691" max="7691" width="6.33203125" style="111" customWidth="1"/>
    <col min="7692" max="7692" width="7.5" style="111" customWidth="1"/>
    <col min="7693" max="7693" width="2.1640625" style="111" customWidth="1"/>
    <col min="7694" max="7694" width="6.33203125" style="111" customWidth="1"/>
    <col min="7695" max="7695" width="7.5" style="111" customWidth="1"/>
    <col min="7696" max="7696" width="2.1640625" style="111" customWidth="1"/>
    <col min="7697" max="7697" width="6.33203125" style="111" customWidth="1"/>
    <col min="7698" max="7698" width="7.5" style="111" customWidth="1"/>
    <col min="7699" max="7699" width="2.1640625" style="111" customWidth="1"/>
    <col min="7700" max="7700" width="3.5" style="111" customWidth="1"/>
    <col min="7701" max="7936" width="9.1640625" style="111"/>
    <col min="7937" max="7937" width="36.6640625" style="111" customWidth="1"/>
    <col min="7938" max="7938" width="6.33203125" style="111" customWidth="1"/>
    <col min="7939" max="7939" width="7.5" style="111" customWidth="1"/>
    <col min="7940" max="7940" width="2.1640625" style="111" customWidth="1"/>
    <col min="7941" max="7941" width="6.33203125" style="111" customWidth="1"/>
    <col min="7942" max="7942" width="7.5" style="111" customWidth="1"/>
    <col min="7943" max="7943" width="2.1640625" style="111" customWidth="1"/>
    <col min="7944" max="7944" width="6.33203125" style="111" customWidth="1"/>
    <col min="7945" max="7945" width="7.5" style="111" customWidth="1"/>
    <col min="7946" max="7946" width="5.33203125" style="111" customWidth="1"/>
    <col min="7947" max="7947" width="6.33203125" style="111" customWidth="1"/>
    <col min="7948" max="7948" width="7.5" style="111" customWidth="1"/>
    <col min="7949" max="7949" width="2.1640625" style="111" customWidth="1"/>
    <col min="7950" max="7950" width="6.33203125" style="111" customWidth="1"/>
    <col min="7951" max="7951" width="7.5" style="111" customWidth="1"/>
    <col min="7952" max="7952" width="2.1640625" style="111" customWidth="1"/>
    <col min="7953" max="7953" width="6.33203125" style="111" customWidth="1"/>
    <col min="7954" max="7954" width="7.5" style="111" customWidth="1"/>
    <col min="7955" max="7955" width="2.1640625" style="111" customWidth="1"/>
    <col min="7956" max="7956" width="3.5" style="111" customWidth="1"/>
    <col min="7957" max="8192" width="9.1640625" style="111"/>
    <col min="8193" max="8193" width="36.6640625" style="111" customWidth="1"/>
    <col min="8194" max="8194" width="6.33203125" style="111" customWidth="1"/>
    <col min="8195" max="8195" width="7.5" style="111" customWidth="1"/>
    <col min="8196" max="8196" width="2.1640625" style="111" customWidth="1"/>
    <col min="8197" max="8197" width="6.33203125" style="111" customWidth="1"/>
    <col min="8198" max="8198" width="7.5" style="111" customWidth="1"/>
    <col min="8199" max="8199" width="2.1640625" style="111" customWidth="1"/>
    <col min="8200" max="8200" width="6.33203125" style="111" customWidth="1"/>
    <col min="8201" max="8201" width="7.5" style="111" customWidth="1"/>
    <col min="8202" max="8202" width="5.33203125" style="111" customWidth="1"/>
    <col min="8203" max="8203" width="6.33203125" style="111" customWidth="1"/>
    <col min="8204" max="8204" width="7.5" style="111" customWidth="1"/>
    <col min="8205" max="8205" width="2.1640625" style="111" customWidth="1"/>
    <col min="8206" max="8206" width="6.33203125" style="111" customWidth="1"/>
    <col min="8207" max="8207" width="7.5" style="111" customWidth="1"/>
    <col min="8208" max="8208" width="2.1640625" style="111" customWidth="1"/>
    <col min="8209" max="8209" width="6.33203125" style="111" customWidth="1"/>
    <col min="8210" max="8210" width="7.5" style="111" customWidth="1"/>
    <col min="8211" max="8211" width="2.1640625" style="111" customWidth="1"/>
    <col min="8212" max="8212" width="3.5" style="111" customWidth="1"/>
    <col min="8213" max="8448" width="9.1640625" style="111"/>
    <col min="8449" max="8449" width="36.6640625" style="111" customWidth="1"/>
    <col min="8450" max="8450" width="6.33203125" style="111" customWidth="1"/>
    <col min="8451" max="8451" width="7.5" style="111" customWidth="1"/>
    <col min="8452" max="8452" width="2.1640625" style="111" customWidth="1"/>
    <col min="8453" max="8453" width="6.33203125" style="111" customWidth="1"/>
    <col min="8454" max="8454" width="7.5" style="111" customWidth="1"/>
    <col min="8455" max="8455" width="2.1640625" style="111" customWidth="1"/>
    <col min="8456" max="8456" width="6.33203125" style="111" customWidth="1"/>
    <col min="8457" max="8457" width="7.5" style="111" customWidth="1"/>
    <col min="8458" max="8458" width="5.33203125" style="111" customWidth="1"/>
    <col min="8459" max="8459" width="6.33203125" style="111" customWidth="1"/>
    <col min="8460" max="8460" width="7.5" style="111" customWidth="1"/>
    <col min="8461" max="8461" width="2.1640625" style="111" customWidth="1"/>
    <col min="8462" max="8462" width="6.33203125" style="111" customWidth="1"/>
    <col min="8463" max="8463" width="7.5" style="111" customWidth="1"/>
    <col min="8464" max="8464" width="2.1640625" style="111" customWidth="1"/>
    <col min="8465" max="8465" width="6.33203125" style="111" customWidth="1"/>
    <col min="8466" max="8466" width="7.5" style="111" customWidth="1"/>
    <col min="8467" max="8467" width="2.1640625" style="111" customWidth="1"/>
    <col min="8468" max="8468" width="3.5" style="111" customWidth="1"/>
    <col min="8469" max="8704" width="9.1640625" style="111"/>
    <col min="8705" max="8705" width="36.6640625" style="111" customWidth="1"/>
    <col min="8706" max="8706" width="6.33203125" style="111" customWidth="1"/>
    <col min="8707" max="8707" width="7.5" style="111" customWidth="1"/>
    <col min="8708" max="8708" width="2.1640625" style="111" customWidth="1"/>
    <col min="8709" max="8709" width="6.33203125" style="111" customWidth="1"/>
    <col min="8710" max="8710" width="7.5" style="111" customWidth="1"/>
    <col min="8711" max="8711" width="2.1640625" style="111" customWidth="1"/>
    <col min="8712" max="8712" width="6.33203125" style="111" customWidth="1"/>
    <col min="8713" max="8713" width="7.5" style="111" customWidth="1"/>
    <col min="8714" max="8714" width="5.33203125" style="111" customWidth="1"/>
    <col min="8715" max="8715" width="6.33203125" style="111" customWidth="1"/>
    <col min="8716" max="8716" width="7.5" style="111" customWidth="1"/>
    <col min="8717" max="8717" width="2.1640625" style="111" customWidth="1"/>
    <col min="8718" max="8718" width="6.33203125" style="111" customWidth="1"/>
    <col min="8719" max="8719" width="7.5" style="111" customWidth="1"/>
    <col min="8720" max="8720" width="2.1640625" style="111" customWidth="1"/>
    <col min="8721" max="8721" width="6.33203125" style="111" customWidth="1"/>
    <col min="8722" max="8722" width="7.5" style="111" customWidth="1"/>
    <col min="8723" max="8723" width="2.1640625" style="111" customWidth="1"/>
    <col min="8724" max="8724" width="3.5" style="111" customWidth="1"/>
    <col min="8725" max="8960" width="9.1640625" style="111"/>
    <col min="8961" max="8961" width="36.6640625" style="111" customWidth="1"/>
    <col min="8962" max="8962" width="6.33203125" style="111" customWidth="1"/>
    <col min="8963" max="8963" width="7.5" style="111" customWidth="1"/>
    <col min="8964" max="8964" width="2.1640625" style="111" customWidth="1"/>
    <col min="8965" max="8965" width="6.33203125" style="111" customWidth="1"/>
    <col min="8966" max="8966" width="7.5" style="111" customWidth="1"/>
    <col min="8967" max="8967" width="2.1640625" style="111" customWidth="1"/>
    <col min="8968" max="8968" width="6.33203125" style="111" customWidth="1"/>
    <col min="8969" max="8969" width="7.5" style="111" customWidth="1"/>
    <col min="8970" max="8970" width="5.33203125" style="111" customWidth="1"/>
    <col min="8971" max="8971" width="6.33203125" style="111" customWidth="1"/>
    <col min="8972" max="8972" width="7.5" style="111" customWidth="1"/>
    <col min="8973" max="8973" width="2.1640625" style="111" customWidth="1"/>
    <col min="8974" max="8974" width="6.33203125" style="111" customWidth="1"/>
    <col min="8975" max="8975" width="7.5" style="111" customWidth="1"/>
    <col min="8976" max="8976" width="2.1640625" style="111" customWidth="1"/>
    <col min="8977" max="8977" width="6.33203125" style="111" customWidth="1"/>
    <col min="8978" max="8978" width="7.5" style="111" customWidth="1"/>
    <col min="8979" max="8979" width="2.1640625" style="111" customWidth="1"/>
    <col min="8980" max="8980" width="3.5" style="111" customWidth="1"/>
    <col min="8981" max="9216" width="9.1640625" style="111"/>
    <col min="9217" max="9217" width="36.6640625" style="111" customWidth="1"/>
    <col min="9218" max="9218" width="6.33203125" style="111" customWidth="1"/>
    <col min="9219" max="9219" width="7.5" style="111" customWidth="1"/>
    <col min="9220" max="9220" width="2.1640625" style="111" customWidth="1"/>
    <col min="9221" max="9221" width="6.33203125" style="111" customWidth="1"/>
    <col min="9222" max="9222" width="7.5" style="111" customWidth="1"/>
    <col min="9223" max="9223" width="2.1640625" style="111" customWidth="1"/>
    <col min="9224" max="9224" width="6.33203125" style="111" customWidth="1"/>
    <col min="9225" max="9225" width="7.5" style="111" customWidth="1"/>
    <col min="9226" max="9226" width="5.33203125" style="111" customWidth="1"/>
    <col min="9227" max="9227" width="6.33203125" style="111" customWidth="1"/>
    <col min="9228" max="9228" width="7.5" style="111" customWidth="1"/>
    <col min="9229" max="9229" width="2.1640625" style="111" customWidth="1"/>
    <col min="9230" max="9230" width="6.33203125" style="111" customWidth="1"/>
    <col min="9231" max="9231" width="7.5" style="111" customWidth="1"/>
    <col min="9232" max="9232" width="2.1640625" style="111" customWidth="1"/>
    <col min="9233" max="9233" width="6.33203125" style="111" customWidth="1"/>
    <col min="9234" max="9234" width="7.5" style="111" customWidth="1"/>
    <col min="9235" max="9235" width="2.1640625" style="111" customWidth="1"/>
    <col min="9236" max="9236" width="3.5" style="111" customWidth="1"/>
    <col min="9237" max="9472" width="9.1640625" style="111"/>
    <col min="9473" max="9473" width="36.6640625" style="111" customWidth="1"/>
    <col min="9474" max="9474" width="6.33203125" style="111" customWidth="1"/>
    <col min="9475" max="9475" width="7.5" style="111" customWidth="1"/>
    <col min="9476" max="9476" width="2.1640625" style="111" customWidth="1"/>
    <col min="9477" max="9477" width="6.33203125" style="111" customWidth="1"/>
    <col min="9478" max="9478" width="7.5" style="111" customWidth="1"/>
    <col min="9479" max="9479" width="2.1640625" style="111" customWidth="1"/>
    <col min="9480" max="9480" width="6.33203125" style="111" customWidth="1"/>
    <col min="9481" max="9481" width="7.5" style="111" customWidth="1"/>
    <col min="9482" max="9482" width="5.33203125" style="111" customWidth="1"/>
    <col min="9483" max="9483" width="6.33203125" style="111" customWidth="1"/>
    <col min="9484" max="9484" width="7.5" style="111" customWidth="1"/>
    <col min="9485" max="9485" width="2.1640625" style="111" customWidth="1"/>
    <col min="9486" max="9486" width="6.33203125" style="111" customWidth="1"/>
    <col min="9487" max="9487" width="7.5" style="111" customWidth="1"/>
    <col min="9488" max="9488" width="2.1640625" style="111" customWidth="1"/>
    <col min="9489" max="9489" width="6.33203125" style="111" customWidth="1"/>
    <col min="9490" max="9490" width="7.5" style="111" customWidth="1"/>
    <col min="9491" max="9491" width="2.1640625" style="111" customWidth="1"/>
    <col min="9492" max="9492" width="3.5" style="111" customWidth="1"/>
    <col min="9493" max="9728" width="9.1640625" style="111"/>
    <col min="9729" max="9729" width="36.6640625" style="111" customWidth="1"/>
    <col min="9730" max="9730" width="6.33203125" style="111" customWidth="1"/>
    <col min="9731" max="9731" width="7.5" style="111" customWidth="1"/>
    <col min="9732" max="9732" width="2.1640625" style="111" customWidth="1"/>
    <col min="9733" max="9733" width="6.33203125" style="111" customWidth="1"/>
    <col min="9734" max="9734" width="7.5" style="111" customWidth="1"/>
    <col min="9735" max="9735" width="2.1640625" style="111" customWidth="1"/>
    <col min="9736" max="9736" width="6.33203125" style="111" customWidth="1"/>
    <col min="9737" max="9737" width="7.5" style="111" customWidth="1"/>
    <col min="9738" max="9738" width="5.33203125" style="111" customWidth="1"/>
    <col min="9739" max="9739" width="6.33203125" style="111" customWidth="1"/>
    <col min="9740" max="9740" width="7.5" style="111" customWidth="1"/>
    <col min="9741" max="9741" width="2.1640625" style="111" customWidth="1"/>
    <col min="9742" max="9742" width="6.33203125" style="111" customWidth="1"/>
    <col min="9743" max="9743" width="7.5" style="111" customWidth="1"/>
    <col min="9744" max="9744" width="2.1640625" style="111" customWidth="1"/>
    <col min="9745" max="9745" width="6.33203125" style="111" customWidth="1"/>
    <col min="9746" max="9746" width="7.5" style="111" customWidth="1"/>
    <col min="9747" max="9747" width="2.1640625" style="111" customWidth="1"/>
    <col min="9748" max="9748" width="3.5" style="111" customWidth="1"/>
    <col min="9749" max="9984" width="9.1640625" style="111"/>
    <col min="9985" max="9985" width="36.6640625" style="111" customWidth="1"/>
    <col min="9986" max="9986" width="6.33203125" style="111" customWidth="1"/>
    <col min="9987" max="9987" width="7.5" style="111" customWidth="1"/>
    <col min="9988" max="9988" width="2.1640625" style="111" customWidth="1"/>
    <col min="9989" max="9989" width="6.33203125" style="111" customWidth="1"/>
    <col min="9990" max="9990" width="7.5" style="111" customWidth="1"/>
    <col min="9991" max="9991" width="2.1640625" style="111" customWidth="1"/>
    <col min="9992" max="9992" width="6.33203125" style="111" customWidth="1"/>
    <col min="9993" max="9993" width="7.5" style="111" customWidth="1"/>
    <col min="9994" max="9994" width="5.33203125" style="111" customWidth="1"/>
    <col min="9995" max="9995" width="6.33203125" style="111" customWidth="1"/>
    <col min="9996" max="9996" width="7.5" style="111" customWidth="1"/>
    <col min="9997" max="9997" width="2.1640625" style="111" customWidth="1"/>
    <col min="9998" max="9998" width="6.33203125" style="111" customWidth="1"/>
    <col min="9999" max="9999" width="7.5" style="111" customWidth="1"/>
    <col min="10000" max="10000" width="2.1640625" style="111" customWidth="1"/>
    <col min="10001" max="10001" width="6.33203125" style="111" customWidth="1"/>
    <col min="10002" max="10002" width="7.5" style="111" customWidth="1"/>
    <col min="10003" max="10003" width="2.1640625" style="111" customWidth="1"/>
    <col min="10004" max="10004" width="3.5" style="111" customWidth="1"/>
    <col min="10005" max="10240" width="9.1640625" style="111"/>
    <col min="10241" max="10241" width="36.6640625" style="111" customWidth="1"/>
    <col min="10242" max="10242" width="6.33203125" style="111" customWidth="1"/>
    <col min="10243" max="10243" width="7.5" style="111" customWidth="1"/>
    <col min="10244" max="10244" width="2.1640625" style="111" customWidth="1"/>
    <col min="10245" max="10245" width="6.33203125" style="111" customWidth="1"/>
    <col min="10246" max="10246" width="7.5" style="111" customWidth="1"/>
    <col min="10247" max="10247" width="2.1640625" style="111" customWidth="1"/>
    <col min="10248" max="10248" width="6.33203125" style="111" customWidth="1"/>
    <col min="10249" max="10249" width="7.5" style="111" customWidth="1"/>
    <col min="10250" max="10250" width="5.33203125" style="111" customWidth="1"/>
    <col min="10251" max="10251" width="6.33203125" style="111" customWidth="1"/>
    <col min="10252" max="10252" width="7.5" style="111" customWidth="1"/>
    <col min="10253" max="10253" width="2.1640625" style="111" customWidth="1"/>
    <col min="10254" max="10254" width="6.33203125" style="111" customWidth="1"/>
    <col min="10255" max="10255" width="7.5" style="111" customWidth="1"/>
    <col min="10256" max="10256" width="2.1640625" style="111" customWidth="1"/>
    <col min="10257" max="10257" width="6.33203125" style="111" customWidth="1"/>
    <col min="10258" max="10258" width="7.5" style="111" customWidth="1"/>
    <col min="10259" max="10259" width="2.1640625" style="111" customWidth="1"/>
    <col min="10260" max="10260" width="3.5" style="111" customWidth="1"/>
    <col min="10261" max="10496" width="9.1640625" style="111"/>
    <col min="10497" max="10497" width="36.6640625" style="111" customWidth="1"/>
    <col min="10498" max="10498" width="6.33203125" style="111" customWidth="1"/>
    <col min="10499" max="10499" width="7.5" style="111" customWidth="1"/>
    <col min="10500" max="10500" width="2.1640625" style="111" customWidth="1"/>
    <col min="10501" max="10501" width="6.33203125" style="111" customWidth="1"/>
    <col min="10502" max="10502" width="7.5" style="111" customWidth="1"/>
    <col min="10503" max="10503" width="2.1640625" style="111" customWidth="1"/>
    <col min="10504" max="10504" width="6.33203125" style="111" customWidth="1"/>
    <col min="10505" max="10505" width="7.5" style="111" customWidth="1"/>
    <col min="10506" max="10506" width="5.33203125" style="111" customWidth="1"/>
    <col min="10507" max="10507" width="6.33203125" style="111" customWidth="1"/>
    <col min="10508" max="10508" width="7.5" style="111" customWidth="1"/>
    <col min="10509" max="10509" width="2.1640625" style="111" customWidth="1"/>
    <col min="10510" max="10510" width="6.33203125" style="111" customWidth="1"/>
    <col min="10511" max="10511" width="7.5" style="111" customWidth="1"/>
    <col min="10512" max="10512" width="2.1640625" style="111" customWidth="1"/>
    <col min="10513" max="10513" width="6.33203125" style="111" customWidth="1"/>
    <col min="10514" max="10514" width="7.5" style="111" customWidth="1"/>
    <col min="10515" max="10515" width="2.1640625" style="111" customWidth="1"/>
    <col min="10516" max="10516" width="3.5" style="111" customWidth="1"/>
    <col min="10517" max="10752" width="9.1640625" style="111"/>
    <col min="10753" max="10753" width="36.6640625" style="111" customWidth="1"/>
    <col min="10754" max="10754" width="6.33203125" style="111" customWidth="1"/>
    <col min="10755" max="10755" width="7.5" style="111" customWidth="1"/>
    <col min="10756" max="10756" width="2.1640625" style="111" customWidth="1"/>
    <col min="10757" max="10757" width="6.33203125" style="111" customWidth="1"/>
    <col min="10758" max="10758" width="7.5" style="111" customWidth="1"/>
    <col min="10759" max="10759" width="2.1640625" style="111" customWidth="1"/>
    <col min="10760" max="10760" width="6.33203125" style="111" customWidth="1"/>
    <col min="10761" max="10761" width="7.5" style="111" customWidth="1"/>
    <col min="10762" max="10762" width="5.33203125" style="111" customWidth="1"/>
    <col min="10763" max="10763" width="6.33203125" style="111" customWidth="1"/>
    <col min="10764" max="10764" width="7.5" style="111" customWidth="1"/>
    <col min="10765" max="10765" width="2.1640625" style="111" customWidth="1"/>
    <col min="10766" max="10766" width="6.33203125" style="111" customWidth="1"/>
    <col min="10767" max="10767" width="7.5" style="111" customWidth="1"/>
    <col min="10768" max="10768" width="2.1640625" style="111" customWidth="1"/>
    <col min="10769" max="10769" width="6.33203125" style="111" customWidth="1"/>
    <col min="10770" max="10770" width="7.5" style="111" customWidth="1"/>
    <col min="10771" max="10771" width="2.1640625" style="111" customWidth="1"/>
    <col min="10772" max="10772" width="3.5" style="111" customWidth="1"/>
    <col min="10773" max="11008" width="9.1640625" style="111"/>
    <col min="11009" max="11009" width="36.6640625" style="111" customWidth="1"/>
    <col min="11010" max="11010" width="6.33203125" style="111" customWidth="1"/>
    <col min="11011" max="11011" width="7.5" style="111" customWidth="1"/>
    <col min="11012" max="11012" width="2.1640625" style="111" customWidth="1"/>
    <col min="11013" max="11013" width="6.33203125" style="111" customWidth="1"/>
    <col min="11014" max="11014" width="7.5" style="111" customWidth="1"/>
    <col min="11015" max="11015" width="2.1640625" style="111" customWidth="1"/>
    <col min="11016" max="11016" width="6.33203125" style="111" customWidth="1"/>
    <col min="11017" max="11017" width="7.5" style="111" customWidth="1"/>
    <col min="11018" max="11018" width="5.33203125" style="111" customWidth="1"/>
    <col min="11019" max="11019" width="6.33203125" style="111" customWidth="1"/>
    <col min="11020" max="11020" width="7.5" style="111" customWidth="1"/>
    <col min="11021" max="11021" width="2.1640625" style="111" customWidth="1"/>
    <col min="11022" max="11022" width="6.33203125" style="111" customWidth="1"/>
    <col min="11023" max="11023" width="7.5" style="111" customWidth="1"/>
    <col min="11024" max="11024" width="2.1640625" style="111" customWidth="1"/>
    <col min="11025" max="11025" width="6.33203125" style="111" customWidth="1"/>
    <col min="11026" max="11026" width="7.5" style="111" customWidth="1"/>
    <col min="11027" max="11027" width="2.1640625" style="111" customWidth="1"/>
    <col min="11028" max="11028" width="3.5" style="111" customWidth="1"/>
    <col min="11029" max="11264" width="9.1640625" style="111"/>
    <col min="11265" max="11265" width="36.6640625" style="111" customWidth="1"/>
    <col min="11266" max="11266" width="6.33203125" style="111" customWidth="1"/>
    <col min="11267" max="11267" width="7.5" style="111" customWidth="1"/>
    <col min="11268" max="11268" width="2.1640625" style="111" customWidth="1"/>
    <col min="11269" max="11269" width="6.33203125" style="111" customWidth="1"/>
    <col min="11270" max="11270" width="7.5" style="111" customWidth="1"/>
    <col min="11271" max="11271" width="2.1640625" style="111" customWidth="1"/>
    <col min="11272" max="11272" width="6.33203125" style="111" customWidth="1"/>
    <col min="11273" max="11273" width="7.5" style="111" customWidth="1"/>
    <col min="11274" max="11274" width="5.33203125" style="111" customWidth="1"/>
    <col min="11275" max="11275" width="6.33203125" style="111" customWidth="1"/>
    <col min="11276" max="11276" width="7.5" style="111" customWidth="1"/>
    <col min="11277" max="11277" width="2.1640625" style="111" customWidth="1"/>
    <col min="11278" max="11278" width="6.33203125" style="111" customWidth="1"/>
    <col min="11279" max="11279" width="7.5" style="111" customWidth="1"/>
    <col min="11280" max="11280" width="2.1640625" style="111" customWidth="1"/>
    <col min="11281" max="11281" width="6.33203125" style="111" customWidth="1"/>
    <col min="11282" max="11282" width="7.5" style="111" customWidth="1"/>
    <col min="11283" max="11283" width="2.1640625" style="111" customWidth="1"/>
    <col min="11284" max="11284" width="3.5" style="111" customWidth="1"/>
    <col min="11285" max="11520" width="9.1640625" style="111"/>
    <col min="11521" max="11521" width="36.6640625" style="111" customWidth="1"/>
    <col min="11522" max="11522" width="6.33203125" style="111" customWidth="1"/>
    <col min="11523" max="11523" width="7.5" style="111" customWidth="1"/>
    <col min="11524" max="11524" width="2.1640625" style="111" customWidth="1"/>
    <col min="11525" max="11525" width="6.33203125" style="111" customWidth="1"/>
    <col min="11526" max="11526" width="7.5" style="111" customWidth="1"/>
    <col min="11527" max="11527" width="2.1640625" style="111" customWidth="1"/>
    <col min="11528" max="11528" width="6.33203125" style="111" customWidth="1"/>
    <col min="11529" max="11529" width="7.5" style="111" customWidth="1"/>
    <col min="11530" max="11530" width="5.33203125" style="111" customWidth="1"/>
    <col min="11531" max="11531" width="6.33203125" style="111" customWidth="1"/>
    <col min="11532" max="11532" width="7.5" style="111" customWidth="1"/>
    <col min="11533" max="11533" width="2.1640625" style="111" customWidth="1"/>
    <col min="11534" max="11534" width="6.33203125" style="111" customWidth="1"/>
    <col min="11535" max="11535" width="7.5" style="111" customWidth="1"/>
    <col min="11536" max="11536" width="2.1640625" style="111" customWidth="1"/>
    <col min="11537" max="11537" width="6.33203125" style="111" customWidth="1"/>
    <col min="11538" max="11538" width="7.5" style="111" customWidth="1"/>
    <col min="11539" max="11539" width="2.1640625" style="111" customWidth="1"/>
    <col min="11540" max="11540" width="3.5" style="111" customWidth="1"/>
    <col min="11541" max="11776" width="9.1640625" style="111"/>
    <col min="11777" max="11777" width="36.6640625" style="111" customWidth="1"/>
    <col min="11778" max="11778" width="6.33203125" style="111" customWidth="1"/>
    <col min="11779" max="11779" width="7.5" style="111" customWidth="1"/>
    <col min="11780" max="11780" width="2.1640625" style="111" customWidth="1"/>
    <col min="11781" max="11781" width="6.33203125" style="111" customWidth="1"/>
    <col min="11782" max="11782" width="7.5" style="111" customWidth="1"/>
    <col min="11783" max="11783" width="2.1640625" style="111" customWidth="1"/>
    <col min="11784" max="11784" width="6.33203125" style="111" customWidth="1"/>
    <col min="11785" max="11785" width="7.5" style="111" customWidth="1"/>
    <col min="11786" max="11786" width="5.33203125" style="111" customWidth="1"/>
    <col min="11787" max="11787" width="6.33203125" style="111" customWidth="1"/>
    <col min="11788" max="11788" width="7.5" style="111" customWidth="1"/>
    <col min="11789" max="11789" width="2.1640625" style="111" customWidth="1"/>
    <col min="11790" max="11790" width="6.33203125" style="111" customWidth="1"/>
    <col min="11791" max="11791" width="7.5" style="111" customWidth="1"/>
    <col min="11792" max="11792" width="2.1640625" style="111" customWidth="1"/>
    <col min="11793" max="11793" width="6.33203125" style="111" customWidth="1"/>
    <col min="11794" max="11794" width="7.5" style="111" customWidth="1"/>
    <col min="11795" max="11795" width="2.1640625" style="111" customWidth="1"/>
    <col min="11796" max="11796" width="3.5" style="111" customWidth="1"/>
    <col min="11797" max="12032" width="9.1640625" style="111"/>
    <col min="12033" max="12033" width="36.6640625" style="111" customWidth="1"/>
    <col min="12034" max="12034" width="6.33203125" style="111" customWidth="1"/>
    <col min="12035" max="12035" width="7.5" style="111" customWidth="1"/>
    <col min="12036" max="12036" width="2.1640625" style="111" customWidth="1"/>
    <col min="12037" max="12037" width="6.33203125" style="111" customWidth="1"/>
    <col min="12038" max="12038" width="7.5" style="111" customWidth="1"/>
    <col min="12039" max="12039" width="2.1640625" style="111" customWidth="1"/>
    <col min="12040" max="12040" width="6.33203125" style="111" customWidth="1"/>
    <col min="12041" max="12041" width="7.5" style="111" customWidth="1"/>
    <col min="12042" max="12042" width="5.33203125" style="111" customWidth="1"/>
    <col min="12043" max="12043" width="6.33203125" style="111" customWidth="1"/>
    <col min="12044" max="12044" width="7.5" style="111" customWidth="1"/>
    <col min="12045" max="12045" width="2.1640625" style="111" customWidth="1"/>
    <col min="12046" max="12046" width="6.33203125" style="111" customWidth="1"/>
    <col min="12047" max="12047" width="7.5" style="111" customWidth="1"/>
    <col min="12048" max="12048" width="2.1640625" style="111" customWidth="1"/>
    <col min="12049" max="12049" width="6.33203125" style="111" customWidth="1"/>
    <col min="12050" max="12050" width="7.5" style="111" customWidth="1"/>
    <col min="12051" max="12051" width="2.1640625" style="111" customWidth="1"/>
    <col min="12052" max="12052" width="3.5" style="111" customWidth="1"/>
    <col min="12053" max="12288" width="9.1640625" style="111"/>
    <col min="12289" max="12289" width="36.6640625" style="111" customWidth="1"/>
    <col min="12290" max="12290" width="6.33203125" style="111" customWidth="1"/>
    <col min="12291" max="12291" width="7.5" style="111" customWidth="1"/>
    <col min="12292" max="12292" width="2.1640625" style="111" customWidth="1"/>
    <col min="12293" max="12293" width="6.33203125" style="111" customWidth="1"/>
    <col min="12294" max="12294" width="7.5" style="111" customWidth="1"/>
    <col min="12295" max="12295" width="2.1640625" style="111" customWidth="1"/>
    <col min="12296" max="12296" width="6.33203125" style="111" customWidth="1"/>
    <col min="12297" max="12297" width="7.5" style="111" customWidth="1"/>
    <col min="12298" max="12298" width="5.33203125" style="111" customWidth="1"/>
    <col min="12299" max="12299" width="6.33203125" style="111" customWidth="1"/>
    <col min="12300" max="12300" width="7.5" style="111" customWidth="1"/>
    <col min="12301" max="12301" width="2.1640625" style="111" customWidth="1"/>
    <col min="12302" max="12302" width="6.33203125" style="111" customWidth="1"/>
    <col min="12303" max="12303" width="7.5" style="111" customWidth="1"/>
    <col min="12304" max="12304" width="2.1640625" style="111" customWidth="1"/>
    <col min="12305" max="12305" width="6.33203125" style="111" customWidth="1"/>
    <col min="12306" max="12306" width="7.5" style="111" customWidth="1"/>
    <col min="12307" max="12307" width="2.1640625" style="111" customWidth="1"/>
    <col min="12308" max="12308" width="3.5" style="111" customWidth="1"/>
    <col min="12309" max="12544" width="9.1640625" style="111"/>
    <col min="12545" max="12545" width="36.6640625" style="111" customWidth="1"/>
    <col min="12546" max="12546" width="6.33203125" style="111" customWidth="1"/>
    <col min="12547" max="12547" width="7.5" style="111" customWidth="1"/>
    <col min="12548" max="12548" width="2.1640625" style="111" customWidth="1"/>
    <col min="12549" max="12549" width="6.33203125" style="111" customWidth="1"/>
    <col min="12550" max="12550" width="7.5" style="111" customWidth="1"/>
    <col min="12551" max="12551" width="2.1640625" style="111" customWidth="1"/>
    <col min="12552" max="12552" width="6.33203125" style="111" customWidth="1"/>
    <col min="12553" max="12553" width="7.5" style="111" customWidth="1"/>
    <col min="12554" max="12554" width="5.33203125" style="111" customWidth="1"/>
    <col min="12555" max="12555" width="6.33203125" style="111" customWidth="1"/>
    <col min="12556" max="12556" width="7.5" style="111" customWidth="1"/>
    <col min="12557" max="12557" width="2.1640625" style="111" customWidth="1"/>
    <col min="12558" max="12558" width="6.33203125" style="111" customWidth="1"/>
    <col min="12559" max="12559" width="7.5" style="111" customWidth="1"/>
    <col min="12560" max="12560" width="2.1640625" style="111" customWidth="1"/>
    <col min="12561" max="12561" width="6.33203125" style="111" customWidth="1"/>
    <col min="12562" max="12562" width="7.5" style="111" customWidth="1"/>
    <col min="12563" max="12563" width="2.1640625" style="111" customWidth="1"/>
    <col min="12564" max="12564" width="3.5" style="111" customWidth="1"/>
    <col min="12565" max="12800" width="9.1640625" style="111"/>
    <col min="12801" max="12801" width="36.6640625" style="111" customWidth="1"/>
    <col min="12802" max="12802" width="6.33203125" style="111" customWidth="1"/>
    <col min="12803" max="12803" width="7.5" style="111" customWidth="1"/>
    <col min="12804" max="12804" width="2.1640625" style="111" customWidth="1"/>
    <col min="12805" max="12805" width="6.33203125" style="111" customWidth="1"/>
    <col min="12806" max="12806" width="7.5" style="111" customWidth="1"/>
    <col min="12807" max="12807" width="2.1640625" style="111" customWidth="1"/>
    <col min="12808" max="12808" width="6.33203125" style="111" customWidth="1"/>
    <col min="12809" max="12809" width="7.5" style="111" customWidth="1"/>
    <col min="12810" max="12810" width="5.33203125" style="111" customWidth="1"/>
    <col min="12811" max="12811" width="6.33203125" style="111" customWidth="1"/>
    <col min="12812" max="12812" width="7.5" style="111" customWidth="1"/>
    <col min="12813" max="12813" width="2.1640625" style="111" customWidth="1"/>
    <col min="12814" max="12814" width="6.33203125" style="111" customWidth="1"/>
    <col min="12815" max="12815" width="7.5" style="111" customWidth="1"/>
    <col min="12816" max="12816" width="2.1640625" style="111" customWidth="1"/>
    <col min="12817" max="12817" width="6.33203125" style="111" customWidth="1"/>
    <col min="12818" max="12818" width="7.5" style="111" customWidth="1"/>
    <col min="12819" max="12819" width="2.1640625" style="111" customWidth="1"/>
    <col min="12820" max="12820" width="3.5" style="111" customWidth="1"/>
    <col min="12821" max="13056" width="9.1640625" style="111"/>
    <col min="13057" max="13057" width="36.6640625" style="111" customWidth="1"/>
    <col min="13058" max="13058" width="6.33203125" style="111" customWidth="1"/>
    <col min="13059" max="13059" width="7.5" style="111" customWidth="1"/>
    <col min="13060" max="13060" width="2.1640625" style="111" customWidth="1"/>
    <col min="13061" max="13061" width="6.33203125" style="111" customWidth="1"/>
    <col min="13062" max="13062" width="7.5" style="111" customWidth="1"/>
    <col min="13063" max="13063" width="2.1640625" style="111" customWidth="1"/>
    <col min="13064" max="13064" width="6.33203125" style="111" customWidth="1"/>
    <col min="13065" max="13065" width="7.5" style="111" customWidth="1"/>
    <col min="13066" max="13066" width="5.33203125" style="111" customWidth="1"/>
    <col min="13067" max="13067" width="6.33203125" style="111" customWidth="1"/>
    <col min="13068" max="13068" width="7.5" style="111" customWidth="1"/>
    <col min="13069" max="13069" width="2.1640625" style="111" customWidth="1"/>
    <col min="13070" max="13070" width="6.33203125" style="111" customWidth="1"/>
    <col min="13071" max="13071" width="7.5" style="111" customWidth="1"/>
    <col min="13072" max="13072" width="2.1640625" style="111" customWidth="1"/>
    <col min="13073" max="13073" width="6.33203125" style="111" customWidth="1"/>
    <col min="13074" max="13074" width="7.5" style="111" customWidth="1"/>
    <col min="13075" max="13075" width="2.1640625" style="111" customWidth="1"/>
    <col min="13076" max="13076" width="3.5" style="111" customWidth="1"/>
    <col min="13077" max="13312" width="9.1640625" style="111"/>
    <col min="13313" max="13313" width="36.6640625" style="111" customWidth="1"/>
    <col min="13314" max="13314" width="6.33203125" style="111" customWidth="1"/>
    <col min="13315" max="13315" width="7.5" style="111" customWidth="1"/>
    <col min="13316" max="13316" width="2.1640625" style="111" customWidth="1"/>
    <col min="13317" max="13317" width="6.33203125" style="111" customWidth="1"/>
    <col min="13318" max="13318" width="7.5" style="111" customWidth="1"/>
    <col min="13319" max="13319" width="2.1640625" style="111" customWidth="1"/>
    <col min="13320" max="13320" width="6.33203125" style="111" customWidth="1"/>
    <col min="13321" max="13321" width="7.5" style="111" customWidth="1"/>
    <col min="13322" max="13322" width="5.33203125" style="111" customWidth="1"/>
    <col min="13323" max="13323" width="6.33203125" style="111" customWidth="1"/>
    <col min="13324" max="13324" width="7.5" style="111" customWidth="1"/>
    <col min="13325" max="13325" width="2.1640625" style="111" customWidth="1"/>
    <col min="13326" max="13326" width="6.33203125" style="111" customWidth="1"/>
    <col min="13327" max="13327" width="7.5" style="111" customWidth="1"/>
    <col min="13328" max="13328" width="2.1640625" style="111" customWidth="1"/>
    <col min="13329" max="13329" width="6.33203125" style="111" customWidth="1"/>
    <col min="13330" max="13330" width="7.5" style="111" customWidth="1"/>
    <col min="13331" max="13331" width="2.1640625" style="111" customWidth="1"/>
    <col min="13332" max="13332" width="3.5" style="111" customWidth="1"/>
    <col min="13333" max="13568" width="9.1640625" style="111"/>
    <col min="13569" max="13569" width="36.6640625" style="111" customWidth="1"/>
    <col min="13570" max="13570" width="6.33203125" style="111" customWidth="1"/>
    <col min="13571" max="13571" width="7.5" style="111" customWidth="1"/>
    <col min="13572" max="13572" width="2.1640625" style="111" customWidth="1"/>
    <col min="13573" max="13573" width="6.33203125" style="111" customWidth="1"/>
    <col min="13574" max="13574" width="7.5" style="111" customWidth="1"/>
    <col min="13575" max="13575" width="2.1640625" style="111" customWidth="1"/>
    <col min="13576" max="13576" width="6.33203125" style="111" customWidth="1"/>
    <col min="13577" max="13577" width="7.5" style="111" customWidth="1"/>
    <col min="13578" max="13578" width="5.33203125" style="111" customWidth="1"/>
    <col min="13579" max="13579" width="6.33203125" style="111" customWidth="1"/>
    <col min="13580" max="13580" width="7.5" style="111" customWidth="1"/>
    <col min="13581" max="13581" width="2.1640625" style="111" customWidth="1"/>
    <col min="13582" max="13582" width="6.33203125" style="111" customWidth="1"/>
    <col min="13583" max="13583" width="7.5" style="111" customWidth="1"/>
    <col min="13584" max="13584" width="2.1640625" style="111" customWidth="1"/>
    <col min="13585" max="13585" width="6.33203125" style="111" customWidth="1"/>
    <col min="13586" max="13586" width="7.5" style="111" customWidth="1"/>
    <col min="13587" max="13587" width="2.1640625" style="111" customWidth="1"/>
    <col min="13588" max="13588" width="3.5" style="111" customWidth="1"/>
    <col min="13589" max="13824" width="9.1640625" style="111"/>
    <col min="13825" max="13825" width="36.6640625" style="111" customWidth="1"/>
    <col min="13826" max="13826" width="6.33203125" style="111" customWidth="1"/>
    <col min="13827" max="13827" width="7.5" style="111" customWidth="1"/>
    <col min="13828" max="13828" width="2.1640625" style="111" customWidth="1"/>
    <col min="13829" max="13829" width="6.33203125" style="111" customWidth="1"/>
    <col min="13830" max="13830" width="7.5" style="111" customWidth="1"/>
    <col min="13831" max="13831" width="2.1640625" style="111" customWidth="1"/>
    <col min="13832" max="13832" width="6.33203125" style="111" customWidth="1"/>
    <col min="13833" max="13833" width="7.5" style="111" customWidth="1"/>
    <col min="13834" max="13834" width="5.33203125" style="111" customWidth="1"/>
    <col min="13835" max="13835" width="6.33203125" style="111" customWidth="1"/>
    <col min="13836" max="13836" width="7.5" style="111" customWidth="1"/>
    <col min="13837" max="13837" width="2.1640625" style="111" customWidth="1"/>
    <col min="13838" max="13838" width="6.33203125" style="111" customWidth="1"/>
    <col min="13839" max="13839" width="7.5" style="111" customWidth="1"/>
    <col min="13840" max="13840" width="2.1640625" style="111" customWidth="1"/>
    <col min="13841" max="13841" width="6.33203125" style="111" customWidth="1"/>
    <col min="13842" max="13842" width="7.5" style="111" customWidth="1"/>
    <col min="13843" max="13843" width="2.1640625" style="111" customWidth="1"/>
    <col min="13844" max="13844" width="3.5" style="111" customWidth="1"/>
    <col min="13845" max="14080" width="9.1640625" style="111"/>
    <col min="14081" max="14081" width="36.6640625" style="111" customWidth="1"/>
    <col min="14082" max="14082" width="6.33203125" style="111" customWidth="1"/>
    <col min="14083" max="14083" width="7.5" style="111" customWidth="1"/>
    <col min="14084" max="14084" width="2.1640625" style="111" customWidth="1"/>
    <col min="14085" max="14085" width="6.33203125" style="111" customWidth="1"/>
    <col min="14086" max="14086" width="7.5" style="111" customWidth="1"/>
    <col min="14087" max="14087" width="2.1640625" style="111" customWidth="1"/>
    <col min="14088" max="14088" width="6.33203125" style="111" customWidth="1"/>
    <col min="14089" max="14089" width="7.5" style="111" customWidth="1"/>
    <col min="14090" max="14090" width="5.33203125" style="111" customWidth="1"/>
    <col min="14091" max="14091" width="6.33203125" style="111" customWidth="1"/>
    <col min="14092" max="14092" width="7.5" style="111" customWidth="1"/>
    <col min="14093" max="14093" width="2.1640625" style="111" customWidth="1"/>
    <col min="14094" max="14094" width="6.33203125" style="111" customWidth="1"/>
    <col min="14095" max="14095" width="7.5" style="111" customWidth="1"/>
    <col min="14096" max="14096" width="2.1640625" style="111" customWidth="1"/>
    <col min="14097" max="14097" width="6.33203125" style="111" customWidth="1"/>
    <col min="14098" max="14098" width="7.5" style="111" customWidth="1"/>
    <col min="14099" max="14099" width="2.1640625" style="111" customWidth="1"/>
    <col min="14100" max="14100" width="3.5" style="111" customWidth="1"/>
    <col min="14101" max="14336" width="9.1640625" style="111"/>
    <col min="14337" max="14337" width="36.6640625" style="111" customWidth="1"/>
    <col min="14338" max="14338" width="6.33203125" style="111" customWidth="1"/>
    <col min="14339" max="14339" width="7.5" style="111" customWidth="1"/>
    <col min="14340" max="14340" width="2.1640625" style="111" customWidth="1"/>
    <col min="14341" max="14341" width="6.33203125" style="111" customWidth="1"/>
    <col min="14342" max="14342" width="7.5" style="111" customWidth="1"/>
    <col min="14343" max="14343" width="2.1640625" style="111" customWidth="1"/>
    <col min="14344" max="14344" width="6.33203125" style="111" customWidth="1"/>
    <col min="14345" max="14345" width="7.5" style="111" customWidth="1"/>
    <col min="14346" max="14346" width="5.33203125" style="111" customWidth="1"/>
    <col min="14347" max="14347" width="6.33203125" style="111" customWidth="1"/>
    <col min="14348" max="14348" width="7.5" style="111" customWidth="1"/>
    <col min="14349" max="14349" width="2.1640625" style="111" customWidth="1"/>
    <col min="14350" max="14350" width="6.33203125" style="111" customWidth="1"/>
    <col min="14351" max="14351" width="7.5" style="111" customWidth="1"/>
    <col min="14352" max="14352" width="2.1640625" style="111" customWidth="1"/>
    <col min="14353" max="14353" width="6.33203125" style="111" customWidth="1"/>
    <col min="14354" max="14354" width="7.5" style="111" customWidth="1"/>
    <col min="14355" max="14355" width="2.1640625" style="111" customWidth="1"/>
    <col min="14356" max="14356" width="3.5" style="111" customWidth="1"/>
    <col min="14357" max="14592" width="9.1640625" style="111"/>
    <col min="14593" max="14593" width="36.6640625" style="111" customWidth="1"/>
    <col min="14594" max="14594" width="6.33203125" style="111" customWidth="1"/>
    <col min="14595" max="14595" width="7.5" style="111" customWidth="1"/>
    <col min="14596" max="14596" width="2.1640625" style="111" customWidth="1"/>
    <col min="14597" max="14597" width="6.33203125" style="111" customWidth="1"/>
    <col min="14598" max="14598" width="7.5" style="111" customWidth="1"/>
    <col min="14599" max="14599" width="2.1640625" style="111" customWidth="1"/>
    <col min="14600" max="14600" width="6.33203125" style="111" customWidth="1"/>
    <col min="14601" max="14601" width="7.5" style="111" customWidth="1"/>
    <col min="14602" max="14602" width="5.33203125" style="111" customWidth="1"/>
    <col min="14603" max="14603" width="6.33203125" style="111" customWidth="1"/>
    <col min="14604" max="14604" width="7.5" style="111" customWidth="1"/>
    <col min="14605" max="14605" width="2.1640625" style="111" customWidth="1"/>
    <col min="14606" max="14606" width="6.33203125" style="111" customWidth="1"/>
    <col min="14607" max="14607" width="7.5" style="111" customWidth="1"/>
    <col min="14608" max="14608" width="2.1640625" style="111" customWidth="1"/>
    <col min="14609" max="14609" width="6.33203125" style="111" customWidth="1"/>
    <col min="14610" max="14610" width="7.5" style="111" customWidth="1"/>
    <col min="14611" max="14611" width="2.1640625" style="111" customWidth="1"/>
    <col min="14612" max="14612" width="3.5" style="111" customWidth="1"/>
    <col min="14613" max="14848" width="9.1640625" style="111"/>
    <col min="14849" max="14849" width="36.6640625" style="111" customWidth="1"/>
    <col min="14850" max="14850" width="6.33203125" style="111" customWidth="1"/>
    <col min="14851" max="14851" width="7.5" style="111" customWidth="1"/>
    <col min="14852" max="14852" width="2.1640625" style="111" customWidth="1"/>
    <col min="14853" max="14853" width="6.33203125" style="111" customWidth="1"/>
    <col min="14854" max="14854" width="7.5" style="111" customWidth="1"/>
    <col min="14855" max="14855" width="2.1640625" style="111" customWidth="1"/>
    <col min="14856" max="14856" width="6.33203125" style="111" customWidth="1"/>
    <col min="14857" max="14857" width="7.5" style="111" customWidth="1"/>
    <col min="14858" max="14858" width="5.33203125" style="111" customWidth="1"/>
    <col min="14859" max="14859" width="6.33203125" style="111" customWidth="1"/>
    <col min="14860" max="14860" width="7.5" style="111" customWidth="1"/>
    <col min="14861" max="14861" width="2.1640625" style="111" customWidth="1"/>
    <col min="14862" max="14862" width="6.33203125" style="111" customWidth="1"/>
    <col min="14863" max="14863" width="7.5" style="111" customWidth="1"/>
    <col min="14864" max="14864" width="2.1640625" style="111" customWidth="1"/>
    <col min="14865" max="14865" width="6.33203125" style="111" customWidth="1"/>
    <col min="14866" max="14866" width="7.5" style="111" customWidth="1"/>
    <col min="14867" max="14867" width="2.1640625" style="111" customWidth="1"/>
    <col min="14868" max="14868" width="3.5" style="111" customWidth="1"/>
    <col min="14869" max="15104" width="9.1640625" style="111"/>
    <col min="15105" max="15105" width="36.6640625" style="111" customWidth="1"/>
    <col min="15106" max="15106" width="6.33203125" style="111" customWidth="1"/>
    <col min="15107" max="15107" width="7.5" style="111" customWidth="1"/>
    <col min="15108" max="15108" width="2.1640625" style="111" customWidth="1"/>
    <col min="15109" max="15109" width="6.33203125" style="111" customWidth="1"/>
    <col min="15110" max="15110" width="7.5" style="111" customWidth="1"/>
    <col min="15111" max="15111" width="2.1640625" style="111" customWidth="1"/>
    <col min="15112" max="15112" width="6.33203125" style="111" customWidth="1"/>
    <col min="15113" max="15113" width="7.5" style="111" customWidth="1"/>
    <col min="15114" max="15114" width="5.33203125" style="111" customWidth="1"/>
    <col min="15115" max="15115" width="6.33203125" style="111" customWidth="1"/>
    <col min="15116" max="15116" width="7.5" style="111" customWidth="1"/>
    <col min="15117" max="15117" width="2.1640625" style="111" customWidth="1"/>
    <col min="15118" max="15118" width="6.33203125" style="111" customWidth="1"/>
    <col min="15119" max="15119" width="7.5" style="111" customWidth="1"/>
    <col min="15120" max="15120" width="2.1640625" style="111" customWidth="1"/>
    <col min="15121" max="15121" width="6.33203125" style="111" customWidth="1"/>
    <col min="15122" max="15122" width="7.5" style="111" customWidth="1"/>
    <col min="15123" max="15123" width="2.1640625" style="111" customWidth="1"/>
    <col min="15124" max="15124" width="3.5" style="111" customWidth="1"/>
    <col min="15125" max="15360" width="9.1640625" style="111"/>
    <col min="15361" max="15361" width="36.6640625" style="111" customWidth="1"/>
    <col min="15362" max="15362" width="6.33203125" style="111" customWidth="1"/>
    <col min="15363" max="15363" width="7.5" style="111" customWidth="1"/>
    <col min="15364" max="15364" width="2.1640625" style="111" customWidth="1"/>
    <col min="15365" max="15365" width="6.33203125" style="111" customWidth="1"/>
    <col min="15366" max="15366" width="7.5" style="111" customWidth="1"/>
    <col min="15367" max="15367" width="2.1640625" style="111" customWidth="1"/>
    <col min="15368" max="15368" width="6.33203125" style="111" customWidth="1"/>
    <col min="15369" max="15369" width="7.5" style="111" customWidth="1"/>
    <col min="15370" max="15370" width="5.33203125" style="111" customWidth="1"/>
    <col min="15371" max="15371" width="6.33203125" style="111" customWidth="1"/>
    <col min="15372" max="15372" width="7.5" style="111" customWidth="1"/>
    <col min="15373" max="15373" width="2.1640625" style="111" customWidth="1"/>
    <col min="15374" max="15374" width="6.33203125" style="111" customWidth="1"/>
    <col min="15375" max="15375" width="7.5" style="111" customWidth="1"/>
    <col min="15376" max="15376" width="2.1640625" style="111" customWidth="1"/>
    <col min="15377" max="15377" width="6.33203125" style="111" customWidth="1"/>
    <col min="15378" max="15378" width="7.5" style="111" customWidth="1"/>
    <col min="15379" max="15379" width="2.1640625" style="111" customWidth="1"/>
    <col min="15380" max="15380" width="3.5" style="111" customWidth="1"/>
    <col min="15381" max="15616" width="9.1640625" style="111"/>
    <col min="15617" max="15617" width="36.6640625" style="111" customWidth="1"/>
    <col min="15618" max="15618" width="6.33203125" style="111" customWidth="1"/>
    <col min="15619" max="15619" width="7.5" style="111" customWidth="1"/>
    <col min="15620" max="15620" width="2.1640625" style="111" customWidth="1"/>
    <col min="15621" max="15621" width="6.33203125" style="111" customWidth="1"/>
    <col min="15622" max="15622" width="7.5" style="111" customWidth="1"/>
    <col min="15623" max="15623" width="2.1640625" style="111" customWidth="1"/>
    <col min="15624" max="15624" width="6.33203125" style="111" customWidth="1"/>
    <col min="15625" max="15625" width="7.5" style="111" customWidth="1"/>
    <col min="15626" max="15626" width="5.33203125" style="111" customWidth="1"/>
    <col min="15627" max="15627" width="6.33203125" style="111" customWidth="1"/>
    <col min="15628" max="15628" width="7.5" style="111" customWidth="1"/>
    <col min="15629" max="15629" width="2.1640625" style="111" customWidth="1"/>
    <col min="15630" max="15630" width="6.33203125" style="111" customWidth="1"/>
    <col min="15631" max="15631" width="7.5" style="111" customWidth="1"/>
    <col min="15632" max="15632" width="2.1640625" style="111" customWidth="1"/>
    <col min="15633" max="15633" width="6.33203125" style="111" customWidth="1"/>
    <col min="15634" max="15634" width="7.5" style="111" customWidth="1"/>
    <col min="15635" max="15635" width="2.1640625" style="111" customWidth="1"/>
    <col min="15636" max="15636" width="3.5" style="111" customWidth="1"/>
    <col min="15637" max="15872" width="9.1640625" style="111"/>
    <col min="15873" max="15873" width="36.6640625" style="111" customWidth="1"/>
    <col min="15874" max="15874" width="6.33203125" style="111" customWidth="1"/>
    <col min="15875" max="15875" width="7.5" style="111" customWidth="1"/>
    <col min="15876" max="15876" width="2.1640625" style="111" customWidth="1"/>
    <col min="15877" max="15877" width="6.33203125" style="111" customWidth="1"/>
    <col min="15878" max="15878" width="7.5" style="111" customWidth="1"/>
    <col min="15879" max="15879" width="2.1640625" style="111" customWidth="1"/>
    <col min="15880" max="15880" width="6.33203125" style="111" customWidth="1"/>
    <col min="15881" max="15881" width="7.5" style="111" customWidth="1"/>
    <col min="15882" max="15882" width="5.33203125" style="111" customWidth="1"/>
    <col min="15883" max="15883" width="6.33203125" style="111" customWidth="1"/>
    <col min="15884" max="15884" width="7.5" style="111" customWidth="1"/>
    <col min="15885" max="15885" width="2.1640625" style="111" customWidth="1"/>
    <col min="15886" max="15886" width="6.33203125" style="111" customWidth="1"/>
    <col min="15887" max="15887" width="7.5" style="111" customWidth="1"/>
    <col min="15888" max="15888" width="2.1640625" style="111" customWidth="1"/>
    <col min="15889" max="15889" width="6.33203125" style="111" customWidth="1"/>
    <col min="15890" max="15890" width="7.5" style="111" customWidth="1"/>
    <col min="15891" max="15891" width="2.1640625" style="111" customWidth="1"/>
    <col min="15892" max="15892" width="3.5" style="111" customWidth="1"/>
    <col min="15893" max="16128" width="9.1640625" style="111"/>
    <col min="16129" max="16129" width="36.6640625" style="111" customWidth="1"/>
    <col min="16130" max="16130" width="6.33203125" style="111" customWidth="1"/>
    <col min="16131" max="16131" width="7.5" style="111" customWidth="1"/>
    <col min="16132" max="16132" width="2.1640625" style="111" customWidth="1"/>
    <col min="16133" max="16133" width="6.33203125" style="111" customWidth="1"/>
    <col min="16134" max="16134" width="7.5" style="111" customWidth="1"/>
    <col min="16135" max="16135" width="2.1640625" style="111" customWidth="1"/>
    <col min="16136" max="16136" width="6.33203125" style="111" customWidth="1"/>
    <col min="16137" max="16137" width="7.5" style="111" customWidth="1"/>
    <col min="16138" max="16138" width="5.33203125" style="111" customWidth="1"/>
    <col min="16139" max="16139" width="6.33203125" style="111" customWidth="1"/>
    <col min="16140" max="16140" width="7.5" style="111" customWidth="1"/>
    <col min="16141" max="16141" width="2.1640625" style="111" customWidth="1"/>
    <col min="16142" max="16142" width="6.33203125" style="111" customWidth="1"/>
    <col min="16143" max="16143" width="7.5" style="111" customWidth="1"/>
    <col min="16144" max="16144" width="2.1640625" style="111" customWidth="1"/>
    <col min="16145" max="16145" width="6.33203125" style="111" customWidth="1"/>
    <col min="16146" max="16146" width="7.5" style="111" customWidth="1"/>
    <col min="16147" max="16147" width="2.1640625" style="111" customWidth="1"/>
    <col min="16148" max="16148" width="3.5" style="111" customWidth="1"/>
    <col min="16149" max="16384" width="9.1640625" style="111"/>
  </cols>
  <sheetData>
    <row r="1" spans="1:19">
      <c r="A1" s="14" t="s">
        <v>388</v>
      </c>
    </row>
    <row r="2" spans="1:19">
      <c r="A2" s="111" t="s">
        <v>389</v>
      </c>
    </row>
    <row r="3" spans="1:19" ht="9.75" customHeight="1"/>
    <row r="4" spans="1:19" ht="15">
      <c r="A4" s="14" t="s">
        <v>2227</v>
      </c>
      <c r="B4" s="111"/>
      <c r="C4" s="155"/>
      <c r="F4" s="111"/>
      <c r="G4" s="155"/>
      <c r="O4" s="139"/>
      <c r="P4" s="139"/>
      <c r="R4" s="139"/>
    </row>
    <row r="5" spans="1:19" ht="9.75" customHeight="1" thickBot="1">
      <c r="K5" s="139"/>
      <c r="M5" s="139"/>
      <c r="N5" s="139"/>
      <c r="O5" s="139"/>
      <c r="P5" s="139"/>
      <c r="Q5" s="139"/>
      <c r="R5" s="139"/>
      <c r="S5" s="139"/>
    </row>
    <row r="6" spans="1:19" ht="10.5" customHeight="1">
      <c r="A6" s="114"/>
      <c r="B6" s="115"/>
      <c r="C6" s="143"/>
      <c r="D6" s="114"/>
      <c r="E6" s="115"/>
      <c r="F6" s="143"/>
      <c r="G6" s="114"/>
      <c r="H6" s="115"/>
      <c r="I6" s="143"/>
      <c r="J6" s="143"/>
      <c r="K6" s="143"/>
      <c r="L6" s="143"/>
      <c r="M6" s="143"/>
      <c r="N6" s="143"/>
      <c r="O6" s="143"/>
      <c r="P6" s="143"/>
      <c r="Q6" s="143"/>
      <c r="R6" s="143"/>
      <c r="S6" s="143"/>
    </row>
    <row r="7" spans="1:19" ht="15" customHeight="1" thickBot="1">
      <c r="A7" s="121" t="s">
        <v>390</v>
      </c>
      <c r="B7" s="1004"/>
      <c r="C7" s="1005"/>
      <c r="D7" s="1006"/>
      <c r="E7" s="1004" t="s">
        <v>391</v>
      </c>
      <c r="F7" s="1005"/>
      <c r="G7" s="1006"/>
      <c r="H7" s="1004"/>
      <c r="I7" s="1005"/>
      <c r="K7" s="1004"/>
      <c r="L7" s="1005"/>
      <c r="M7" s="1006"/>
      <c r="N7" s="1004" t="s">
        <v>392</v>
      </c>
      <c r="O7" s="1005"/>
      <c r="P7" s="1006"/>
      <c r="Q7" s="1004"/>
      <c r="R7" s="1005"/>
      <c r="S7" s="121"/>
    </row>
    <row r="8" spans="1:19" ht="14.25" customHeight="1" thickTop="1">
      <c r="A8" s="111" t="s">
        <v>393</v>
      </c>
      <c r="B8" s="1015" t="s">
        <v>394</v>
      </c>
      <c r="C8" s="1015"/>
      <c r="D8" s="121"/>
      <c r="E8" s="1015" t="s">
        <v>395</v>
      </c>
      <c r="F8" s="1015"/>
      <c r="G8" s="121"/>
      <c r="H8" s="1014" t="s">
        <v>396</v>
      </c>
      <c r="I8" s="1014"/>
      <c r="J8" s="146"/>
      <c r="K8" s="1015" t="s">
        <v>397</v>
      </c>
      <c r="L8" s="1015"/>
      <c r="M8" s="121"/>
      <c r="N8" s="1015" t="s">
        <v>398</v>
      </c>
      <c r="O8" s="1015"/>
      <c r="P8" s="121"/>
      <c r="Q8" s="1014" t="s">
        <v>396</v>
      </c>
      <c r="R8" s="1014"/>
      <c r="S8" s="121"/>
    </row>
    <row r="9" spans="1:19" ht="15" customHeight="1">
      <c r="A9" s="111" t="s">
        <v>399</v>
      </c>
      <c r="B9" s="294" t="s">
        <v>400</v>
      </c>
      <c r="C9" s="148" t="s">
        <v>401</v>
      </c>
      <c r="D9" s="121"/>
      <c r="E9" s="294" t="s">
        <v>400</v>
      </c>
      <c r="F9" s="148" t="s">
        <v>401</v>
      </c>
      <c r="G9" s="121"/>
      <c r="H9" s="294" t="s">
        <v>400</v>
      </c>
      <c r="I9" s="148" t="s">
        <v>401</v>
      </c>
      <c r="J9" s="170"/>
      <c r="K9" s="294" t="s">
        <v>400</v>
      </c>
      <c r="L9" s="148" t="s">
        <v>401</v>
      </c>
      <c r="M9" s="121"/>
      <c r="N9" s="294" t="s">
        <v>400</v>
      </c>
      <c r="O9" s="148" t="s">
        <v>401</v>
      </c>
      <c r="P9" s="121"/>
      <c r="Q9" s="294" t="s">
        <v>400</v>
      </c>
      <c r="R9" s="148" t="s">
        <v>401</v>
      </c>
      <c r="S9" s="121"/>
    </row>
    <row r="10" spans="1:19" ht="12" customHeight="1" thickBot="1">
      <c r="A10" s="124"/>
      <c r="B10" s="125"/>
      <c r="C10" s="152"/>
      <c r="D10" s="124"/>
      <c r="E10" s="125"/>
      <c r="F10" s="152"/>
      <c r="G10" s="124"/>
      <c r="H10" s="125"/>
      <c r="I10" s="152"/>
      <c r="J10" s="152"/>
      <c r="K10" s="119"/>
      <c r="L10" s="146"/>
      <c r="M10" s="121"/>
      <c r="N10" s="119"/>
      <c r="O10" s="146"/>
      <c r="P10" s="146"/>
      <c r="Q10" s="119"/>
      <c r="R10" s="146"/>
      <c r="S10" s="121"/>
    </row>
    <row r="11" spans="1:19" ht="10" customHeight="1">
      <c r="A11" s="121"/>
      <c r="B11" s="119"/>
      <c r="C11" s="146"/>
      <c r="D11" s="121"/>
      <c r="E11" s="119"/>
      <c r="F11" s="146"/>
      <c r="G11" s="121"/>
      <c r="H11" s="119"/>
      <c r="I11" s="146"/>
      <c r="J11" s="146"/>
      <c r="K11" s="143"/>
      <c r="L11" s="143"/>
      <c r="M11" s="143"/>
      <c r="N11" s="143"/>
      <c r="O11" s="143"/>
      <c r="P11" s="143"/>
      <c r="Q11" s="143"/>
      <c r="R11" s="143"/>
      <c r="S11" s="143"/>
    </row>
    <row r="12" spans="1:19" ht="14" customHeight="1">
      <c r="A12" s="17" t="s">
        <v>402</v>
      </c>
      <c r="B12" s="155">
        <f>E12+H12</f>
        <v>6161</v>
      </c>
      <c r="C12" s="139">
        <f t="shared" ref="C12:C81" si="0">IF(A12&lt;&gt;0,B12/$B$12*100,"")</f>
        <v>100</v>
      </c>
      <c r="E12" s="155">
        <f>E14+E109</f>
        <v>1878</v>
      </c>
      <c r="F12" s="139">
        <f>IF($A12&lt;&gt;"",E12/$B12*100,"")</f>
        <v>30.482064599902614</v>
      </c>
      <c r="H12" s="155">
        <f>H14+H109</f>
        <v>4283</v>
      </c>
      <c r="I12" s="139">
        <f>IF($A12&lt;&gt;"",H12/$B12*100,"")</f>
        <v>69.517935400097386</v>
      </c>
      <c r="K12" s="155">
        <f>N12+Q12</f>
        <v>6289</v>
      </c>
      <c r="L12" s="139">
        <f>IF(A12&lt;&gt;0,K12/$K$12*100,"")</f>
        <v>100</v>
      </c>
      <c r="M12" s="121"/>
      <c r="N12" s="155">
        <f>N14+N109</f>
        <v>1890</v>
      </c>
      <c r="O12" s="139">
        <f t="shared" ref="O12:O75" si="1">IF($A12&lt;&gt;"",N12/$K12*100,"")</f>
        <v>30.052472571155985</v>
      </c>
      <c r="P12" s="146"/>
      <c r="Q12" s="155">
        <f>Q14+Q109</f>
        <v>4399</v>
      </c>
      <c r="R12" s="139">
        <f>IF($A12&lt;&gt;"",Q12/$K12*100,"")</f>
        <v>69.947527428844012</v>
      </c>
      <c r="S12" s="121"/>
    </row>
    <row r="13" spans="1:19" ht="9" customHeight="1">
      <c r="C13" s="139" t="str">
        <f t="shared" si="0"/>
        <v/>
      </c>
      <c r="F13" s="139" t="str">
        <f t="shared" ref="F13:F77" si="2">IF($A13&lt;&gt;"",E13/$B13*100,"")</f>
        <v/>
      </c>
      <c r="I13" s="139" t="str">
        <f t="shared" ref="I13:I77" si="3">IF($A13&lt;&gt;"",H13/$B13*100,"")</f>
        <v/>
      </c>
      <c r="K13" s="155">
        <f>N13+Q13</f>
        <v>0</v>
      </c>
      <c r="M13" s="121"/>
      <c r="O13" s="139" t="str">
        <f t="shared" si="1"/>
        <v/>
      </c>
      <c r="P13" s="146"/>
      <c r="R13" s="139" t="str">
        <f t="shared" ref="R13:R77" si="4">IF($A13&lt;&gt;"",Q13/$K13*100,"")</f>
        <v/>
      </c>
      <c r="S13" s="121"/>
    </row>
    <row r="14" spans="1:19" ht="14" customHeight="1">
      <c r="A14" s="17" t="s">
        <v>403</v>
      </c>
      <c r="B14" s="155">
        <f>SUM(E14+H14)</f>
        <v>4981</v>
      </c>
      <c r="C14" s="139">
        <f t="shared" si="0"/>
        <v>80.84726505437429</v>
      </c>
      <c r="E14" s="155">
        <f>SUM(E16+E101)</f>
        <v>1680</v>
      </c>
      <c r="F14" s="139">
        <f t="shared" si="2"/>
        <v>33.728167034731982</v>
      </c>
      <c r="G14" s="155"/>
      <c r="H14" s="155">
        <f>SUM(H16+H101)</f>
        <v>3301</v>
      </c>
      <c r="I14" s="139">
        <f t="shared" si="3"/>
        <v>66.271832965268018</v>
      </c>
      <c r="K14" s="155">
        <f>N14+Q14</f>
        <v>5095</v>
      </c>
      <c r="L14" s="139">
        <f>IF(A14&lt;&gt;0,K14/$K$12*100,"")</f>
        <v>81.014469709015742</v>
      </c>
      <c r="M14" s="121"/>
      <c r="N14" s="155">
        <f>SUM(N16+N101)</f>
        <v>1692</v>
      </c>
      <c r="O14" s="139">
        <f t="shared" si="1"/>
        <v>33.209028459273796</v>
      </c>
      <c r="P14" s="146"/>
      <c r="Q14" s="155">
        <f>SUM(Q16+Q101)</f>
        <v>3403</v>
      </c>
      <c r="R14" s="139">
        <f t="shared" si="4"/>
        <v>66.790971540726204</v>
      </c>
      <c r="S14" s="121"/>
    </row>
    <row r="15" spans="1:19" ht="6.75" customHeight="1">
      <c r="F15" s="139" t="str">
        <f t="shared" si="2"/>
        <v/>
      </c>
      <c r="I15" s="139" t="str">
        <f t="shared" si="3"/>
        <v/>
      </c>
      <c r="K15" s="155">
        <f>N15+Q15</f>
        <v>0</v>
      </c>
      <c r="M15" s="121"/>
      <c r="O15" s="139" t="str">
        <f t="shared" si="1"/>
        <v/>
      </c>
      <c r="P15" s="146"/>
      <c r="R15" s="139" t="str">
        <f t="shared" si="4"/>
        <v/>
      </c>
      <c r="S15" s="121"/>
    </row>
    <row r="16" spans="1:19" ht="14" customHeight="1">
      <c r="A16" s="17" t="s">
        <v>80</v>
      </c>
      <c r="B16" s="155">
        <f>SUM(E16+H16)</f>
        <v>4352</v>
      </c>
      <c r="C16" s="139">
        <f t="shared" si="0"/>
        <v>70.637883460477184</v>
      </c>
      <c r="E16" s="155">
        <f>E18+E30+E38+E78+E64+E85+E97+E98+E99</f>
        <v>1544</v>
      </c>
      <c r="F16" s="139">
        <f t="shared" si="2"/>
        <v>35.477941176470587</v>
      </c>
      <c r="H16" s="155">
        <f>H18+H30+H38+H78+H64+H85+H97+H98+H99</f>
        <v>2808</v>
      </c>
      <c r="I16" s="139">
        <f t="shared" si="3"/>
        <v>64.52205882352942</v>
      </c>
      <c r="K16" s="155">
        <f>N16+Q16</f>
        <v>4369</v>
      </c>
      <c r="L16" s="139">
        <f>IF(A16&lt;&gt;0,K16/$K$12*100,"")</f>
        <v>69.470504054698679</v>
      </c>
      <c r="M16" s="121"/>
      <c r="N16" s="155">
        <f>N18+N30+N38+N78+N64+N85+N97+N98+N99</f>
        <v>1545</v>
      </c>
      <c r="O16" s="139">
        <f t="shared" si="1"/>
        <v>35.36278324559396</v>
      </c>
      <c r="P16" s="146"/>
      <c r="Q16" s="155">
        <f>Q18+Q30+Q38+Q78+Q64+Q85+Q97+Q98+Q99</f>
        <v>2824</v>
      </c>
      <c r="R16" s="139">
        <f t="shared" si="4"/>
        <v>64.63721675440604</v>
      </c>
      <c r="S16" s="121"/>
    </row>
    <row r="17" spans="1:19" ht="6.75" customHeight="1">
      <c r="C17" s="139" t="str">
        <f t="shared" si="0"/>
        <v/>
      </c>
      <c r="F17" s="139" t="str">
        <f t="shared" si="2"/>
        <v/>
      </c>
      <c r="I17" s="139" t="str">
        <f t="shared" si="3"/>
        <v/>
      </c>
      <c r="K17" s="155">
        <f t="shared" ref="K17:K80" si="5">N17+Q17</f>
        <v>0</v>
      </c>
      <c r="L17" s="139" t="str">
        <f>IF(A17&lt;&gt;0,K17/$K$12*100,"")</f>
        <v/>
      </c>
      <c r="M17" s="121"/>
      <c r="O17" s="139" t="str">
        <f t="shared" si="1"/>
        <v/>
      </c>
      <c r="P17" s="146"/>
      <c r="R17" s="139" t="str">
        <f t="shared" si="4"/>
        <v/>
      </c>
      <c r="S17" s="121"/>
    </row>
    <row r="18" spans="1:19" ht="13.25" customHeight="1">
      <c r="A18" s="17" t="s">
        <v>404</v>
      </c>
      <c r="B18" s="155">
        <f t="shared" ref="B18:B79" si="6">E18+H18</f>
        <v>364</v>
      </c>
      <c r="C18" s="139">
        <f t="shared" si="0"/>
        <v>5.9081317967862361</v>
      </c>
      <c r="E18" s="155">
        <f>E20+E25</f>
        <v>151</v>
      </c>
      <c r="F18" s="139">
        <f t="shared" si="2"/>
        <v>41.483516483516489</v>
      </c>
      <c r="H18" s="155">
        <f>H20+H25</f>
        <v>213</v>
      </c>
      <c r="I18" s="139">
        <f t="shared" si="3"/>
        <v>58.516483516483518</v>
      </c>
      <c r="K18" s="155">
        <f t="shared" si="5"/>
        <v>360</v>
      </c>
      <c r="L18" s="139">
        <f>IF(A18&lt;&gt;0,K18/$K$12*100,"")</f>
        <v>5.7242804897439976</v>
      </c>
      <c r="M18" s="121"/>
      <c r="N18" s="155">
        <f>N20+N25</f>
        <v>150</v>
      </c>
      <c r="O18" s="139">
        <f t="shared" si="1"/>
        <v>41.666666666666671</v>
      </c>
      <c r="P18" s="146"/>
      <c r="Q18" s="155">
        <f>Q20+Q25</f>
        <v>210</v>
      </c>
      <c r="R18" s="139">
        <f t="shared" si="4"/>
        <v>58.333333333333336</v>
      </c>
      <c r="S18" s="121"/>
    </row>
    <row r="19" spans="1:19" ht="6.75" customHeight="1">
      <c r="F19" s="139" t="str">
        <f t="shared" si="2"/>
        <v/>
      </c>
      <c r="I19" s="139" t="str">
        <f t="shared" si="3"/>
        <v/>
      </c>
      <c r="K19" s="155">
        <f t="shared" si="5"/>
        <v>0</v>
      </c>
      <c r="M19" s="121"/>
      <c r="O19" s="139" t="str">
        <f t="shared" si="1"/>
        <v/>
      </c>
      <c r="P19" s="146"/>
      <c r="R19" s="139" t="str">
        <f t="shared" si="4"/>
        <v/>
      </c>
      <c r="S19" s="121"/>
    </row>
    <row r="20" spans="1:19" ht="13.25" customHeight="1">
      <c r="A20" s="111" t="s">
        <v>162</v>
      </c>
      <c r="B20" s="155">
        <f t="shared" si="6"/>
        <v>165</v>
      </c>
      <c r="C20" s="139">
        <f t="shared" si="0"/>
        <v>2.6781366661256292</v>
      </c>
      <c r="E20" s="155">
        <f>SUM(E21:E23)</f>
        <v>58</v>
      </c>
      <c r="F20" s="139">
        <f t="shared" si="2"/>
        <v>35.151515151515149</v>
      </c>
      <c r="H20" s="155">
        <f>SUM(H21:H23)</f>
        <v>107</v>
      </c>
      <c r="I20" s="139">
        <f t="shared" si="3"/>
        <v>64.848484848484844</v>
      </c>
      <c r="K20" s="155">
        <f t="shared" si="5"/>
        <v>168</v>
      </c>
      <c r="L20" s="139">
        <f t="shared" ref="L20:L83" si="7">IF(A20&lt;&gt;0,K20/$K$12*100,"")</f>
        <v>2.6713308952138655</v>
      </c>
      <c r="M20" s="121"/>
      <c r="N20" s="155">
        <f>SUM(N21:N23)</f>
        <v>60</v>
      </c>
      <c r="O20" s="139">
        <f t="shared" si="1"/>
        <v>35.714285714285715</v>
      </c>
      <c r="P20" s="146"/>
      <c r="Q20" s="155">
        <f>SUM(Q21:Q23)</f>
        <v>108</v>
      </c>
      <c r="R20" s="139">
        <f t="shared" si="4"/>
        <v>64.285714285714292</v>
      </c>
      <c r="S20" s="121"/>
    </row>
    <row r="21" spans="1:19" ht="13.25" customHeight="1">
      <c r="A21" s="111" t="s">
        <v>163</v>
      </c>
      <c r="B21" s="155">
        <f t="shared" si="6"/>
        <v>29</v>
      </c>
      <c r="C21" s="139">
        <f t="shared" si="0"/>
        <v>0.47070280798571662</v>
      </c>
      <c r="E21" s="1007">
        <v>6</v>
      </c>
      <c r="F21" s="146">
        <f t="shared" si="2"/>
        <v>20.689655172413794</v>
      </c>
      <c r="G21" s="1007"/>
      <c r="H21" s="1007">
        <v>23</v>
      </c>
      <c r="I21" s="139">
        <f t="shared" si="3"/>
        <v>79.310344827586206</v>
      </c>
      <c r="K21" s="155">
        <f t="shared" si="5"/>
        <v>26</v>
      </c>
      <c r="L21" s="139">
        <f t="shared" si="7"/>
        <v>0.41342025759262208</v>
      </c>
      <c r="M21" s="121"/>
      <c r="N21" s="1008">
        <v>6</v>
      </c>
      <c r="O21" s="139">
        <f t="shared" si="1"/>
        <v>23.076923076923077</v>
      </c>
      <c r="P21" s="1008"/>
      <c r="Q21" s="1008">
        <v>20</v>
      </c>
      <c r="R21" s="139">
        <f t="shared" si="4"/>
        <v>76.923076923076934</v>
      </c>
    </row>
    <row r="22" spans="1:19" ht="13.25" customHeight="1">
      <c r="A22" s="111" t="s">
        <v>164</v>
      </c>
      <c r="B22" s="155">
        <f t="shared" si="6"/>
        <v>83</v>
      </c>
      <c r="C22" s="139">
        <f t="shared" si="0"/>
        <v>1.3471838987177405</v>
      </c>
      <c r="E22" s="1007">
        <v>35</v>
      </c>
      <c r="F22" s="146">
        <f t="shared" si="2"/>
        <v>42.168674698795186</v>
      </c>
      <c r="G22" s="1007"/>
      <c r="H22" s="1007">
        <v>48</v>
      </c>
      <c r="I22" s="139">
        <f t="shared" si="3"/>
        <v>57.831325301204814</v>
      </c>
      <c r="K22" s="155">
        <f t="shared" si="5"/>
        <v>79</v>
      </c>
      <c r="L22" s="139">
        <f t="shared" si="7"/>
        <v>1.2561615519160438</v>
      </c>
      <c r="M22" s="121"/>
      <c r="N22" s="1008">
        <v>36</v>
      </c>
      <c r="O22" s="139">
        <f t="shared" si="1"/>
        <v>45.569620253164558</v>
      </c>
      <c r="P22" s="1008"/>
      <c r="Q22" s="1008">
        <v>43</v>
      </c>
      <c r="R22" s="139">
        <f t="shared" si="4"/>
        <v>54.430379746835442</v>
      </c>
    </row>
    <row r="23" spans="1:19" ht="13.25" customHeight="1">
      <c r="A23" s="111" t="s">
        <v>165</v>
      </c>
      <c r="B23" s="155">
        <f t="shared" si="6"/>
        <v>53</v>
      </c>
      <c r="C23" s="139">
        <f t="shared" si="0"/>
        <v>0.86024995942217164</v>
      </c>
      <c r="E23" s="1007">
        <v>17</v>
      </c>
      <c r="F23" s="146">
        <f t="shared" si="2"/>
        <v>32.075471698113205</v>
      </c>
      <c r="G23" s="1007"/>
      <c r="H23" s="1007">
        <v>36</v>
      </c>
      <c r="I23" s="139">
        <f t="shared" si="3"/>
        <v>67.924528301886795</v>
      </c>
      <c r="K23" s="155">
        <f t="shared" si="5"/>
        <v>63</v>
      </c>
      <c r="L23" s="139">
        <f t="shared" si="7"/>
        <v>1.0017490857051996</v>
      </c>
      <c r="M23" s="121"/>
      <c r="N23" s="1008">
        <v>18</v>
      </c>
      <c r="O23" s="139">
        <f t="shared" si="1"/>
        <v>28.571428571428569</v>
      </c>
      <c r="P23" s="1008"/>
      <c r="Q23" s="1008">
        <v>45</v>
      </c>
      <c r="R23" s="139">
        <f t="shared" si="4"/>
        <v>71.428571428571431</v>
      </c>
    </row>
    <row r="24" spans="1:19" ht="6.75" customHeight="1">
      <c r="C24" s="139" t="str">
        <f t="shared" si="0"/>
        <v/>
      </c>
      <c r="E24" s="119"/>
      <c r="F24" s="146" t="str">
        <f t="shared" si="2"/>
        <v/>
      </c>
      <c r="G24" s="121"/>
      <c r="H24" s="119"/>
      <c r="I24" s="139" t="str">
        <f t="shared" si="3"/>
        <v/>
      </c>
      <c r="K24" s="155">
        <f t="shared" si="5"/>
        <v>0</v>
      </c>
      <c r="L24" s="139" t="str">
        <f t="shared" si="7"/>
        <v/>
      </c>
      <c r="M24" s="121"/>
      <c r="N24" s="119"/>
      <c r="O24" s="139" t="str">
        <f t="shared" si="1"/>
        <v/>
      </c>
      <c r="P24" s="146"/>
      <c r="Q24" s="119"/>
      <c r="R24" s="139" t="str">
        <f t="shared" si="4"/>
        <v/>
      </c>
      <c r="S24" s="121"/>
    </row>
    <row r="25" spans="1:19" ht="13.25" customHeight="1">
      <c r="A25" s="111" t="s">
        <v>166</v>
      </c>
      <c r="B25" s="155">
        <f t="shared" si="6"/>
        <v>199</v>
      </c>
      <c r="C25" s="139">
        <f t="shared" si="0"/>
        <v>3.2299951306606065</v>
      </c>
      <c r="E25" s="119">
        <f>SUM(E26:E28)</f>
        <v>93</v>
      </c>
      <c r="F25" s="146">
        <f t="shared" si="2"/>
        <v>46.733668341708544</v>
      </c>
      <c r="G25" s="121"/>
      <c r="H25" s="119">
        <f>SUM(H26:H28)</f>
        <v>106</v>
      </c>
      <c r="I25" s="139">
        <f t="shared" si="3"/>
        <v>53.266331658291456</v>
      </c>
      <c r="K25" s="155">
        <f t="shared" si="5"/>
        <v>192</v>
      </c>
      <c r="L25" s="139">
        <f t="shared" si="7"/>
        <v>3.0529495945301321</v>
      </c>
      <c r="M25" s="121"/>
      <c r="N25" s="119">
        <f>SUM(N26:N28)</f>
        <v>90</v>
      </c>
      <c r="O25" s="139">
        <f t="shared" si="1"/>
        <v>46.875</v>
      </c>
      <c r="P25" s="146"/>
      <c r="Q25" s="119">
        <f>SUM(Q26:Q28)</f>
        <v>102</v>
      </c>
      <c r="R25" s="139">
        <f t="shared" si="4"/>
        <v>53.125</v>
      </c>
      <c r="S25" s="121"/>
    </row>
    <row r="26" spans="1:19" ht="13.25" customHeight="1">
      <c r="A26" s="111" t="s">
        <v>167</v>
      </c>
      <c r="B26" s="155">
        <f t="shared" si="6"/>
        <v>40</v>
      </c>
      <c r="C26" s="139">
        <f t="shared" si="0"/>
        <v>0.64924525239409181</v>
      </c>
      <c r="E26" s="1007">
        <v>24</v>
      </c>
      <c r="F26" s="146">
        <f t="shared" si="2"/>
        <v>60</v>
      </c>
      <c r="G26" s="1007"/>
      <c r="H26" s="1007">
        <v>16</v>
      </c>
      <c r="I26" s="139">
        <f t="shared" si="3"/>
        <v>40</v>
      </c>
      <c r="K26" s="155">
        <f t="shared" si="5"/>
        <v>44</v>
      </c>
      <c r="L26" s="139">
        <f t="shared" si="7"/>
        <v>0.69963428207982192</v>
      </c>
      <c r="M26" s="121"/>
      <c r="N26" s="121">
        <v>24</v>
      </c>
      <c r="O26" s="139">
        <f t="shared" si="1"/>
        <v>54.54545454545454</v>
      </c>
      <c r="P26" s="121"/>
      <c r="Q26" s="121">
        <v>20</v>
      </c>
      <c r="R26" s="139">
        <f t="shared" si="4"/>
        <v>45.454545454545453</v>
      </c>
      <c r="S26" s="121"/>
    </row>
    <row r="27" spans="1:19" ht="13.25" customHeight="1">
      <c r="A27" s="111" t="s">
        <v>168</v>
      </c>
      <c r="B27" s="155">
        <f t="shared" si="6"/>
        <v>46</v>
      </c>
      <c r="C27" s="139">
        <f t="shared" si="0"/>
        <v>0.74663204025320562</v>
      </c>
      <c r="E27" s="1007">
        <v>22</v>
      </c>
      <c r="F27" s="146">
        <f t="shared" si="2"/>
        <v>47.826086956521742</v>
      </c>
      <c r="G27" s="1007"/>
      <c r="H27" s="1007">
        <v>24</v>
      </c>
      <c r="I27" s="139">
        <f t="shared" si="3"/>
        <v>52.173913043478258</v>
      </c>
      <c r="K27" s="155">
        <f t="shared" si="5"/>
        <v>42</v>
      </c>
      <c r="L27" s="139">
        <f t="shared" si="7"/>
        <v>0.66783272380346637</v>
      </c>
      <c r="M27" s="121"/>
      <c r="N27" s="121">
        <v>20</v>
      </c>
      <c r="O27" s="139">
        <f t="shared" si="1"/>
        <v>47.619047619047613</v>
      </c>
      <c r="P27" s="121"/>
      <c r="Q27" s="121">
        <v>22</v>
      </c>
      <c r="R27" s="139">
        <f t="shared" si="4"/>
        <v>52.380952380952387</v>
      </c>
      <c r="S27" s="121"/>
    </row>
    <row r="28" spans="1:19" ht="13.25" customHeight="1">
      <c r="A28" s="111" t="s">
        <v>169</v>
      </c>
      <c r="B28" s="155">
        <f t="shared" si="6"/>
        <v>113</v>
      </c>
      <c r="C28" s="139">
        <f t="shared" si="0"/>
        <v>1.8341178380133094</v>
      </c>
      <c r="E28" s="1007">
        <v>47</v>
      </c>
      <c r="F28" s="146">
        <f t="shared" si="2"/>
        <v>41.592920353982301</v>
      </c>
      <c r="G28" s="1007"/>
      <c r="H28" s="1007">
        <v>66</v>
      </c>
      <c r="I28" s="139">
        <f t="shared" si="3"/>
        <v>58.407079646017699</v>
      </c>
      <c r="K28" s="155">
        <f t="shared" si="5"/>
        <v>106</v>
      </c>
      <c r="L28" s="139">
        <f t="shared" si="7"/>
        <v>1.6854825886468436</v>
      </c>
      <c r="M28" s="121"/>
      <c r="N28" s="121">
        <v>46</v>
      </c>
      <c r="O28" s="139">
        <f t="shared" si="1"/>
        <v>43.39622641509434</v>
      </c>
      <c r="P28" s="121"/>
      <c r="Q28" s="121">
        <v>60</v>
      </c>
      <c r="R28" s="139">
        <f t="shared" si="4"/>
        <v>56.60377358490566</v>
      </c>
      <c r="S28" s="121"/>
    </row>
    <row r="29" spans="1:19" ht="6.75" customHeight="1">
      <c r="C29" s="139" t="str">
        <f t="shared" si="0"/>
        <v/>
      </c>
      <c r="E29" s="119"/>
      <c r="F29" s="146" t="str">
        <f t="shared" si="2"/>
        <v/>
      </c>
      <c r="G29" s="121"/>
      <c r="H29" s="119"/>
      <c r="I29" s="139" t="str">
        <f t="shared" si="3"/>
        <v/>
      </c>
      <c r="K29" s="155">
        <f t="shared" si="5"/>
        <v>0</v>
      </c>
      <c r="L29" s="139" t="str">
        <f t="shared" si="7"/>
        <v/>
      </c>
      <c r="M29" s="121"/>
      <c r="N29" s="119"/>
      <c r="O29" s="139" t="str">
        <f t="shared" si="1"/>
        <v/>
      </c>
      <c r="P29" s="146"/>
      <c r="Q29" s="119"/>
      <c r="R29" s="139" t="str">
        <f t="shared" si="4"/>
        <v/>
      </c>
      <c r="S29" s="121"/>
    </row>
    <row r="30" spans="1:19" ht="13.25" customHeight="1">
      <c r="A30" s="17" t="s">
        <v>405</v>
      </c>
      <c r="B30" s="155">
        <f t="shared" si="6"/>
        <v>361</v>
      </c>
      <c r="C30" s="139">
        <f t="shared" si="0"/>
        <v>5.8594384028566795</v>
      </c>
      <c r="E30" s="119">
        <f>SUM(E31)</f>
        <v>135</v>
      </c>
      <c r="F30" s="146">
        <f t="shared" si="2"/>
        <v>37.396121883656505</v>
      </c>
      <c r="G30" s="121"/>
      <c r="H30" s="119">
        <f>SUM(H31)</f>
        <v>226</v>
      </c>
      <c r="I30" s="139">
        <f t="shared" si="3"/>
        <v>62.603878116343495</v>
      </c>
      <c r="K30" s="155">
        <f t="shared" si="5"/>
        <v>368</v>
      </c>
      <c r="L30" s="139">
        <f t="shared" si="7"/>
        <v>5.851486722849419</v>
      </c>
      <c r="M30" s="121"/>
      <c r="N30" s="119">
        <f>SUM(N31)</f>
        <v>136</v>
      </c>
      <c r="O30" s="139">
        <f t="shared" si="1"/>
        <v>36.95652173913043</v>
      </c>
      <c r="P30" s="146"/>
      <c r="Q30" s="119">
        <f>SUM(Q31)</f>
        <v>232</v>
      </c>
      <c r="R30" s="139">
        <f t="shared" si="4"/>
        <v>63.04347826086957</v>
      </c>
      <c r="S30" s="121"/>
    </row>
    <row r="31" spans="1:19" ht="13.25" customHeight="1">
      <c r="A31" s="111" t="s">
        <v>171</v>
      </c>
      <c r="B31" s="155">
        <f t="shared" si="6"/>
        <v>361</v>
      </c>
      <c r="C31" s="139">
        <f t="shared" si="0"/>
        <v>5.8594384028566795</v>
      </c>
      <c r="E31" s="119">
        <f>SUM(E32:E36)</f>
        <v>135</v>
      </c>
      <c r="F31" s="146">
        <f t="shared" si="2"/>
        <v>37.396121883656505</v>
      </c>
      <c r="G31" s="121"/>
      <c r="H31" s="119">
        <f>SUM(H32:H36)</f>
        <v>226</v>
      </c>
      <c r="I31" s="139">
        <f t="shared" si="3"/>
        <v>62.603878116343495</v>
      </c>
      <c r="K31" s="155">
        <f t="shared" si="5"/>
        <v>368</v>
      </c>
      <c r="L31" s="139">
        <f t="shared" si="7"/>
        <v>5.851486722849419</v>
      </c>
      <c r="M31" s="121"/>
      <c r="N31" s="119">
        <f>SUM(N32:N36)</f>
        <v>136</v>
      </c>
      <c r="O31" s="139">
        <f t="shared" si="1"/>
        <v>36.95652173913043</v>
      </c>
      <c r="P31" s="146"/>
      <c r="Q31" s="119">
        <f>SUM(Q32:Q36)</f>
        <v>232</v>
      </c>
      <c r="R31" s="139">
        <f t="shared" si="4"/>
        <v>63.04347826086957</v>
      </c>
      <c r="S31" s="121"/>
    </row>
    <row r="32" spans="1:19" ht="13.25" customHeight="1">
      <c r="A32" s="111" t="s">
        <v>172</v>
      </c>
      <c r="B32" s="155">
        <f t="shared" si="6"/>
        <v>57</v>
      </c>
      <c r="C32" s="139">
        <f t="shared" si="0"/>
        <v>0.92517448466158092</v>
      </c>
      <c r="E32" s="1007">
        <v>39</v>
      </c>
      <c r="F32" s="146">
        <f t="shared" si="2"/>
        <v>68.421052631578945</v>
      </c>
      <c r="G32" s="1007"/>
      <c r="H32" s="1007">
        <v>18</v>
      </c>
      <c r="I32" s="139">
        <f t="shared" si="3"/>
        <v>31.578947368421051</v>
      </c>
      <c r="K32" s="155">
        <f t="shared" si="5"/>
        <v>57</v>
      </c>
      <c r="L32" s="139">
        <f t="shared" si="7"/>
        <v>0.90634441087613304</v>
      </c>
      <c r="M32" s="121"/>
      <c r="N32" s="121">
        <v>36</v>
      </c>
      <c r="O32" s="139">
        <f t="shared" si="1"/>
        <v>63.157894736842103</v>
      </c>
      <c r="P32" s="121"/>
      <c r="Q32" s="121">
        <v>21</v>
      </c>
      <c r="R32" s="139">
        <f t="shared" si="4"/>
        <v>36.84210526315789</v>
      </c>
      <c r="S32" s="121"/>
    </row>
    <row r="33" spans="1:19" ht="13.25" customHeight="1">
      <c r="A33" s="111" t="s">
        <v>173</v>
      </c>
      <c r="B33" s="155">
        <f t="shared" si="6"/>
        <v>79</v>
      </c>
      <c r="C33" s="139">
        <f t="shared" si="0"/>
        <v>1.2822593734783314</v>
      </c>
      <c r="E33" s="1007">
        <v>25</v>
      </c>
      <c r="F33" s="146">
        <f t="shared" si="2"/>
        <v>31.645569620253166</v>
      </c>
      <c r="G33" s="1007"/>
      <c r="H33" s="1007">
        <v>54</v>
      </c>
      <c r="I33" s="139">
        <f t="shared" si="3"/>
        <v>68.35443037974683</v>
      </c>
      <c r="K33" s="155">
        <f t="shared" si="5"/>
        <v>83</v>
      </c>
      <c r="L33" s="139">
        <f t="shared" si="7"/>
        <v>1.319764668468755</v>
      </c>
      <c r="M33" s="121"/>
      <c r="N33" s="121">
        <v>26</v>
      </c>
      <c r="O33" s="139">
        <f t="shared" si="1"/>
        <v>31.325301204819279</v>
      </c>
      <c r="P33" s="121"/>
      <c r="Q33" s="121">
        <v>57</v>
      </c>
      <c r="R33" s="139">
        <f t="shared" si="4"/>
        <v>68.674698795180717</v>
      </c>
      <c r="S33" s="121"/>
    </row>
    <row r="34" spans="1:19" ht="13.25" customHeight="1">
      <c r="A34" s="111" t="s">
        <v>174</v>
      </c>
      <c r="B34" s="155">
        <f t="shared" si="6"/>
        <v>31</v>
      </c>
      <c r="C34" s="139">
        <f t="shared" si="0"/>
        <v>0.50316507060542115</v>
      </c>
      <c r="E34" s="1007">
        <v>17</v>
      </c>
      <c r="F34" s="146">
        <f t="shared" si="2"/>
        <v>54.838709677419352</v>
      </c>
      <c r="G34" s="1007"/>
      <c r="H34" s="1007">
        <v>14</v>
      </c>
      <c r="I34" s="139">
        <f t="shared" si="3"/>
        <v>45.161290322580641</v>
      </c>
      <c r="K34" s="155">
        <f t="shared" si="5"/>
        <v>30</v>
      </c>
      <c r="L34" s="139">
        <f t="shared" si="7"/>
        <v>0.47702337414533313</v>
      </c>
      <c r="M34" s="121"/>
      <c r="N34" s="121">
        <v>18</v>
      </c>
      <c r="O34" s="139">
        <f t="shared" si="1"/>
        <v>60</v>
      </c>
      <c r="P34" s="121"/>
      <c r="Q34" s="121">
        <v>12</v>
      </c>
      <c r="R34" s="139">
        <f t="shared" si="4"/>
        <v>40</v>
      </c>
      <c r="S34" s="121"/>
    </row>
    <row r="35" spans="1:19" ht="13.25" customHeight="1">
      <c r="A35" s="111" t="s">
        <v>175</v>
      </c>
      <c r="B35" s="155">
        <f t="shared" si="6"/>
        <v>124</v>
      </c>
      <c r="C35" s="139">
        <f t="shared" si="0"/>
        <v>2.0126602824216846</v>
      </c>
      <c r="E35" s="1007">
        <v>22</v>
      </c>
      <c r="F35" s="146">
        <f t="shared" si="2"/>
        <v>17.741935483870968</v>
      </c>
      <c r="G35" s="1007"/>
      <c r="H35" s="1007">
        <v>102</v>
      </c>
      <c r="I35" s="139">
        <f t="shared" si="3"/>
        <v>82.258064516129039</v>
      </c>
      <c r="K35" s="155">
        <f t="shared" si="5"/>
        <v>127</v>
      </c>
      <c r="L35" s="139">
        <f t="shared" si="7"/>
        <v>2.019398950548577</v>
      </c>
      <c r="M35" s="121"/>
      <c r="N35" s="121">
        <v>25</v>
      </c>
      <c r="O35" s="139">
        <f t="shared" si="1"/>
        <v>19.685039370078741</v>
      </c>
      <c r="P35" s="121"/>
      <c r="Q35" s="121">
        <v>102</v>
      </c>
      <c r="R35" s="139">
        <f t="shared" si="4"/>
        <v>80.314960629921259</v>
      </c>
      <c r="S35" s="121"/>
    </row>
    <row r="36" spans="1:19" ht="13.25" customHeight="1">
      <c r="A36" s="111" t="s">
        <v>176</v>
      </c>
      <c r="B36" s="155">
        <f t="shared" si="6"/>
        <v>70</v>
      </c>
      <c r="C36" s="139">
        <f t="shared" si="0"/>
        <v>1.1361791916896609</v>
      </c>
      <c r="E36" s="1007">
        <v>32</v>
      </c>
      <c r="F36" s="146">
        <f t="shared" si="2"/>
        <v>45.714285714285715</v>
      </c>
      <c r="G36" s="1007"/>
      <c r="H36" s="1007">
        <v>38</v>
      </c>
      <c r="I36" s="139">
        <f t="shared" si="3"/>
        <v>54.285714285714285</v>
      </c>
      <c r="K36" s="155">
        <f t="shared" si="5"/>
        <v>71</v>
      </c>
      <c r="L36" s="139">
        <f t="shared" si="7"/>
        <v>1.1289553188106216</v>
      </c>
      <c r="M36" s="121"/>
      <c r="N36" s="121">
        <v>31</v>
      </c>
      <c r="O36" s="139">
        <f t="shared" si="1"/>
        <v>43.661971830985912</v>
      </c>
      <c r="P36" s="121"/>
      <c r="Q36" s="121">
        <v>40</v>
      </c>
      <c r="R36" s="139">
        <f t="shared" si="4"/>
        <v>56.338028169014088</v>
      </c>
      <c r="S36" s="121"/>
    </row>
    <row r="37" spans="1:19" ht="7.5" customHeight="1">
      <c r="C37" s="139" t="str">
        <f t="shared" si="0"/>
        <v/>
      </c>
      <c r="E37" s="119"/>
      <c r="F37" s="146" t="str">
        <f t="shared" si="2"/>
        <v/>
      </c>
      <c r="G37" s="121"/>
      <c r="H37" s="119"/>
      <c r="I37" s="139" t="str">
        <f t="shared" si="3"/>
        <v/>
      </c>
      <c r="K37" s="155">
        <f t="shared" si="5"/>
        <v>0</v>
      </c>
      <c r="L37" s="139" t="str">
        <f t="shared" si="7"/>
        <v/>
      </c>
      <c r="M37" s="121"/>
      <c r="N37" s="119"/>
      <c r="O37" s="139" t="str">
        <f t="shared" si="1"/>
        <v/>
      </c>
      <c r="P37" s="146"/>
      <c r="Q37" s="119"/>
      <c r="R37" s="139" t="str">
        <f t="shared" si="4"/>
        <v/>
      </c>
      <c r="S37" s="121"/>
    </row>
    <row r="38" spans="1:19" ht="13.25" customHeight="1">
      <c r="A38" s="17" t="s">
        <v>406</v>
      </c>
      <c r="B38" s="155">
        <f t="shared" si="6"/>
        <v>1254</v>
      </c>
      <c r="C38" s="139">
        <f t="shared" si="0"/>
        <v>20.353838662554779</v>
      </c>
      <c r="E38" s="119">
        <f>E39+E45+E55+E57</f>
        <v>432</v>
      </c>
      <c r="F38" s="146">
        <f t="shared" si="2"/>
        <v>34.449760765550238</v>
      </c>
      <c r="G38" s="121"/>
      <c r="H38" s="119">
        <f>H39+H45+H55+H57</f>
        <v>822</v>
      </c>
      <c r="I38" s="139">
        <f t="shared" si="3"/>
        <v>65.550239234449762</v>
      </c>
      <c r="K38" s="155">
        <f t="shared" si="5"/>
        <v>1305</v>
      </c>
      <c r="L38" s="139">
        <f t="shared" si="7"/>
        <v>20.750516775321991</v>
      </c>
      <c r="M38" s="121"/>
      <c r="N38" s="119">
        <f>N39+N45+N55+N57</f>
        <v>421</v>
      </c>
      <c r="O38" s="139">
        <f t="shared" si="1"/>
        <v>32.26053639846743</v>
      </c>
      <c r="P38" s="146"/>
      <c r="Q38" s="119">
        <f>Q39+Q45+Q55+Q57</f>
        <v>884</v>
      </c>
      <c r="R38" s="139">
        <f t="shared" si="4"/>
        <v>67.739463601532563</v>
      </c>
      <c r="S38" s="121"/>
    </row>
    <row r="39" spans="1:19" ht="13.25" customHeight="1">
      <c r="A39" s="111" t="s">
        <v>178</v>
      </c>
      <c r="B39" s="155">
        <f t="shared" si="6"/>
        <v>338</v>
      </c>
      <c r="C39" s="139">
        <f t="shared" si="0"/>
        <v>5.486122382730076</v>
      </c>
      <c r="E39" s="119">
        <f>SUM(E40:E43)</f>
        <v>104</v>
      </c>
      <c r="F39" s="146">
        <f t="shared" si="2"/>
        <v>30.76923076923077</v>
      </c>
      <c r="G39" s="121"/>
      <c r="H39" s="119">
        <f>SUM(H40:H43)</f>
        <v>234</v>
      </c>
      <c r="I39" s="139">
        <f t="shared" si="3"/>
        <v>69.230769230769226</v>
      </c>
      <c r="K39" s="155">
        <f t="shared" si="5"/>
        <v>337</v>
      </c>
      <c r="L39" s="139">
        <f t="shared" si="7"/>
        <v>5.3585625695659092</v>
      </c>
      <c r="M39" s="121"/>
      <c r="N39" s="119">
        <f>SUM(N40:N43)</f>
        <v>106</v>
      </c>
      <c r="O39" s="139">
        <f t="shared" si="1"/>
        <v>31.454005934718097</v>
      </c>
      <c r="P39" s="146"/>
      <c r="Q39" s="119">
        <f>SUM(Q40:Q43)</f>
        <v>231</v>
      </c>
      <c r="R39" s="139">
        <f t="shared" si="4"/>
        <v>68.545994065281903</v>
      </c>
      <c r="S39" s="121"/>
    </row>
    <row r="40" spans="1:19" ht="13.25" customHeight="1">
      <c r="A40" s="111" t="s">
        <v>179</v>
      </c>
      <c r="B40" s="155">
        <f t="shared" si="6"/>
        <v>142</v>
      </c>
      <c r="C40" s="139">
        <f t="shared" si="0"/>
        <v>2.3048206459990261</v>
      </c>
      <c r="E40" s="1007">
        <v>45</v>
      </c>
      <c r="F40" s="146">
        <f t="shared" si="2"/>
        <v>31.690140845070424</v>
      </c>
      <c r="G40" s="1007"/>
      <c r="H40" s="1007">
        <v>97</v>
      </c>
      <c r="I40" s="139">
        <f t="shared" si="3"/>
        <v>68.309859154929569</v>
      </c>
      <c r="K40" s="155">
        <f t="shared" si="5"/>
        <v>150</v>
      </c>
      <c r="L40" s="139">
        <f t="shared" si="7"/>
        <v>2.3851168707266659</v>
      </c>
      <c r="M40" s="121"/>
      <c r="N40" s="121">
        <v>47</v>
      </c>
      <c r="O40" s="139">
        <f t="shared" si="1"/>
        <v>31.333333333333336</v>
      </c>
      <c r="P40" s="121"/>
      <c r="Q40" s="121">
        <v>103</v>
      </c>
      <c r="R40" s="139">
        <f t="shared" si="4"/>
        <v>68.666666666666671</v>
      </c>
      <c r="S40" s="121"/>
    </row>
    <row r="41" spans="1:19" ht="13.25" customHeight="1">
      <c r="A41" s="111" t="s">
        <v>180</v>
      </c>
      <c r="B41" s="155">
        <f t="shared" si="6"/>
        <v>107</v>
      </c>
      <c r="C41" s="139">
        <f t="shared" si="0"/>
        <v>1.7367310501541957</v>
      </c>
      <c r="E41" s="1007">
        <v>28</v>
      </c>
      <c r="F41" s="146">
        <f t="shared" si="2"/>
        <v>26.168224299065418</v>
      </c>
      <c r="G41" s="1007"/>
      <c r="H41" s="1007">
        <v>79</v>
      </c>
      <c r="I41" s="139">
        <f t="shared" si="3"/>
        <v>73.831775700934571</v>
      </c>
      <c r="K41" s="155">
        <f t="shared" si="5"/>
        <v>103</v>
      </c>
      <c r="L41" s="139">
        <f t="shared" si="7"/>
        <v>1.6377802512323105</v>
      </c>
      <c r="M41" s="121"/>
      <c r="N41" s="121">
        <v>29</v>
      </c>
      <c r="O41" s="139">
        <f t="shared" si="1"/>
        <v>28.155339805825243</v>
      </c>
      <c r="P41" s="121"/>
      <c r="Q41" s="121">
        <v>74</v>
      </c>
      <c r="R41" s="139">
        <f t="shared" si="4"/>
        <v>71.844660194174764</v>
      </c>
      <c r="S41" s="121"/>
    </row>
    <row r="42" spans="1:19" ht="13.25" customHeight="1">
      <c r="A42" s="111" t="s">
        <v>181</v>
      </c>
      <c r="B42" s="155">
        <f t="shared" si="6"/>
        <v>51</v>
      </c>
      <c r="C42" s="139">
        <f t="shared" si="0"/>
        <v>0.82778769680246711</v>
      </c>
      <c r="E42" s="1007">
        <v>18</v>
      </c>
      <c r="F42" s="146">
        <f t="shared" si="2"/>
        <v>35.294117647058826</v>
      </c>
      <c r="G42" s="1007"/>
      <c r="H42" s="1007">
        <v>33</v>
      </c>
      <c r="I42" s="139">
        <f t="shared" si="3"/>
        <v>64.705882352941174</v>
      </c>
      <c r="K42" s="155">
        <f t="shared" si="5"/>
        <v>47</v>
      </c>
      <c r="L42" s="139">
        <f t="shared" si="7"/>
        <v>0.74733661949435526</v>
      </c>
      <c r="M42" s="121"/>
      <c r="N42" s="121">
        <v>18</v>
      </c>
      <c r="O42" s="139">
        <f t="shared" si="1"/>
        <v>38.297872340425535</v>
      </c>
      <c r="P42" s="121"/>
      <c r="Q42" s="121">
        <v>29</v>
      </c>
      <c r="R42" s="139">
        <f t="shared" si="4"/>
        <v>61.702127659574465</v>
      </c>
      <c r="S42" s="121"/>
    </row>
    <row r="43" spans="1:19" ht="13.25" customHeight="1">
      <c r="A43" s="111" t="s">
        <v>182</v>
      </c>
      <c r="B43" s="155">
        <f t="shared" si="6"/>
        <v>38</v>
      </c>
      <c r="C43" s="139">
        <f t="shared" si="0"/>
        <v>0.61678298977438728</v>
      </c>
      <c r="E43" s="1007">
        <v>13</v>
      </c>
      <c r="F43" s="146">
        <f t="shared" si="2"/>
        <v>34.210526315789473</v>
      </c>
      <c r="G43" s="1007"/>
      <c r="H43" s="1007">
        <v>25</v>
      </c>
      <c r="I43" s="139">
        <f t="shared" si="3"/>
        <v>65.789473684210535</v>
      </c>
      <c r="K43" s="155">
        <f t="shared" si="5"/>
        <v>37</v>
      </c>
      <c r="L43" s="139">
        <f t="shared" si="7"/>
        <v>0.58832882811257747</v>
      </c>
      <c r="M43" s="121"/>
      <c r="N43" s="121">
        <v>12</v>
      </c>
      <c r="O43" s="139">
        <f t="shared" si="1"/>
        <v>32.432432432432435</v>
      </c>
      <c r="P43" s="121"/>
      <c r="Q43" s="121">
        <v>25</v>
      </c>
      <c r="R43" s="139">
        <f t="shared" si="4"/>
        <v>67.567567567567565</v>
      </c>
      <c r="S43" s="121"/>
    </row>
    <row r="44" spans="1:19" ht="7.5" customHeight="1">
      <c r="C44" s="139" t="str">
        <f t="shared" si="0"/>
        <v/>
      </c>
      <c r="E44" s="119"/>
      <c r="F44" s="146" t="str">
        <f t="shared" si="2"/>
        <v/>
      </c>
      <c r="G44" s="121"/>
      <c r="H44" s="119"/>
      <c r="I44" s="139" t="str">
        <f t="shared" si="3"/>
        <v/>
      </c>
      <c r="K44" s="155">
        <f t="shared" si="5"/>
        <v>0</v>
      </c>
      <c r="L44" s="139" t="str">
        <f t="shared" si="7"/>
        <v/>
      </c>
      <c r="M44" s="121"/>
      <c r="N44" s="119"/>
      <c r="O44" s="139" t="str">
        <f t="shared" si="1"/>
        <v/>
      </c>
      <c r="P44" s="146"/>
      <c r="Q44" s="119"/>
      <c r="R44" s="139" t="str">
        <f t="shared" si="4"/>
        <v/>
      </c>
      <c r="S44" s="121"/>
    </row>
    <row r="45" spans="1:19" ht="13.25" customHeight="1">
      <c r="A45" s="111" t="s">
        <v>183</v>
      </c>
      <c r="B45" s="155">
        <f t="shared" si="6"/>
        <v>463</v>
      </c>
      <c r="C45" s="139">
        <f t="shared" si="0"/>
        <v>7.5150137964616128</v>
      </c>
      <c r="E45" s="119">
        <f>SUM(E46:E53)</f>
        <v>193</v>
      </c>
      <c r="F45" s="146">
        <f t="shared" si="2"/>
        <v>41.68466522678186</v>
      </c>
      <c r="G45" s="121"/>
      <c r="H45" s="119">
        <f>SUM(H46:H53)</f>
        <v>270</v>
      </c>
      <c r="I45" s="139">
        <f t="shared" si="3"/>
        <v>58.31533477321814</v>
      </c>
      <c r="K45" s="155">
        <f t="shared" si="5"/>
        <v>480</v>
      </c>
      <c r="L45" s="139">
        <f t="shared" si="7"/>
        <v>7.6323739863253302</v>
      </c>
      <c r="M45" s="121"/>
      <c r="N45" s="119">
        <f>SUM(N46:N53)</f>
        <v>183</v>
      </c>
      <c r="O45" s="139">
        <f t="shared" si="1"/>
        <v>38.125</v>
      </c>
      <c r="P45" s="146"/>
      <c r="Q45" s="119">
        <f>SUM(Q46:Q53)</f>
        <v>297</v>
      </c>
      <c r="R45" s="139">
        <f t="shared" si="4"/>
        <v>61.875</v>
      </c>
      <c r="S45" s="121"/>
    </row>
    <row r="46" spans="1:19" ht="13.25" customHeight="1">
      <c r="A46" s="111" t="s">
        <v>407</v>
      </c>
      <c r="B46" s="155">
        <f t="shared" si="6"/>
        <v>33</v>
      </c>
      <c r="C46" s="139">
        <f t="shared" si="0"/>
        <v>0.53562733322512579</v>
      </c>
      <c r="E46" s="1007">
        <v>20</v>
      </c>
      <c r="F46" s="146">
        <f t="shared" si="2"/>
        <v>60.606060606060609</v>
      </c>
      <c r="G46" s="1007"/>
      <c r="H46" s="1007">
        <v>13</v>
      </c>
      <c r="I46" s="139">
        <f t="shared" si="3"/>
        <v>39.393939393939391</v>
      </c>
      <c r="K46" s="155">
        <f t="shared" si="5"/>
        <v>34</v>
      </c>
      <c r="L46" s="139">
        <f t="shared" si="7"/>
        <v>0.54062649069804425</v>
      </c>
      <c r="M46" s="121"/>
      <c r="N46" s="121">
        <v>20</v>
      </c>
      <c r="O46" s="139">
        <f t="shared" si="1"/>
        <v>58.82352941176471</v>
      </c>
      <c r="P46" s="121"/>
      <c r="Q46" s="121">
        <v>14</v>
      </c>
      <c r="R46" s="139">
        <f t="shared" si="4"/>
        <v>41.17647058823529</v>
      </c>
      <c r="S46" s="121"/>
    </row>
    <row r="47" spans="1:19" ht="13.25" customHeight="1">
      <c r="A47" s="111" t="s">
        <v>184</v>
      </c>
      <c r="B47" s="155">
        <f t="shared" si="6"/>
        <v>47</v>
      </c>
      <c r="C47" s="139">
        <f t="shared" si="0"/>
        <v>0.76286317156305794</v>
      </c>
      <c r="E47" s="1007">
        <v>22</v>
      </c>
      <c r="F47" s="146">
        <f t="shared" si="2"/>
        <v>46.808510638297875</v>
      </c>
      <c r="G47" s="1007"/>
      <c r="H47" s="1007">
        <v>25</v>
      </c>
      <c r="I47" s="139">
        <f t="shared" si="3"/>
        <v>53.191489361702125</v>
      </c>
      <c r="K47" s="155">
        <f t="shared" si="5"/>
        <v>50</v>
      </c>
      <c r="L47" s="139">
        <f t="shared" si="7"/>
        <v>0.79503895690888859</v>
      </c>
      <c r="M47" s="121"/>
      <c r="N47" s="121">
        <v>22</v>
      </c>
      <c r="O47" s="139">
        <f t="shared" si="1"/>
        <v>44</v>
      </c>
      <c r="P47" s="121"/>
      <c r="Q47" s="121">
        <v>28</v>
      </c>
      <c r="R47" s="139">
        <f t="shared" si="4"/>
        <v>56.000000000000007</v>
      </c>
      <c r="S47" s="121"/>
    </row>
    <row r="48" spans="1:19" ht="13.25" customHeight="1">
      <c r="A48" s="111" t="s">
        <v>185</v>
      </c>
      <c r="B48" s="155">
        <f t="shared" si="6"/>
        <v>76</v>
      </c>
      <c r="C48" s="139">
        <f t="shared" si="0"/>
        <v>1.2335659795487746</v>
      </c>
      <c r="E48" s="1007">
        <v>33</v>
      </c>
      <c r="F48" s="146">
        <f t="shared" si="2"/>
        <v>43.421052631578952</v>
      </c>
      <c r="G48" s="1007"/>
      <c r="H48" s="1007">
        <v>43</v>
      </c>
      <c r="I48" s="139">
        <f t="shared" si="3"/>
        <v>56.578947368421048</v>
      </c>
      <c r="K48" s="155">
        <f t="shared" si="5"/>
        <v>72</v>
      </c>
      <c r="L48" s="139">
        <f t="shared" si="7"/>
        <v>1.1448560979487994</v>
      </c>
      <c r="M48" s="121"/>
      <c r="N48" s="121">
        <v>32</v>
      </c>
      <c r="O48" s="139">
        <f t="shared" si="1"/>
        <v>44.444444444444443</v>
      </c>
      <c r="P48" s="121"/>
      <c r="Q48" s="121">
        <v>40</v>
      </c>
      <c r="R48" s="139">
        <f t="shared" si="4"/>
        <v>55.555555555555557</v>
      </c>
      <c r="S48" s="121"/>
    </row>
    <row r="49" spans="1:19" ht="13.25" customHeight="1">
      <c r="A49" s="111" t="s">
        <v>186</v>
      </c>
      <c r="B49" s="155">
        <f t="shared" si="6"/>
        <v>52</v>
      </c>
      <c r="C49" s="139">
        <f t="shared" si="0"/>
        <v>0.84401882811231932</v>
      </c>
      <c r="E49" s="1007">
        <v>20</v>
      </c>
      <c r="F49" s="146">
        <f t="shared" si="2"/>
        <v>38.461538461538467</v>
      </c>
      <c r="G49" s="1007"/>
      <c r="H49" s="1007">
        <v>32</v>
      </c>
      <c r="I49" s="139">
        <f t="shared" si="3"/>
        <v>61.53846153846154</v>
      </c>
      <c r="K49" s="155">
        <f t="shared" si="5"/>
        <v>57</v>
      </c>
      <c r="L49" s="139">
        <f t="shared" si="7"/>
        <v>0.90634441087613304</v>
      </c>
      <c r="M49" s="121"/>
      <c r="N49" s="121">
        <v>18</v>
      </c>
      <c r="O49" s="139">
        <f t="shared" si="1"/>
        <v>31.578947368421051</v>
      </c>
      <c r="P49" s="121"/>
      <c r="Q49" s="121">
        <v>39</v>
      </c>
      <c r="R49" s="139">
        <f t="shared" si="4"/>
        <v>68.421052631578945</v>
      </c>
      <c r="S49" s="121"/>
    </row>
    <row r="50" spans="1:19" ht="13.25" customHeight="1">
      <c r="A50" s="111" t="s">
        <v>408</v>
      </c>
      <c r="B50" s="155">
        <f t="shared" si="6"/>
        <v>54</v>
      </c>
      <c r="C50" s="139">
        <f t="shared" si="0"/>
        <v>0.87648109073202396</v>
      </c>
      <c r="E50" s="1007">
        <v>24</v>
      </c>
      <c r="F50" s="146">
        <f t="shared" si="2"/>
        <v>44.444444444444443</v>
      </c>
      <c r="G50" s="1007"/>
      <c r="H50" s="1007">
        <v>30</v>
      </c>
      <c r="I50" s="139">
        <f t="shared" si="3"/>
        <v>55.555555555555557</v>
      </c>
      <c r="K50" s="155">
        <f t="shared" si="5"/>
        <v>54</v>
      </c>
      <c r="L50" s="139">
        <f t="shared" si="7"/>
        <v>0.8586420734615996</v>
      </c>
      <c r="M50" s="121"/>
      <c r="N50" s="121">
        <v>23</v>
      </c>
      <c r="O50" s="139">
        <f t="shared" si="1"/>
        <v>42.592592592592595</v>
      </c>
      <c r="P50" s="121"/>
      <c r="Q50" s="121">
        <v>31</v>
      </c>
      <c r="R50" s="139">
        <f t="shared" si="4"/>
        <v>57.407407407407405</v>
      </c>
      <c r="S50" s="121"/>
    </row>
    <row r="51" spans="1:19" ht="13.25" customHeight="1">
      <c r="A51" s="111" t="s">
        <v>190</v>
      </c>
      <c r="B51" s="155">
        <f t="shared" si="6"/>
        <v>34</v>
      </c>
      <c r="C51" s="139">
        <f t="shared" si="0"/>
        <v>0.551858464534978</v>
      </c>
      <c r="E51" s="1007">
        <v>15</v>
      </c>
      <c r="F51" s="146">
        <f t="shared" si="2"/>
        <v>44.117647058823529</v>
      </c>
      <c r="G51" s="1007"/>
      <c r="H51" s="1007">
        <v>19</v>
      </c>
      <c r="I51" s="139">
        <f t="shared" si="3"/>
        <v>55.882352941176471</v>
      </c>
      <c r="K51" s="155">
        <f t="shared" si="5"/>
        <v>35</v>
      </c>
      <c r="L51" s="139">
        <f t="shared" si="7"/>
        <v>0.55652726983622203</v>
      </c>
      <c r="M51" s="121"/>
      <c r="N51" s="121">
        <v>14</v>
      </c>
      <c r="O51" s="139">
        <f t="shared" si="1"/>
        <v>40</v>
      </c>
      <c r="P51" s="121"/>
      <c r="Q51" s="121">
        <v>21</v>
      </c>
      <c r="R51" s="139">
        <f t="shared" si="4"/>
        <v>60</v>
      </c>
      <c r="S51" s="121"/>
    </row>
    <row r="52" spans="1:19" ht="13.25" customHeight="1">
      <c r="A52" s="111" t="s">
        <v>189</v>
      </c>
      <c r="B52" s="155">
        <f t="shared" si="6"/>
        <v>113</v>
      </c>
      <c r="C52" s="139">
        <f t="shared" si="0"/>
        <v>1.8341178380133094</v>
      </c>
      <c r="E52" s="1007">
        <v>41</v>
      </c>
      <c r="F52" s="146">
        <f t="shared" si="2"/>
        <v>36.283185840707965</v>
      </c>
      <c r="G52" s="1007"/>
      <c r="H52" s="1007">
        <v>72</v>
      </c>
      <c r="I52" s="139">
        <f t="shared" si="3"/>
        <v>63.716814159292035</v>
      </c>
      <c r="K52" s="155">
        <f t="shared" si="5"/>
        <v>123</v>
      </c>
      <c r="L52" s="139">
        <f t="shared" si="7"/>
        <v>1.9557958339958659</v>
      </c>
      <c r="M52" s="121"/>
      <c r="N52" s="121">
        <v>36</v>
      </c>
      <c r="O52" s="139">
        <f t="shared" si="1"/>
        <v>29.268292682926827</v>
      </c>
      <c r="P52" s="121"/>
      <c r="Q52" s="121">
        <v>87</v>
      </c>
      <c r="R52" s="139">
        <f t="shared" si="4"/>
        <v>70.731707317073173</v>
      </c>
      <c r="S52" s="121"/>
    </row>
    <row r="53" spans="1:19" ht="13.25" customHeight="1">
      <c r="A53" s="111" t="s">
        <v>188</v>
      </c>
      <c r="B53" s="155">
        <f t="shared" si="6"/>
        <v>54</v>
      </c>
      <c r="C53" s="139">
        <f t="shared" si="0"/>
        <v>0.87648109073202396</v>
      </c>
      <c r="E53" s="1007">
        <v>18</v>
      </c>
      <c r="F53" s="146">
        <f t="shared" si="2"/>
        <v>33.333333333333329</v>
      </c>
      <c r="G53" s="1007"/>
      <c r="H53" s="1007">
        <v>36</v>
      </c>
      <c r="I53" s="139">
        <f t="shared" si="3"/>
        <v>66.666666666666657</v>
      </c>
      <c r="K53" s="155">
        <f t="shared" si="5"/>
        <v>55</v>
      </c>
      <c r="L53" s="139">
        <f t="shared" si="7"/>
        <v>0.87454285259977749</v>
      </c>
      <c r="M53" s="121"/>
      <c r="N53" s="121">
        <v>18</v>
      </c>
      <c r="O53" s="139">
        <f t="shared" si="1"/>
        <v>32.727272727272727</v>
      </c>
      <c r="P53" s="121"/>
      <c r="Q53" s="121">
        <v>37</v>
      </c>
      <c r="R53" s="139">
        <f t="shared" si="4"/>
        <v>67.272727272727266</v>
      </c>
      <c r="S53" s="121"/>
    </row>
    <row r="54" spans="1:19" ht="6.75" customHeight="1">
      <c r="C54" s="139" t="str">
        <f t="shared" si="0"/>
        <v/>
      </c>
      <c r="E54" s="75"/>
      <c r="F54" s="146" t="str">
        <f t="shared" si="2"/>
        <v/>
      </c>
      <c r="G54" s="75"/>
      <c r="H54" s="75"/>
      <c r="I54" s="139" t="str">
        <f t="shared" si="3"/>
        <v/>
      </c>
      <c r="K54" s="155">
        <f t="shared" si="5"/>
        <v>0</v>
      </c>
      <c r="L54" s="139" t="str">
        <f t="shared" si="7"/>
        <v/>
      </c>
      <c r="M54" s="121"/>
      <c r="N54" s="121"/>
      <c r="O54" s="139" t="str">
        <f t="shared" si="1"/>
        <v/>
      </c>
      <c r="P54" s="121"/>
      <c r="Q54" s="121"/>
      <c r="R54" s="139" t="str">
        <f t="shared" si="4"/>
        <v/>
      </c>
      <c r="S54" s="121"/>
    </row>
    <row r="55" spans="1:19" ht="13.25" customHeight="1">
      <c r="A55" s="111" t="s">
        <v>192</v>
      </c>
      <c r="B55" s="155">
        <f t="shared" si="6"/>
        <v>170</v>
      </c>
      <c r="C55" s="139">
        <f t="shared" si="0"/>
        <v>2.7592923226748902</v>
      </c>
      <c r="E55" s="1007">
        <v>53</v>
      </c>
      <c r="F55" s="146">
        <f t="shared" si="2"/>
        <v>31.176470588235293</v>
      </c>
      <c r="G55" s="1007"/>
      <c r="H55" s="1007">
        <v>117</v>
      </c>
      <c r="I55" s="139">
        <f t="shared" si="3"/>
        <v>68.82352941176471</v>
      </c>
      <c r="K55" s="155">
        <f t="shared" si="5"/>
        <v>162</v>
      </c>
      <c r="L55" s="139">
        <f t="shared" si="7"/>
        <v>2.5759262203847988</v>
      </c>
      <c r="M55" s="121"/>
      <c r="N55" s="121">
        <v>52</v>
      </c>
      <c r="O55" s="139">
        <f t="shared" si="1"/>
        <v>32.098765432098766</v>
      </c>
      <c r="P55" s="121"/>
      <c r="Q55" s="121">
        <v>110</v>
      </c>
      <c r="R55" s="139">
        <f t="shared" si="4"/>
        <v>67.901234567901241</v>
      </c>
      <c r="S55" s="121"/>
    </row>
    <row r="56" spans="1:19" ht="6.75" customHeight="1">
      <c r="C56" s="139" t="str">
        <f t="shared" si="0"/>
        <v/>
      </c>
      <c r="E56" s="119"/>
      <c r="F56" s="146" t="str">
        <f t="shared" si="2"/>
        <v/>
      </c>
      <c r="G56" s="121"/>
      <c r="H56" s="119"/>
      <c r="I56" s="139" t="str">
        <f t="shared" si="3"/>
        <v/>
      </c>
      <c r="K56" s="155">
        <f t="shared" si="5"/>
        <v>0</v>
      </c>
      <c r="L56" s="139" t="str">
        <f t="shared" si="7"/>
        <v/>
      </c>
      <c r="M56" s="121"/>
      <c r="N56" s="119"/>
      <c r="O56" s="139" t="str">
        <f t="shared" si="1"/>
        <v/>
      </c>
      <c r="P56" s="146"/>
      <c r="Q56" s="119"/>
      <c r="R56" s="139" t="str">
        <f t="shared" si="4"/>
        <v/>
      </c>
      <c r="S56" s="121"/>
    </row>
    <row r="57" spans="1:19" ht="13.25" customHeight="1">
      <c r="A57" s="111" t="s">
        <v>193</v>
      </c>
      <c r="B57" s="155">
        <f t="shared" si="6"/>
        <v>283</v>
      </c>
      <c r="C57" s="139">
        <f t="shared" si="0"/>
        <v>4.5934101606882001</v>
      </c>
      <c r="E57" s="119">
        <f>SUM(E58:E62)</f>
        <v>82</v>
      </c>
      <c r="F57" s="146">
        <f t="shared" si="2"/>
        <v>28.975265017667844</v>
      </c>
      <c r="G57" s="121"/>
      <c r="H57" s="119">
        <f>SUM(H58:H62)</f>
        <v>201</v>
      </c>
      <c r="I57" s="139">
        <f t="shared" si="3"/>
        <v>71.024734982332163</v>
      </c>
      <c r="K57" s="155">
        <f t="shared" si="5"/>
        <v>326</v>
      </c>
      <c r="L57" s="139">
        <f t="shared" si="7"/>
        <v>5.1836539990459531</v>
      </c>
      <c r="M57" s="121"/>
      <c r="N57" s="119">
        <f>SUM(N58:N62)</f>
        <v>80</v>
      </c>
      <c r="O57" s="139">
        <f t="shared" si="1"/>
        <v>24.539877300613497</v>
      </c>
      <c r="P57" s="146"/>
      <c r="Q57" s="119">
        <f>SUM(Q58:Q62)</f>
        <v>246</v>
      </c>
      <c r="R57" s="139">
        <f t="shared" si="4"/>
        <v>75.460122699386503</v>
      </c>
      <c r="S57" s="121"/>
    </row>
    <row r="58" spans="1:19" ht="13.25" customHeight="1">
      <c r="A58" s="111" t="s">
        <v>194</v>
      </c>
      <c r="B58" s="155">
        <f t="shared" si="6"/>
        <v>36</v>
      </c>
      <c r="C58" s="139">
        <f t="shared" si="0"/>
        <v>0.58432072715468275</v>
      </c>
      <c r="E58" s="1007">
        <v>12</v>
      </c>
      <c r="F58" s="146">
        <f t="shared" si="2"/>
        <v>33.333333333333329</v>
      </c>
      <c r="G58" s="1007"/>
      <c r="H58" s="1007">
        <v>24</v>
      </c>
      <c r="I58" s="139">
        <f t="shared" si="3"/>
        <v>66.666666666666657</v>
      </c>
      <c r="K58" s="155">
        <f t="shared" si="5"/>
        <v>37</v>
      </c>
      <c r="L58" s="139">
        <f t="shared" si="7"/>
        <v>0.58832882811257747</v>
      </c>
      <c r="M58" s="121"/>
      <c r="N58" s="121">
        <v>12</v>
      </c>
      <c r="O58" s="139">
        <f t="shared" si="1"/>
        <v>32.432432432432435</v>
      </c>
      <c r="P58" s="121"/>
      <c r="Q58" s="121">
        <v>25</v>
      </c>
      <c r="R58" s="139">
        <f t="shared" si="4"/>
        <v>67.567567567567565</v>
      </c>
      <c r="S58" s="121"/>
    </row>
    <row r="59" spans="1:19" ht="13.25" customHeight="1">
      <c r="A59" s="111" t="s">
        <v>195</v>
      </c>
      <c r="B59" s="155">
        <f t="shared" si="6"/>
        <v>89</v>
      </c>
      <c r="C59" s="139">
        <f t="shared" si="0"/>
        <v>1.4445706865768544</v>
      </c>
      <c r="E59" s="1007">
        <v>23</v>
      </c>
      <c r="F59" s="146">
        <f t="shared" si="2"/>
        <v>25.842696629213485</v>
      </c>
      <c r="G59" s="1007"/>
      <c r="H59" s="1007">
        <v>66</v>
      </c>
      <c r="I59" s="139">
        <f t="shared" si="3"/>
        <v>74.157303370786522</v>
      </c>
      <c r="K59" s="155">
        <f t="shared" si="5"/>
        <v>148</v>
      </c>
      <c r="L59" s="139">
        <f t="shared" si="7"/>
        <v>2.3533153124503099</v>
      </c>
      <c r="M59" s="121"/>
      <c r="N59" s="121">
        <v>23</v>
      </c>
      <c r="O59" s="139">
        <f t="shared" si="1"/>
        <v>15.54054054054054</v>
      </c>
      <c r="P59" s="121"/>
      <c r="Q59" s="121">
        <v>125</v>
      </c>
      <c r="R59" s="139">
        <f t="shared" si="4"/>
        <v>84.459459459459467</v>
      </c>
      <c r="S59" s="121"/>
    </row>
    <row r="60" spans="1:19" ht="13.25" customHeight="1">
      <c r="A60" s="111" t="s">
        <v>196</v>
      </c>
      <c r="B60" s="155">
        <f t="shared" si="6"/>
        <v>81</v>
      </c>
      <c r="C60" s="139">
        <f t="shared" si="0"/>
        <v>1.3147216360980361</v>
      </c>
      <c r="E60" s="1007">
        <v>19</v>
      </c>
      <c r="F60" s="146">
        <f t="shared" si="2"/>
        <v>23.456790123456788</v>
      </c>
      <c r="G60" s="1007"/>
      <c r="H60" s="1007">
        <v>62</v>
      </c>
      <c r="I60" s="139">
        <f t="shared" si="3"/>
        <v>76.543209876543202</v>
      </c>
      <c r="K60" s="155">
        <f t="shared" si="5"/>
        <v>65</v>
      </c>
      <c r="L60" s="139">
        <f t="shared" si="7"/>
        <v>1.0335506439815552</v>
      </c>
      <c r="M60" s="121"/>
      <c r="N60" s="121">
        <v>19</v>
      </c>
      <c r="O60" s="139">
        <f t="shared" si="1"/>
        <v>29.230769230769234</v>
      </c>
      <c r="P60" s="121"/>
      <c r="Q60" s="121">
        <v>46</v>
      </c>
      <c r="R60" s="139">
        <f t="shared" si="4"/>
        <v>70.769230769230774</v>
      </c>
      <c r="S60" s="121"/>
    </row>
    <row r="61" spans="1:19" ht="13.25" customHeight="1">
      <c r="A61" s="111" t="s">
        <v>409</v>
      </c>
      <c r="B61" s="155">
        <f t="shared" si="6"/>
        <v>29</v>
      </c>
      <c r="C61" s="139">
        <f t="shared" si="0"/>
        <v>0.47070280798571662</v>
      </c>
      <c r="E61" s="1007">
        <v>12</v>
      </c>
      <c r="F61" s="146">
        <f t="shared" si="2"/>
        <v>41.379310344827587</v>
      </c>
      <c r="G61" s="1007"/>
      <c r="H61" s="1007">
        <v>17</v>
      </c>
      <c r="I61" s="139">
        <f t="shared" si="3"/>
        <v>58.620689655172406</v>
      </c>
      <c r="K61" s="155">
        <f t="shared" si="5"/>
        <v>32</v>
      </c>
      <c r="L61" s="139">
        <f t="shared" si="7"/>
        <v>0.50882493242168869</v>
      </c>
      <c r="M61" s="121"/>
      <c r="N61" s="121">
        <v>11</v>
      </c>
      <c r="O61" s="139">
        <f t="shared" si="1"/>
        <v>34.375</v>
      </c>
      <c r="P61" s="121"/>
      <c r="Q61" s="121">
        <v>21</v>
      </c>
      <c r="R61" s="139">
        <f t="shared" si="4"/>
        <v>65.625</v>
      </c>
      <c r="S61" s="121"/>
    </row>
    <row r="62" spans="1:19" ht="13.25" customHeight="1">
      <c r="A62" s="111" t="s">
        <v>198</v>
      </c>
      <c r="B62" s="155">
        <f t="shared" si="6"/>
        <v>48</v>
      </c>
      <c r="C62" s="139">
        <f t="shared" si="0"/>
        <v>0.77909430287291026</v>
      </c>
      <c r="E62" s="1007">
        <v>16</v>
      </c>
      <c r="F62" s="146">
        <f t="shared" si="2"/>
        <v>33.333333333333329</v>
      </c>
      <c r="G62" s="1007"/>
      <c r="H62" s="1007">
        <v>32</v>
      </c>
      <c r="I62" s="139">
        <f t="shared" si="3"/>
        <v>66.666666666666657</v>
      </c>
      <c r="K62" s="155">
        <f t="shared" si="5"/>
        <v>44</v>
      </c>
      <c r="L62" s="139">
        <f t="shared" si="7"/>
        <v>0.69963428207982192</v>
      </c>
      <c r="M62" s="121"/>
      <c r="N62" s="121">
        <v>15</v>
      </c>
      <c r="O62" s="139">
        <f t="shared" si="1"/>
        <v>34.090909090909086</v>
      </c>
      <c r="P62" s="121"/>
      <c r="Q62" s="121">
        <v>29</v>
      </c>
      <c r="R62" s="139">
        <f t="shared" si="4"/>
        <v>65.909090909090907</v>
      </c>
      <c r="S62" s="121"/>
    </row>
    <row r="63" spans="1:19" ht="5.25" customHeight="1">
      <c r="C63" s="139" t="str">
        <f t="shared" si="0"/>
        <v/>
      </c>
      <c r="E63" s="119"/>
      <c r="F63" s="146" t="str">
        <f t="shared" si="2"/>
        <v/>
      </c>
      <c r="G63" s="121"/>
      <c r="H63" s="119"/>
      <c r="I63" s="139" t="str">
        <f t="shared" si="3"/>
        <v/>
      </c>
      <c r="K63" s="155">
        <f t="shared" si="5"/>
        <v>0</v>
      </c>
      <c r="L63" s="139" t="str">
        <f t="shared" si="7"/>
        <v/>
      </c>
      <c r="M63" s="121"/>
      <c r="N63" s="119"/>
      <c r="O63" s="139" t="str">
        <f t="shared" si="1"/>
        <v/>
      </c>
      <c r="P63" s="146"/>
      <c r="Q63" s="119"/>
      <c r="R63" s="139" t="str">
        <f t="shared" si="4"/>
        <v/>
      </c>
      <c r="S63" s="121"/>
    </row>
    <row r="64" spans="1:19" ht="13.25" customHeight="1">
      <c r="A64" s="17" t="s">
        <v>410</v>
      </c>
      <c r="B64" s="155">
        <f t="shared" si="6"/>
        <v>1424</v>
      </c>
      <c r="C64" s="139">
        <f t="shared" si="0"/>
        <v>23.11313098522967</v>
      </c>
      <c r="E64" s="119">
        <f>E65+E67+E74+E76</f>
        <v>513</v>
      </c>
      <c r="F64" s="146">
        <f t="shared" si="2"/>
        <v>36.025280898876403</v>
      </c>
      <c r="G64" s="121"/>
      <c r="H64" s="119">
        <f>H65+H67+H74+H76</f>
        <v>911</v>
      </c>
      <c r="I64" s="139">
        <f t="shared" si="3"/>
        <v>63.974719101123597</v>
      </c>
      <c r="K64" s="155">
        <f t="shared" si="5"/>
        <v>1413</v>
      </c>
      <c r="L64" s="139">
        <f t="shared" si="7"/>
        <v>22.467800922245189</v>
      </c>
      <c r="M64" s="121"/>
      <c r="N64" s="119">
        <f>N65+N67+N74+N76</f>
        <v>522</v>
      </c>
      <c r="O64" s="139">
        <f t="shared" si="1"/>
        <v>36.942675159235669</v>
      </c>
      <c r="P64" s="146"/>
      <c r="Q64" s="119">
        <f>Q65+Q67+Q74+Q76</f>
        <v>891</v>
      </c>
      <c r="R64" s="139">
        <f t="shared" si="4"/>
        <v>63.057324840764331</v>
      </c>
      <c r="S64" s="121"/>
    </row>
    <row r="65" spans="1:19" ht="13.25" customHeight="1">
      <c r="A65" s="111" t="s">
        <v>411</v>
      </c>
      <c r="B65" s="155">
        <f t="shared" si="6"/>
        <v>101</v>
      </c>
      <c r="C65" s="139">
        <f t="shared" si="0"/>
        <v>1.639344262295082</v>
      </c>
      <c r="E65" s="1007">
        <v>25</v>
      </c>
      <c r="F65" s="146">
        <f t="shared" si="2"/>
        <v>24.752475247524753</v>
      </c>
      <c r="G65" s="1007"/>
      <c r="H65" s="1007">
        <v>76</v>
      </c>
      <c r="I65" s="139">
        <f t="shared" si="3"/>
        <v>75.247524752475243</v>
      </c>
      <c r="K65" s="155">
        <f t="shared" si="5"/>
        <v>106</v>
      </c>
      <c r="L65" s="139">
        <f t="shared" si="7"/>
        <v>1.6854825886468436</v>
      </c>
      <c r="M65" s="121"/>
      <c r="N65" s="121">
        <v>25</v>
      </c>
      <c r="O65" s="139">
        <f t="shared" si="1"/>
        <v>23.584905660377359</v>
      </c>
      <c r="P65" s="121"/>
      <c r="Q65" s="121">
        <v>81</v>
      </c>
      <c r="R65" s="139">
        <f t="shared" si="4"/>
        <v>76.415094339622641</v>
      </c>
      <c r="S65" s="121"/>
    </row>
    <row r="66" spans="1:19" ht="6.75" customHeight="1">
      <c r="C66" s="139" t="str">
        <f t="shared" si="0"/>
        <v/>
      </c>
      <c r="E66" s="119"/>
      <c r="F66" s="146" t="str">
        <f t="shared" si="2"/>
        <v/>
      </c>
      <c r="G66" s="121"/>
      <c r="H66" s="119"/>
      <c r="I66" s="139" t="str">
        <f t="shared" si="3"/>
        <v/>
      </c>
      <c r="K66" s="155">
        <f t="shared" si="5"/>
        <v>0</v>
      </c>
      <c r="L66" s="139" t="str">
        <f t="shared" si="7"/>
        <v/>
      </c>
      <c r="M66" s="121"/>
      <c r="N66" s="119"/>
      <c r="O66" s="139" t="str">
        <f t="shared" si="1"/>
        <v/>
      </c>
      <c r="P66" s="146"/>
      <c r="Q66" s="119"/>
      <c r="R66" s="139" t="str">
        <f t="shared" si="4"/>
        <v/>
      </c>
      <c r="S66" s="121"/>
    </row>
    <row r="67" spans="1:19" ht="13.25" customHeight="1">
      <c r="A67" s="111" t="s">
        <v>202</v>
      </c>
      <c r="B67" s="155">
        <f t="shared" si="6"/>
        <v>1044</v>
      </c>
      <c r="C67" s="139">
        <f t="shared" si="0"/>
        <v>16.945301087485799</v>
      </c>
      <c r="E67" s="119">
        <f>SUM(E68:E72)</f>
        <v>384</v>
      </c>
      <c r="F67" s="146">
        <f t="shared" si="2"/>
        <v>36.781609195402297</v>
      </c>
      <c r="G67" s="121"/>
      <c r="H67" s="119">
        <f>SUM(H68:H72)</f>
        <v>660</v>
      </c>
      <c r="I67" s="139">
        <f t="shared" si="3"/>
        <v>63.218390804597703</v>
      </c>
      <c r="K67" s="155">
        <f t="shared" si="5"/>
        <v>1055</v>
      </c>
      <c r="L67" s="139">
        <f t="shared" si="7"/>
        <v>16.775321990777549</v>
      </c>
      <c r="M67" s="121"/>
      <c r="N67" s="119">
        <f>SUM(N68:N72)</f>
        <v>389</v>
      </c>
      <c r="O67" s="139">
        <f t="shared" si="1"/>
        <v>36.872037914691944</v>
      </c>
      <c r="P67" s="146"/>
      <c r="Q67" s="119">
        <f>SUM(Q68:Q72)</f>
        <v>666</v>
      </c>
      <c r="R67" s="139">
        <f t="shared" si="4"/>
        <v>63.127962085308056</v>
      </c>
      <c r="S67" s="121"/>
    </row>
    <row r="68" spans="1:19" ht="13.25" customHeight="1">
      <c r="A68" s="111" t="s">
        <v>412</v>
      </c>
      <c r="B68" s="155">
        <f t="shared" si="6"/>
        <v>705</v>
      </c>
      <c r="C68" s="139">
        <f t="shared" si="0"/>
        <v>11.442947573445869</v>
      </c>
      <c r="E68" s="1007">
        <v>304</v>
      </c>
      <c r="F68" s="146">
        <f t="shared" si="2"/>
        <v>43.120567375886523</v>
      </c>
      <c r="G68" s="1007"/>
      <c r="H68" s="1007">
        <v>401</v>
      </c>
      <c r="I68" s="139">
        <f t="shared" si="3"/>
        <v>56.879432624113477</v>
      </c>
      <c r="K68" s="155">
        <f t="shared" si="5"/>
        <v>705</v>
      </c>
      <c r="L68" s="139">
        <f t="shared" si="7"/>
        <v>11.210049292415327</v>
      </c>
      <c r="M68" s="121"/>
      <c r="N68" s="121">
        <v>310</v>
      </c>
      <c r="O68" s="139">
        <f t="shared" si="1"/>
        <v>43.971631205673759</v>
      </c>
      <c r="P68" s="121"/>
      <c r="Q68" s="121">
        <v>395</v>
      </c>
      <c r="R68" s="139">
        <f t="shared" si="4"/>
        <v>56.028368794326241</v>
      </c>
      <c r="S68" s="121"/>
    </row>
    <row r="69" spans="1:19" ht="13.25" customHeight="1">
      <c r="A69" s="111" t="s">
        <v>204</v>
      </c>
      <c r="B69" s="155">
        <f t="shared" si="6"/>
        <v>69</v>
      </c>
      <c r="C69" s="139">
        <f t="shared" si="0"/>
        <v>1.1199480603798084</v>
      </c>
      <c r="E69" s="1007">
        <v>38</v>
      </c>
      <c r="F69" s="146">
        <f t="shared" si="2"/>
        <v>55.072463768115945</v>
      </c>
      <c r="G69" s="1007"/>
      <c r="H69" s="1007">
        <v>31</v>
      </c>
      <c r="I69" s="139">
        <f t="shared" si="3"/>
        <v>44.927536231884055</v>
      </c>
      <c r="K69" s="155">
        <f t="shared" si="5"/>
        <v>66</v>
      </c>
      <c r="L69" s="139">
        <f t="shared" si="7"/>
        <v>1.0494514231197329</v>
      </c>
      <c r="M69" s="121"/>
      <c r="N69" s="121">
        <v>36</v>
      </c>
      <c r="O69" s="139">
        <f t="shared" si="1"/>
        <v>54.54545454545454</v>
      </c>
      <c r="P69" s="121"/>
      <c r="Q69" s="121">
        <v>30</v>
      </c>
      <c r="R69" s="139">
        <f t="shared" si="4"/>
        <v>45.454545454545453</v>
      </c>
      <c r="S69" s="121"/>
    </row>
    <row r="70" spans="1:19" ht="13.25" customHeight="1">
      <c r="A70" s="111" t="s">
        <v>206</v>
      </c>
      <c r="B70" s="155">
        <f t="shared" si="6"/>
        <v>58</v>
      </c>
      <c r="C70" s="139">
        <f t="shared" si="0"/>
        <v>0.94140561597143324</v>
      </c>
      <c r="E70" s="1007">
        <v>19</v>
      </c>
      <c r="F70" s="146">
        <f t="shared" si="2"/>
        <v>32.758620689655174</v>
      </c>
      <c r="G70" s="1007"/>
      <c r="H70" s="1007">
        <v>39</v>
      </c>
      <c r="I70" s="139">
        <f t="shared" si="3"/>
        <v>67.241379310344826</v>
      </c>
      <c r="K70" s="155">
        <f t="shared" si="5"/>
        <v>74</v>
      </c>
      <c r="L70" s="139">
        <f t="shared" si="7"/>
        <v>1.1766576562251549</v>
      </c>
      <c r="M70" s="121"/>
      <c r="N70" s="121">
        <v>19</v>
      </c>
      <c r="O70" s="139">
        <f t="shared" si="1"/>
        <v>25.675675675675674</v>
      </c>
      <c r="P70" s="121"/>
      <c r="Q70" s="121">
        <v>55</v>
      </c>
      <c r="R70" s="139">
        <f t="shared" si="4"/>
        <v>74.324324324324323</v>
      </c>
      <c r="S70" s="121"/>
    </row>
    <row r="71" spans="1:19" ht="13.25" customHeight="1">
      <c r="A71" s="111" t="s">
        <v>205</v>
      </c>
      <c r="B71" s="155">
        <f t="shared" si="6"/>
        <v>42</v>
      </c>
      <c r="C71" s="139">
        <f t="shared" si="0"/>
        <v>0.68170751501379645</v>
      </c>
      <c r="E71" s="1007">
        <v>11</v>
      </c>
      <c r="F71" s="146">
        <f t="shared" si="2"/>
        <v>26.190476190476193</v>
      </c>
      <c r="G71" s="1007"/>
      <c r="H71" s="1007">
        <v>31</v>
      </c>
      <c r="I71" s="139">
        <f t="shared" si="3"/>
        <v>73.80952380952381</v>
      </c>
      <c r="K71" s="155">
        <f t="shared" si="5"/>
        <v>43</v>
      </c>
      <c r="L71" s="139">
        <f t="shared" si="7"/>
        <v>0.68373350294164414</v>
      </c>
      <c r="M71" s="121"/>
      <c r="N71" s="121">
        <v>11</v>
      </c>
      <c r="O71" s="139">
        <f t="shared" si="1"/>
        <v>25.581395348837212</v>
      </c>
      <c r="P71" s="121"/>
      <c r="Q71" s="121">
        <v>32</v>
      </c>
      <c r="R71" s="139">
        <f t="shared" si="4"/>
        <v>74.418604651162795</v>
      </c>
      <c r="S71" s="121"/>
    </row>
    <row r="72" spans="1:19" ht="13.25" customHeight="1">
      <c r="A72" s="111" t="s">
        <v>207</v>
      </c>
      <c r="B72" s="155">
        <f t="shared" si="6"/>
        <v>170</v>
      </c>
      <c r="C72" s="139">
        <f t="shared" si="0"/>
        <v>2.7592923226748902</v>
      </c>
      <c r="E72" s="1007">
        <v>12</v>
      </c>
      <c r="F72" s="146">
        <f t="shared" si="2"/>
        <v>7.0588235294117645</v>
      </c>
      <c r="G72" s="1007"/>
      <c r="H72" s="1007">
        <v>158</v>
      </c>
      <c r="I72" s="139">
        <f t="shared" si="3"/>
        <v>92.941176470588232</v>
      </c>
      <c r="K72" s="155">
        <f t="shared" si="5"/>
        <v>167</v>
      </c>
      <c r="L72" s="139">
        <f t="shared" si="7"/>
        <v>2.6554301160756877</v>
      </c>
      <c r="M72" s="121"/>
      <c r="N72" s="121">
        <v>13</v>
      </c>
      <c r="O72" s="139">
        <f t="shared" si="1"/>
        <v>7.7844311377245514</v>
      </c>
      <c r="P72" s="121"/>
      <c r="Q72" s="121">
        <v>154</v>
      </c>
      <c r="R72" s="139">
        <f t="shared" si="4"/>
        <v>92.215568862275461</v>
      </c>
      <c r="S72" s="121"/>
    </row>
    <row r="73" spans="1:19" ht="6" customHeight="1">
      <c r="C73" s="139" t="str">
        <f t="shared" si="0"/>
        <v/>
      </c>
      <c r="E73" s="75"/>
      <c r="F73" s="146" t="str">
        <f t="shared" si="2"/>
        <v/>
      </c>
      <c r="G73" s="75"/>
      <c r="H73" s="75"/>
      <c r="I73" s="139" t="str">
        <f t="shared" si="3"/>
        <v/>
      </c>
      <c r="K73" s="155">
        <f t="shared" si="5"/>
        <v>0</v>
      </c>
      <c r="L73" s="139" t="str">
        <f t="shared" si="7"/>
        <v/>
      </c>
      <c r="M73" s="121"/>
      <c r="N73" s="121"/>
      <c r="O73" s="139" t="str">
        <f t="shared" si="1"/>
        <v/>
      </c>
      <c r="P73" s="121"/>
      <c r="Q73" s="121"/>
      <c r="R73" s="139" t="str">
        <f t="shared" si="4"/>
        <v/>
      </c>
      <c r="S73" s="121"/>
    </row>
    <row r="74" spans="1:19" ht="13.25" customHeight="1">
      <c r="A74" s="111" t="s">
        <v>208</v>
      </c>
      <c r="B74" s="155">
        <f t="shared" si="6"/>
        <v>91</v>
      </c>
      <c r="C74" s="139">
        <f t="shared" si="0"/>
        <v>1.477032949196559</v>
      </c>
      <c r="E74" s="1007">
        <v>25</v>
      </c>
      <c r="F74" s="146">
        <f t="shared" si="2"/>
        <v>27.472527472527474</v>
      </c>
      <c r="G74" s="1007"/>
      <c r="H74" s="1007">
        <v>66</v>
      </c>
      <c r="I74" s="139">
        <f t="shared" si="3"/>
        <v>72.527472527472526</v>
      </c>
      <c r="K74" s="155">
        <f t="shared" si="5"/>
        <v>63</v>
      </c>
      <c r="L74" s="139">
        <f t="shared" si="7"/>
        <v>1.0017490857051996</v>
      </c>
      <c r="M74" s="121"/>
      <c r="N74" s="121">
        <v>26</v>
      </c>
      <c r="O74" s="139">
        <f t="shared" si="1"/>
        <v>41.269841269841265</v>
      </c>
      <c r="P74" s="121"/>
      <c r="Q74" s="121">
        <v>37</v>
      </c>
      <c r="R74" s="139">
        <f t="shared" si="4"/>
        <v>58.730158730158735</v>
      </c>
      <c r="S74" s="121"/>
    </row>
    <row r="75" spans="1:19" ht="9" customHeight="1">
      <c r="C75" s="139" t="str">
        <f t="shared" si="0"/>
        <v/>
      </c>
      <c r="E75" s="75"/>
      <c r="F75" s="146" t="str">
        <f t="shared" si="2"/>
        <v/>
      </c>
      <c r="G75" s="75"/>
      <c r="H75" s="75"/>
      <c r="I75" s="139" t="str">
        <f t="shared" si="3"/>
        <v/>
      </c>
      <c r="K75" s="155">
        <f t="shared" si="5"/>
        <v>0</v>
      </c>
      <c r="L75" s="139" t="str">
        <f t="shared" si="7"/>
        <v/>
      </c>
      <c r="M75" s="121"/>
      <c r="N75" s="121"/>
      <c r="O75" s="139" t="str">
        <f t="shared" si="1"/>
        <v/>
      </c>
      <c r="P75" s="121"/>
      <c r="Q75" s="121"/>
      <c r="R75" s="139" t="str">
        <f t="shared" si="4"/>
        <v/>
      </c>
      <c r="S75" s="121"/>
    </row>
    <row r="76" spans="1:19" ht="13.25" customHeight="1">
      <c r="A76" s="111" t="s">
        <v>209</v>
      </c>
      <c r="B76" s="155">
        <f t="shared" si="6"/>
        <v>188</v>
      </c>
      <c r="C76" s="139">
        <f t="shared" si="0"/>
        <v>3.0514526862522318</v>
      </c>
      <c r="E76" s="1007">
        <v>79</v>
      </c>
      <c r="F76" s="146">
        <f t="shared" si="2"/>
        <v>42.021276595744681</v>
      </c>
      <c r="G76" s="1007"/>
      <c r="H76" s="1007">
        <v>109</v>
      </c>
      <c r="I76" s="139">
        <f t="shared" si="3"/>
        <v>57.978723404255319</v>
      </c>
      <c r="K76" s="155">
        <f t="shared" si="5"/>
        <v>189</v>
      </c>
      <c r="L76" s="139">
        <f t="shared" si="7"/>
        <v>3.0052472571155988</v>
      </c>
      <c r="M76" s="121"/>
      <c r="N76" s="121">
        <v>82</v>
      </c>
      <c r="O76" s="139">
        <f t="shared" ref="O76:O114" si="8">IF($A76&lt;&gt;"",N76/$K76*100,"")</f>
        <v>43.386243386243386</v>
      </c>
      <c r="P76" s="121"/>
      <c r="Q76" s="121">
        <v>107</v>
      </c>
      <c r="R76" s="139">
        <f t="shared" si="4"/>
        <v>56.613756613756614</v>
      </c>
      <c r="S76" s="121"/>
    </row>
    <row r="77" spans="1:19" ht="7.5" customHeight="1">
      <c r="C77" s="139" t="str">
        <f t="shared" si="0"/>
        <v/>
      </c>
      <c r="E77" s="119"/>
      <c r="F77" s="146" t="str">
        <f t="shared" si="2"/>
        <v/>
      </c>
      <c r="G77" s="121"/>
      <c r="H77" s="119"/>
      <c r="I77" s="139" t="str">
        <f t="shared" si="3"/>
        <v/>
      </c>
      <c r="K77" s="155">
        <f t="shared" si="5"/>
        <v>0</v>
      </c>
      <c r="L77" s="139" t="str">
        <f t="shared" si="7"/>
        <v/>
      </c>
      <c r="M77" s="121"/>
      <c r="N77" s="119"/>
      <c r="O77" s="139" t="str">
        <f t="shared" si="8"/>
        <v/>
      </c>
      <c r="P77" s="146"/>
      <c r="Q77" s="119"/>
      <c r="R77" s="139" t="str">
        <f t="shared" si="4"/>
        <v/>
      </c>
      <c r="S77" s="121"/>
    </row>
    <row r="78" spans="1:19" ht="13.25" customHeight="1">
      <c r="A78" s="17" t="s">
        <v>413</v>
      </c>
      <c r="B78" s="155">
        <f t="shared" si="6"/>
        <v>111</v>
      </c>
      <c r="C78" s="139">
        <f t="shared" si="0"/>
        <v>1.801655575393605</v>
      </c>
      <c r="E78" s="119">
        <f>E79</f>
        <v>59</v>
      </c>
      <c r="F78" s="146">
        <f t="shared" ref="F78:F114" si="9">IF($A78&lt;&gt;"",E78/$B78*100,"")</f>
        <v>53.153153153153156</v>
      </c>
      <c r="G78" s="121"/>
      <c r="H78" s="119">
        <f>H79</f>
        <v>52</v>
      </c>
      <c r="I78" s="139">
        <f t="shared" ref="I78:I111" si="10">IF($A78&lt;&gt;"",H78/$B78*100,"")</f>
        <v>46.846846846846844</v>
      </c>
      <c r="K78" s="155">
        <f t="shared" si="5"/>
        <v>112</v>
      </c>
      <c r="L78" s="139">
        <f t="shared" si="7"/>
        <v>1.7808872634759103</v>
      </c>
      <c r="M78" s="121"/>
      <c r="N78" s="119">
        <f>N79</f>
        <v>56</v>
      </c>
      <c r="O78" s="139">
        <f t="shared" si="8"/>
        <v>50</v>
      </c>
      <c r="P78" s="146"/>
      <c r="Q78" s="119">
        <f>Q79</f>
        <v>56</v>
      </c>
      <c r="R78" s="139">
        <f t="shared" ref="R78:R111" si="11">IF($A78&lt;&gt;"",Q78/$K78*100,"")</f>
        <v>50</v>
      </c>
      <c r="S78" s="121"/>
    </row>
    <row r="79" spans="1:19" ht="13.25" customHeight="1">
      <c r="A79" s="111" t="s">
        <v>414</v>
      </c>
      <c r="B79" s="155">
        <f t="shared" si="6"/>
        <v>111</v>
      </c>
      <c r="C79" s="139">
        <f t="shared" si="0"/>
        <v>1.801655575393605</v>
      </c>
      <c r="E79" s="119">
        <f>SUM(E80:E83)</f>
        <v>59</v>
      </c>
      <c r="F79" s="146">
        <f t="shared" si="9"/>
        <v>53.153153153153156</v>
      </c>
      <c r="G79" s="121"/>
      <c r="H79" s="119">
        <f>SUM(H80:H83)</f>
        <v>52</v>
      </c>
      <c r="I79" s="139">
        <f t="shared" si="10"/>
        <v>46.846846846846844</v>
      </c>
      <c r="K79" s="155">
        <f t="shared" si="5"/>
        <v>112</v>
      </c>
      <c r="L79" s="139">
        <f t="shared" si="7"/>
        <v>1.7808872634759103</v>
      </c>
      <c r="M79" s="121"/>
      <c r="N79" s="119">
        <f>SUM(N80:N83)</f>
        <v>56</v>
      </c>
      <c r="O79" s="139">
        <f t="shared" si="8"/>
        <v>50</v>
      </c>
      <c r="P79" s="146"/>
      <c r="Q79" s="119">
        <f>SUM(Q80:Q83)</f>
        <v>56</v>
      </c>
      <c r="R79" s="139">
        <f t="shared" si="11"/>
        <v>50</v>
      </c>
      <c r="S79" s="121"/>
    </row>
    <row r="80" spans="1:19" ht="13.25" customHeight="1">
      <c r="A80" s="111" t="s">
        <v>212</v>
      </c>
      <c r="B80" s="155">
        <f>E80+H80</f>
        <v>32</v>
      </c>
      <c r="C80" s="139">
        <f t="shared" si="0"/>
        <v>0.51939620191527347</v>
      </c>
      <c r="E80" s="1007">
        <v>13</v>
      </c>
      <c r="F80" s="146">
        <f t="shared" si="9"/>
        <v>40.625</v>
      </c>
      <c r="G80" s="1007"/>
      <c r="H80" s="1007">
        <v>19</v>
      </c>
      <c r="I80" s="139">
        <f t="shared" si="10"/>
        <v>59.375</v>
      </c>
      <c r="K80" s="155">
        <f t="shared" si="5"/>
        <v>31</v>
      </c>
      <c r="L80" s="139">
        <f t="shared" si="7"/>
        <v>0.49292415328351086</v>
      </c>
      <c r="M80" s="121"/>
      <c r="N80" s="121">
        <v>13</v>
      </c>
      <c r="O80" s="139">
        <f t="shared" si="8"/>
        <v>41.935483870967744</v>
      </c>
      <c r="P80" s="121"/>
      <c r="Q80" s="121">
        <v>18</v>
      </c>
      <c r="R80" s="139">
        <f t="shared" si="11"/>
        <v>58.064516129032263</v>
      </c>
      <c r="S80" s="121"/>
    </row>
    <row r="81" spans="1:19" ht="13.25" customHeight="1">
      <c r="A81" s="111" t="s">
        <v>213</v>
      </c>
      <c r="B81" s="155">
        <f>E81+H81</f>
        <v>37</v>
      </c>
      <c r="C81" s="139">
        <f t="shared" si="0"/>
        <v>0.60055185846453496</v>
      </c>
      <c r="E81" s="1007">
        <v>24</v>
      </c>
      <c r="F81" s="146">
        <f t="shared" si="9"/>
        <v>64.86486486486487</v>
      </c>
      <c r="G81" s="1007"/>
      <c r="H81" s="1007">
        <v>13</v>
      </c>
      <c r="I81" s="139">
        <f t="shared" si="10"/>
        <v>35.135135135135137</v>
      </c>
      <c r="K81" s="155">
        <f t="shared" ref="K81:K114" si="12">N81+Q81</f>
        <v>40</v>
      </c>
      <c r="L81" s="139">
        <f t="shared" si="7"/>
        <v>0.63603116552711092</v>
      </c>
      <c r="M81" s="121"/>
      <c r="N81" s="121">
        <v>25</v>
      </c>
      <c r="O81" s="139">
        <f t="shared" si="8"/>
        <v>62.5</v>
      </c>
      <c r="P81" s="121"/>
      <c r="Q81" s="121">
        <v>15</v>
      </c>
      <c r="R81" s="139">
        <f t="shared" si="11"/>
        <v>37.5</v>
      </c>
      <c r="S81" s="121"/>
    </row>
    <row r="82" spans="1:19" ht="13.25" customHeight="1">
      <c r="A82" s="111" t="s">
        <v>214</v>
      </c>
      <c r="B82" s="155">
        <f>E82+H82</f>
        <v>18</v>
      </c>
      <c r="C82" s="139">
        <f t="shared" ref="C82:C114" si="13">IF(A82&lt;&gt;0,B82/$B$12*100,"")</f>
        <v>0.29216036357734138</v>
      </c>
      <c r="E82" s="1007">
        <v>9</v>
      </c>
      <c r="F82" s="146">
        <f t="shared" si="9"/>
        <v>50</v>
      </c>
      <c r="G82" s="1007"/>
      <c r="H82" s="1007">
        <v>9</v>
      </c>
      <c r="I82" s="139">
        <f t="shared" si="10"/>
        <v>50</v>
      </c>
      <c r="K82" s="155">
        <f t="shared" si="12"/>
        <v>18</v>
      </c>
      <c r="L82" s="139">
        <f t="shared" si="7"/>
        <v>0.28621402448719985</v>
      </c>
      <c r="M82" s="121"/>
      <c r="N82" s="121">
        <v>7</v>
      </c>
      <c r="O82" s="139">
        <f t="shared" si="8"/>
        <v>38.888888888888893</v>
      </c>
      <c r="P82" s="121"/>
      <c r="Q82" s="121">
        <v>11</v>
      </c>
      <c r="R82" s="139">
        <f t="shared" si="11"/>
        <v>61.111111111111114</v>
      </c>
      <c r="S82" s="121"/>
    </row>
    <row r="83" spans="1:19" ht="13.25" customHeight="1">
      <c r="A83" s="111" t="s">
        <v>215</v>
      </c>
      <c r="B83" s="155">
        <f>E83+H83</f>
        <v>24</v>
      </c>
      <c r="C83" s="139">
        <f t="shared" si="13"/>
        <v>0.38954715143645513</v>
      </c>
      <c r="E83" s="1007">
        <v>13</v>
      </c>
      <c r="F83" s="146">
        <f t="shared" si="9"/>
        <v>54.166666666666664</v>
      </c>
      <c r="G83" s="1007"/>
      <c r="H83" s="1007">
        <v>11</v>
      </c>
      <c r="I83" s="139">
        <f t="shared" si="10"/>
        <v>45.833333333333329</v>
      </c>
      <c r="K83" s="155">
        <f t="shared" si="12"/>
        <v>23</v>
      </c>
      <c r="L83" s="139">
        <f t="shared" si="7"/>
        <v>0.36571792017808868</v>
      </c>
      <c r="M83" s="121"/>
      <c r="N83" s="121">
        <v>11</v>
      </c>
      <c r="O83" s="139">
        <f t="shared" si="8"/>
        <v>47.826086956521742</v>
      </c>
      <c r="P83" s="121"/>
      <c r="Q83" s="121">
        <v>12</v>
      </c>
      <c r="R83" s="139">
        <f t="shared" si="11"/>
        <v>52.173913043478258</v>
      </c>
      <c r="S83" s="121"/>
    </row>
    <row r="84" spans="1:19" ht="6.75" customHeight="1">
      <c r="C84" s="139" t="str">
        <f t="shared" si="13"/>
        <v/>
      </c>
      <c r="E84" s="119"/>
      <c r="F84" s="146" t="str">
        <f t="shared" si="9"/>
        <v/>
      </c>
      <c r="G84" s="121"/>
      <c r="H84" s="119"/>
      <c r="I84" s="139" t="str">
        <f t="shared" si="10"/>
        <v/>
      </c>
      <c r="K84" s="155">
        <f t="shared" si="12"/>
        <v>0</v>
      </c>
      <c r="L84" s="139" t="str">
        <f t="shared" ref="L84:L99" si="14">IF(A84&lt;&gt;0,K84/$K$12*100,"")</f>
        <v/>
      </c>
      <c r="M84" s="121"/>
      <c r="N84" s="119"/>
      <c r="O84" s="139" t="str">
        <f t="shared" si="8"/>
        <v/>
      </c>
      <c r="P84" s="146"/>
      <c r="Q84" s="119"/>
      <c r="R84" s="139" t="str">
        <f t="shared" si="11"/>
        <v/>
      </c>
      <c r="S84" s="121"/>
    </row>
    <row r="85" spans="1:19" ht="12" customHeight="1">
      <c r="A85" s="17" t="s">
        <v>216</v>
      </c>
      <c r="B85" s="155">
        <f>SUM(E85+H85)</f>
        <v>458</v>
      </c>
      <c r="C85" s="139">
        <f t="shared" si="13"/>
        <v>7.4338581399123509</v>
      </c>
      <c r="E85" s="119">
        <f>SUM(E86)</f>
        <v>157</v>
      </c>
      <c r="F85" s="146">
        <f t="shared" si="9"/>
        <v>34.279475982532752</v>
      </c>
      <c r="G85" s="121"/>
      <c r="H85" s="119">
        <f>SUM(H86)</f>
        <v>301</v>
      </c>
      <c r="I85" s="139">
        <f t="shared" si="10"/>
        <v>65.720524017467255</v>
      </c>
      <c r="K85" s="155">
        <f t="shared" si="12"/>
        <v>456</v>
      </c>
      <c r="L85" s="139">
        <f t="shared" si="14"/>
        <v>7.2507552870090644</v>
      </c>
      <c r="M85" s="121"/>
      <c r="N85" s="119">
        <f>SUM(N86)</f>
        <v>159</v>
      </c>
      <c r="O85" s="139">
        <f t="shared" si="8"/>
        <v>34.868421052631575</v>
      </c>
      <c r="P85" s="146"/>
      <c r="Q85" s="119">
        <f>SUM(Q86)</f>
        <v>297</v>
      </c>
      <c r="R85" s="139">
        <f t="shared" si="11"/>
        <v>65.131578947368425</v>
      </c>
      <c r="S85" s="121"/>
    </row>
    <row r="86" spans="1:19" ht="13.25" customHeight="1">
      <c r="A86" s="111" t="s">
        <v>217</v>
      </c>
      <c r="B86" s="155">
        <f t="shared" ref="B86:B100" si="15">E86+H86</f>
        <v>458</v>
      </c>
      <c r="C86" s="139">
        <f t="shared" si="13"/>
        <v>7.4338581399123509</v>
      </c>
      <c r="E86" s="119">
        <f>SUM(E87:E95)</f>
        <v>157</v>
      </c>
      <c r="F86" s="146">
        <f t="shared" si="9"/>
        <v>34.279475982532752</v>
      </c>
      <c r="G86" s="121"/>
      <c r="H86" s="119">
        <f>SUM(H87:H95)</f>
        <v>301</v>
      </c>
      <c r="I86" s="139">
        <f t="shared" si="10"/>
        <v>65.720524017467255</v>
      </c>
      <c r="K86" s="155">
        <f t="shared" si="12"/>
        <v>456</v>
      </c>
      <c r="L86" s="139">
        <f t="shared" si="14"/>
        <v>7.2507552870090644</v>
      </c>
      <c r="M86" s="121"/>
      <c r="N86" s="119">
        <f>SUM(N87:N95)</f>
        <v>159</v>
      </c>
      <c r="O86" s="139">
        <f t="shared" si="8"/>
        <v>34.868421052631575</v>
      </c>
      <c r="P86" s="146"/>
      <c r="Q86" s="119">
        <f>SUM(Q87:Q95)</f>
        <v>297</v>
      </c>
      <c r="R86" s="139">
        <f t="shared" si="11"/>
        <v>65.131578947368425</v>
      </c>
      <c r="S86" s="121"/>
    </row>
    <row r="87" spans="1:19" ht="13.25" customHeight="1">
      <c r="A87" s="111" t="s">
        <v>415</v>
      </c>
      <c r="B87" s="155">
        <f t="shared" si="15"/>
        <v>25</v>
      </c>
      <c r="C87" s="139">
        <f t="shared" si="13"/>
        <v>0.40577828274630739</v>
      </c>
      <c r="E87" s="1007">
        <v>10</v>
      </c>
      <c r="F87" s="146">
        <f t="shared" si="9"/>
        <v>40</v>
      </c>
      <c r="G87" s="1007"/>
      <c r="H87" s="1007">
        <v>15</v>
      </c>
      <c r="I87" s="139">
        <f t="shared" si="10"/>
        <v>60</v>
      </c>
      <c r="K87" s="155">
        <f t="shared" si="12"/>
        <v>23</v>
      </c>
      <c r="L87" s="139">
        <f t="shared" si="14"/>
        <v>0.36571792017808868</v>
      </c>
      <c r="M87" s="121"/>
      <c r="N87" s="121">
        <v>10</v>
      </c>
      <c r="O87" s="139">
        <f t="shared" si="8"/>
        <v>43.478260869565219</v>
      </c>
      <c r="P87" s="121"/>
      <c r="Q87" s="121">
        <v>13</v>
      </c>
      <c r="R87" s="139">
        <f t="shared" si="11"/>
        <v>56.521739130434781</v>
      </c>
      <c r="S87" s="121"/>
    </row>
    <row r="88" spans="1:19" ht="13.25" customHeight="1">
      <c r="A88" s="111" t="s">
        <v>218</v>
      </c>
      <c r="B88" s="155">
        <f t="shared" si="15"/>
        <v>77</v>
      </c>
      <c r="C88" s="139">
        <f t="shared" si="13"/>
        <v>1.2497971108586268</v>
      </c>
      <c r="E88" s="1007">
        <v>27</v>
      </c>
      <c r="F88" s="146">
        <f t="shared" si="9"/>
        <v>35.064935064935064</v>
      </c>
      <c r="G88" s="1007"/>
      <c r="H88" s="1007">
        <v>50</v>
      </c>
      <c r="I88" s="139">
        <f t="shared" si="10"/>
        <v>64.935064935064929</v>
      </c>
      <c r="K88" s="155">
        <f t="shared" si="12"/>
        <v>78</v>
      </c>
      <c r="L88" s="139">
        <f t="shared" si="14"/>
        <v>1.2402607727778661</v>
      </c>
      <c r="M88" s="121"/>
      <c r="N88" s="121">
        <v>27</v>
      </c>
      <c r="O88" s="139">
        <f t="shared" si="8"/>
        <v>34.615384615384613</v>
      </c>
      <c r="P88" s="121"/>
      <c r="Q88" s="121">
        <v>51</v>
      </c>
      <c r="R88" s="139">
        <f t="shared" si="11"/>
        <v>65.384615384615387</v>
      </c>
      <c r="S88" s="121"/>
    </row>
    <row r="89" spans="1:19" ht="13.25" customHeight="1">
      <c r="A89" s="111" t="s">
        <v>220</v>
      </c>
      <c r="B89" s="155">
        <f t="shared" si="15"/>
        <v>57</v>
      </c>
      <c r="C89" s="139">
        <f t="shared" si="13"/>
        <v>0.92517448466158092</v>
      </c>
      <c r="E89" s="1007">
        <v>20</v>
      </c>
      <c r="F89" s="146">
        <f t="shared" si="9"/>
        <v>35.087719298245609</v>
      </c>
      <c r="G89" s="1007"/>
      <c r="H89" s="1007">
        <v>37</v>
      </c>
      <c r="I89" s="139">
        <f>IF($A89&lt;&gt;"",H88/$B89*100,"")</f>
        <v>87.719298245614027</v>
      </c>
      <c r="K89" s="155">
        <f t="shared" si="12"/>
        <v>60</v>
      </c>
      <c r="L89" s="139">
        <f t="shared" si="14"/>
        <v>0.95404674829066627</v>
      </c>
      <c r="M89" s="121"/>
      <c r="N89" s="121">
        <v>20</v>
      </c>
      <c r="O89" s="139">
        <f t="shared" si="8"/>
        <v>33.333333333333329</v>
      </c>
      <c r="P89" s="121"/>
      <c r="Q89" s="121">
        <v>40</v>
      </c>
      <c r="R89" s="139">
        <f t="shared" si="11"/>
        <v>66.666666666666657</v>
      </c>
      <c r="S89" s="121"/>
    </row>
    <row r="90" spans="1:19" ht="13.25" customHeight="1">
      <c r="A90" s="111" t="s">
        <v>222</v>
      </c>
      <c r="B90" s="155">
        <f t="shared" si="15"/>
        <v>55</v>
      </c>
      <c r="C90" s="139">
        <f t="shared" si="13"/>
        <v>0.89271222204187639</v>
      </c>
      <c r="E90" s="1007">
        <v>16</v>
      </c>
      <c r="F90" s="146">
        <f t="shared" si="9"/>
        <v>29.09090909090909</v>
      </c>
      <c r="G90" s="1007"/>
      <c r="H90" s="1007">
        <v>39</v>
      </c>
      <c r="I90" s="139">
        <f>IF($A90&lt;&gt;"",H89/$B90*100,"")</f>
        <v>67.272727272727266</v>
      </c>
      <c r="K90" s="155">
        <f t="shared" si="12"/>
        <v>50</v>
      </c>
      <c r="L90" s="139">
        <f t="shared" si="14"/>
        <v>0.79503895690888859</v>
      </c>
      <c r="M90" s="121"/>
      <c r="N90" s="121">
        <v>17</v>
      </c>
      <c r="O90" s="139">
        <f t="shared" si="8"/>
        <v>34</v>
      </c>
      <c r="P90" s="121"/>
      <c r="Q90" s="121">
        <v>33</v>
      </c>
      <c r="R90" s="139">
        <f t="shared" si="11"/>
        <v>66</v>
      </c>
      <c r="S90" s="121"/>
    </row>
    <row r="91" spans="1:19" ht="13.25" customHeight="1">
      <c r="A91" s="111" t="s">
        <v>221</v>
      </c>
      <c r="B91" s="155">
        <f t="shared" si="15"/>
        <v>41</v>
      </c>
      <c r="C91" s="139">
        <f t="shared" si="13"/>
        <v>0.66547638370394413</v>
      </c>
      <c r="E91" s="1007">
        <v>11</v>
      </c>
      <c r="F91" s="146">
        <f t="shared" si="9"/>
        <v>26.829268292682929</v>
      </c>
      <c r="G91" s="1007"/>
      <c r="H91" s="1007">
        <v>30</v>
      </c>
      <c r="I91" s="139">
        <f>IF($A91&lt;&gt;"",H90/$B91*100,"")</f>
        <v>95.121951219512198</v>
      </c>
      <c r="K91" s="155">
        <f t="shared" si="12"/>
        <v>42</v>
      </c>
      <c r="L91" s="139">
        <f t="shared" si="14"/>
        <v>0.66783272380346637</v>
      </c>
      <c r="M91" s="121"/>
      <c r="N91" s="121">
        <v>11</v>
      </c>
      <c r="O91" s="139">
        <f t="shared" si="8"/>
        <v>26.190476190476193</v>
      </c>
      <c r="P91" s="121"/>
      <c r="Q91" s="121">
        <v>31</v>
      </c>
      <c r="R91" s="139">
        <f t="shared" si="11"/>
        <v>73.80952380952381</v>
      </c>
      <c r="S91" s="121"/>
    </row>
    <row r="92" spans="1:19" ht="13.25" customHeight="1">
      <c r="A92" s="111" t="s">
        <v>219</v>
      </c>
      <c r="B92" s="155">
        <f t="shared" si="15"/>
        <v>40</v>
      </c>
      <c r="C92" s="139">
        <f t="shared" si="13"/>
        <v>0.64924525239409181</v>
      </c>
      <c r="E92" s="1007">
        <v>11</v>
      </c>
      <c r="F92" s="146">
        <f t="shared" si="9"/>
        <v>27.500000000000004</v>
      </c>
      <c r="G92" s="1007"/>
      <c r="H92" s="1007">
        <v>29</v>
      </c>
      <c r="I92" s="139">
        <f>IF($A92&lt;&gt;"",H91/$B92*100,"")</f>
        <v>75</v>
      </c>
      <c r="K92" s="155">
        <f t="shared" si="12"/>
        <v>42</v>
      </c>
      <c r="L92" s="139">
        <f t="shared" si="14"/>
        <v>0.66783272380346637</v>
      </c>
      <c r="M92" s="121"/>
      <c r="N92" s="121">
        <v>12</v>
      </c>
      <c r="O92" s="139">
        <f t="shared" si="8"/>
        <v>28.571428571428569</v>
      </c>
      <c r="P92" s="121"/>
      <c r="Q92" s="121">
        <v>30</v>
      </c>
      <c r="R92" s="139">
        <f t="shared" si="11"/>
        <v>71.428571428571431</v>
      </c>
      <c r="S92" s="121"/>
    </row>
    <row r="93" spans="1:19" ht="13.25" customHeight="1">
      <c r="A93" s="111" t="s">
        <v>223</v>
      </c>
      <c r="B93" s="155">
        <f t="shared" si="15"/>
        <v>83</v>
      </c>
      <c r="C93" s="139">
        <f t="shared" si="13"/>
        <v>1.3471838987177405</v>
      </c>
      <c r="E93" s="1007">
        <v>30</v>
      </c>
      <c r="F93" s="146">
        <f t="shared" si="9"/>
        <v>36.144578313253014</v>
      </c>
      <c r="G93" s="1007"/>
      <c r="H93" s="1007">
        <v>53</v>
      </c>
      <c r="I93" s="139">
        <f t="shared" si="10"/>
        <v>63.855421686746979</v>
      </c>
      <c r="K93" s="155">
        <f t="shared" si="12"/>
        <v>84</v>
      </c>
      <c r="L93" s="139">
        <f t="shared" si="14"/>
        <v>1.3356654476069327</v>
      </c>
      <c r="M93" s="121"/>
      <c r="N93" s="121">
        <v>31</v>
      </c>
      <c r="O93" s="139">
        <f t="shared" si="8"/>
        <v>36.904761904761905</v>
      </c>
      <c r="P93" s="121"/>
      <c r="Q93" s="121">
        <v>53</v>
      </c>
      <c r="R93" s="139">
        <f t="shared" si="11"/>
        <v>63.095238095238095</v>
      </c>
      <c r="S93" s="121"/>
    </row>
    <row r="94" spans="1:19" ht="13.25" customHeight="1">
      <c r="A94" s="111" t="s">
        <v>226</v>
      </c>
      <c r="B94" s="155">
        <f t="shared" si="15"/>
        <v>36</v>
      </c>
      <c r="C94" s="139">
        <f t="shared" si="13"/>
        <v>0.58432072715468275</v>
      </c>
      <c r="E94" s="1007">
        <v>9</v>
      </c>
      <c r="F94" s="146">
        <f t="shared" si="9"/>
        <v>25</v>
      </c>
      <c r="G94" s="1007"/>
      <c r="H94" s="1007">
        <v>27</v>
      </c>
      <c r="I94" s="139">
        <f t="shared" si="10"/>
        <v>75</v>
      </c>
      <c r="K94" s="155">
        <f t="shared" si="12"/>
        <v>36</v>
      </c>
      <c r="L94" s="139">
        <f t="shared" si="14"/>
        <v>0.57242804897439969</v>
      </c>
      <c r="M94" s="121"/>
      <c r="N94" s="121">
        <v>9</v>
      </c>
      <c r="O94" s="139">
        <f t="shared" si="8"/>
        <v>25</v>
      </c>
      <c r="P94" s="121"/>
      <c r="Q94" s="121">
        <v>27</v>
      </c>
      <c r="R94" s="139">
        <f t="shared" si="11"/>
        <v>75</v>
      </c>
      <c r="S94" s="121"/>
    </row>
    <row r="95" spans="1:19" ht="13.25" customHeight="1">
      <c r="A95" s="111" t="s">
        <v>416</v>
      </c>
      <c r="B95" s="155">
        <f t="shared" si="15"/>
        <v>44</v>
      </c>
      <c r="C95" s="139">
        <f t="shared" si="13"/>
        <v>0.71416977763350109</v>
      </c>
      <c r="E95" s="1007">
        <v>23</v>
      </c>
      <c r="F95" s="146">
        <f t="shared" si="9"/>
        <v>52.272727272727273</v>
      </c>
      <c r="G95" s="1007"/>
      <c r="H95" s="1007">
        <v>21</v>
      </c>
      <c r="I95" s="139">
        <f t="shared" si="10"/>
        <v>47.727272727272727</v>
      </c>
      <c r="K95" s="155">
        <f t="shared" si="12"/>
        <v>41</v>
      </c>
      <c r="L95" s="139">
        <f t="shared" si="14"/>
        <v>0.65193194466528859</v>
      </c>
      <c r="M95" s="121"/>
      <c r="N95" s="121">
        <v>22</v>
      </c>
      <c r="O95" s="139">
        <f t="shared" si="8"/>
        <v>53.658536585365859</v>
      </c>
      <c r="P95" s="121"/>
      <c r="Q95" s="121">
        <v>19</v>
      </c>
      <c r="R95" s="139">
        <f t="shared" si="11"/>
        <v>46.341463414634148</v>
      </c>
      <c r="S95" s="121"/>
    </row>
    <row r="96" spans="1:19" ht="9" customHeight="1">
      <c r="B96" s="155">
        <f t="shared" si="15"/>
        <v>0</v>
      </c>
      <c r="C96" s="139" t="str">
        <f t="shared" si="13"/>
        <v/>
      </c>
      <c r="E96" s="75"/>
      <c r="F96" s="146" t="str">
        <f t="shared" si="9"/>
        <v/>
      </c>
      <c r="G96" s="75"/>
      <c r="H96" s="75"/>
      <c r="I96" s="139" t="str">
        <f t="shared" si="10"/>
        <v/>
      </c>
      <c r="K96" s="155">
        <f t="shared" si="12"/>
        <v>0</v>
      </c>
      <c r="L96" s="139" t="str">
        <f t="shared" si="14"/>
        <v/>
      </c>
      <c r="M96" s="121"/>
      <c r="N96" s="121"/>
      <c r="O96" s="139" t="str">
        <f t="shared" si="8"/>
        <v/>
      </c>
      <c r="P96" s="121"/>
      <c r="Q96" s="121"/>
      <c r="R96" s="139" t="str">
        <f t="shared" si="11"/>
        <v/>
      </c>
      <c r="S96" s="121"/>
    </row>
    <row r="97" spans="1:19" ht="13.5" customHeight="1">
      <c r="A97" s="111" t="s">
        <v>227</v>
      </c>
      <c r="B97" s="155">
        <f t="shared" si="15"/>
        <v>196</v>
      </c>
      <c r="C97" s="139">
        <f t="shared" si="13"/>
        <v>3.1813017367310499</v>
      </c>
      <c r="E97" s="1007">
        <v>97</v>
      </c>
      <c r="F97" s="146">
        <f t="shared" si="9"/>
        <v>49.489795918367349</v>
      </c>
      <c r="G97" s="1007"/>
      <c r="H97" s="1007">
        <v>99</v>
      </c>
      <c r="I97" s="139">
        <f t="shared" si="10"/>
        <v>50.510204081632651</v>
      </c>
      <c r="K97" s="155">
        <f t="shared" si="12"/>
        <v>187</v>
      </c>
      <c r="L97" s="139">
        <f t="shared" si="14"/>
        <v>2.9734456988392428</v>
      </c>
      <c r="M97" s="121"/>
      <c r="N97" s="121">
        <v>100</v>
      </c>
      <c r="O97" s="139">
        <f t="shared" si="8"/>
        <v>53.475935828877006</v>
      </c>
      <c r="P97" s="121"/>
      <c r="Q97" s="121">
        <v>87</v>
      </c>
      <c r="R97" s="139">
        <f t="shared" si="11"/>
        <v>46.524064171122994</v>
      </c>
      <c r="S97" s="121"/>
    </row>
    <row r="98" spans="1:19" ht="13.25" customHeight="1">
      <c r="A98" s="14" t="s">
        <v>417</v>
      </c>
      <c r="B98" s="155">
        <f t="shared" si="15"/>
        <v>64</v>
      </c>
      <c r="C98" s="139">
        <f>IF(A98&lt;&gt;0,B98/$B$12*100,"")</f>
        <v>1.0387924038305469</v>
      </c>
      <c r="E98" s="1007">
        <v>0</v>
      </c>
      <c r="F98" s="146">
        <f t="shared" si="9"/>
        <v>0</v>
      </c>
      <c r="G98" s="1007"/>
      <c r="H98" s="1007">
        <v>64</v>
      </c>
      <c r="I98" s="139">
        <f t="shared" si="10"/>
        <v>100</v>
      </c>
      <c r="K98" s="155">
        <f t="shared" si="12"/>
        <v>55</v>
      </c>
      <c r="L98" s="139">
        <f t="shared" si="14"/>
        <v>0.87454285259977749</v>
      </c>
      <c r="M98" s="121"/>
      <c r="N98" s="121">
        <v>0</v>
      </c>
      <c r="O98" s="139">
        <f t="shared" si="8"/>
        <v>0</v>
      </c>
      <c r="P98" s="121"/>
      <c r="Q98" s="121">
        <v>55</v>
      </c>
      <c r="R98" s="139">
        <f t="shared" si="11"/>
        <v>100</v>
      </c>
      <c r="S98" s="121"/>
    </row>
    <row r="99" spans="1:19" ht="13.25" customHeight="1">
      <c r="A99" s="14" t="s">
        <v>418</v>
      </c>
      <c r="B99" s="155">
        <f t="shared" si="15"/>
        <v>120</v>
      </c>
      <c r="C99" s="139">
        <f>IF(A99&lt;&gt;0,B99/$B$12*100,"")</f>
        <v>1.9477357571822758</v>
      </c>
      <c r="E99" s="1007">
        <v>0</v>
      </c>
      <c r="F99" s="146">
        <f t="shared" si="9"/>
        <v>0</v>
      </c>
      <c r="G99" s="1007"/>
      <c r="H99" s="1007">
        <v>120</v>
      </c>
      <c r="I99" s="139">
        <f t="shared" si="10"/>
        <v>100</v>
      </c>
      <c r="K99" s="155">
        <f t="shared" si="12"/>
        <v>113</v>
      </c>
      <c r="L99" s="139">
        <f t="shared" si="14"/>
        <v>1.7967880426140881</v>
      </c>
      <c r="M99" s="121"/>
      <c r="N99" s="121">
        <v>1</v>
      </c>
      <c r="O99" s="139">
        <f t="shared" si="8"/>
        <v>0.88495575221238942</v>
      </c>
      <c r="P99" s="121"/>
      <c r="Q99" s="121">
        <v>112</v>
      </c>
      <c r="R99" s="139">
        <f t="shared" si="11"/>
        <v>99.115044247787608</v>
      </c>
      <c r="S99" s="121"/>
    </row>
    <row r="100" spans="1:19" ht="6.75" customHeight="1">
      <c r="B100" s="155">
        <f t="shared" si="15"/>
        <v>0</v>
      </c>
      <c r="C100" s="139" t="str">
        <f>IF(A100&lt;&gt;0,B100/$B$12*100,"")</f>
        <v/>
      </c>
      <c r="E100" s="119"/>
      <c r="F100" s="146" t="str">
        <f t="shared" si="9"/>
        <v/>
      </c>
      <c r="G100" s="121"/>
      <c r="H100" s="119"/>
      <c r="I100" s="139" t="str">
        <f t="shared" si="10"/>
        <v/>
      </c>
      <c r="K100" s="155">
        <f t="shared" si="12"/>
        <v>0</v>
      </c>
      <c r="L100" s="139" t="str">
        <f>IF(A100&lt;&gt;0,K100/$K$12*100,"")</f>
        <v/>
      </c>
      <c r="M100" s="121"/>
      <c r="N100" s="119"/>
      <c r="O100" s="139" t="str">
        <f t="shared" si="8"/>
        <v/>
      </c>
      <c r="P100" s="146"/>
      <c r="Q100" s="119"/>
      <c r="R100" s="139" t="str">
        <f t="shared" si="11"/>
        <v/>
      </c>
      <c r="S100" s="121"/>
    </row>
    <row r="101" spans="1:19" ht="12" customHeight="1">
      <c r="A101" s="17" t="s">
        <v>84</v>
      </c>
      <c r="B101" s="155">
        <f>SUM(E101+H101)</f>
        <v>629</v>
      </c>
      <c r="C101" s="139">
        <f t="shared" si="13"/>
        <v>10.209381593897096</v>
      </c>
      <c r="E101" s="119">
        <f>SUM(E103:E107)</f>
        <v>136</v>
      </c>
      <c r="F101" s="146">
        <f t="shared" si="9"/>
        <v>21.621621621621621</v>
      </c>
      <c r="G101" s="119"/>
      <c r="H101" s="119">
        <f>SUM(H103:H107)</f>
        <v>493</v>
      </c>
      <c r="I101" s="139">
        <f t="shared" si="10"/>
        <v>78.378378378378372</v>
      </c>
      <c r="K101" s="155">
        <f t="shared" si="12"/>
        <v>726</v>
      </c>
      <c r="L101" s="139">
        <f>IF(A101&lt;&gt;0,K101/$K$12*100,"")</f>
        <v>11.543965654317063</v>
      </c>
      <c r="M101" s="121"/>
      <c r="N101" s="119">
        <f>SUM(N103+N104+N105+N107)</f>
        <v>147</v>
      </c>
      <c r="O101" s="139">
        <f t="shared" si="8"/>
        <v>20.24793388429752</v>
      </c>
      <c r="P101" s="146"/>
      <c r="Q101" s="119">
        <f>SUM(Q103+Q104+Q105+Q107)</f>
        <v>579</v>
      </c>
      <c r="R101" s="139">
        <f t="shared" si="11"/>
        <v>79.752066115702476</v>
      </c>
      <c r="S101" s="121"/>
    </row>
    <row r="102" spans="1:19" ht="6.75" customHeight="1">
      <c r="B102" s="155">
        <f>SUM(E102+H102)</f>
        <v>0</v>
      </c>
      <c r="C102" s="139" t="str">
        <f t="shared" si="13"/>
        <v/>
      </c>
      <c r="E102" s="119"/>
      <c r="F102" s="146" t="str">
        <f t="shared" si="9"/>
        <v/>
      </c>
      <c r="G102" s="121"/>
      <c r="H102" s="119"/>
      <c r="I102" s="139" t="str">
        <f t="shared" si="10"/>
        <v/>
      </c>
      <c r="K102" s="155">
        <f t="shared" si="12"/>
        <v>0</v>
      </c>
      <c r="M102" s="121"/>
      <c r="N102" s="119"/>
      <c r="O102" s="139" t="str">
        <f t="shared" si="8"/>
        <v/>
      </c>
      <c r="P102" s="119"/>
      <c r="Q102" s="119"/>
      <c r="R102" s="139" t="str">
        <f t="shared" si="11"/>
        <v/>
      </c>
      <c r="S102" s="121"/>
    </row>
    <row r="103" spans="1:19" ht="12" customHeight="1">
      <c r="A103" s="111" t="s">
        <v>419</v>
      </c>
      <c r="B103" s="58">
        <f>SUM(E103+H103)</f>
        <v>184</v>
      </c>
      <c r="C103" s="139">
        <f>IF(A103&lt;&gt;0,B103/$B$12*100,"")</f>
        <v>2.9865281610128225</v>
      </c>
      <c r="E103" s="761">
        <v>54</v>
      </c>
      <c r="F103" s="146">
        <f t="shared" si="9"/>
        <v>29.347826086956523</v>
      </c>
      <c r="G103" s="761"/>
      <c r="H103" s="761">
        <v>130</v>
      </c>
      <c r="I103" s="139">
        <f t="shared" si="10"/>
        <v>70.652173913043484</v>
      </c>
      <c r="K103" s="155">
        <f t="shared" si="12"/>
        <v>190</v>
      </c>
      <c r="L103" s="139">
        <f>IF(A103&lt;&gt;0,K103/$K$12*100,"")</f>
        <v>3.0211480362537766</v>
      </c>
      <c r="M103" s="121"/>
      <c r="N103" s="121">
        <v>56</v>
      </c>
      <c r="O103" s="139">
        <f t="shared" si="8"/>
        <v>29.473684210526311</v>
      </c>
      <c r="P103" s="121"/>
      <c r="Q103" s="121">
        <v>134</v>
      </c>
      <c r="R103" s="139">
        <f t="shared" si="11"/>
        <v>70.526315789473685</v>
      </c>
      <c r="S103" s="121"/>
    </row>
    <row r="104" spans="1:19" ht="12" customHeight="1">
      <c r="A104" s="111" t="s">
        <v>420</v>
      </c>
      <c r="B104" s="58">
        <f>SUM(E104+H104)</f>
        <v>245</v>
      </c>
      <c r="C104" s="139">
        <f t="shared" si="13"/>
        <v>3.976627170913813</v>
      </c>
      <c r="E104" s="1007">
        <v>67</v>
      </c>
      <c r="F104" s="146">
        <f t="shared" si="9"/>
        <v>27.346938775510203</v>
      </c>
      <c r="G104" s="1007"/>
      <c r="H104" s="1007">
        <v>178</v>
      </c>
      <c r="I104" s="139">
        <f t="shared" si="10"/>
        <v>72.653061224489804</v>
      </c>
      <c r="K104" s="155">
        <f t="shared" si="12"/>
        <v>254</v>
      </c>
      <c r="L104" s="139">
        <f>IF(A104&lt;&gt;0,K104/$K$12*100,"")</f>
        <v>4.038797901097154</v>
      </c>
      <c r="M104" s="121"/>
      <c r="N104" s="121">
        <v>76</v>
      </c>
      <c r="O104" s="139">
        <f t="shared" si="8"/>
        <v>29.921259842519689</v>
      </c>
      <c r="P104" s="121"/>
      <c r="Q104" s="121">
        <v>178</v>
      </c>
      <c r="R104" s="139">
        <f t="shared" si="11"/>
        <v>70.078740157480311</v>
      </c>
      <c r="S104" s="121"/>
    </row>
    <row r="105" spans="1:19" ht="12" customHeight="1">
      <c r="A105" s="111" t="s">
        <v>421</v>
      </c>
      <c r="B105" s="58">
        <f>SUM(E105+H105)</f>
        <v>30</v>
      </c>
      <c r="C105" s="139">
        <f t="shared" si="13"/>
        <v>0.48693393929556894</v>
      </c>
      <c r="E105" s="1007">
        <v>14</v>
      </c>
      <c r="F105" s="146">
        <f t="shared" si="9"/>
        <v>46.666666666666664</v>
      </c>
      <c r="G105" s="1007"/>
      <c r="H105" s="1007">
        <v>16</v>
      </c>
      <c r="I105" s="139">
        <f t="shared" si="10"/>
        <v>53.333333333333336</v>
      </c>
      <c r="K105" s="155">
        <f t="shared" si="12"/>
        <v>27</v>
      </c>
      <c r="L105" s="139">
        <f>IF(A105&lt;&gt;0,K105/$K$12*100,"")</f>
        <v>0.4293210367307998</v>
      </c>
      <c r="M105" s="121"/>
      <c r="N105" s="121">
        <v>13</v>
      </c>
      <c r="O105" s="139">
        <f t="shared" si="8"/>
        <v>48.148148148148145</v>
      </c>
      <c r="P105" s="121"/>
      <c r="Q105" s="121">
        <v>14</v>
      </c>
      <c r="R105" s="139">
        <f t="shared" si="11"/>
        <v>51.851851851851848</v>
      </c>
      <c r="S105" s="121"/>
    </row>
    <row r="106" spans="1:19" ht="9" customHeight="1">
      <c r="E106" s="75"/>
      <c r="F106" s="146" t="str">
        <f t="shared" si="9"/>
        <v/>
      </c>
      <c r="G106" s="75"/>
      <c r="H106" s="75"/>
      <c r="I106" s="139" t="str">
        <f t="shared" si="10"/>
        <v/>
      </c>
      <c r="K106" s="155">
        <f t="shared" si="12"/>
        <v>0</v>
      </c>
      <c r="M106" s="121"/>
      <c r="N106" s="121"/>
      <c r="O106" s="139" t="str">
        <f t="shared" si="8"/>
        <v/>
      </c>
      <c r="P106" s="121"/>
      <c r="Q106" s="121"/>
      <c r="R106" s="139" t="str">
        <f t="shared" si="11"/>
        <v/>
      </c>
      <c r="S106" s="121"/>
    </row>
    <row r="107" spans="1:19" ht="13.25" customHeight="1">
      <c r="A107" s="111" t="s">
        <v>422</v>
      </c>
      <c r="B107" s="155">
        <f t="shared" ref="B107:B114" si="16">E107+H107</f>
        <v>170</v>
      </c>
      <c r="C107" s="139">
        <f>IF(A107&lt;&gt;0,B107/$B$12*100,"")</f>
        <v>2.7592923226748902</v>
      </c>
      <c r="E107" s="1007">
        <v>1</v>
      </c>
      <c r="F107" s="146">
        <f t="shared" si="9"/>
        <v>0.58823529411764708</v>
      </c>
      <c r="G107" s="1007"/>
      <c r="H107" s="1007">
        <v>169</v>
      </c>
      <c r="I107" s="139">
        <f t="shared" si="10"/>
        <v>99.411764705882348</v>
      </c>
      <c r="K107" s="155">
        <f t="shared" si="12"/>
        <v>255</v>
      </c>
      <c r="L107" s="139">
        <f t="shared" ref="L107:L114" si="17">IF(A107&lt;&gt;0,K107/$K$12*100,"")</f>
        <v>4.0546986802353313</v>
      </c>
      <c r="M107" s="121"/>
      <c r="N107" s="121">
        <v>2</v>
      </c>
      <c r="O107" s="139">
        <f t="shared" si="8"/>
        <v>0.78431372549019607</v>
      </c>
      <c r="P107" s="121"/>
      <c r="Q107" s="121">
        <v>253</v>
      </c>
      <c r="R107" s="139">
        <f t="shared" si="11"/>
        <v>99.215686274509807</v>
      </c>
      <c r="S107" s="121"/>
    </row>
    <row r="108" spans="1:19" ht="13.25" customHeight="1">
      <c r="E108" s="119"/>
      <c r="F108" s="146" t="str">
        <f t="shared" si="9"/>
        <v/>
      </c>
      <c r="G108" s="121"/>
      <c r="H108" s="119"/>
      <c r="K108" s="155">
        <f t="shared" si="12"/>
        <v>0</v>
      </c>
      <c r="M108" s="121"/>
      <c r="N108" s="119"/>
      <c r="O108" s="139" t="str">
        <f t="shared" si="8"/>
        <v/>
      </c>
      <c r="P108" s="146"/>
      <c r="Q108" s="119"/>
      <c r="R108" s="139"/>
      <c r="S108" s="121"/>
    </row>
    <row r="109" spans="1:19" ht="12" customHeight="1">
      <c r="A109" s="17" t="s">
        <v>423</v>
      </c>
      <c r="B109" s="155">
        <f t="shared" si="16"/>
        <v>1180</v>
      </c>
      <c r="C109" s="139">
        <f t="shared" si="13"/>
        <v>19.15273494562571</v>
      </c>
      <c r="E109" s="119">
        <f>SUM(E110:E114)</f>
        <v>198</v>
      </c>
      <c r="F109" s="146">
        <f t="shared" si="9"/>
        <v>16.779661016949152</v>
      </c>
      <c r="G109" s="121"/>
      <c r="H109" s="119">
        <f>SUM(H110:H114)</f>
        <v>982</v>
      </c>
      <c r="I109" s="139">
        <f t="shared" si="10"/>
        <v>83.220338983050851</v>
      </c>
      <c r="K109" s="155">
        <f t="shared" si="12"/>
        <v>1194</v>
      </c>
      <c r="L109" s="139">
        <f t="shared" si="17"/>
        <v>18.985530290984258</v>
      </c>
      <c r="M109" s="121"/>
      <c r="N109" s="121">
        <f>SUM(N110:N114)</f>
        <v>198</v>
      </c>
      <c r="O109" s="139">
        <f t="shared" si="8"/>
        <v>16.582914572864322</v>
      </c>
      <c r="P109" s="121"/>
      <c r="Q109" s="121">
        <f>SUM(Q110:Q114)</f>
        <v>996</v>
      </c>
      <c r="R109" s="139">
        <f t="shared" si="11"/>
        <v>83.417085427135675</v>
      </c>
      <c r="S109" s="121"/>
    </row>
    <row r="110" spans="1:19" ht="12" customHeight="1">
      <c r="A110" s="111" t="s">
        <v>424</v>
      </c>
      <c r="B110" s="155">
        <f t="shared" si="16"/>
        <v>343</v>
      </c>
      <c r="C110" s="139">
        <f t="shared" si="13"/>
        <v>5.567278039279338</v>
      </c>
      <c r="E110" s="1007">
        <v>82</v>
      </c>
      <c r="F110" s="146">
        <f t="shared" si="9"/>
        <v>23.906705539358601</v>
      </c>
      <c r="G110" s="1007"/>
      <c r="H110" s="1007">
        <v>261</v>
      </c>
      <c r="I110" s="139">
        <f t="shared" si="10"/>
        <v>76.093294460641403</v>
      </c>
      <c r="K110" s="155">
        <f t="shared" si="12"/>
        <v>354</v>
      </c>
      <c r="L110" s="139">
        <f t="shared" si="17"/>
        <v>5.6288758149149309</v>
      </c>
      <c r="M110" s="121"/>
      <c r="N110" s="121">
        <v>83</v>
      </c>
      <c r="O110" s="139">
        <f t="shared" si="8"/>
        <v>23.44632768361582</v>
      </c>
      <c r="P110" s="121"/>
      <c r="Q110" s="121">
        <v>271</v>
      </c>
      <c r="R110" s="139">
        <f t="shared" si="11"/>
        <v>76.55367231638418</v>
      </c>
      <c r="S110" s="121"/>
    </row>
    <row r="111" spans="1:19" ht="12" customHeight="1">
      <c r="A111" s="111" t="s">
        <v>425</v>
      </c>
      <c r="B111" s="155">
        <f t="shared" si="16"/>
        <v>292</v>
      </c>
      <c r="C111" s="139">
        <f t="shared" si="13"/>
        <v>4.7394903424768708</v>
      </c>
      <c r="E111" s="1007">
        <v>32</v>
      </c>
      <c r="F111" s="146">
        <f t="shared" si="9"/>
        <v>10.95890410958904</v>
      </c>
      <c r="G111" s="1007"/>
      <c r="H111" s="1007">
        <v>260</v>
      </c>
      <c r="I111" s="139">
        <f t="shared" si="10"/>
        <v>89.041095890410958</v>
      </c>
      <c r="K111" s="155">
        <f t="shared" si="12"/>
        <v>291</v>
      </c>
      <c r="L111" s="139">
        <f t="shared" si="17"/>
        <v>4.6271267292097313</v>
      </c>
      <c r="M111" s="121"/>
      <c r="N111" s="121">
        <v>33</v>
      </c>
      <c r="O111" s="139">
        <f t="shared" si="8"/>
        <v>11.340206185567011</v>
      </c>
      <c r="P111" s="121"/>
      <c r="Q111" s="121">
        <v>258</v>
      </c>
      <c r="R111" s="139">
        <f t="shared" si="11"/>
        <v>88.659793814432987</v>
      </c>
      <c r="S111" s="121"/>
    </row>
    <row r="112" spans="1:19" ht="12" customHeight="1">
      <c r="A112" s="111" t="s">
        <v>426</v>
      </c>
      <c r="B112" s="155">
        <f t="shared" si="16"/>
        <v>249</v>
      </c>
      <c r="C112" s="139">
        <f t="shared" si="13"/>
        <v>4.0415516961532223</v>
      </c>
      <c r="E112" s="1007">
        <v>30</v>
      </c>
      <c r="F112" s="146">
        <f t="shared" si="9"/>
        <v>12.048192771084338</v>
      </c>
      <c r="G112" s="1007"/>
      <c r="H112" s="1007">
        <v>219</v>
      </c>
      <c r="I112" s="139">
        <f>IF($A112&lt;&gt;"",H112/$B112*100,"")</f>
        <v>87.951807228915655</v>
      </c>
      <c r="K112" s="155">
        <f t="shared" si="12"/>
        <v>255</v>
      </c>
      <c r="L112" s="139">
        <f t="shared" si="17"/>
        <v>4.0546986802353313</v>
      </c>
      <c r="M112" s="121"/>
      <c r="N112" s="121">
        <v>32</v>
      </c>
      <c r="O112" s="139">
        <f t="shared" si="8"/>
        <v>12.549019607843137</v>
      </c>
      <c r="P112" s="121"/>
      <c r="Q112" s="121">
        <v>223</v>
      </c>
      <c r="R112" s="139">
        <f>IF($A112&lt;&gt;"",Q112/$K112*100,"")</f>
        <v>87.450980392156865</v>
      </c>
      <c r="S112" s="121"/>
    </row>
    <row r="113" spans="1:19" ht="12" customHeight="1">
      <c r="A113" s="14" t="s">
        <v>427</v>
      </c>
      <c r="B113" s="155">
        <f t="shared" si="16"/>
        <v>162</v>
      </c>
      <c r="C113" s="139">
        <f t="shared" si="13"/>
        <v>2.6294432721960721</v>
      </c>
      <c r="E113" s="1007">
        <v>22</v>
      </c>
      <c r="F113" s="146">
        <f t="shared" si="9"/>
        <v>13.580246913580247</v>
      </c>
      <c r="G113" s="1007"/>
      <c r="H113" s="1007">
        <v>140</v>
      </c>
      <c r="I113" s="139">
        <f>IF($A113&lt;&gt;"",H113/$B113*100,"")</f>
        <v>86.419753086419746</v>
      </c>
      <c r="K113" s="155">
        <f t="shared" si="12"/>
        <v>167</v>
      </c>
      <c r="L113" s="139">
        <f t="shared" si="17"/>
        <v>2.6554301160756877</v>
      </c>
      <c r="M113" s="121"/>
      <c r="N113" s="121">
        <v>22</v>
      </c>
      <c r="O113" s="139">
        <f t="shared" si="8"/>
        <v>13.17365269461078</v>
      </c>
      <c r="P113" s="121"/>
      <c r="Q113" s="121">
        <v>145</v>
      </c>
      <c r="R113" s="139">
        <f>IF($A113&lt;&gt;"",Q113/$K113*100,"")</f>
        <v>86.82634730538922</v>
      </c>
      <c r="S113" s="121"/>
    </row>
    <row r="114" spans="1:19" ht="12" customHeight="1">
      <c r="A114" s="111" t="s">
        <v>428</v>
      </c>
      <c r="B114" s="155">
        <f t="shared" si="16"/>
        <v>134</v>
      </c>
      <c r="C114" s="139">
        <f t="shared" si="13"/>
        <v>2.1749715955202076</v>
      </c>
      <c r="E114" s="1007">
        <v>32</v>
      </c>
      <c r="F114" s="146">
        <f t="shared" si="9"/>
        <v>23.880597014925371</v>
      </c>
      <c r="G114" s="1007"/>
      <c r="H114" s="1007">
        <v>102</v>
      </c>
      <c r="I114" s="139">
        <f>IF($A114&lt;&gt;"",H114/$B114*100,"")</f>
        <v>76.119402985074629</v>
      </c>
      <c r="K114" s="155">
        <f t="shared" si="12"/>
        <v>127</v>
      </c>
      <c r="L114" s="139">
        <f t="shared" si="17"/>
        <v>2.019398950548577</v>
      </c>
      <c r="M114" s="121"/>
      <c r="N114" s="121">
        <v>28</v>
      </c>
      <c r="O114" s="139">
        <f t="shared" si="8"/>
        <v>22.047244094488189</v>
      </c>
      <c r="P114" s="121"/>
      <c r="Q114" s="121">
        <v>99</v>
      </c>
      <c r="R114" s="139">
        <f>IF($A114&lt;&gt;"",Q114/$K114*100,"")</f>
        <v>77.952755905511808</v>
      </c>
      <c r="S114" s="121"/>
    </row>
    <row r="115" spans="1:19" ht="10.5" customHeight="1" thickBot="1">
      <c r="M115" s="121"/>
      <c r="O115" s="139"/>
      <c r="P115" s="146"/>
      <c r="R115" s="146"/>
      <c r="S115" s="121"/>
    </row>
    <row r="116" spans="1:19" ht="9" customHeight="1">
      <c r="A116" s="114"/>
      <c r="B116" s="115"/>
      <c r="C116" s="143"/>
      <c r="D116" s="114"/>
      <c r="E116" s="115"/>
      <c r="F116" s="143"/>
      <c r="G116" s="114"/>
      <c r="H116" s="115"/>
      <c r="I116" s="143"/>
      <c r="J116" s="143"/>
      <c r="K116" s="115"/>
      <c r="L116" s="143"/>
      <c r="M116" s="114"/>
      <c r="N116" s="115"/>
      <c r="O116" s="143"/>
      <c r="P116" s="143"/>
      <c r="Q116" s="115"/>
      <c r="R116" s="143"/>
      <c r="S116" s="114"/>
    </row>
    <row r="117" spans="1:19" ht="12" customHeight="1">
      <c r="A117" s="121" t="s">
        <v>429</v>
      </c>
      <c r="B117" s="119"/>
      <c r="C117" s="146"/>
      <c r="D117" s="121"/>
      <c r="E117" s="119"/>
      <c r="F117" s="146"/>
      <c r="G117" s="121"/>
      <c r="H117" s="119"/>
      <c r="I117" s="146"/>
      <c r="J117" s="146"/>
      <c r="K117" s="119"/>
      <c r="L117" s="146"/>
      <c r="M117" s="121"/>
      <c r="N117" s="119"/>
      <c r="O117" s="146"/>
      <c r="P117" s="146"/>
      <c r="Q117" s="119"/>
      <c r="R117" s="146"/>
      <c r="S117" s="121"/>
    </row>
    <row r="118" spans="1:19" ht="12" customHeight="1">
      <c r="A118" s="121" t="s">
        <v>430</v>
      </c>
      <c r="B118" s="119"/>
      <c r="C118" s="146"/>
      <c r="D118" s="121"/>
      <c r="E118" s="119"/>
      <c r="F118" s="146"/>
      <c r="G118" s="121"/>
      <c r="H118" s="119"/>
      <c r="I118" s="146"/>
      <c r="J118" s="146"/>
      <c r="K118" s="119"/>
      <c r="L118" s="146"/>
      <c r="M118" s="121"/>
      <c r="N118" s="119"/>
      <c r="O118" s="146"/>
      <c r="P118" s="146"/>
      <c r="Q118" s="119"/>
      <c r="R118" s="146"/>
      <c r="S118" s="121"/>
    </row>
    <row r="119" spans="1:19" ht="12" customHeight="1">
      <c r="A119" s="121"/>
      <c r="B119" s="119"/>
      <c r="C119" s="146"/>
      <c r="D119" s="121"/>
      <c r="E119" s="119"/>
      <c r="F119" s="146"/>
      <c r="G119" s="121"/>
      <c r="H119" s="119"/>
      <c r="I119" s="146"/>
      <c r="J119" s="146"/>
      <c r="K119" s="119"/>
      <c r="L119" s="146"/>
      <c r="M119" s="121"/>
      <c r="N119" s="119"/>
      <c r="O119" s="146"/>
      <c r="P119" s="146"/>
      <c r="Q119" s="119"/>
      <c r="R119" s="146"/>
      <c r="S119" s="121"/>
    </row>
    <row r="120" spans="1:19" ht="12.75" customHeight="1">
      <c r="A120" s="762" t="s">
        <v>2228</v>
      </c>
      <c r="B120" s="119"/>
      <c r="C120" s="146"/>
      <c r="D120" s="121"/>
      <c r="E120" s="119"/>
      <c r="F120" s="146"/>
      <c r="G120" s="121"/>
      <c r="H120" s="119"/>
      <c r="I120" s="146"/>
      <c r="J120" s="146"/>
      <c r="K120" s="119"/>
      <c r="L120" s="146"/>
      <c r="M120" s="121"/>
      <c r="N120" s="119"/>
      <c r="O120" s="146"/>
      <c r="P120" s="146"/>
      <c r="Q120" s="119"/>
      <c r="R120" s="146"/>
      <c r="S120" s="121"/>
    </row>
    <row r="121" spans="1:19" ht="14.25" customHeight="1">
      <c r="A121" s="762" t="s">
        <v>2229</v>
      </c>
      <c r="B121" s="145"/>
      <c r="C121" s="146"/>
      <c r="D121" s="121"/>
      <c r="E121" s="119"/>
      <c r="F121" s="146"/>
      <c r="G121" s="121"/>
      <c r="H121" s="119"/>
      <c r="I121" s="146"/>
      <c r="J121" s="146"/>
      <c r="K121" s="119"/>
      <c r="L121" s="146"/>
      <c r="M121" s="121"/>
      <c r="N121" s="119"/>
      <c r="O121" s="146"/>
      <c r="P121" s="146"/>
      <c r="Q121" s="119"/>
      <c r="R121" s="146"/>
      <c r="S121" s="121"/>
    </row>
    <row r="122" spans="1:19" ht="9" customHeight="1">
      <c r="A122" s="121"/>
      <c r="B122" s="145"/>
      <c r="C122" s="146"/>
      <c r="D122" s="121"/>
      <c r="E122" s="119"/>
      <c r="F122" s="146"/>
      <c r="G122" s="121"/>
      <c r="H122" s="119"/>
      <c r="I122" s="146"/>
      <c r="J122" s="146"/>
      <c r="K122" s="119"/>
      <c r="L122" s="146"/>
      <c r="M122" s="121"/>
      <c r="N122" s="119"/>
      <c r="O122" s="146"/>
      <c r="P122" s="146"/>
      <c r="Q122" s="119"/>
      <c r="R122" s="146"/>
      <c r="S122" s="121"/>
    </row>
    <row r="123" spans="1:19">
      <c r="A123" s="111" t="s">
        <v>431</v>
      </c>
    </row>
    <row r="124" spans="1:19">
      <c r="A124" s="111" t="s">
        <v>432</v>
      </c>
    </row>
  </sheetData>
  <mergeCells count="6">
    <mergeCell ref="Q8:R8"/>
    <mergeCell ref="B8:C8"/>
    <mergeCell ref="E8:F8"/>
    <mergeCell ref="H8:I8"/>
    <mergeCell ref="K8:L8"/>
    <mergeCell ref="N8:O8"/>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249977111117893"/>
  </sheetPr>
  <dimension ref="B2:K7"/>
  <sheetViews>
    <sheetView workbookViewId="0">
      <selection activeCell="J5" sqref="J5"/>
    </sheetView>
  </sheetViews>
  <sheetFormatPr baseColWidth="10" defaultRowHeight="15"/>
  <cols>
    <col min="8" max="8" width="11.5" style="3" customWidth="1"/>
    <col min="264" max="264" width="11.5" customWidth="1"/>
    <col min="520" max="520" width="11.5" customWidth="1"/>
    <col min="776" max="776" width="11.5" customWidth="1"/>
    <col min="1032" max="1032" width="11.5" customWidth="1"/>
    <col min="1288" max="1288" width="11.5" customWidth="1"/>
    <col min="1544" max="1544" width="11.5" customWidth="1"/>
    <col min="1800" max="1800" width="11.5" customWidth="1"/>
    <col min="2056" max="2056" width="11.5" customWidth="1"/>
    <col min="2312" max="2312" width="11.5" customWidth="1"/>
    <col min="2568" max="2568" width="11.5" customWidth="1"/>
    <col min="2824" max="2824" width="11.5" customWidth="1"/>
    <col min="3080" max="3080" width="11.5" customWidth="1"/>
    <col min="3336" max="3336" width="11.5" customWidth="1"/>
    <col min="3592" max="3592" width="11.5" customWidth="1"/>
    <col min="3848" max="3848" width="11.5" customWidth="1"/>
    <col min="4104" max="4104" width="11.5" customWidth="1"/>
    <col min="4360" max="4360" width="11.5" customWidth="1"/>
    <col min="4616" max="4616" width="11.5" customWidth="1"/>
    <col min="4872" max="4872" width="11.5" customWidth="1"/>
    <col min="5128" max="5128" width="11.5" customWidth="1"/>
    <col min="5384" max="5384" width="11.5" customWidth="1"/>
    <col min="5640" max="5640" width="11.5" customWidth="1"/>
    <col min="5896" max="5896" width="11.5" customWidth="1"/>
    <col min="6152" max="6152" width="11.5" customWidth="1"/>
    <col min="6408" max="6408" width="11.5" customWidth="1"/>
    <col min="6664" max="6664" width="11.5" customWidth="1"/>
    <col min="6920" max="6920" width="11.5" customWidth="1"/>
    <col min="7176" max="7176" width="11.5" customWidth="1"/>
    <col min="7432" max="7432" width="11.5" customWidth="1"/>
    <col min="7688" max="7688" width="11.5" customWidth="1"/>
    <col min="7944" max="7944" width="11.5" customWidth="1"/>
    <col min="8200" max="8200" width="11.5" customWidth="1"/>
    <col min="8456" max="8456" width="11.5" customWidth="1"/>
    <col min="8712" max="8712" width="11.5" customWidth="1"/>
    <col min="8968" max="8968" width="11.5" customWidth="1"/>
    <col min="9224" max="9224" width="11.5" customWidth="1"/>
    <col min="9480" max="9480" width="11.5" customWidth="1"/>
    <col min="9736" max="9736" width="11.5" customWidth="1"/>
    <col min="9992" max="9992" width="11.5" customWidth="1"/>
    <col min="10248" max="10248" width="11.5" customWidth="1"/>
    <col min="10504" max="10504" width="11.5" customWidth="1"/>
    <col min="10760" max="10760" width="11.5" customWidth="1"/>
    <col min="11016" max="11016" width="11.5" customWidth="1"/>
    <col min="11272" max="11272" width="11.5" customWidth="1"/>
    <col min="11528" max="11528" width="11.5" customWidth="1"/>
    <col min="11784" max="11784" width="11.5" customWidth="1"/>
    <col min="12040" max="12040" width="11.5" customWidth="1"/>
    <col min="12296" max="12296" width="11.5" customWidth="1"/>
    <col min="12552" max="12552" width="11.5" customWidth="1"/>
    <col min="12808" max="12808" width="11.5" customWidth="1"/>
    <col min="13064" max="13064" width="11.5" customWidth="1"/>
    <col min="13320" max="13320" width="11.5" customWidth="1"/>
    <col min="13576" max="13576" width="11.5" customWidth="1"/>
    <col min="13832" max="13832" width="11.5" customWidth="1"/>
    <col min="14088" max="14088" width="11.5" customWidth="1"/>
    <col min="14344" max="14344" width="11.5" customWidth="1"/>
    <col min="14600" max="14600" width="11.5" customWidth="1"/>
    <col min="14856" max="14856" width="11.5" customWidth="1"/>
    <col min="15112" max="15112" width="11.5" customWidth="1"/>
    <col min="15368" max="15368" width="11.5" customWidth="1"/>
    <col min="15624" max="15624" width="11.5" customWidth="1"/>
    <col min="15880" max="15880" width="11.5" customWidth="1"/>
    <col min="16136" max="16136" width="11.5" customWidth="1"/>
  </cols>
  <sheetData>
    <row r="2" spans="2:11" ht="23">
      <c r="G2" s="33"/>
      <c r="H2" s="61"/>
      <c r="J2" s="431"/>
    </row>
    <row r="3" spans="2:11">
      <c r="B3" s="70"/>
      <c r="C3" s="70"/>
      <c r="D3" s="70"/>
      <c r="E3" s="70"/>
      <c r="F3" s="70"/>
      <c r="G3" s="432"/>
      <c r="H3" s="433"/>
    </row>
    <row r="4" spans="2:11" ht="23">
      <c r="G4" s="33"/>
      <c r="H4" s="61"/>
      <c r="K4" s="32"/>
    </row>
    <row r="5" spans="2:11">
      <c r="G5" s="33"/>
      <c r="H5" s="61"/>
    </row>
    <row r="6" spans="2:11">
      <c r="G6" s="33"/>
      <c r="H6" s="61"/>
    </row>
    <row r="7" spans="2:11">
      <c r="G7" s="33"/>
      <c r="H7" s="61"/>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5" tint="-0.249977111117893"/>
  </sheetPr>
  <dimension ref="B2:D9"/>
  <sheetViews>
    <sheetView workbookViewId="0">
      <selection activeCell="J8" sqref="J8"/>
    </sheetView>
  </sheetViews>
  <sheetFormatPr baseColWidth="10" defaultRowHeight="15"/>
  <sheetData>
    <row r="2" spans="2:4">
      <c r="C2" s="33"/>
      <c r="D2" s="33"/>
    </row>
    <row r="3" spans="2:4">
      <c r="B3" s="33"/>
    </row>
    <row r="4" spans="2:4">
      <c r="B4" s="33"/>
    </row>
    <row r="5" spans="2:4">
      <c r="B5" s="33"/>
    </row>
    <row r="6" spans="2:4">
      <c r="B6" s="33"/>
    </row>
    <row r="8" spans="2:4">
      <c r="B8" s="33"/>
    </row>
    <row r="9" spans="2:4">
      <c r="B9" s="33"/>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2"/>
  <sheetViews>
    <sheetView workbookViewId="0">
      <selection activeCell="A2" sqref="A2"/>
    </sheetView>
  </sheetViews>
  <sheetFormatPr baseColWidth="10" defaultColWidth="8.83203125" defaultRowHeight="13"/>
  <cols>
    <col min="1" max="1" width="45.33203125" style="33" customWidth="1"/>
    <col min="2" max="3" width="10.6640625" style="390" customWidth="1"/>
    <col min="4" max="4" width="3.33203125" style="390" customWidth="1"/>
    <col min="5" max="6" width="10.6640625" style="391" customWidth="1"/>
    <col min="7" max="7" width="3.1640625" style="391" customWidth="1"/>
    <col min="8" max="8" width="10.6640625" style="391" customWidth="1"/>
    <col min="9" max="9" width="12.83203125" style="61" customWidth="1"/>
    <col min="10" max="256" width="8.83203125" style="33"/>
    <col min="257" max="257" width="45.33203125" style="33" customWidth="1"/>
    <col min="258" max="259" width="10.6640625" style="33" customWidth="1"/>
    <col min="260" max="260" width="3.33203125" style="33" customWidth="1"/>
    <col min="261" max="262" width="10.6640625" style="33" customWidth="1"/>
    <col min="263" max="263" width="3.1640625" style="33" customWidth="1"/>
    <col min="264" max="264" width="10.6640625" style="33" customWidth="1"/>
    <col min="265" max="265" width="12.83203125" style="33" customWidth="1"/>
    <col min="266" max="512" width="8.83203125" style="33"/>
    <col min="513" max="513" width="45.33203125" style="33" customWidth="1"/>
    <col min="514" max="515" width="10.6640625" style="33" customWidth="1"/>
    <col min="516" max="516" width="3.33203125" style="33" customWidth="1"/>
    <col min="517" max="518" width="10.6640625" style="33" customWidth="1"/>
    <col min="519" max="519" width="3.1640625" style="33" customWidth="1"/>
    <col min="520" max="520" width="10.6640625" style="33" customWidth="1"/>
    <col min="521" max="521" width="12.83203125" style="33" customWidth="1"/>
    <col min="522" max="768" width="8.83203125" style="33"/>
    <col min="769" max="769" width="45.33203125" style="33" customWidth="1"/>
    <col min="770" max="771" width="10.6640625" style="33" customWidth="1"/>
    <col min="772" max="772" width="3.33203125" style="33" customWidth="1"/>
    <col min="773" max="774" width="10.6640625" style="33" customWidth="1"/>
    <col min="775" max="775" width="3.1640625" style="33" customWidth="1"/>
    <col min="776" max="776" width="10.6640625" style="33" customWidth="1"/>
    <col min="777" max="777" width="12.83203125" style="33" customWidth="1"/>
    <col min="778" max="1024" width="8.83203125" style="33"/>
    <col min="1025" max="1025" width="45.33203125" style="33" customWidth="1"/>
    <col min="1026" max="1027" width="10.6640625" style="33" customWidth="1"/>
    <col min="1028" max="1028" width="3.33203125" style="33" customWidth="1"/>
    <col min="1029" max="1030" width="10.6640625" style="33" customWidth="1"/>
    <col min="1031" max="1031" width="3.1640625" style="33" customWidth="1"/>
    <col min="1032" max="1032" width="10.6640625" style="33" customWidth="1"/>
    <col min="1033" max="1033" width="12.83203125" style="33" customWidth="1"/>
    <col min="1034" max="1280" width="8.83203125" style="33"/>
    <col min="1281" max="1281" width="45.33203125" style="33" customWidth="1"/>
    <col min="1282" max="1283" width="10.6640625" style="33" customWidth="1"/>
    <col min="1284" max="1284" width="3.33203125" style="33" customWidth="1"/>
    <col min="1285" max="1286" width="10.6640625" style="33" customWidth="1"/>
    <col min="1287" max="1287" width="3.1640625" style="33" customWidth="1"/>
    <col min="1288" max="1288" width="10.6640625" style="33" customWidth="1"/>
    <col min="1289" max="1289" width="12.83203125" style="33" customWidth="1"/>
    <col min="1290" max="1536" width="8.83203125" style="33"/>
    <col min="1537" max="1537" width="45.33203125" style="33" customWidth="1"/>
    <col min="1538" max="1539" width="10.6640625" style="33" customWidth="1"/>
    <col min="1540" max="1540" width="3.33203125" style="33" customWidth="1"/>
    <col min="1541" max="1542" width="10.6640625" style="33" customWidth="1"/>
    <col min="1543" max="1543" width="3.1640625" style="33" customWidth="1"/>
    <col min="1544" max="1544" width="10.6640625" style="33" customWidth="1"/>
    <col min="1545" max="1545" width="12.83203125" style="33" customWidth="1"/>
    <col min="1546" max="1792" width="8.83203125" style="33"/>
    <col min="1793" max="1793" width="45.33203125" style="33" customWidth="1"/>
    <col min="1794" max="1795" width="10.6640625" style="33" customWidth="1"/>
    <col min="1796" max="1796" width="3.33203125" style="33" customWidth="1"/>
    <col min="1797" max="1798" width="10.6640625" style="33" customWidth="1"/>
    <col min="1799" max="1799" width="3.1640625" style="33" customWidth="1"/>
    <col min="1800" max="1800" width="10.6640625" style="33" customWidth="1"/>
    <col min="1801" max="1801" width="12.83203125" style="33" customWidth="1"/>
    <col min="1802" max="2048" width="8.83203125" style="33"/>
    <col min="2049" max="2049" width="45.33203125" style="33" customWidth="1"/>
    <col min="2050" max="2051" width="10.6640625" style="33" customWidth="1"/>
    <col min="2052" max="2052" width="3.33203125" style="33" customWidth="1"/>
    <col min="2053" max="2054" width="10.6640625" style="33" customWidth="1"/>
    <col min="2055" max="2055" width="3.1640625" style="33" customWidth="1"/>
    <col min="2056" max="2056" width="10.6640625" style="33" customWidth="1"/>
    <col min="2057" max="2057" width="12.83203125" style="33" customWidth="1"/>
    <col min="2058" max="2304" width="8.83203125" style="33"/>
    <col min="2305" max="2305" width="45.33203125" style="33" customWidth="1"/>
    <col min="2306" max="2307" width="10.6640625" style="33" customWidth="1"/>
    <col min="2308" max="2308" width="3.33203125" style="33" customWidth="1"/>
    <col min="2309" max="2310" width="10.6640625" style="33" customWidth="1"/>
    <col min="2311" max="2311" width="3.1640625" style="33" customWidth="1"/>
    <col min="2312" max="2312" width="10.6640625" style="33" customWidth="1"/>
    <col min="2313" max="2313" width="12.83203125" style="33" customWidth="1"/>
    <col min="2314" max="2560" width="8.83203125" style="33"/>
    <col min="2561" max="2561" width="45.33203125" style="33" customWidth="1"/>
    <col min="2562" max="2563" width="10.6640625" style="33" customWidth="1"/>
    <col min="2564" max="2564" width="3.33203125" style="33" customWidth="1"/>
    <col min="2565" max="2566" width="10.6640625" style="33" customWidth="1"/>
    <col min="2567" max="2567" width="3.1640625" style="33" customWidth="1"/>
    <col min="2568" max="2568" width="10.6640625" style="33" customWidth="1"/>
    <col min="2569" max="2569" width="12.83203125" style="33" customWidth="1"/>
    <col min="2570" max="2816" width="8.83203125" style="33"/>
    <col min="2817" max="2817" width="45.33203125" style="33" customWidth="1"/>
    <col min="2818" max="2819" width="10.6640625" style="33" customWidth="1"/>
    <col min="2820" max="2820" width="3.33203125" style="33" customWidth="1"/>
    <col min="2821" max="2822" width="10.6640625" style="33" customWidth="1"/>
    <col min="2823" max="2823" width="3.1640625" style="33" customWidth="1"/>
    <col min="2824" max="2824" width="10.6640625" style="33" customWidth="1"/>
    <col min="2825" max="2825" width="12.83203125" style="33" customWidth="1"/>
    <col min="2826" max="3072" width="8.83203125" style="33"/>
    <col min="3073" max="3073" width="45.33203125" style="33" customWidth="1"/>
    <col min="3074" max="3075" width="10.6640625" style="33" customWidth="1"/>
    <col min="3076" max="3076" width="3.33203125" style="33" customWidth="1"/>
    <col min="3077" max="3078" width="10.6640625" style="33" customWidth="1"/>
    <col min="3079" max="3079" width="3.1640625" style="33" customWidth="1"/>
    <col min="3080" max="3080" width="10.6640625" style="33" customWidth="1"/>
    <col min="3081" max="3081" width="12.83203125" style="33" customWidth="1"/>
    <col min="3082" max="3328" width="8.83203125" style="33"/>
    <col min="3329" max="3329" width="45.33203125" style="33" customWidth="1"/>
    <col min="3330" max="3331" width="10.6640625" style="33" customWidth="1"/>
    <col min="3332" max="3332" width="3.33203125" style="33" customWidth="1"/>
    <col min="3333" max="3334" width="10.6640625" style="33" customWidth="1"/>
    <col min="3335" max="3335" width="3.1640625" style="33" customWidth="1"/>
    <col min="3336" max="3336" width="10.6640625" style="33" customWidth="1"/>
    <col min="3337" max="3337" width="12.83203125" style="33" customWidth="1"/>
    <col min="3338" max="3584" width="8.83203125" style="33"/>
    <col min="3585" max="3585" width="45.33203125" style="33" customWidth="1"/>
    <col min="3586" max="3587" width="10.6640625" style="33" customWidth="1"/>
    <col min="3588" max="3588" width="3.33203125" style="33" customWidth="1"/>
    <col min="3589" max="3590" width="10.6640625" style="33" customWidth="1"/>
    <col min="3591" max="3591" width="3.1640625" style="33" customWidth="1"/>
    <col min="3592" max="3592" width="10.6640625" style="33" customWidth="1"/>
    <col min="3593" max="3593" width="12.83203125" style="33" customWidth="1"/>
    <col min="3594" max="3840" width="8.83203125" style="33"/>
    <col min="3841" max="3841" width="45.33203125" style="33" customWidth="1"/>
    <col min="3842" max="3843" width="10.6640625" style="33" customWidth="1"/>
    <col min="3844" max="3844" width="3.33203125" style="33" customWidth="1"/>
    <col min="3845" max="3846" width="10.6640625" style="33" customWidth="1"/>
    <col min="3847" max="3847" width="3.1640625" style="33" customWidth="1"/>
    <col min="3848" max="3848" width="10.6640625" style="33" customWidth="1"/>
    <col min="3849" max="3849" width="12.83203125" style="33" customWidth="1"/>
    <col min="3850" max="4096" width="8.83203125" style="33"/>
    <col min="4097" max="4097" width="45.33203125" style="33" customWidth="1"/>
    <col min="4098" max="4099" width="10.6640625" style="33" customWidth="1"/>
    <col min="4100" max="4100" width="3.33203125" style="33" customWidth="1"/>
    <col min="4101" max="4102" width="10.6640625" style="33" customWidth="1"/>
    <col min="4103" max="4103" width="3.1640625" style="33" customWidth="1"/>
    <col min="4104" max="4104" width="10.6640625" style="33" customWidth="1"/>
    <col min="4105" max="4105" width="12.83203125" style="33" customWidth="1"/>
    <col min="4106" max="4352" width="8.83203125" style="33"/>
    <col min="4353" max="4353" width="45.33203125" style="33" customWidth="1"/>
    <col min="4354" max="4355" width="10.6640625" style="33" customWidth="1"/>
    <col min="4356" max="4356" width="3.33203125" style="33" customWidth="1"/>
    <col min="4357" max="4358" width="10.6640625" style="33" customWidth="1"/>
    <col min="4359" max="4359" width="3.1640625" style="33" customWidth="1"/>
    <col min="4360" max="4360" width="10.6640625" style="33" customWidth="1"/>
    <col min="4361" max="4361" width="12.83203125" style="33" customWidth="1"/>
    <col min="4362" max="4608" width="8.83203125" style="33"/>
    <col min="4609" max="4609" width="45.33203125" style="33" customWidth="1"/>
    <col min="4610" max="4611" width="10.6640625" style="33" customWidth="1"/>
    <col min="4612" max="4612" width="3.33203125" style="33" customWidth="1"/>
    <col min="4613" max="4614" width="10.6640625" style="33" customWidth="1"/>
    <col min="4615" max="4615" width="3.1640625" style="33" customWidth="1"/>
    <col min="4616" max="4616" width="10.6640625" style="33" customWidth="1"/>
    <col min="4617" max="4617" width="12.83203125" style="33" customWidth="1"/>
    <col min="4618" max="4864" width="8.83203125" style="33"/>
    <col min="4865" max="4865" width="45.33203125" style="33" customWidth="1"/>
    <col min="4866" max="4867" width="10.6640625" style="33" customWidth="1"/>
    <col min="4868" max="4868" width="3.33203125" style="33" customWidth="1"/>
    <col min="4869" max="4870" width="10.6640625" style="33" customWidth="1"/>
    <col min="4871" max="4871" width="3.1640625" style="33" customWidth="1"/>
    <col min="4872" max="4872" width="10.6640625" style="33" customWidth="1"/>
    <col min="4873" max="4873" width="12.83203125" style="33" customWidth="1"/>
    <col min="4874" max="5120" width="8.83203125" style="33"/>
    <col min="5121" max="5121" width="45.33203125" style="33" customWidth="1"/>
    <col min="5122" max="5123" width="10.6640625" style="33" customWidth="1"/>
    <col min="5124" max="5124" width="3.33203125" style="33" customWidth="1"/>
    <col min="5125" max="5126" width="10.6640625" style="33" customWidth="1"/>
    <col min="5127" max="5127" width="3.1640625" style="33" customWidth="1"/>
    <col min="5128" max="5128" width="10.6640625" style="33" customWidth="1"/>
    <col min="5129" max="5129" width="12.83203125" style="33" customWidth="1"/>
    <col min="5130" max="5376" width="8.83203125" style="33"/>
    <col min="5377" max="5377" width="45.33203125" style="33" customWidth="1"/>
    <col min="5378" max="5379" width="10.6640625" style="33" customWidth="1"/>
    <col min="5380" max="5380" width="3.33203125" style="33" customWidth="1"/>
    <col min="5381" max="5382" width="10.6640625" style="33" customWidth="1"/>
    <col min="5383" max="5383" width="3.1640625" style="33" customWidth="1"/>
    <col min="5384" max="5384" width="10.6640625" style="33" customWidth="1"/>
    <col min="5385" max="5385" width="12.83203125" style="33" customWidth="1"/>
    <col min="5386" max="5632" width="8.83203125" style="33"/>
    <col min="5633" max="5633" width="45.33203125" style="33" customWidth="1"/>
    <col min="5634" max="5635" width="10.6640625" style="33" customWidth="1"/>
    <col min="5636" max="5636" width="3.33203125" style="33" customWidth="1"/>
    <col min="5637" max="5638" width="10.6640625" style="33" customWidth="1"/>
    <col min="5639" max="5639" width="3.1640625" style="33" customWidth="1"/>
    <col min="5640" max="5640" width="10.6640625" style="33" customWidth="1"/>
    <col min="5641" max="5641" width="12.83203125" style="33" customWidth="1"/>
    <col min="5642" max="5888" width="8.83203125" style="33"/>
    <col min="5889" max="5889" width="45.33203125" style="33" customWidth="1"/>
    <col min="5890" max="5891" width="10.6640625" style="33" customWidth="1"/>
    <col min="5892" max="5892" width="3.33203125" style="33" customWidth="1"/>
    <col min="5893" max="5894" width="10.6640625" style="33" customWidth="1"/>
    <col min="5895" max="5895" width="3.1640625" style="33" customWidth="1"/>
    <col min="5896" max="5896" width="10.6640625" style="33" customWidth="1"/>
    <col min="5897" max="5897" width="12.83203125" style="33" customWidth="1"/>
    <col min="5898" max="6144" width="8.83203125" style="33"/>
    <col min="6145" max="6145" width="45.33203125" style="33" customWidth="1"/>
    <col min="6146" max="6147" width="10.6640625" style="33" customWidth="1"/>
    <col min="6148" max="6148" width="3.33203125" style="33" customWidth="1"/>
    <col min="6149" max="6150" width="10.6640625" style="33" customWidth="1"/>
    <col min="6151" max="6151" width="3.1640625" style="33" customWidth="1"/>
    <col min="6152" max="6152" width="10.6640625" style="33" customWidth="1"/>
    <col min="6153" max="6153" width="12.83203125" style="33" customWidth="1"/>
    <col min="6154" max="6400" width="8.83203125" style="33"/>
    <col min="6401" max="6401" width="45.33203125" style="33" customWidth="1"/>
    <col min="6402" max="6403" width="10.6640625" style="33" customWidth="1"/>
    <col min="6404" max="6404" width="3.33203125" style="33" customWidth="1"/>
    <col min="6405" max="6406" width="10.6640625" style="33" customWidth="1"/>
    <col min="6407" max="6407" width="3.1640625" style="33" customWidth="1"/>
    <col min="6408" max="6408" width="10.6640625" style="33" customWidth="1"/>
    <col min="6409" max="6409" width="12.83203125" style="33" customWidth="1"/>
    <col min="6410" max="6656" width="8.83203125" style="33"/>
    <col min="6657" max="6657" width="45.33203125" style="33" customWidth="1"/>
    <col min="6658" max="6659" width="10.6640625" style="33" customWidth="1"/>
    <col min="6660" max="6660" width="3.33203125" style="33" customWidth="1"/>
    <col min="6661" max="6662" width="10.6640625" style="33" customWidth="1"/>
    <col min="6663" max="6663" width="3.1640625" style="33" customWidth="1"/>
    <col min="6664" max="6664" width="10.6640625" style="33" customWidth="1"/>
    <col min="6665" max="6665" width="12.83203125" style="33" customWidth="1"/>
    <col min="6666" max="6912" width="8.83203125" style="33"/>
    <col min="6913" max="6913" width="45.33203125" style="33" customWidth="1"/>
    <col min="6914" max="6915" width="10.6640625" style="33" customWidth="1"/>
    <col min="6916" max="6916" width="3.33203125" style="33" customWidth="1"/>
    <col min="6917" max="6918" width="10.6640625" style="33" customWidth="1"/>
    <col min="6919" max="6919" width="3.1640625" style="33" customWidth="1"/>
    <col min="6920" max="6920" width="10.6640625" style="33" customWidth="1"/>
    <col min="6921" max="6921" width="12.83203125" style="33" customWidth="1"/>
    <col min="6922" max="7168" width="8.83203125" style="33"/>
    <col min="7169" max="7169" width="45.33203125" style="33" customWidth="1"/>
    <col min="7170" max="7171" width="10.6640625" style="33" customWidth="1"/>
    <col min="7172" max="7172" width="3.33203125" style="33" customWidth="1"/>
    <col min="7173" max="7174" width="10.6640625" style="33" customWidth="1"/>
    <col min="7175" max="7175" width="3.1640625" style="33" customWidth="1"/>
    <col min="7176" max="7176" width="10.6640625" style="33" customWidth="1"/>
    <col min="7177" max="7177" width="12.83203125" style="33" customWidth="1"/>
    <col min="7178" max="7424" width="8.83203125" style="33"/>
    <col min="7425" max="7425" width="45.33203125" style="33" customWidth="1"/>
    <col min="7426" max="7427" width="10.6640625" style="33" customWidth="1"/>
    <col min="7428" max="7428" width="3.33203125" style="33" customWidth="1"/>
    <col min="7429" max="7430" width="10.6640625" style="33" customWidth="1"/>
    <col min="7431" max="7431" width="3.1640625" style="33" customWidth="1"/>
    <col min="7432" max="7432" width="10.6640625" style="33" customWidth="1"/>
    <col min="7433" max="7433" width="12.83203125" style="33" customWidth="1"/>
    <col min="7434" max="7680" width="8.83203125" style="33"/>
    <col min="7681" max="7681" width="45.33203125" style="33" customWidth="1"/>
    <col min="7682" max="7683" width="10.6640625" style="33" customWidth="1"/>
    <col min="7684" max="7684" width="3.33203125" style="33" customWidth="1"/>
    <col min="7685" max="7686" width="10.6640625" style="33" customWidth="1"/>
    <col min="7687" max="7687" width="3.1640625" style="33" customWidth="1"/>
    <col min="7688" max="7688" width="10.6640625" style="33" customWidth="1"/>
    <col min="7689" max="7689" width="12.83203125" style="33" customWidth="1"/>
    <col min="7690" max="7936" width="8.83203125" style="33"/>
    <col min="7937" max="7937" width="45.33203125" style="33" customWidth="1"/>
    <col min="7938" max="7939" width="10.6640625" style="33" customWidth="1"/>
    <col min="7940" max="7940" width="3.33203125" style="33" customWidth="1"/>
    <col min="7941" max="7942" width="10.6640625" style="33" customWidth="1"/>
    <col min="7943" max="7943" width="3.1640625" style="33" customWidth="1"/>
    <col min="7944" max="7944" width="10.6640625" style="33" customWidth="1"/>
    <col min="7945" max="7945" width="12.83203125" style="33" customWidth="1"/>
    <col min="7946" max="8192" width="8.83203125" style="33"/>
    <col min="8193" max="8193" width="45.33203125" style="33" customWidth="1"/>
    <col min="8194" max="8195" width="10.6640625" style="33" customWidth="1"/>
    <col min="8196" max="8196" width="3.33203125" style="33" customWidth="1"/>
    <col min="8197" max="8198" width="10.6640625" style="33" customWidth="1"/>
    <col min="8199" max="8199" width="3.1640625" style="33" customWidth="1"/>
    <col min="8200" max="8200" width="10.6640625" style="33" customWidth="1"/>
    <col min="8201" max="8201" width="12.83203125" style="33" customWidth="1"/>
    <col min="8202" max="8448" width="8.83203125" style="33"/>
    <col min="8449" max="8449" width="45.33203125" style="33" customWidth="1"/>
    <col min="8450" max="8451" width="10.6640625" style="33" customWidth="1"/>
    <col min="8452" max="8452" width="3.33203125" style="33" customWidth="1"/>
    <col min="8453" max="8454" width="10.6640625" style="33" customWidth="1"/>
    <col min="8455" max="8455" width="3.1640625" style="33" customWidth="1"/>
    <col min="8456" max="8456" width="10.6640625" style="33" customWidth="1"/>
    <col min="8457" max="8457" width="12.83203125" style="33" customWidth="1"/>
    <col min="8458" max="8704" width="8.83203125" style="33"/>
    <col min="8705" max="8705" width="45.33203125" style="33" customWidth="1"/>
    <col min="8706" max="8707" width="10.6640625" style="33" customWidth="1"/>
    <col min="8708" max="8708" width="3.33203125" style="33" customWidth="1"/>
    <col min="8709" max="8710" width="10.6640625" style="33" customWidth="1"/>
    <col min="8711" max="8711" width="3.1640625" style="33" customWidth="1"/>
    <col min="8712" max="8712" width="10.6640625" style="33" customWidth="1"/>
    <col min="8713" max="8713" width="12.83203125" style="33" customWidth="1"/>
    <col min="8714" max="8960" width="8.83203125" style="33"/>
    <col min="8961" max="8961" width="45.33203125" style="33" customWidth="1"/>
    <col min="8962" max="8963" width="10.6640625" style="33" customWidth="1"/>
    <col min="8964" max="8964" width="3.33203125" style="33" customWidth="1"/>
    <col min="8965" max="8966" width="10.6640625" style="33" customWidth="1"/>
    <col min="8967" max="8967" width="3.1640625" style="33" customWidth="1"/>
    <col min="8968" max="8968" width="10.6640625" style="33" customWidth="1"/>
    <col min="8969" max="8969" width="12.83203125" style="33" customWidth="1"/>
    <col min="8970" max="9216" width="8.83203125" style="33"/>
    <col min="9217" max="9217" width="45.33203125" style="33" customWidth="1"/>
    <col min="9218" max="9219" width="10.6640625" style="33" customWidth="1"/>
    <col min="9220" max="9220" width="3.33203125" style="33" customWidth="1"/>
    <col min="9221" max="9222" width="10.6640625" style="33" customWidth="1"/>
    <col min="9223" max="9223" width="3.1640625" style="33" customWidth="1"/>
    <col min="9224" max="9224" width="10.6640625" style="33" customWidth="1"/>
    <col min="9225" max="9225" width="12.83203125" style="33" customWidth="1"/>
    <col min="9226" max="9472" width="8.83203125" style="33"/>
    <col min="9473" max="9473" width="45.33203125" style="33" customWidth="1"/>
    <col min="9474" max="9475" width="10.6640625" style="33" customWidth="1"/>
    <col min="9476" max="9476" width="3.33203125" style="33" customWidth="1"/>
    <col min="9477" max="9478" width="10.6640625" style="33" customWidth="1"/>
    <col min="9479" max="9479" width="3.1640625" style="33" customWidth="1"/>
    <col min="9480" max="9480" width="10.6640625" style="33" customWidth="1"/>
    <col min="9481" max="9481" width="12.83203125" style="33" customWidth="1"/>
    <col min="9482" max="9728" width="8.83203125" style="33"/>
    <col min="9729" max="9729" width="45.33203125" style="33" customWidth="1"/>
    <col min="9730" max="9731" width="10.6640625" style="33" customWidth="1"/>
    <col min="9732" max="9732" width="3.33203125" style="33" customWidth="1"/>
    <col min="9733" max="9734" width="10.6640625" style="33" customWidth="1"/>
    <col min="9735" max="9735" width="3.1640625" style="33" customWidth="1"/>
    <col min="9736" max="9736" width="10.6640625" style="33" customWidth="1"/>
    <col min="9737" max="9737" width="12.83203125" style="33" customWidth="1"/>
    <col min="9738" max="9984" width="8.83203125" style="33"/>
    <col min="9985" max="9985" width="45.33203125" style="33" customWidth="1"/>
    <col min="9986" max="9987" width="10.6640625" style="33" customWidth="1"/>
    <col min="9988" max="9988" width="3.33203125" style="33" customWidth="1"/>
    <col min="9989" max="9990" width="10.6640625" style="33" customWidth="1"/>
    <col min="9991" max="9991" width="3.1640625" style="33" customWidth="1"/>
    <col min="9992" max="9992" width="10.6640625" style="33" customWidth="1"/>
    <col min="9993" max="9993" width="12.83203125" style="33" customWidth="1"/>
    <col min="9994" max="10240" width="8.83203125" style="33"/>
    <col min="10241" max="10241" width="45.33203125" style="33" customWidth="1"/>
    <col min="10242" max="10243" width="10.6640625" style="33" customWidth="1"/>
    <col min="10244" max="10244" width="3.33203125" style="33" customWidth="1"/>
    <col min="10245" max="10246" width="10.6640625" style="33" customWidth="1"/>
    <col min="10247" max="10247" width="3.1640625" style="33" customWidth="1"/>
    <col min="10248" max="10248" width="10.6640625" style="33" customWidth="1"/>
    <col min="10249" max="10249" width="12.83203125" style="33" customWidth="1"/>
    <col min="10250" max="10496" width="8.83203125" style="33"/>
    <col min="10497" max="10497" width="45.33203125" style="33" customWidth="1"/>
    <col min="10498" max="10499" width="10.6640625" style="33" customWidth="1"/>
    <col min="10500" max="10500" width="3.33203125" style="33" customWidth="1"/>
    <col min="10501" max="10502" width="10.6640625" style="33" customWidth="1"/>
    <col min="10503" max="10503" width="3.1640625" style="33" customWidth="1"/>
    <col min="10504" max="10504" width="10.6640625" style="33" customWidth="1"/>
    <col min="10505" max="10505" width="12.83203125" style="33" customWidth="1"/>
    <col min="10506" max="10752" width="8.83203125" style="33"/>
    <col min="10753" max="10753" width="45.33203125" style="33" customWidth="1"/>
    <col min="10754" max="10755" width="10.6640625" style="33" customWidth="1"/>
    <col min="10756" max="10756" width="3.33203125" style="33" customWidth="1"/>
    <col min="10757" max="10758" width="10.6640625" style="33" customWidth="1"/>
    <col min="10759" max="10759" width="3.1640625" style="33" customWidth="1"/>
    <col min="10760" max="10760" width="10.6640625" style="33" customWidth="1"/>
    <col min="10761" max="10761" width="12.83203125" style="33" customWidth="1"/>
    <col min="10762" max="11008" width="8.83203125" style="33"/>
    <col min="11009" max="11009" width="45.33203125" style="33" customWidth="1"/>
    <col min="11010" max="11011" width="10.6640625" style="33" customWidth="1"/>
    <col min="11012" max="11012" width="3.33203125" style="33" customWidth="1"/>
    <col min="11013" max="11014" width="10.6640625" style="33" customWidth="1"/>
    <col min="11015" max="11015" width="3.1640625" style="33" customWidth="1"/>
    <col min="11016" max="11016" width="10.6640625" style="33" customWidth="1"/>
    <col min="11017" max="11017" width="12.83203125" style="33" customWidth="1"/>
    <col min="11018" max="11264" width="8.83203125" style="33"/>
    <col min="11265" max="11265" width="45.33203125" style="33" customWidth="1"/>
    <col min="11266" max="11267" width="10.6640625" style="33" customWidth="1"/>
    <col min="11268" max="11268" width="3.33203125" style="33" customWidth="1"/>
    <col min="11269" max="11270" width="10.6640625" style="33" customWidth="1"/>
    <col min="11271" max="11271" width="3.1640625" style="33" customWidth="1"/>
    <col min="11272" max="11272" width="10.6640625" style="33" customWidth="1"/>
    <col min="11273" max="11273" width="12.83203125" style="33" customWidth="1"/>
    <col min="11274" max="11520" width="8.83203125" style="33"/>
    <col min="11521" max="11521" width="45.33203125" style="33" customWidth="1"/>
    <col min="11522" max="11523" width="10.6640625" style="33" customWidth="1"/>
    <col min="11524" max="11524" width="3.33203125" style="33" customWidth="1"/>
    <col min="11525" max="11526" width="10.6640625" style="33" customWidth="1"/>
    <col min="11527" max="11527" width="3.1640625" style="33" customWidth="1"/>
    <col min="11528" max="11528" width="10.6640625" style="33" customWidth="1"/>
    <col min="11529" max="11529" width="12.83203125" style="33" customWidth="1"/>
    <col min="11530" max="11776" width="8.83203125" style="33"/>
    <col min="11777" max="11777" width="45.33203125" style="33" customWidth="1"/>
    <col min="11778" max="11779" width="10.6640625" style="33" customWidth="1"/>
    <col min="11780" max="11780" width="3.33203125" style="33" customWidth="1"/>
    <col min="11781" max="11782" width="10.6640625" style="33" customWidth="1"/>
    <col min="11783" max="11783" width="3.1640625" style="33" customWidth="1"/>
    <col min="11784" max="11784" width="10.6640625" style="33" customWidth="1"/>
    <col min="11785" max="11785" width="12.83203125" style="33" customWidth="1"/>
    <col min="11786" max="12032" width="8.83203125" style="33"/>
    <col min="12033" max="12033" width="45.33203125" style="33" customWidth="1"/>
    <col min="12034" max="12035" width="10.6640625" style="33" customWidth="1"/>
    <col min="12036" max="12036" width="3.33203125" style="33" customWidth="1"/>
    <col min="12037" max="12038" width="10.6640625" style="33" customWidth="1"/>
    <col min="12039" max="12039" width="3.1640625" style="33" customWidth="1"/>
    <col min="12040" max="12040" width="10.6640625" style="33" customWidth="1"/>
    <col min="12041" max="12041" width="12.83203125" style="33" customWidth="1"/>
    <col min="12042" max="12288" width="8.83203125" style="33"/>
    <col min="12289" max="12289" width="45.33203125" style="33" customWidth="1"/>
    <col min="12290" max="12291" width="10.6640625" style="33" customWidth="1"/>
    <col min="12292" max="12292" width="3.33203125" style="33" customWidth="1"/>
    <col min="12293" max="12294" width="10.6640625" style="33" customWidth="1"/>
    <col min="12295" max="12295" width="3.1640625" style="33" customWidth="1"/>
    <col min="12296" max="12296" width="10.6640625" style="33" customWidth="1"/>
    <col min="12297" max="12297" width="12.83203125" style="33" customWidth="1"/>
    <col min="12298" max="12544" width="8.83203125" style="33"/>
    <col min="12545" max="12545" width="45.33203125" style="33" customWidth="1"/>
    <col min="12546" max="12547" width="10.6640625" style="33" customWidth="1"/>
    <col min="12548" max="12548" width="3.33203125" style="33" customWidth="1"/>
    <col min="12549" max="12550" width="10.6640625" style="33" customWidth="1"/>
    <col min="12551" max="12551" width="3.1640625" style="33" customWidth="1"/>
    <col min="12552" max="12552" width="10.6640625" style="33" customWidth="1"/>
    <col min="12553" max="12553" width="12.83203125" style="33" customWidth="1"/>
    <col min="12554" max="12800" width="8.83203125" style="33"/>
    <col min="12801" max="12801" width="45.33203125" style="33" customWidth="1"/>
    <col min="12802" max="12803" width="10.6640625" style="33" customWidth="1"/>
    <col min="12804" max="12804" width="3.33203125" style="33" customWidth="1"/>
    <col min="12805" max="12806" width="10.6640625" style="33" customWidth="1"/>
    <col min="12807" max="12807" width="3.1640625" style="33" customWidth="1"/>
    <col min="12808" max="12808" width="10.6640625" style="33" customWidth="1"/>
    <col min="12809" max="12809" width="12.83203125" style="33" customWidth="1"/>
    <col min="12810" max="13056" width="8.83203125" style="33"/>
    <col min="13057" max="13057" width="45.33203125" style="33" customWidth="1"/>
    <col min="13058" max="13059" width="10.6640625" style="33" customWidth="1"/>
    <col min="13060" max="13060" width="3.33203125" style="33" customWidth="1"/>
    <col min="13061" max="13062" width="10.6640625" style="33" customWidth="1"/>
    <col min="13063" max="13063" width="3.1640625" style="33" customWidth="1"/>
    <col min="13064" max="13064" width="10.6640625" style="33" customWidth="1"/>
    <col min="13065" max="13065" width="12.83203125" style="33" customWidth="1"/>
    <col min="13066" max="13312" width="8.83203125" style="33"/>
    <col min="13313" max="13313" width="45.33203125" style="33" customWidth="1"/>
    <col min="13314" max="13315" width="10.6640625" style="33" customWidth="1"/>
    <col min="13316" max="13316" width="3.33203125" style="33" customWidth="1"/>
    <col min="13317" max="13318" width="10.6640625" style="33" customWidth="1"/>
    <col min="13319" max="13319" width="3.1640625" style="33" customWidth="1"/>
    <col min="13320" max="13320" width="10.6640625" style="33" customWidth="1"/>
    <col min="13321" max="13321" width="12.83203125" style="33" customWidth="1"/>
    <col min="13322" max="13568" width="8.83203125" style="33"/>
    <col min="13569" max="13569" width="45.33203125" style="33" customWidth="1"/>
    <col min="13570" max="13571" width="10.6640625" style="33" customWidth="1"/>
    <col min="13572" max="13572" width="3.33203125" style="33" customWidth="1"/>
    <col min="13573" max="13574" width="10.6640625" style="33" customWidth="1"/>
    <col min="13575" max="13575" width="3.1640625" style="33" customWidth="1"/>
    <col min="13576" max="13576" width="10.6640625" style="33" customWidth="1"/>
    <col min="13577" max="13577" width="12.83203125" style="33" customWidth="1"/>
    <col min="13578" max="13824" width="8.83203125" style="33"/>
    <col min="13825" max="13825" width="45.33203125" style="33" customWidth="1"/>
    <col min="13826" max="13827" width="10.6640625" style="33" customWidth="1"/>
    <col min="13828" max="13828" width="3.33203125" style="33" customWidth="1"/>
    <col min="13829" max="13830" width="10.6640625" style="33" customWidth="1"/>
    <col min="13831" max="13831" width="3.1640625" style="33" customWidth="1"/>
    <col min="13832" max="13832" width="10.6640625" style="33" customWidth="1"/>
    <col min="13833" max="13833" width="12.83203125" style="33" customWidth="1"/>
    <col min="13834" max="14080" width="8.83203125" style="33"/>
    <col min="14081" max="14081" width="45.33203125" style="33" customWidth="1"/>
    <col min="14082" max="14083" width="10.6640625" style="33" customWidth="1"/>
    <col min="14084" max="14084" width="3.33203125" style="33" customWidth="1"/>
    <col min="14085" max="14086" width="10.6640625" style="33" customWidth="1"/>
    <col min="14087" max="14087" width="3.1640625" style="33" customWidth="1"/>
    <col min="14088" max="14088" width="10.6640625" style="33" customWidth="1"/>
    <col min="14089" max="14089" width="12.83203125" style="33" customWidth="1"/>
    <col min="14090" max="14336" width="8.83203125" style="33"/>
    <col min="14337" max="14337" width="45.33203125" style="33" customWidth="1"/>
    <col min="14338" max="14339" width="10.6640625" style="33" customWidth="1"/>
    <col min="14340" max="14340" width="3.33203125" style="33" customWidth="1"/>
    <col min="14341" max="14342" width="10.6640625" style="33" customWidth="1"/>
    <col min="14343" max="14343" width="3.1640625" style="33" customWidth="1"/>
    <col min="14344" max="14344" width="10.6640625" style="33" customWidth="1"/>
    <col min="14345" max="14345" width="12.83203125" style="33" customWidth="1"/>
    <col min="14346" max="14592" width="8.83203125" style="33"/>
    <col min="14593" max="14593" width="45.33203125" style="33" customWidth="1"/>
    <col min="14594" max="14595" width="10.6640625" style="33" customWidth="1"/>
    <col min="14596" max="14596" width="3.33203125" style="33" customWidth="1"/>
    <col min="14597" max="14598" width="10.6640625" style="33" customWidth="1"/>
    <col min="14599" max="14599" width="3.1640625" style="33" customWidth="1"/>
    <col min="14600" max="14600" width="10.6640625" style="33" customWidth="1"/>
    <col min="14601" max="14601" width="12.83203125" style="33" customWidth="1"/>
    <col min="14602" max="14848" width="8.83203125" style="33"/>
    <col min="14849" max="14849" width="45.33203125" style="33" customWidth="1"/>
    <col min="14850" max="14851" width="10.6640625" style="33" customWidth="1"/>
    <col min="14852" max="14852" width="3.33203125" style="33" customWidth="1"/>
    <col min="14853" max="14854" width="10.6640625" style="33" customWidth="1"/>
    <col min="14855" max="14855" width="3.1640625" style="33" customWidth="1"/>
    <col min="14856" max="14856" width="10.6640625" style="33" customWidth="1"/>
    <col min="14857" max="14857" width="12.83203125" style="33" customWidth="1"/>
    <col min="14858" max="15104" width="8.83203125" style="33"/>
    <col min="15105" max="15105" width="45.33203125" style="33" customWidth="1"/>
    <col min="15106" max="15107" width="10.6640625" style="33" customWidth="1"/>
    <col min="15108" max="15108" width="3.33203125" style="33" customWidth="1"/>
    <col min="15109" max="15110" width="10.6640625" style="33" customWidth="1"/>
    <col min="15111" max="15111" width="3.1640625" style="33" customWidth="1"/>
    <col min="15112" max="15112" width="10.6640625" style="33" customWidth="1"/>
    <col min="15113" max="15113" width="12.83203125" style="33" customWidth="1"/>
    <col min="15114" max="15360" width="8.83203125" style="33"/>
    <col min="15361" max="15361" width="45.33203125" style="33" customWidth="1"/>
    <col min="15362" max="15363" width="10.6640625" style="33" customWidth="1"/>
    <col min="15364" max="15364" width="3.33203125" style="33" customWidth="1"/>
    <col min="15365" max="15366" width="10.6640625" style="33" customWidth="1"/>
    <col min="15367" max="15367" width="3.1640625" style="33" customWidth="1"/>
    <col min="15368" max="15368" width="10.6640625" style="33" customWidth="1"/>
    <col min="15369" max="15369" width="12.83203125" style="33" customWidth="1"/>
    <col min="15370" max="15616" width="8.83203125" style="33"/>
    <col min="15617" max="15617" width="45.33203125" style="33" customWidth="1"/>
    <col min="15618" max="15619" width="10.6640625" style="33" customWidth="1"/>
    <col min="15620" max="15620" width="3.33203125" style="33" customWidth="1"/>
    <col min="15621" max="15622" width="10.6640625" style="33" customWidth="1"/>
    <col min="15623" max="15623" width="3.1640625" style="33" customWidth="1"/>
    <col min="15624" max="15624" width="10.6640625" style="33" customWidth="1"/>
    <col min="15625" max="15625" width="12.83203125" style="33" customWidth="1"/>
    <col min="15626" max="15872" width="8.83203125" style="33"/>
    <col min="15873" max="15873" width="45.33203125" style="33" customWidth="1"/>
    <col min="15874" max="15875" width="10.6640625" style="33" customWidth="1"/>
    <col min="15876" max="15876" width="3.33203125" style="33" customWidth="1"/>
    <col min="15877" max="15878" width="10.6640625" style="33" customWidth="1"/>
    <col min="15879" max="15879" width="3.1640625" style="33" customWidth="1"/>
    <col min="15880" max="15880" width="10.6640625" style="33" customWidth="1"/>
    <col min="15881" max="15881" width="12.83203125" style="33" customWidth="1"/>
    <col min="15882" max="16128" width="8.83203125" style="33"/>
    <col min="16129" max="16129" width="45.33203125" style="33" customWidth="1"/>
    <col min="16130" max="16131" width="10.6640625" style="33" customWidth="1"/>
    <col min="16132" max="16132" width="3.33203125" style="33" customWidth="1"/>
    <col min="16133" max="16134" width="10.6640625" style="33" customWidth="1"/>
    <col min="16135" max="16135" width="3.1640625" style="33" customWidth="1"/>
    <col min="16136" max="16136" width="10.6640625" style="33" customWidth="1"/>
    <col min="16137" max="16137" width="12.83203125" style="33" customWidth="1"/>
    <col min="16138" max="16384" width="8.83203125" style="33"/>
  </cols>
  <sheetData>
    <row r="1" spans="1:11">
      <c r="A1" s="33" t="s">
        <v>388</v>
      </c>
    </row>
    <row r="2" spans="1:11">
      <c r="A2" s="14" t="s">
        <v>389</v>
      </c>
    </row>
    <row r="3" spans="1:11">
      <c r="A3" s="14"/>
      <c r="E3" s="393"/>
      <c r="F3" s="393"/>
      <c r="G3" s="393"/>
    </row>
    <row r="4" spans="1:11">
      <c r="A4" s="14" t="s">
        <v>1959</v>
      </c>
    </row>
    <row r="5" spans="1:11" ht="14" thickBot="1">
      <c r="A5" s="14" t="s">
        <v>1960</v>
      </c>
      <c r="I5" s="391"/>
    </row>
    <row r="6" spans="1:11">
      <c r="A6" s="188"/>
      <c r="B6" s="394"/>
      <c r="C6" s="394"/>
      <c r="D6" s="394"/>
      <c r="E6" s="395"/>
      <c r="F6" s="395"/>
      <c r="G6" s="395"/>
      <c r="H6" s="395"/>
      <c r="I6" s="395"/>
    </row>
    <row r="7" spans="1:11" ht="15">
      <c r="A7" s="57" t="s">
        <v>1069</v>
      </c>
      <c r="B7" s="396" t="s">
        <v>457</v>
      </c>
      <c r="C7" s="397"/>
      <c r="D7" s="235"/>
      <c r="E7" s="1041" t="s">
        <v>1070</v>
      </c>
      <c r="F7" s="1041"/>
      <c r="G7" s="791"/>
      <c r="H7" s="1041" t="s">
        <v>1071</v>
      </c>
      <c r="I7" s="1041"/>
    </row>
    <row r="8" spans="1:11">
      <c r="A8" s="57"/>
      <c r="B8" s="235" t="s">
        <v>152</v>
      </c>
      <c r="C8" s="235" t="s">
        <v>153</v>
      </c>
      <c r="D8" s="235"/>
      <c r="E8" s="791" t="s">
        <v>152</v>
      </c>
      <c r="F8" s="398" t="s">
        <v>153</v>
      </c>
      <c r="G8" s="791"/>
      <c r="H8" s="791" t="s">
        <v>152</v>
      </c>
      <c r="I8" s="61" t="s">
        <v>153</v>
      </c>
    </row>
    <row r="9" spans="1:11" ht="14" thickBot="1">
      <c r="A9" s="199"/>
      <c r="B9" s="399"/>
      <c r="C9" s="399"/>
      <c r="D9" s="399"/>
      <c r="E9" s="400"/>
      <c r="F9" s="400"/>
      <c r="G9" s="400"/>
      <c r="H9" s="400"/>
      <c r="I9" s="391"/>
    </row>
    <row r="10" spans="1:11">
      <c r="A10" s="57"/>
      <c r="B10" s="235"/>
      <c r="C10" s="235"/>
      <c r="D10" s="235"/>
      <c r="E10" s="791"/>
      <c r="F10" s="791"/>
      <c r="G10" s="791"/>
      <c r="H10" s="791"/>
      <c r="I10" s="395"/>
    </row>
    <row r="11" spans="1:11">
      <c r="A11" s="55" t="s">
        <v>402</v>
      </c>
      <c r="B11" s="390">
        <f>B13+B33</f>
        <v>5888</v>
      </c>
      <c r="C11" s="401">
        <f>SUM(F11+I11)</f>
        <v>100</v>
      </c>
      <c r="E11" s="390">
        <f>E13+E33</f>
        <v>3450</v>
      </c>
      <c r="F11" s="401">
        <f>+E11/$B11*100</f>
        <v>58.59375</v>
      </c>
      <c r="H11" s="390">
        <f>H13+H33</f>
        <v>2438</v>
      </c>
      <c r="I11" s="401">
        <f>+H11/$B11*100</f>
        <v>41.40625</v>
      </c>
      <c r="K11" s="73"/>
    </row>
    <row r="12" spans="1:11">
      <c r="C12" s="401"/>
      <c r="F12" s="401"/>
      <c r="I12" s="401"/>
    </row>
    <row r="13" spans="1:11">
      <c r="A13" s="55" t="s">
        <v>403</v>
      </c>
      <c r="B13" s="390">
        <f>SUM(B14:B31)</f>
        <v>4642</v>
      </c>
      <c r="C13" s="401">
        <f t="shared" ref="C13:C33" si="0">SUM(F13+I13)</f>
        <v>100</v>
      </c>
      <c r="E13" s="390">
        <f>SUM(E14:E31)</f>
        <v>2677</v>
      </c>
      <c r="F13" s="401">
        <f t="shared" ref="F13:F33" si="1">+E13/$B13*100</f>
        <v>57.66910814304179</v>
      </c>
      <c r="H13" s="390">
        <f>SUM(H14:H31)</f>
        <v>1965</v>
      </c>
      <c r="I13" s="401">
        <f t="shared" ref="I13:I33" si="2">+H13/$B13*100</f>
        <v>42.33089185695821</v>
      </c>
    </row>
    <row r="14" spans="1:11">
      <c r="C14" s="401"/>
      <c r="F14" s="401"/>
      <c r="I14" s="401"/>
    </row>
    <row r="15" spans="1:11">
      <c r="A15" s="33" t="s">
        <v>161</v>
      </c>
      <c r="B15" s="390">
        <f>E15+H15</f>
        <v>302</v>
      </c>
      <c r="C15" s="401">
        <f t="shared" si="0"/>
        <v>100</v>
      </c>
      <c r="E15" s="591">
        <v>185</v>
      </c>
      <c r="F15" s="401">
        <f t="shared" si="1"/>
        <v>61.258278145695364</v>
      </c>
      <c r="H15" s="591">
        <v>117</v>
      </c>
      <c r="I15" s="401">
        <f t="shared" si="2"/>
        <v>38.741721854304636</v>
      </c>
    </row>
    <row r="16" spans="1:11">
      <c r="C16" s="401"/>
      <c r="E16" s="591"/>
      <c r="F16" s="401"/>
      <c r="H16" s="591"/>
      <c r="I16" s="401"/>
    </row>
    <row r="17" spans="1:9">
      <c r="A17" s="33" t="s">
        <v>170</v>
      </c>
      <c r="B17" s="390">
        <f>E17+H17</f>
        <v>157</v>
      </c>
      <c r="C17" s="401">
        <f t="shared" si="0"/>
        <v>100</v>
      </c>
      <c r="E17" s="591">
        <v>77</v>
      </c>
      <c r="F17" s="401">
        <f t="shared" si="1"/>
        <v>49.044585987261144</v>
      </c>
      <c r="H17" s="591">
        <v>80</v>
      </c>
      <c r="I17" s="401">
        <f t="shared" si="2"/>
        <v>50.955414012738856</v>
      </c>
    </row>
    <row r="18" spans="1:9">
      <c r="C18" s="401"/>
      <c r="E18" s="591"/>
      <c r="F18" s="401"/>
      <c r="H18" s="591"/>
      <c r="I18" s="401"/>
    </row>
    <row r="19" spans="1:9">
      <c r="A19" s="33" t="s">
        <v>177</v>
      </c>
      <c r="B19" s="390">
        <f>E19+H19</f>
        <v>2073</v>
      </c>
      <c r="C19" s="401">
        <f t="shared" si="0"/>
        <v>100</v>
      </c>
      <c r="E19" s="591">
        <v>1319</v>
      </c>
      <c r="F19" s="401">
        <f t="shared" si="1"/>
        <v>63.627592860588521</v>
      </c>
      <c r="H19" s="591">
        <v>754</v>
      </c>
      <c r="I19" s="401">
        <f t="shared" si="2"/>
        <v>36.372407139411486</v>
      </c>
    </row>
    <row r="20" spans="1:9">
      <c r="C20" s="401"/>
      <c r="E20" s="591"/>
      <c r="F20" s="401"/>
      <c r="H20" s="591"/>
      <c r="I20" s="401"/>
    </row>
    <row r="21" spans="1:9">
      <c r="A21" s="33" t="s">
        <v>199</v>
      </c>
      <c r="B21" s="390">
        <f>E21+H21</f>
        <v>653</v>
      </c>
      <c r="C21" s="401">
        <f t="shared" si="0"/>
        <v>100</v>
      </c>
      <c r="E21" s="591">
        <v>447</v>
      </c>
      <c r="F21" s="401">
        <f t="shared" si="1"/>
        <v>68.453292496171514</v>
      </c>
      <c r="H21" s="591">
        <v>206</v>
      </c>
      <c r="I21" s="401">
        <f t="shared" si="2"/>
        <v>31.546707503828486</v>
      </c>
    </row>
    <row r="22" spans="1:9">
      <c r="C22" s="401"/>
      <c r="E22" s="591"/>
      <c r="F22" s="401"/>
      <c r="H22" s="591"/>
      <c r="I22" s="401"/>
    </row>
    <row r="23" spans="1:9">
      <c r="A23" s="33" t="s">
        <v>413</v>
      </c>
      <c r="B23" s="390">
        <f>E23+H23</f>
        <v>183</v>
      </c>
      <c r="C23" s="401">
        <f t="shared" si="0"/>
        <v>100</v>
      </c>
      <c r="E23" s="591">
        <v>110</v>
      </c>
      <c r="F23" s="401">
        <f t="shared" si="1"/>
        <v>60.10928961748634</v>
      </c>
      <c r="H23" s="591">
        <v>73</v>
      </c>
      <c r="I23" s="401">
        <f t="shared" si="2"/>
        <v>39.89071038251366</v>
      </c>
    </row>
    <row r="24" spans="1:9">
      <c r="C24" s="401"/>
      <c r="E24" s="591"/>
      <c r="F24" s="401"/>
      <c r="H24" s="591"/>
      <c r="I24" s="401"/>
    </row>
    <row r="25" spans="1:9">
      <c r="A25" s="33" t="s">
        <v>483</v>
      </c>
      <c r="B25" s="390">
        <f>E25+H25</f>
        <v>580</v>
      </c>
      <c r="C25" s="401">
        <f t="shared" si="0"/>
        <v>100</v>
      </c>
      <c r="E25" s="591">
        <v>169</v>
      </c>
      <c r="F25" s="401">
        <f t="shared" si="1"/>
        <v>29.137931034482762</v>
      </c>
      <c r="H25" s="591">
        <v>411</v>
      </c>
      <c r="I25" s="401">
        <f t="shared" si="2"/>
        <v>70.862068965517238</v>
      </c>
    </row>
    <row r="26" spans="1:9">
      <c r="B26" s="390" t="s">
        <v>154</v>
      </c>
      <c r="C26" s="401"/>
      <c r="E26" s="591"/>
      <c r="F26" s="401"/>
      <c r="G26" s="794"/>
      <c r="H26" s="591"/>
      <c r="I26" s="401"/>
    </row>
    <row r="27" spans="1:9">
      <c r="A27" s="33" t="s">
        <v>417</v>
      </c>
      <c r="B27" s="390">
        <f>E27+H27</f>
        <v>23</v>
      </c>
      <c r="C27" s="401">
        <f t="shared" si="0"/>
        <v>100</v>
      </c>
      <c r="E27" s="61">
        <v>12</v>
      </c>
      <c r="F27" s="401">
        <f t="shared" si="1"/>
        <v>52.173913043478258</v>
      </c>
      <c r="G27" s="402"/>
      <c r="H27" s="61">
        <v>11</v>
      </c>
      <c r="I27" s="401">
        <f t="shared" si="2"/>
        <v>47.826086956521742</v>
      </c>
    </row>
    <row r="28" spans="1:9">
      <c r="C28" s="401"/>
      <c r="E28" s="591"/>
      <c r="F28" s="401"/>
      <c r="G28" s="402"/>
      <c r="H28" s="591"/>
      <c r="I28" s="401"/>
    </row>
    <row r="29" spans="1:9">
      <c r="A29" s="231" t="s">
        <v>495</v>
      </c>
      <c r="B29" s="390">
        <f>E29+H29</f>
        <v>57</v>
      </c>
      <c r="C29" s="401">
        <f t="shared" si="0"/>
        <v>100</v>
      </c>
      <c r="E29" s="61">
        <v>26</v>
      </c>
      <c r="F29" s="401">
        <f t="shared" si="1"/>
        <v>45.614035087719294</v>
      </c>
      <c r="G29" s="402"/>
      <c r="H29" s="61">
        <v>31</v>
      </c>
      <c r="I29" s="401">
        <f t="shared" si="2"/>
        <v>54.385964912280706</v>
      </c>
    </row>
    <row r="30" spans="1:9">
      <c r="A30" s="231"/>
      <c r="C30" s="401"/>
      <c r="E30" s="61"/>
      <c r="F30" s="401"/>
      <c r="G30" s="402"/>
      <c r="H30" s="61"/>
      <c r="I30" s="401"/>
    </row>
    <row r="31" spans="1:9">
      <c r="A31" s="420" t="s">
        <v>290</v>
      </c>
      <c r="B31" s="390">
        <f>E31+H31</f>
        <v>614</v>
      </c>
      <c r="C31" s="401">
        <f t="shared" si="0"/>
        <v>100</v>
      </c>
      <c r="D31" s="421"/>
      <c r="E31" s="591">
        <v>332</v>
      </c>
      <c r="F31" s="401">
        <f t="shared" si="1"/>
        <v>54.071661237785015</v>
      </c>
      <c r="G31" s="421"/>
      <c r="H31" s="61">
        <v>282</v>
      </c>
      <c r="I31" s="401">
        <f t="shared" si="2"/>
        <v>45.928338762214985</v>
      </c>
    </row>
    <row r="32" spans="1:9">
      <c r="B32" s="390" t="s">
        <v>154</v>
      </c>
      <c r="C32" s="401"/>
      <c r="F32" s="401"/>
      <c r="I32" s="401"/>
    </row>
    <row r="33" spans="1:9">
      <c r="A33" s="55" t="s">
        <v>423</v>
      </c>
      <c r="B33" s="390">
        <f>E33+H33</f>
        <v>1246</v>
      </c>
      <c r="C33" s="401">
        <f t="shared" si="0"/>
        <v>100</v>
      </c>
      <c r="E33" s="391">
        <v>773</v>
      </c>
      <c r="F33" s="401">
        <f t="shared" si="1"/>
        <v>62.038523274478329</v>
      </c>
      <c r="H33" s="391">
        <v>473</v>
      </c>
      <c r="I33" s="401">
        <f t="shared" si="2"/>
        <v>37.961476725521671</v>
      </c>
    </row>
    <row r="34" spans="1:9" ht="15" customHeight="1" thickBot="1"/>
    <row r="35" spans="1:9" ht="6" customHeight="1">
      <c r="A35" s="188"/>
      <c r="B35" s="394"/>
      <c r="C35" s="394"/>
      <c r="D35" s="394"/>
      <c r="E35" s="395"/>
      <c r="F35" s="395"/>
      <c r="G35" s="395"/>
      <c r="H35" s="395"/>
      <c r="I35" s="395"/>
    </row>
    <row r="36" spans="1:9" ht="15" customHeight="1">
      <c r="A36" s="33" t="s">
        <v>1066</v>
      </c>
      <c r="G36" s="791"/>
      <c r="H36" s="791"/>
    </row>
    <row r="37" spans="1:9" ht="15" customHeight="1">
      <c r="A37" s="33" t="s">
        <v>471</v>
      </c>
    </row>
    <row r="38" spans="1:9" ht="15" customHeight="1">
      <c r="A38" s="57"/>
      <c r="B38" s="235"/>
      <c r="C38" s="235"/>
      <c r="D38" s="235"/>
      <c r="E38" s="791"/>
      <c r="F38" s="791"/>
    </row>
    <row r="39" spans="1:9" ht="15" customHeight="1"/>
    <row r="40" spans="1:9" ht="15" customHeight="1"/>
    <row r="41" spans="1:9" ht="15" customHeight="1"/>
    <row r="42" spans="1:9" ht="15" customHeight="1"/>
    <row r="43" spans="1:9" ht="15" customHeight="1"/>
    <row r="44" spans="1:9" ht="15" customHeight="1"/>
    <row r="45" spans="1:9" ht="6" customHeight="1"/>
    <row r="46" spans="1:9" ht="13.5" customHeight="1"/>
    <row r="47" spans="1:9" ht="15" customHeight="1"/>
    <row r="48" spans="1:9" ht="8" customHeight="1"/>
    <row r="49" ht="15" customHeight="1"/>
    <row r="50" ht="14.25" customHeight="1"/>
    <row r="51" ht="14.25" customHeight="1"/>
    <row r="52" ht="14.25" customHeight="1"/>
    <row r="53" ht="14.25" customHeight="1"/>
    <row r="54" ht="14.25" customHeight="1"/>
    <row r="55" ht="8" customHeight="1"/>
    <row r="56" ht="8" customHeight="1"/>
    <row r="57" ht="15" customHeight="1"/>
    <row r="58" ht="13.5" customHeight="1"/>
    <row r="59" ht="6.75" customHeight="1"/>
    <row r="60" ht="12.75" customHeight="1"/>
    <row r="61" ht="15" customHeight="1"/>
    <row r="62" ht="15" customHeight="1"/>
  </sheetData>
  <mergeCells count="2">
    <mergeCell ref="E7:F7"/>
    <mergeCell ref="H7: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5" tint="-0.249977111117893"/>
  </sheetPr>
  <dimension ref="B2:K4"/>
  <sheetViews>
    <sheetView workbookViewId="0">
      <selection activeCell="J6" sqref="J6"/>
    </sheetView>
  </sheetViews>
  <sheetFormatPr baseColWidth="10" defaultRowHeight="15"/>
  <sheetData>
    <row r="2" spans="2:11" ht="23">
      <c r="J2" s="431"/>
    </row>
    <row r="3" spans="2:11" ht="23">
      <c r="B3" s="28"/>
      <c r="C3" s="28"/>
      <c r="D3" s="28"/>
      <c r="E3" s="28"/>
      <c r="F3" s="28"/>
      <c r="G3" s="434"/>
      <c r="H3" s="30"/>
    </row>
    <row r="4" spans="2:11" ht="23">
      <c r="H4" s="31"/>
      <c r="K4" s="32"/>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FFFF00"/>
  </sheetPr>
  <dimension ref="A1:M24"/>
  <sheetViews>
    <sheetView workbookViewId="0">
      <selection activeCell="A5" sqref="A5"/>
    </sheetView>
  </sheetViews>
  <sheetFormatPr baseColWidth="10" defaultColWidth="11.5" defaultRowHeight="15"/>
  <cols>
    <col min="1" max="1" width="13.33203125" style="422" customWidth="1"/>
    <col min="2" max="2" width="128.5" style="422" customWidth="1"/>
    <col min="3" max="16384" width="11.5" style="422"/>
  </cols>
  <sheetData>
    <row r="1" spans="1:13" ht="16">
      <c r="A1" s="5" t="s">
        <v>126</v>
      </c>
    </row>
    <row r="2" spans="1:13" ht="16">
      <c r="A2" s="423" t="s">
        <v>1117</v>
      </c>
    </row>
    <row r="3" spans="1:13">
      <c r="A3" s="424"/>
    </row>
    <row r="4" spans="1:13" ht="16">
      <c r="A4" s="423" t="s">
        <v>651</v>
      </c>
    </row>
    <row r="5" spans="1:13" ht="16">
      <c r="A5" s="10" t="s">
        <v>1118</v>
      </c>
      <c r="B5" s="10" t="s">
        <v>1961</v>
      </c>
    </row>
    <row r="6" spans="1:13" ht="16">
      <c r="A6" s="10"/>
      <c r="B6" s="10"/>
    </row>
    <row r="7" spans="1:13" ht="16">
      <c r="A7" s="423" t="s">
        <v>1119</v>
      </c>
    </row>
    <row r="8" spans="1:13" ht="17">
      <c r="A8" s="10" t="s">
        <v>1120</v>
      </c>
      <c r="B8" s="9" t="s">
        <v>1962</v>
      </c>
    </row>
    <row r="9" spans="1:13" ht="16">
      <c r="A9" s="10" t="s">
        <v>1121</v>
      </c>
      <c r="B9" s="10" t="s">
        <v>1972</v>
      </c>
    </row>
    <row r="10" spans="1:13" ht="16">
      <c r="A10" s="10" t="s">
        <v>1122</v>
      </c>
      <c r="B10" s="10" t="s">
        <v>1963</v>
      </c>
    </row>
    <row r="11" spans="1:13" ht="16">
      <c r="A11" s="10" t="s">
        <v>1123</v>
      </c>
      <c r="B11" s="10" t="s">
        <v>1964</v>
      </c>
    </row>
    <row r="12" spans="1:13" ht="16">
      <c r="A12" s="10"/>
      <c r="B12" s="10"/>
    </row>
    <row r="13" spans="1:13" ht="16">
      <c r="A13" s="423" t="s">
        <v>1124</v>
      </c>
    </row>
    <row r="14" spans="1:13" ht="16">
      <c r="A14" s="10" t="s">
        <v>1125</v>
      </c>
      <c r="B14" s="10" t="s">
        <v>1965</v>
      </c>
    </row>
    <row r="15" spans="1:13" ht="16">
      <c r="A15" s="10" t="s">
        <v>1126</v>
      </c>
      <c r="B15" s="1043" t="s">
        <v>1966</v>
      </c>
      <c r="C15" s="1043"/>
      <c r="D15" s="1043"/>
      <c r="E15" s="1043"/>
      <c r="F15" s="1043"/>
      <c r="G15" s="1043"/>
      <c r="H15" s="1043"/>
      <c r="I15" s="1043"/>
      <c r="J15" s="1043"/>
      <c r="K15" s="1043"/>
      <c r="L15" s="1043"/>
      <c r="M15" s="1043"/>
    </row>
    <row r="16" spans="1:13" ht="16">
      <c r="A16" s="10"/>
      <c r="B16" s="425"/>
    </row>
    <row r="17" spans="1:2" ht="16">
      <c r="A17" s="423" t="s">
        <v>1127</v>
      </c>
    </row>
    <row r="18" spans="1:2" ht="16">
      <c r="A18" s="10" t="s">
        <v>1128</v>
      </c>
      <c r="B18" s="10" t="s">
        <v>1967</v>
      </c>
    </row>
    <row r="19" spans="1:2" ht="16">
      <c r="A19" s="10" t="s">
        <v>1129</v>
      </c>
      <c r="B19" s="10" t="s">
        <v>1973</v>
      </c>
    </row>
    <row r="20" spans="1:2" ht="16">
      <c r="A20" s="10" t="s">
        <v>1130</v>
      </c>
      <c r="B20" s="10" t="s">
        <v>1968</v>
      </c>
    </row>
    <row r="21" spans="1:2" ht="16">
      <c r="A21" s="10" t="s">
        <v>1131</v>
      </c>
      <c r="B21" s="10" t="s">
        <v>1969</v>
      </c>
    </row>
    <row r="22" spans="1:2" ht="16">
      <c r="A22" s="10" t="s">
        <v>1132</v>
      </c>
      <c r="B22" s="10" t="s">
        <v>1970</v>
      </c>
    </row>
    <row r="23" spans="1:2" ht="16">
      <c r="A23" s="10" t="s">
        <v>1133</v>
      </c>
      <c r="B23" s="757" t="s">
        <v>1971</v>
      </c>
    </row>
    <row r="24" spans="1:2">
      <c r="A24" s="424"/>
    </row>
  </sheetData>
  <mergeCells count="1">
    <mergeCell ref="B15:M15"/>
  </mergeCells>
  <pageMargins left="0.70866141732283472" right="0.70866141732283472" top="0.74803149606299213" bottom="0.74803149606299213" header="0.31496062992125984" footer="0.31496062992125984"/>
  <pageSetup scale="8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100"/>
  <sheetViews>
    <sheetView workbookViewId="0">
      <selection activeCell="A5" sqref="A5"/>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1974</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8" t="s">
        <v>149</v>
      </c>
      <c r="G8" s="790"/>
      <c r="H8" s="19"/>
      <c r="I8" s="18" t="s">
        <v>150</v>
      </c>
      <c r="J8" s="790"/>
      <c r="K8" s="19"/>
      <c r="L8" s="18" t="s">
        <v>151</v>
      </c>
      <c r="M8" s="790"/>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1" spans="1:14" ht="7" customHeight="1"/>
    <row r="12" spans="1:14">
      <c r="A12" s="17" t="s">
        <v>84</v>
      </c>
      <c r="C12" s="112">
        <f>IF($A12&lt;&gt;0,F12+I12+L12,"")</f>
        <v>1077.6469999999999</v>
      </c>
      <c r="D12" s="139">
        <f>IF($A12&lt;&gt;0,G12+J12+M12,"")</f>
        <v>100</v>
      </c>
      <c r="F12" s="112">
        <f>SUM(F14+F85)</f>
        <v>351.142</v>
      </c>
      <c r="G12" s="112">
        <f>IF($A12&lt;&gt;0,F12/$C12*100,"")</f>
        <v>32.584139333195381</v>
      </c>
      <c r="I12" s="112">
        <f>SUM(I14+I85)</f>
        <v>378.005</v>
      </c>
      <c r="J12" s="112">
        <f>IF($A12&lt;&gt;0,I12/$C12*100,"")</f>
        <v>35.076885102450063</v>
      </c>
      <c r="L12" s="112">
        <f>SUM(L14+L85)</f>
        <v>348.5</v>
      </c>
      <c r="M12" s="112">
        <f>IF($A12&lt;&gt;0,L12/$C12*100,"")</f>
        <v>32.338975564354563</v>
      </c>
    </row>
    <row r="13" spans="1:14" ht="7" customHeight="1">
      <c r="C13" s="112" t="str">
        <f>IF($A13&lt;&gt;0,F13+I13+L13,"")</f>
        <v/>
      </c>
      <c r="D13" s="139" t="str">
        <f>IF($A13&lt;&gt;0,G13+J13+M13,"")</f>
        <v/>
      </c>
      <c r="G13" s="112" t="str">
        <f>IF($A13&lt;&gt;0,F13/$C13*100,"")</f>
        <v/>
      </c>
      <c r="J13" s="112" t="str">
        <f>IF($A13&lt;&gt;0,I13/$C13*100,"")</f>
        <v/>
      </c>
      <c r="L13" s="112" t="s">
        <v>154</v>
      </c>
      <c r="M13" s="112" t="str">
        <f>IF($A13&lt;&gt;0,L13/$C13*100,"")</f>
        <v/>
      </c>
    </row>
    <row r="14" spans="1:14">
      <c r="A14" s="17" t="s">
        <v>403</v>
      </c>
      <c r="C14" s="112">
        <f t="shared" ref="C14:D51" si="0">IF($A14&lt;&gt;0,F14+I14+L14,"")</f>
        <v>1018.072</v>
      </c>
      <c r="D14" s="139">
        <f t="shared" si="0"/>
        <v>100</v>
      </c>
      <c r="F14" s="112">
        <f>F16+F33+F83</f>
        <v>339.81700000000001</v>
      </c>
      <c r="G14" s="112">
        <f t="shared" ref="G14:G77" si="1">IF($A14&lt;&gt;0,F14/$C14*100,"")</f>
        <v>33.378484036492509</v>
      </c>
      <c r="I14" s="112">
        <f>I16+I33+I83</f>
        <v>334.255</v>
      </c>
      <c r="J14" s="112">
        <f t="shared" ref="J14:J77" si="2">IF($A14&lt;&gt;0,I14/$C14*100,"")</f>
        <v>32.832157254103834</v>
      </c>
      <c r="L14" s="112">
        <f>L16+L33+L83</f>
        <v>344</v>
      </c>
      <c r="M14" s="112">
        <f t="shared" ref="M14:M77" si="3">IF($A14&lt;&gt;0,L14/$C14*100,"")</f>
        <v>33.789358709403658</v>
      </c>
    </row>
    <row r="15" spans="1:14" ht="7" customHeight="1">
      <c r="C15" s="112" t="str">
        <f t="shared" si="0"/>
        <v/>
      </c>
      <c r="D15" s="139" t="str">
        <f t="shared" si="0"/>
        <v/>
      </c>
      <c r="G15" s="112" t="str">
        <f t="shared" si="1"/>
        <v/>
      </c>
      <c r="J15" s="112" t="str">
        <f t="shared" si="2"/>
        <v/>
      </c>
      <c r="L15" s="112" t="s">
        <v>154</v>
      </c>
      <c r="M15" s="112" t="str">
        <f t="shared" si="3"/>
        <v/>
      </c>
    </row>
    <row r="16" spans="1:14">
      <c r="A16" s="111" t="s">
        <v>228</v>
      </c>
      <c r="C16" s="112">
        <f t="shared" si="0"/>
        <v>450.02499999999998</v>
      </c>
      <c r="D16" s="139">
        <f t="shared" si="0"/>
        <v>100</v>
      </c>
      <c r="F16" s="112">
        <f>SUM(F18:F31)</f>
        <v>88.4</v>
      </c>
      <c r="G16" s="112">
        <f t="shared" si="1"/>
        <v>19.643353147047389</v>
      </c>
      <c r="I16" s="112">
        <f>SUM(I18:I31)</f>
        <v>205.625</v>
      </c>
      <c r="J16" s="112">
        <f t="shared" si="2"/>
        <v>45.691906005221931</v>
      </c>
      <c r="L16" s="112">
        <f>SUM(L18:L31)</f>
        <v>156</v>
      </c>
      <c r="M16" s="112">
        <f t="shared" si="3"/>
        <v>34.664740847730684</v>
      </c>
    </row>
    <row r="17" spans="1:13">
      <c r="C17" s="112" t="str">
        <f t="shared" si="0"/>
        <v/>
      </c>
      <c r="D17" s="139" t="str">
        <f t="shared" si="0"/>
        <v/>
      </c>
      <c r="G17" s="112" t="str">
        <f t="shared" si="1"/>
        <v/>
      </c>
      <c r="J17" s="112" t="str">
        <f t="shared" si="2"/>
        <v/>
      </c>
      <c r="L17" s="112" t="s">
        <v>154</v>
      </c>
      <c r="M17" s="112" t="str">
        <f t="shared" si="3"/>
        <v/>
      </c>
    </row>
    <row r="18" spans="1:13">
      <c r="A18" s="111" t="s">
        <v>229</v>
      </c>
      <c r="C18" s="112">
        <f t="shared" si="0"/>
        <v>63.625</v>
      </c>
      <c r="D18" s="139">
        <f t="shared" si="0"/>
        <v>100</v>
      </c>
      <c r="F18" s="112">
        <v>53.875</v>
      </c>
      <c r="G18" s="112">
        <f t="shared" si="1"/>
        <v>84.675834970530445</v>
      </c>
      <c r="I18" s="112">
        <v>7</v>
      </c>
      <c r="J18" s="112">
        <f t="shared" si="2"/>
        <v>11.00196463654224</v>
      </c>
      <c r="L18" s="112">
        <v>2.75</v>
      </c>
      <c r="M18" s="112">
        <f t="shared" si="3"/>
        <v>4.3222003929273081</v>
      </c>
    </row>
    <row r="19" spans="1:13">
      <c r="A19" s="111" t="s">
        <v>230</v>
      </c>
      <c r="C19" s="112">
        <f t="shared" si="0"/>
        <v>63.5</v>
      </c>
      <c r="D19" s="139">
        <f t="shared" si="0"/>
        <v>100</v>
      </c>
      <c r="F19" s="112">
        <v>1</v>
      </c>
      <c r="G19" s="112">
        <f t="shared" si="1"/>
        <v>1.5748031496062991</v>
      </c>
      <c r="I19" s="112">
        <v>3</v>
      </c>
      <c r="J19" s="112">
        <f t="shared" si="2"/>
        <v>4.7244094488188972</v>
      </c>
      <c r="L19" s="112">
        <v>59.5</v>
      </c>
      <c r="M19" s="112">
        <f t="shared" si="3"/>
        <v>93.7007874015748</v>
      </c>
    </row>
    <row r="20" spans="1:13">
      <c r="A20" s="111" t="s">
        <v>231</v>
      </c>
      <c r="C20" s="112">
        <f t="shared" si="0"/>
        <v>166.625</v>
      </c>
      <c r="D20" s="139">
        <f t="shared" si="0"/>
        <v>100</v>
      </c>
      <c r="F20" s="112">
        <v>0</v>
      </c>
      <c r="G20" s="112">
        <f t="shared" si="1"/>
        <v>0</v>
      </c>
      <c r="I20" s="112">
        <v>131.625</v>
      </c>
      <c r="J20" s="112">
        <f t="shared" si="2"/>
        <v>78.994748687171793</v>
      </c>
      <c r="L20" s="112">
        <v>35</v>
      </c>
      <c r="M20" s="112">
        <f t="shared" si="3"/>
        <v>21.005251312828207</v>
      </c>
    </row>
    <row r="21" spans="1:13">
      <c r="A21" s="26" t="s">
        <v>232</v>
      </c>
      <c r="C21" s="112">
        <f t="shared" si="0"/>
        <v>23.25</v>
      </c>
      <c r="D21" s="139">
        <f t="shared" si="0"/>
        <v>100</v>
      </c>
      <c r="F21" s="112">
        <v>4.25</v>
      </c>
      <c r="G21" s="112">
        <f t="shared" si="1"/>
        <v>18.27956989247312</v>
      </c>
      <c r="I21" s="112">
        <v>9</v>
      </c>
      <c r="J21" s="112">
        <f t="shared" si="2"/>
        <v>38.70967741935484</v>
      </c>
      <c r="L21" s="112">
        <v>10</v>
      </c>
      <c r="M21" s="112">
        <f t="shared" si="3"/>
        <v>43.01075268817204</v>
      </c>
    </row>
    <row r="22" spans="1:13">
      <c r="A22" s="26" t="s">
        <v>233</v>
      </c>
      <c r="C22" s="112">
        <f t="shared" si="0"/>
        <v>76.525000000000006</v>
      </c>
      <c r="D22" s="139">
        <f t="shared" si="0"/>
        <v>99.999999999999986</v>
      </c>
      <c r="F22" s="112">
        <v>18.274999999999999</v>
      </c>
      <c r="G22" s="112">
        <f t="shared" si="1"/>
        <v>23.881084612871607</v>
      </c>
      <c r="I22" s="112">
        <v>32.25</v>
      </c>
      <c r="J22" s="112">
        <f t="shared" si="2"/>
        <v>42.143090493302836</v>
      </c>
      <c r="L22" s="112">
        <v>26</v>
      </c>
      <c r="M22" s="112">
        <f t="shared" si="3"/>
        <v>33.975824893825546</v>
      </c>
    </row>
    <row r="23" spans="1:13">
      <c r="A23" s="26" t="s">
        <v>234</v>
      </c>
      <c r="C23" s="112">
        <f t="shared" si="0"/>
        <v>24.5</v>
      </c>
      <c r="D23" s="139">
        <f t="shared" si="0"/>
        <v>100</v>
      </c>
      <c r="F23" s="112">
        <v>4</v>
      </c>
      <c r="G23" s="112">
        <f t="shared" si="1"/>
        <v>16.326530612244898</v>
      </c>
      <c r="I23" s="112">
        <v>13</v>
      </c>
      <c r="J23" s="112">
        <f t="shared" si="2"/>
        <v>53.061224489795919</v>
      </c>
      <c r="L23" s="112">
        <v>7.5</v>
      </c>
      <c r="M23" s="112">
        <f t="shared" si="3"/>
        <v>30.612244897959183</v>
      </c>
    </row>
    <row r="24" spans="1:13">
      <c r="A24" s="26" t="s">
        <v>235</v>
      </c>
      <c r="C24" s="112">
        <f t="shared" si="0"/>
        <v>11</v>
      </c>
      <c r="D24" s="139">
        <f t="shared" si="0"/>
        <v>99.999999999999986</v>
      </c>
      <c r="F24" s="112">
        <v>2</v>
      </c>
      <c r="G24" s="112">
        <f>IF($A24&lt;&gt;0,F24/$C24*100,"")</f>
        <v>18.181818181818183</v>
      </c>
      <c r="I24" s="112">
        <v>6</v>
      </c>
      <c r="J24" s="112">
        <f>IF($A24&lt;&gt;0,I24/$C24*100,"")</f>
        <v>54.54545454545454</v>
      </c>
      <c r="L24" s="112">
        <v>3</v>
      </c>
      <c r="M24" s="112">
        <f t="shared" si="3"/>
        <v>27.27272727272727</v>
      </c>
    </row>
    <row r="25" spans="1:13">
      <c r="A25" s="26" t="s">
        <v>236</v>
      </c>
      <c r="C25" s="112">
        <f t="shared" si="0"/>
        <v>1</v>
      </c>
      <c r="D25" s="139">
        <f t="shared" si="0"/>
        <v>100</v>
      </c>
      <c r="F25" s="112">
        <v>0</v>
      </c>
      <c r="G25" s="112">
        <f>IF($A25&lt;&gt;0,F25/$C25*100,"")</f>
        <v>0</v>
      </c>
      <c r="I25" s="112">
        <v>0</v>
      </c>
      <c r="J25" s="112">
        <f>IF($A25&lt;&gt;0,I25/$C25*100,"")</f>
        <v>0</v>
      </c>
      <c r="L25" s="112">
        <v>1</v>
      </c>
      <c r="M25" s="112">
        <f t="shared" si="3"/>
        <v>100</v>
      </c>
    </row>
    <row r="26" spans="1:13">
      <c r="A26" s="26" t="s">
        <v>237</v>
      </c>
      <c r="C26" s="112">
        <f t="shared" si="0"/>
        <v>5.5</v>
      </c>
      <c r="D26" s="139">
        <f t="shared" si="0"/>
        <v>100</v>
      </c>
      <c r="F26" s="112">
        <v>1.5</v>
      </c>
      <c r="G26" s="112">
        <f>IF($A26&lt;&gt;0,F26/$C26*100,"")</f>
        <v>27.27272727272727</v>
      </c>
      <c r="I26" s="112">
        <v>2</v>
      </c>
      <c r="J26" s="112">
        <f>IF($A26&lt;&gt;0,I26/$C26*100,"")</f>
        <v>36.363636363636367</v>
      </c>
      <c r="L26" s="112">
        <v>2</v>
      </c>
      <c r="M26" s="112">
        <f t="shared" si="3"/>
        <v>36.363636363636367</v>
      </c>
    </row>
    <row r="27" spans="1:13">
      <c r="A27" s="26" t="s">
        <v>238</v>
      </c>
      <c r="C27" s="112">
        <f t="shared" si="0"/>
        <v>2</v>
      </c>
      <c r="D27" s="139">
        <f t="shared" si="0"/>
        <v>100</v>
      </c>
      <c r="F27" s="112">
        <v>1</v>
      </c>
      <c r="G27" s="112">
        <f t="shared" si="1"/>
        <v>50</v>
      </c>
      <c r="I27" s="112">
        <v>0</v>
      </c>
      <c r="J27" s="112">
        <f t="shared" si="2"/>
        <v>0</v>
      </c>
      <c r="L27" s="112">
        <v>1</v>
      </c>
      <c r="M27" s="112">
        <f t="shared" si="3"/>
        <v>50</v>
      </c>
    </row>
    <row r="28" spans="1:13">
      <c r="A28" s="26" t="s">
        <v>239</v>
      </c>
      <c r="C28" s="112">
        <f t="shared" si="0"/>
        <v>1.5</v>
      </c>
      <c r="D28" s="139">
        <f t="shared" si="0"/>
        <v>99.999999999999986</v>
      </c>
      <c r="F28" s="112">
        <v>0.5</v>
      </c>
      <c r="G28" s="112">
        <f t="shared" si="1"/>
        <v>33.333333333333329</v>
      </c>
      <c r="I28" s="112">
        <v>0</v>
      </c>
      <c r="J28" s="112">
        <f t="shared" si="2"/>
        <v>0</v>
      </c>
      <c r="L28" s="112">
        <v>1</v>
      </c>
      <c r="M28" s="112">
        <f t="shared" si="3"/>
        <v>66.666666666666657</v>
      </c>
    </row>
    <row r="29" spans="1:13">
      <c r="A29" s="26" t="s">
        <v>240</v>
      </c>
      <c r="C29" s="112">
        <f t="shared" si="0"/>
        <v>6</v>
      </c>
      <c r="D29" s="139">
        <f t="shared" si="0"/>
        <v>99.999999999999986</v>
      </c>
      <c r="F29" s="112">
        <v>0.5</v>
      </c>
      <c r="G29" s="112">
        <f t="shared" si="1"/>
        <v>8.3333333333333321</v>
      </c>
      <c r="I29" s="112">
        <v>0</v>
      </c>
      <c r="J29" s="112">
        <f t="shared" si="2"/>
        <v>0</v>
      </c>
      <c r="L29" s="112">
        <v>5.5</v>
      </c>
      <c r="M29" s="112">
        <f t="shared" si="3"/>
        <v>91.666666666666657</v>
      </c>
    </row>
    <row r="30" spans="1:13">
      <c r="A30" s="26" t="s">
        <v>241</v>
      </c>
      <c r="C30" s="112">
        <f>IF($A30&lt;&gt;0,F30+I30+L30,"")</f>
        <v>3</v>
      </c>
      <c r="D30" s="139">
        <f>IF($A30&lt;&gt;0,G30+J30+M30,"")</f>
        <v>100</v>
      </c>
      <c r="F30" s="112">
        <v>0.5</v>
      </c>
      <c r="G30" s="112">
        <f>IF($A30&lt;&gt;0,F30/$C30*100,"")</f>
        <v>16.666666666666664</v>
      </c>
      <c r="I30" s="112">
        <v>1.75</v>
      </c>
      <c r="J30" s="112">
        <f>IF($A30&lt;&gt;0,I30/$C30*100,"")</f>
        <v>58.333333333333336</v>
      </c>
      <c r="L30" s="112">
        <v>0.75</v>
      </c>
      <c r="M30" s="112">
        <f t="shared" si="3"/>
        <v>25</v>
      </c>
    </row>
    <row r="31" spans="1:13">
      <c r="A31" s="26" t="s">
        <v>242</v>
      </c>
      <c r="C31" s="112">
        <f>IF($A31&lt;&gt;0,F31+I31+L31,"")</f>
        <v>2</v>
      </c>
      <c r="D31" s="139">
        <f>IF($A31&lt;&gt;0,G31+J31+M31,"")</f>
        <v>100</v>
      </c>
      <c r="F31" s="112">
        <v>1</v>
      </c>
      <c r="G31" s="112">
        <f t="shared" si="1"/>
        <v>50</v>
      </c>
      <c r="I31" s="112">
        <v>0</v>
      </c>
      <c r="J31" s="112">
        <f t="shared" si="2"/>
        <v>0</v>
      </c>
      <c r="L31" s="112">
        <v>1</v>
      </c>
      <c r="M31" s="112">
        <f t="shared" si="3"/>
        <v>50</v>
      </c>
    </row>
    <row r="32" spans="1:13">
      <c r="A32" s="26"/>
      <c r="C32" s="112" t="str">
        <f t="shared" si="0"/>
        <v/>
      </c>
      <c r="D32" s="139" t="str">
        <f t="shared" si="0"/>
        <v/>
      </c>
      <c r="G32" s="112" t="str">
        <f t="shared" si="1"/>
        <v/>
      </c>
      <c r="J32" s="112" t="str">
        <f t="shared" si="2"/>
        <v/>
      </c>
      <c r="L32" s="112" t="s">
        <v>154</v>
      </c>
      <c r="M32" s="112" t="str">
        <f t="shared" si="3"/>
        <v/>
      </c>
    </row>
    <row r="33" spans="1:13">
      <c r="A33" s="111" t="s">
        <v>243</v>
      </c>
      <c r="C33" s="112">
        <f t="shared" si="0"/>
        <v>468.67200000000003</v>
      </c>
      <c r="D33" s="139">
        <f t="shared" si="0"/>
        <v>100</v>
      </c>
      <c r="F33" s="112">
        <f>SUM(F35:F81)</f>
        <v>188.542</v>
      </c>
      <c r="G33" s="112">
        <f t="shared" si="1"/>
        <v>40.228987436842822</v>
      </c>
      <c r="I33" s="112">
        <f>SUM(I35:I81)</f>
        <v>128.13</v>
      </c>
      <c r="J33" s="112">
        <f t="shared" si="2"/>
        <v>27.338949201147067</v>
      </c>
      <c r="L33" s="112">
        <f>SUM(L35:L81)</f>
        <v>152</v>
      </c>
      <c r="M33" s="112">
        <f t="shared" si="3"/>
        <v>32.432063362010105</v>
      </c>
    </row>
    <row r="34" spans="1:13">
      <c r="A34" s="26"/>
      <c r="D34" s="139" t="str">
        <f t="shared" si="0"/>
        <v/>
      </c>
      <c r="G34" s="112" t="str">
        <f t="shared" si="1"/>
        <v/>
      </c>
      <c r="J34" s="112" t="str">
        <f t="shared" si="2"/>
        <v/>
      </c>
      <c r="L34" s="112" t="s">
        <v>154</v>
      </c>
      <c r="M34" s="112" t="str">
        <f t="shared" si="3"/>
        <v/>
      </c>
    </row>
    <row r="35" spans="1:13">
      <c r="A35" s="26" t="s">
        <v>244</v>
      </c>
      <c r="C35" s="112">
        <f t="shared" si="0"/>
        <v>24</v>
      </c>
      <c r="D35" s="139">
        <f t="shared" si="0"/>
        <v>100</v>
      </c>
      <c r="F35" s="112">
        <v>12</v>
      </c>
      <c r="G35" s="112">
        <f t="shared" si="1"/>
        <v>50</v>
      </c>
      <c r="I35" s="112">
        <v>6.5</v>
      </c>
      <c r="J35" s="112">
        <f t="shared" si="2"/>
        <v>27.083333333333332</v>
      </c>
      <c r="L35" s="112">
        <v>5.5</v>
      </c>
      <c r="M35" s="112">
        <f t="shared" si="3"/>
        <v>22.916666666666664</v>
      </c>
    </row>
    <row r="36" spans="1:13">
      <c r="A36" s="26" t="s">
        <v>245</v>
      </c>
      <c r="C36" s="112">
        <f t="shared" si="0"/>
        <v>9.25</v>
      </c>
      <c r="D36" s="139">
        <f t="shared" si="0"/>
        <v>100</v>
      </c>
      <c r="F36" s="112">
        <v>3.25</v>
      </c>
      <c r="G36" s="112">
        <f t="shared" si="1"/>
        <v>35.135135135135137</v>
      </c>
      <c r="I36" s="112">
        <v>2</v>
      </c>
      <c r="J36" s="112">
        <f t="shared" si="2"/>
        <v>21.621621621621621</v>
      </c>
      <c r="L36" s="112">
        <v>4</v>
      </c>
      <c r="M36" s="112">
        <f t="shared" si="3"/>
        <v>43.243243243243242</v>
      </c>
    </row>
    <row r="37" spans="1:13">
      <c r="A37" s="26" t="s">
        <v>246</v>
      </c>
      <c r="C37" s="112">
        <f t="shared" si="0"/>
        <v>6</v>
      </c>
      <c r="D37" s="139">
        <f t="shared" si="0"/>
        <v>100</v>
      </c>
      <c r="F37" s="112">
        <v>2</v>
      </c>
      <c r="G37" s="112">
        <f t="shared" si="1"/>
        <v>33.333333333333329</v>
      </c>
      <c r="I37" s="112">
        <v>1</v>
      </c>
      <c r="J37" s="112">
        <f t="shared" si="2"/>
        <v>16.666666666666664</v>
      </c>
      <c r="L37" s="112">
        <v>3</v>
      </c>
      <c r="M37" s="112">
        <f t="shared" si="3"/>
        <v>50</v>
      </c>
    </row>
    <row r="38" spans="1:13">
      <c r="A38" s="26" t="s">
        <v>247</v>
      </c>
      <c r="C38" s="112">
        <f t="shared" si="0"/>
        <v>6.5</v>
      </c>
      <c r="D38" s="139">
        <f t="shared" si="0"/>
        <v>100</v>
      </c>
      <c r="F38" s="112">
        <v>1.5</v>
      </c>
      <c r="G38" s="112">
        <f t="shared" si="1"/>
        <v>23.076923076923077</v>
      </c>
      <c r="I38" s="112">
        <v>4</v>
      </c>
      <c r="J38" s="112">
        <f t="shared" si="2"/>
        <v>61.53846153846154</v>
      </c>
      <c r="L38" s="112">
        <v>1</v>
      </c>
      <c r="M38" s="112">
        <f t="shared" si="3"/>
        <v>15.384615384615385</v>
      </c>
    </row>
    <row r="39" spans="1:13">
      <c r="A39" s="26" t="s">
        <v>248</v>
      </c>
      <c r="C39" s="112">
        <f t="shared" si="0"/>
        <v>7.5</v>
      </c>
      <c r="D39" s="139">
        <f t="shared" si="0"/>
        <v>100</v>
      </c>
      <c r="F39" s="112">
        <v>2.5</v>
      </c>
      <c r="G39" s="112">
        <f t="shared" si="1"/>
        <v>33.333333333333329</v>
      </c>
      <c r="I39" s="112">
        <v>3</v>
      </c>
      <c r="J39" s="112">
        <f t="shared" si="2"/>
        <v>40</v>
      </c>
      <c r="L39" s="112">
        <v>2</v>
      </c>
      <c r="M39" s="112">
        <f t="shared" si="3"/>
        <v>26.666666666666668</v>
      </c>
    </row>
    <row r="40" spans="1:13">
      <c r="A40" s="26" t="s">
        <v>249</v>
      </c>
      <c r="C40" s="112">
        <f t="shared" si="0"/>
        <v>7</v>
      </c>
      <c r="D40" s="139">
        <f t="shared" si="0"/>
        <v>99.999999999999986</v>
      </c>
      <c r="F40" s="112">
        <v>1</v>
      </c>
      <c r="G40" s="112">
        <f t="shared" si="1"/>
        <v>14.285714285714285</v>
      </c>
      <c r="I40" s="112">
        <v>4</v>
      </c>
      <c r="J40" s="112">
        <f t="shared" si="2"/>
        <v>57.142857142857139</v>
      </c>
      <c r="L40" s="112">
        <v>2</v>
      </c>
      <c r="M40" s="112">
        <f t="shared" si="3"/>
        <v>28.571428571428569</v>
      </c>
    </row>
    <row r="41" spans="1:13">
      <c r="A41" s="26" t="s">
        <v>250</v>
      </c>
      <c r="C41" s="112">
        <f t="shared" si="0"/>
        <v>4</v>
      </c>
      <c r="D41" s="139">
        <f t="shared" si="0"/>
        <v>100</v>
      </c>
      <c r="F41" s="112">
        <v>1</v>
      </c>
      <c r="G41" s="112">
        <f t="shared" si="1"/>
        <v>25</v>
      </c>
      <c r="I41" s="112">
        <v>0</v>
      </c>
      <c r="J41" s="112">
        <f t="shared" si="2"/>
        <v>0</v>
      </c>
      <c r="L41" s="112">
        <v>3</v>
      </c>
      <c r="M41" s="112">
        <f t="shared" si="3"/>
        <v>75</v>
      </c>
    </row>
    <row r="42" spans="1:13">
      <c r="A42" s="26" t="s">
        <v>251</v>
      </c>
      <c r="C42" s="112">
        <f t="shared" si="0"/>
        <v>9.5</v>
      </c>
      <c r="D42" s="139">
        <f t="shared" si="0"/>
        <v>100</v>
      </c>
      <c r="F42" s="112">
        <v>4.5</v>
      </c>
      <c r="G42" s="112">
        <f t="shared" si="1"/>
        <v>47.368421052631575</v>
      </c>
      <c r="I42" s="112">
        <v>2</v>
      </c>
      <c r="J42" s="112">
        <f t="shared" si="2"/>
        <v>21.052631578947366</v>
      </c>
      <c r="L42" s="112">
        <v>3</v>
      </c>
      <c r="M42" s="112">
        <f t="shared" si="3"/>
        <v>31.578947368421051</v>
      </c>
    </row>
    <row r="43" spans="1:13">
      <c r="A43" s="26" t="s">
        <v>252</v>
      </c>
      <c r="C43" s="112">
        <f t="shared" si="0"/>
        <v>20.5</v>
      </c>
      <c r="D43" s="139">
        <f t="shared" si="0"/>
        <v>100</v>
      </c>
      <c r="F43" s="112">
        <v>8</v>
      </c>
      <c r="G43" s="112">
        <f t="shared" si="1"/>
        <v>39.024390243902438</v>
      </c>
      <c r="I43" s="112">
        <v>7.5</v>
      </c>
      <c r="J43" s="112">
        <f t="shared" si="2"/>
        <v>36.585365853658537</v>
      </c>
      <c r="L43" s="112">
        <v>5</v>
      </c>
      <c r="M43" s="112">
        <f t="shared" si="3"/>
        <v>24.390243902439025</v>
      </c>
    </row>
    <row r="44" spans="1:13">
      <c r="A44" s="26" t="s">
        <v>253</v>
      </c>
      <c r="C44" s="112">
        <f t="shared" si="0"/>
        <v>24.75</v>
      </c>
      <c r="D44" s="139">
        <f t="shared" si="0"/>
        <v>99.999999999999986</v>
      </c>
      <c r="F44" s="112">
        <v>10.25</v>
      </c>
      <c r="G44" s="112">
        <f t="shared" si="1"/>
        <v>41.414141414141412</v>
      </c>
      <c r="I44" s="112">
        <v>6</v>
      </c>
      <c r="J44" s="112">
        <f t="shared" si="2"/>
        <v>24.242424242424242</v>
      </c>
      <c r="L44" s="112">
        <v>8.5</v>
      </c>
      <c r="M44" s="112">
        <f t="shared" si="3"/>
        <v>34.343434343434339</v>
      </c>
    </row>
    <row r="45" spans="1:13">
      <c r="A45" s="26" t="s">
        <v>254</v>
      </c>
      <c r="C45" s="112">
        <f t="shared" si="0"/>
        <v>23.5</v>
      </c>
      <c r="D45" s="139">
        <f t="shared" si="0"/>
        <v>100</v>
      </c>
      <c r="F45" s="112">
        <v>10</v>
      </c>
      <c r="G45" s="112">
        <f t="shared" si="1"/>
        <v>42.553191489361701</v>
      </c>
      <c r="I45" s="112">
        <v>8</v>
      </c>
      <c r="J45" s="112">
        <f t="shared" si="2"/>
        <v>34.042553191489361</v>
      </c>
      <c r="L45" s="112">
        <v>5.5</v>
      </c>
      <c r="M45" s="112">
        <f t="shared" si="3"/>
        <v>23.404255319148938</v>
      </c>
    </row>
    <row r="46" spans="1:13">
      <c r="A46" s="26" t="s">
        <v>255</v>
      </c>
      <c r="C46" s="112">
        <f t="shared" si="0"/>
        <v>36</v>
      </c>
      <c r="D46" s="139">
        <f t="shared" si="0"/>
        <v>100</v>
      </c>
      <c r="F46" s="112">
        <v>15</v>
      </c>
      <c r="G46" s="112">
        <f t="shared" si="1"/>
        <v>41.666666666666671</v>
      </c>
      <c r="I46" s="112">
        <v>12.5</v>
      </c>
      <c r="J46" s="112">
        <f t="shared" si="2"/>
        <v>34.722222222222221</v>
      </c>
      <c r="L46" s="112">
        <v>8.5</v>
      </c>
      <c r="M46" s="112">
        <f t="shared" si="3"/>
        <v>23.611111111111111</v>
      </c>
    </row>
    <row r="47" spans="1:13">
      <c r="A47" s="26" t="s">
        <v>256</v>
      </c>
      <c r="C47" s="112">
        <f t="shared" si="0"/>
        <v>19.75</v>
      </c>
      <c r="D47" s="139">
        <f t="shared" si="0"/>
        <v>100</v>
      </c>
      <c r="F47" s="112">
        <v>5.75</v>
      </c>
      <c r="G47" s="112">
        <f t="shared" si="1"/>
        <v>29.11392405063291</v>
      </c>
      <c r="I47" s="112">
        <v>9</v>
      </c>
      <c r="J47" s="112">
        <f t="shared" si="2"/>
        <v>45.569620253164558</v>
      </c>
      <c r="L47" s="112">
        <v>5</v>
      </c>
      <c r="M47" s="112">
        <f t="shared" si="3"/>
        <v>25.316455696202532</v>
      </c>
    </row>
    <row r="48" spans="1:13">
      <c r="A48" s="26" t="s">
        <v>257</v>
      </c>
      <c r="C48" s="112">
        <f t="shared" si="0"/>
        <v>33.042000000000002</v>
      </c>
      <c r="D48" s="139">
        <f t="shared" si="0"/>
        <v>99.999999999999986</v>
      </c>
      <c r="F48" s="112">
        <v>17.542000000000002</v>
      </c>
      <c r="G48" s="112">
        <f t="shared" si="1"/>
        <v>53.0900066581926</v>
      </c>
      <c r="I48" s="112">
        <v>4</v>
      </c>
      <c r="J48" s="112">
        <f t="shared" si="2"/>
        <v>12.10580473336965</v>
      </c>
      <c r="L48" s="112">
        <v>11.5</v>
      </c>
      <c r="M48" s="112">
        <f t="shared" si="3"/>
        <v>34.804188608437741</v>
      </c>
    </row>
    <row r="49" spans="1:13">
      <c r="A49" s="26" t="s">
        <v>258</v>
      </c>
      <c r="C49" s="112">
        <f t="shared" si="0"/>
        <v>20.25</v>
      </c>
      <c r="D49" s="139">
        <f t="shared" si="0"/>
        <v>100</v>
      </c>
      <c r="F49" s="112">
        <v>8.25</v>
      </c>
      <c r="G49" s="112">
        <f t="shared" si="1"/>
        <v>40.74074074074074</v>
      </c>
      <c r="I49" s="112">
        <v>6.75</v>
      </c>
      <c r="J49" s="112">
        <f t="shared" si="2"/>
        <v>33.333333333333329</v>
      </c>
      <c r="L49" s="112">
        <v>5.25</v>
      </c>
      <c r="M49" s="112">
        <f t="shared" si="3"/>
        <v>25.925925925925924</v>
      </c>
    </row>
    <row r="50" spans="1:13">
      <c r="A50" s="26" t="s">
        <v>259</v>
      </c>
      <c r="C50" s="112">
        <f t="shared" si="0"/>
        <v>22.88</v>
      </c>
      <c r="D50" s="139">
        <f t="shared" si="0"/>
        <v>100</v>
      </c>
      <c r="F50" s="112">
        <v>12.25</v>
      </c>
      <c r="G50" s="112">
        <f t="shared" si="1"/>
        <v>53.540209790209794</v>
      </c>
      <c r="I50" s="112">
        <v>4.13</v>
      </c>
      <c r="J50" s="112">
        <f t="shared" si="2"/>
        <v>18.050699300699304</v>
      </c>
      <c r="L50" s="112">
        <v>6.5</v>
      </c>
      <c r="M50" s="112">
        <f t="shared" si="3"/>
        <v>28.40909090909091</v>
      </c>
    </row>
    <row r="51" spans="1:13">
      <c r="A51" s="26" t="s">
        <v>260</v>
      </c>
      <c r="C51" s="112">
        <f t="shared" si="0"/>
        <v>39.25</v>
      </c>
      <c r="D51" s="139">
        <f t="shared" si="0"/>
        <v>100.00000000000001</v>
      </c>
      <c r="F51" s="112">
        <v>12</v>
      </c>
      <c r="G51" s="112">
        <f t="shared" si="1"/>
        <v>30.573248407643312</v>
      </c>
      <c r="I51" s="112">
        <v>18.75</v>
      </c>
      <c r="J51" s="112">
        <f t="shared" si="2"/>
        <v>47.770700636942678</v>
      </c>
      <c r="L51" s="112">
        <v>8.5</v>
      </c>
      <c r="M51" s="112">
        <f t="shared" si="3"/>
        <v>21.656050955414013</v>
      </c>
    </row>
    <row r="52" spans="1:13">
      <c r="A52" s="26" t="s">
        <v>261</v>
      </c>
      <c r="C52" s="112">
        <f t="shared" ref="C52:D83" si="4">IF($A52&lt;&gt;0,F52+I52+L52,"")</f>
        <v>29.625</v>
      </c>
      <c r="D52" s="139">
        <f t="shared" si="4"/>
        <v>100</v>
      </c>
      <c r="F52" s="112">
        <v>14.625</v>
      </c>
      <c r="G52" s="112">
        <f t="shared" si="1"/>
        <v>49.367088607594937</v>
      </c>
      <c r="I52" s="112">
        <v>8</v>
      </c>
      <c r="J52" s="112">
        <f t="shared" si="2"/>
        <v>27.004219409282697</v>
      </c>
      <c r="L52" s="112">
        <v>7</v>
      </c>
      <c r="M52" s="112">
        <f t="shared" si="3"/>
        <v>23.628691983122362</v>
      </c>
    </row>
    <row r="53" spans="1:13">
      <c r="A53" s="26" t="s">
        <v>262</v>
      </c>
      <c r="C53" s="112">
        <f t="shared" si="4"/>
        <v>23.5</v>
      </c>
      <c r="D53" s="139">
        <f t="shared" si="4"/>
        <v>100</v>
      </c>
      <c r="F53" s="112">
        <v>8.75</v>
      </c>
      <c r="G53" s="112">
        <f t="shared" si="1"/>
        <v>37.234042553191486</v>
      </c>
      <c r="I53" s="112">
        <v>8.75</v>
      </c>
      <c r="J53" s="112">
        <f t="shared" si="2"/>
        <v>37.234042553191486</v>
      </c>
      <c r="L53" s="112">
        <v>6</v>
      </c>
      <c r="M53" s="112">
        <f t="shared" si="3"/>
        <v>25.531914893617021</v>
      </c>
    </row>
    <row r="54" spans="1:13">
      <c r="A54" s="26" t="s">
        <v>263</v>
      </c>
      <c r="C54" s="112">
        <f t="shared" si="4"/>
        <v>2.5</v>
      </c>
      <c r="D54" s="139">
        <f t="shared" si="4"/>
        <v>100</v>
      </c>
      <c r="F54" s="112">
        <v>1.5</v>
      </c>
      <c r="G54" s="112">
        <f t="shared" si="1"/>
        <v>60</v>
      </c>
      <c r="I54" s="112">
        <v>1</v>
      </c>
      <c r="J54" s="112">
        <f t="shared" si="2"/>
        <v>40</v>
      </c>
      <c r="L54" s="112">
        <v>0</v>
      </c>
      <c r="M54" s="112">
        <f t="shared" si="3"/>
        <v>0</v>
      </c>
    </row>
    <row r="55" spans="1:13">
      <c r="A55" s="26" t="s">
        <v>264</v>
      </c>
      <c r="C55" s="112">
        <f t="shared" si="4"/>
        <v>4</v>
      </c>
      <c r="D55" s="139">
        <f t="shared" si="4"/>
        <v>100</v>
      </c>
      <c r="F55" s="112">
        <v>1</v>
      </c>
      <c r="G55" s="112">
        <f t="shared" si="1"/>
        <v>25</v>
      </c>
      <c r="I55" s="112">
        <v>1</v>
      </c>
      <c r="J55" s="112">
        <f t="shared" si="2"/>
        <v>25</v>
      </c>
      <c r="L55" s="112">
        <v>2</v>
      </c>
      <c r="M55" s="112">
        <f t="shared" si="3"/>
        <v>50</v>
      </c>
    </row>
    <row r="56" spans="1:13">
      <c r="A56" s="26" t="s">
        <v>265</v>
      </c>
      <c r="C56" s="112">
        <f t="shared" si="4"/>
        <v>1.5</v>
      </c>
      <c r="D56" s="139">
        <f t="shared" si="4"/>
        <v>99.999999999999986</v>
      </c>
      <c r="F56" s="112">
        <v>0.5</v>
      </c>
      <c r="G56" s="112">
        <f t="shared" si="1"/>
        <v>33.333333333333329</v>
      </c>
      <c r="I56" s="112">
        <v>0</v>
      </c>
      <c r="J56" s="112">
        <f t="shared" si="2"/>
        <v>0</v>
      </c>
      <c r="L56" s="112">
        <v>1</v>
      </c>
      <c r="M56" s="112">
        <f t="shared" si="3"/>
        <v>66.666666666666657</v>
      </c>
    </row>
    <row r="57" spans="1:13">
      <c r="A57" s="26" t="s">
        <v>266</v>
      </c>
      <c r="C57" s="112">
        <f t="shared" si="4"/>
        <v>2.5</v>
      </c>
      <c r="D57" s="139">
        <f t="shared" si="4"/>
        <v>100</v>
      </c>
      <c r="F57" s="112">
        <v>1.5</v>
      </c>
      <c r="G57" s="112">
        <f t="shared" si="1"/>
        <v>60</v>
      </c>
      <c r="I57" s="112">
        <v>0</v>
      </c>
      <c r="J57" s="112">
        <f t="shared" si="2"/>
        <v>0</v>
      </c>
      <c r="L57" s="112">
        <v>1</v>
      </c>
      <c r="M57" s="112">
        <f t="shared" si="3"/>
        <v>40</v>
      </c>
    </row>
    <row r="58" spans="1:13">
      <c r="A58" s="26" t="s">
        <v>267</v>
      </c>
      <c r="C58" s="112">
        <f t="shared" si="4"/>
        <v>1.5</v>
      </c>
      <c r="D58" s="139">
        <f t="shared" si="4"/>
        <v>99.999999999999986</v>
      </c>
      <c r="F58" s="112">
        <v>0.5</v>
      </c>
      <c r="G58" s="112">
        <f t="shared" si="1"/>
        <v>33.333333333333329</v>
      </c>
      <c r="I58" s="112">
        <v>0</v>
      </c>
      <c r="J58" s="112">
        <f t="shared" si="2"/>
        <v>0</v>
      </c>
      <c r="L58" s="112">
        <v>1</v>
      </c>
      <c r="M58" s="112">
        <f t="shared" si="3"/>
        <v>66.666666666666657</v>
      </c>
    </row>
    <row r="59" spans="1:13">
      <c r="A59" s="26" t="s">
        <v>268</v>
      </c>
      <c r="C59" s="112">
        <f t="shared" si="4"/>
        <v>1.5</v>
      </c>
      <c r="D59" s="139">
        <f t="shared" si="4"/>
        <v>99.999999999999986</v>
      </c>
      <c r="F59" s="112">
        <v>0.5</v>
      </c>
      <c r="G59" s="112">
        <f t="shared" si="1"/>
        <v>33.333333333333329</v>
      </c>
      <c r="I59" s="112">
        <v>0</v>
      </c>
      <c r="J59" s="112">
        <f t="shared" si="2"/>
        <v>0</v>
      </c>
      <c r="L59" s="112">
        <v>1</v>
      </c>
      <c r="M59" s="112">
        <f t="shared" si="3"/>
        <v>66.666666666666657</v>
      </c>
    </row>
    <row r="60" spans="1:13">
      <c r="A60" s="26" t="s">
        <v>269</v>
      </c>
      <c r="C60" s="112">
        <f t="shared" si="4"/>
        <v>5.75</v>
      </c>
      <c r="D60" s="139">
        <f t="shared" si="4"/>
        <v>100</v>
      </c>
      <c r="F60" s="112">
        <v>1.5</v>
      </c>
      <c r="G60" s="112">
        <f t="shared" si="1"/>
        <v>26.086956521739129</v>
      </c>
      <c r="I60" s="112">
        <v>1.75</v>
      </c>
      <c r="J60" s="112">
        <f t="shared" si="2"/>
        <v>30.434782608695656</v>
      </c>
      <c r="L60" s="112">
        <v>2.5</v>
      </c>
      <c r="M60" s="112">
        <f t="shared" si="3"/>
        <v>43.478260869565219</v>
      </c>
    </row>
    <row r="61" spans="1:13">
      <c r="A61" s="26" t="s">
        <v>270</v>
      </c>
      <c r="C61" s="112">
        <f t="shared" si="4"/>
        <v>4.375</v>
      </c>
      <c r="D61" s="139">
        <f t="shared" si="4"/>
        <v>100</v>
      </c>
      <c r="F61" s="112">
        <v>1.375</v>
      </c>
      <c r="G61" s="112">
        <f t="shared" si="1"/>
        <v>31.428571428571427</v>
      </c>
      <c r="I61" s="112">
        <v>0</v>
      </c>
      <c r="J61" s="112">
        <f t="shared" si="2"/>
        <v>0</v>
      </c>
      <c r="L61" s="112">
        <v>3</v>
      </c>
      <c r="M61" s="112">
        <f t="shared" si="3"/>
        <v>68.571428571428569</v>
      </c>
    </row>
    <row r="62" spans="1:13">
      <c r="A62" s="26" t="s">
        <v>271</v>
      </c>
      <c r="C62" s="112">
        <f t="shared" si="4"/>
        <v>8</v>
      </c>
      <c r="D62" s="139">
        <f t="shared" si="4"/>
        <v>100</v>
      </c>
      <c r="F62" s="112">
        <v>3.5</v>
      </c>
      <c r="G62" s="112">
        <f t="shared" si="1"/>
        <v>43.75</v>
      </c>
      <c r="I62" s="112">
        <v>1</v>
      </c>
      <c r="J62" s="112">
        <f t="shared" si="2"/>
        <v>12.5</v>
      </c>
      <c r="L62" s="112">
        <v>3.5</v>
      </c>
      <c r="M62" s="112">
        <f t="shared" si="3"/>
        <v>43.75</v>
      </c>
    </row>
    <row r="63" spans="1:13">
      <c r="A63" s="26" t="s">
        <v>272</v>
      </c>
      <c r="C63" s="112">
        <f t="shared" si="4"/>
        <v>1</v>
      </c>
      <c r="D63" s="139">
        <f t="shared" si="4"/>
        <v>100</v>
      </c>
      <c r="F63" s="112">
        <v>1</v>
      </c>
      <c r="G63" s="112">
        <f t="shared" si="1"/>
        <v>100</v>
      </c>
      <c r="I63" s="112">
        <v>0</v>
      </c>
      <c r="J63" s="112">
        <f t="shared" si="2"/>
        <v>0</v>
      </c>
      <c r="L63" s="112">
        <v>0</v>
      </c>
      <c r="M63" s="112">
        <f t="shared" si="3"/>
        <v>0</v>
      </c>
    </row>
    <row r="64" spans="1:13">
      <c r="A64" s="26" t="s">
        <v>273</v>
      </c>
      <c r="C64" s="112">
        <f t="shared" si="4"/>
        <v>2.5</v>
      </c>
      <c r="D64" s="139">
        <f t="shared" si="4"/>
        <v>100</v>
      </c>
      <c r="F64" s="112">
        <v>0.5</v>
      </c>
      <c r="G64" s="112">
        <f t="shared" si="1"/>
        <v>20</v>
      </c>
      <c r="I64" s="112">
        <v>0</v>
      </c>
      <c r="J64" s="112">
        <f t="shared" si="2"/>
        <v>0</v>
      </c>
      <c r="L64" s="112">
        <v>2</v>
      </c>
      <c r="M64" s="112">
        <f t="shared" si="3"/>
        <v>80</v>
      </c>
    </row>
    <row r="65" spans="1:13">
      <c r="A65" s="26" t="s">
        <v>274</v>
      </c>
      <c r="C65" s="112">
        <f t="shared" si="4"/>
        <v>3.5</v>
      </c>
      <c r="D65" s="139">
        <f t="shared" si="4"/>
        <v>100</v>
      </c>
      <c r="F65" s="112">
        <v>1</v>
      </c>
      <c r="G65" s="112">
        <f t="shared" si="1"/>
        <v>28.571428571428569</v>
      </c>
      <c r="I65" s="112">
        <v>0.5</v>
      </c>
      <c r="J65" s="112">
        <f t="shared" si="2"/>
        <v>14.285714285714285</v>
      </c>
      <c r="L65" s="112">
        <v>2</v>
      </c>
      <c r="M65" s="112">
        <f t="shared" si="3"/>
        <v>57.142857142857139</v>
      </c>
    </row>
    <row r="66" spans="1:13">
      <c r="A66" s="26" t="s">
        <v>275</v>
      </c>
      <c r="C66" s="112">
        <f t="shared" si="4"/>
        <v>3.5</v>
      </c>
      <c r="D66" s="139">
        <f t="shared" si="4"/>
        <v>100</v>
      </c>
      <c r="F66" s="112">
        <v>1</v>
      </c>
      <c r="G66" s="112">
        <f t="shared" si="1"/>
        <v>28.571428571428569</v>
      </c>
      <c r="I66" s="112">
        <v>0</v>
      </c>
      <c r="J66" s="112">
        <f t="shared" si="2"/>
        <v>0</v>
      </c>
      <c r="L66" s="112">
        <v>2.5</v>
      </c>
      <c r="M66" s="112">
        <f t="shared" si="3"/>
        <v>71.428571428571431</v>
      </c>
    </row>
    <row r="67" spans="1:13">
      <c r="A67" s="26" t="s">
        <v>276</v>
      </c>
      <c r="C67" s="112">
        <f t="shared" si="4"/>
        <v>2.5</v>
      </c>
      <c r="D67" s="139">
        <f t="shared" si="4"/>
        <v>100</v>
      </c>
      <c r="F67" s="112">
        <v>1.5</v>
      </c>
      <c r="G67" s="112">
        <f t="shared" si="1"/>
        <v>60</v>
      </c>
      <c r="I67" s="112">
        <v>0</v>
      </c>
      <c r="J67" s="112">
        <f t="shared" si="2"/>
        <v>0</v>
      </c>
      <c r="L67" s="112">
        <v>1</v>
      </c>
      <c r="M67" s="112">
        <f t="shared" si="3"/>
        <v>40</v>
      </c>
    </row>
    <row r="68" spans="1:13">
      <c r="A68" s="26" t="s">
        <v>277</v>
      </c>
      <c r="C68" s="112">
        <f t="shared" si="4"/>
        <v>12</v>
      </c>
      <c r="D68" s="139">
        <f t="shared" si="4"/>
        <v>100</v>
      </c>
      <c r="F68" s="112">
        <v>6</v>
      </c>
      <c r="G68" s="112">
        <f t="shared" si="1"/>
        <v>50</v>
      </c>
      <c r="I68" s="112">
        <v>3</v>
      </c>
      <c r="J68" s="112">
        <f t="shared" si="2"/>
        <v>25</v>
      </c>
      <c r="L68" s="112">
        <v>3</v>
      </c>
      <c r="M68" s="112">
        <f t="shared" si="3"/>
        <v>25</v>
      </c>
    </row>
    <row r="69" spans="1:13">
      <c r="A69" s="26" t="s">
        <v>24</v>
      </c>
      <c r="C69" s="112">
        <f t="shared" si="4"/>
        <v>2.5</v>
      </c>
      <c r="D69" s="139">
        <f t="shared" si="4"/>
        <v>100</v>
      </c>
      <c r="F69" s="112">
        <v>0.5</v>
      </c>
      <c r="G69" s="112">
        <f t="shared" si="1"/>
        <v>20</v>
      </c>
      <c r="I69" s="112">
        <v>0</v>
      </c>
      <c r="J69" s="112">
        <f t="shared" si="2"/>
        <v>0</v>
      </c>
      <c r="L69" s="112">
        <v>2</v>
      </c>
      <c r="M69" s="112">
        <f t="shared" si="3"/>
        <v>80</v>
      </c>
    </row>
    <row r="70" spans="1:13">
      <c r="A70" s="26" t="s">
        <v>278</v>
      </c>
      <c r="C70" s="112">
        <f t="shared" si="4"/>
        <v>3.5</v>
      </c>
      <c r="D70" s="139">
        <f t="shared" si="4"/>
        <v>100</v>
      </c>
      <c r="F70" s="112">
        <v>0.5</v>
      </c>
      <c r="G70" s="112">
        <f t="shared" si="1"/>
        <v>14.285714285714285</v>
      </c>
      <c r="I70" s="112">
        <v>0</v>
      </c>
      <c r="J70" s="112">
        <f t="shared" si="2"/>
        <v>0</v>
      </c>
      <c r="L70" s="112">
        <v>3</v>
      </c>
      <c r="M70" s="112">
        <f t="shared" si="3"/>
        <v>85.714285714285708</v>
      </c>
    </row>
    <row r="71" spans="1:13">
      <c r="A71" s="26" t="s">
        <v>279</v>
      </c>
      <c r="C71" s="112">
        <f t="shared" si="4"/>
        <v>3.5</v>
      </c>
      <c r="D71" s="139">
        <f t="shared" si="4"/>
        <v>99.999999999999986</v>
      </c>
      <c r="F71" s="112">
        <v>0.5</v>
      </c>
      <c r="G71" s="112">
        <f t="shared" si="1"/>
        <v>14.285714285714285</v>
      </c>
      <c r="I71" s="112">
        <v>2</v>
      </c>
      <c r="J71" s="112">
        <f t="shared" si="2"/>
        <v>57.142857142857139</v>
      </c>
      <c r="L71" s="112">
        <v>1</v>
      </c>
      <c r="M71" s="112">
        <f t="shared" si="3"/>
        <v>28.571428571428569</v>
      </c>
    </row>
    <row r="72" spans="1:13">
      <c r="A72" s="26" t="s">
        <v>280</v>
      </c>
      <c r="C72" s="112">
        <f t="shared" si="4"/>
        <v>8.5</v>
      </c>
      <c r="D72" s="139">
        <f t="shared" si="4"/>
        <v>100</v>
      </c>
      <c r="F72" s="112">
        <v>2.5</v>
      </c>
      <c r="G72" s="112">
        <f t="shared" si="1"/>
        <v>29.411764705882355</v>
      </c>
      <c r="I72" s="112">
        <v>0</v>
      </c>
      <c r="J72" s="112">
        <f t="shared" si="2"/>
        <v>0</v>
      </c>
      <c r="L72" s="112">
        <v>6</v>
      </c>
      <c r="M72" s="112">
        <f t="shared" si="3"/>
        <v>70.588235294117652</v>
      </c>
    </row>
    <row r="73" spans="1:13">
      <c r="A73" s="26" t="s">
        <v>281</v>
      </c>
      <c r="C73" s="112">
        <f>IF($A73&lt;&gt;0,F73+I73+L73,"")</f>
        <v>3</v>
      </c>
      <c r="D73" s="139">
        <f>IF($A73&lt;&gt;0,G73+J73+M73,"")</f>
        <v>100</v>
      </c>
      <c r="F73" s="112">
        <v>0.5</v>
      </c>
      <c r="G73" s="112">
        <f>IF($A73&lt;&gt;0,F73/$C73*100,"")</f>
        <v>16.666666666666664</v>
      </c>
      <c r="I73" s="112">
        <v>0</v>
      </c>
      <c r="J73" s="112">
        <f>IF($A73&lt;&gt;0,I73/$C73*100,"")</f>
        <v>0</v>
      </c>
      <c r="L73" s="112">
        <v>2.5</v>
      </c>
      <c r="M73" s="112">
        <f t="shared" si="3"/>
        <v>83.333333333333343</v>
      </c>
    </row>
    <row r="74" spans="1:13">
      <c r="A74" s="26" t="s">
        <v>282</v>
      </c>
      <c r="C74" s="112">
        <f t="shared" si="4"/>
        <v>4.25</v>
      </c>
      <c r="D74" s="139">
        <f t="shared" si="4"/>
        <v>100</v>
      </c>
      <c r="F74" s="112">
        <v>0.75</v>
      </c>
      <c r="G74" s="112">
        <f t="shared" si="1"/>
        <v>17.647058823529413</v>
      </c>
      <c r="I74" s="112">
        <v>0.5</v>
      </c>
      <c r="J74" s="112">
        <f t="shared" si="2"/>
        <v>11.76470588235294</v>
      </c>
      <c r="L74" s="112">
        <v>3</v>
      </c>
      <c r="M74" s="112">
        <f t="shared" si="3"/>
        <v>70.588235294117652</v>
      </c>
    </row>
    <row r="75" spans="1:13">
      <c r="A75" s="26" t="s">
        <v>283</v>
      </c>
      <c r="C75" s="112">
        <f t="shared" si="4"/>
        <v>6.5</v>
      </c>
      <c r="D75" s="139">
        <f t="shared" si="4"/>
        <v>100</v>
      </c>
      <c r="F75" s="112">
        <v>3.5</v>
      </c>
      <c r="G75" s="112">
        <f t="shared" si="1"/>
        <v>53.846153846153847</v>
      </c>
      <c r="I75" s="112">
        <v>0</v>
      </c>
      <c r="J75" s="112">
        <f t="shared" si="2"/>
        <v>0</v>
      </c>
      <c r="L75" s="112">
        <v>3</v>
      </c>
      <c r="M75" s="112">
        <f t="shared" si="3"/>
        <v>46.153846153846153</v>
      </c>
    </row>
    <row r="76" spans="1:13">
      <c r="A76" s="26" t="s">
        <v>284</v>
      </c>
      <c r="C76" s="112">
        <f t="shared" si="4"/>
        <v>3.5</v>
      </c>
      <c r="D76" s="139">
        <f t="shared" si="4"/>
        <v>100</v>
      </c>
      <c r="F76" s="112">
        <v>1.5</v>
      </c>
      <c r="G76" s="112">
        <f t="shared" si="1"/>
        <v>42.857142857142854</v>
      </c>
      <c r="I76" s="112">
        <v>0</v>
      </c>
      <c r="J76" s="112">
        <f t="shared" si="2"/>
        <v>0</v>
      </c>
      <c r="L76" s="112">
        <v>2</v>
      </c>
      <c r="M76" s="112">
        <f t="shared" si="3"/>
        <v>57.142857142857139</v>
      </c>
    </row>
    <row r="77" spans="1:13">
      <c r="A77" s="26" t="s">
        <v>285</v>
      </c>
      <c r="C77" s="112">
        <f t="shared" si="4"/>
        <v>0.5</v>
      </c>
      <c r="D77" s="139">
        <f t="shared" si="4"/>
        <v>100</v>
      </c>
      <c r="F77" s="112">
        <v>0.5</v>
      </c>
      <c r="G77" s="112">
        <f t="shared" si="1"/>
        <v>100</v>
      </c>
      <c r="I77" s="112">
        <v>0</v>
      </c>
      <c r="J77" s="112">
        <f t="shared" si="2"/>
        <v>0</v>
      </c>
      <c r="L77" s="112">
        <v>0</v>
      </c>
      <c r="M77" s="112">
        <f t="shared" si="3"/>
        <v>0</v>
      </c>
    </row>
    <row r="78" spans="1:13">
      <c r="A78" s="26" t="s">
        <v>286</v>
      </c>
      <c r="C78" s="112">
        <f t="shared" si="4"/>
        <v>5.5</v>
      </c>
      <c r="D78" s="139">
        <f t="shared" si="4"/>
        <v>99.999999999999986</v>
      </c>
      <c r="F78" s="112">
        <v>2.5</v>
      </c>
      <c r="G78" s="112">
        <f t="shared" ref="G78:G91" si="5">IF($A78&lt;&gt;0,F78/$C78*100,"")</f>
        <v>45.454545454545453</v>
      </c>
      <c r="I78" s="112">
        <v>1.5</v>
      </c>
      <c r="J78" s="112">
        <f t="shared" ref="J78:J91" si="6">IF($A78&lt;&gt;0,I78/$C78*100,"")</f>
        <v>27.27272727272727</v>
      </c>
      <c r="L78" s="112">
        <v>1.5</v>
      </c>
      <c r="M78" s="112">
        <f t="shared" ref="M78:M91" si="7">IF($A78&lt;&gt;0,L78/$C78*100,"")</f>
        <v>27.27272727272727</v>
      </c>
    </row>
    <row r="79" spans="1:13">
      <c r="A79" s="26" t="s">
        <v>287</v>
      </c>
      <c r="C79" s="112">
        <f>IF($A79&lt;&gt;0,F79+I79+L79,"")</f>
        <v>2</v>
      </c>
      <c r="D79" s="139">
        <f>IF($A79&lt;&gt;0,G79+J79+M79,"")</f>
        <v>100</v>
      </c>
      <c r="F79" s="112">
        <v>1.25</v>
      </c>
      <c r="G79" s="112">
        <f t="shared" si="5"/>
        <v>62.5</v>
      </c>
      <c r="I79" s="112">
        <v>0</v>
      </c>
      <c r="J79" s="112">
        <f t="shared" si="6"/>
        <v>0</v>
      </c>
      <c r="L79" s="112">
        <v>0.75</v>
      </c>
      <c r="M79" s="112">
        <f t="shared" si="7"/>
        <v>37.5</v>
      </c>
    </row>
    <row r="80" spans="1:13">
      <c r="A80" s="26" t="s">
        <v>288</v>
      </c>
      <c r="C80" s="112">
        <f t="shared" si="4"/>
        <v>1.5</v>
      </c>
      <c r="D80" s="139">
        <f t="shared" si="4"/>
        <v>99.999999999999986</v>
      </c>
      <c r="F80" s="112">
        <v>0.5</v>
      </c>
      <c r="G80" s="112">
        <f t="shared" si="5"/>
        <v>33.333333333333329</v>
      </c>
      <c r="I80" s="112">
        <v>0</v>
      </c>
      <c r="J80" s="112">
        <f t="shared" si="6"/>
        <v>0</v>
      </c>
      <c r="L80" s="112">
        <v>1</v>
      </c>
      <c r="M80" s="112">
        <f t="shared" si="7"/>
        <v>66.666666666666657</v>
      </c>
    </row>
    <row r="81" spans="1:13">
      <c r="A81" s="26" t="s">
        <v>289</v>
      </c>
      <c r="C81" s="112">
        <f t="shared" si="4"/>
        <v>0.5</v>
      </c>
      <c r="D81" s="139">
        <f t="shared" si="4"/>
        <v>100</v>
      </c>
      <c r="F81" s="112">
        <v>0.5</v>
      </c>
      <c r="G81" s="112">
        <f t="shared" si="5"/>
        <v>100</v>
      </c>
      <c r="I81" s="112">
        <v>0</v>
      </c>
      <c r="J81" s="112">
        <f t="shared" si="6"/>
        <v>0</v>
      </c>
      <c r="L81" s="112">
        <v>0</v>
      </c>
      <c r="M81" s="112">
        <f t="shared" si="7"/>
        <v>0</v>
      </c>
    </row>
    <row r="82" spans="1:13" ht="6.75" customHeight="1">
      <c r="A82" s="26"/>
      <c r="C82" s="112" t="str">
        <f t="shared" si="4"/>
        <v/>
      </c>
      <c r="D82" s="139" t="str">
        <f t="shared" si="4"/>
        <v/>
      </c>
      <c r="G82" s="112" t="str">
        <f t="shared" si="5"/>
        <v/>
      </c>
      <c r="J82" s="112" t="str">
        <f t="shared" si="6"/>
        <v/>
      </c>
      <c r="L82" s="112" t="s">
        <v>154</v>
      </c>
      <c r="M82" s="112" t="str">
        <f t="shared" si="7"/>
        <v/>
      </c>
    </row>
    <row r="83" spans="1:13">
      <c r="A83" s="111" t="s">
        <v>290</v>
      </c>
      <c r="C83" s="112">
        <f t="shared" si="4"/>
        <v>99.375</v>
      </c>
      <c r="D83" s="139">
        <f t="shared" si="4"/>
        <v>100</v>
      </c>
      <c r="F83" s="112">
        <v>62.875</v>
      </c>
      <c r="G83" s="112">
        <f t="shared" si="5"/>
        <v>63.270440251572325</v>
      </c>
      <c r="I83" s="112">
        <v>0.5</v>
      </c>
      <c r="J83" s="112">
        <f t="shared" si="6"/>
        <v>0.50314465408805031</v>
      </c>
      <c r="L83" s="112">
        <v>36</v>
      </c>
      <c r="M83" s="112">
        <f t="shared" si="7"/>
        <v>36.226415094339622</v>
      </c>
    </row>
    <row r="84" spans="1:13" ht="7" customHeight="1">
      <c r="C84" s="112" t="str">
        <f t="shared" ref="C84:D91" si="8">IF($A84&lt;&gt;0,F84+I84+L84,"")</f>
        <v/>
      </c>
      <c r="D84" s="139" t="str">
        <f t="shared" si="8"/>
        <v/>
      </c>
      <c r="G84" s="112" t="str">
        <f t="shared" si="5"/>
        <v/>
      </c>
      <c r="J84" s="112" t="str">
        <f t="shared" si="6"/>
        <v/>
      </c>
      <c r="L84" s="112" t="s">
        <v>154</v>
      </c>
      <c r="M84" s="112" t="str">
        <f t="shared" si="7"/>
        <v/>
      </c>
    </row>
    <row r="85" spans="1:13">
      <c r="A85" s="17" t="s">
        <v>351</v>
      </c>
      <c r="C85" s="112">
        <f t="shared" si="8"/>
        <v>59.575000000000003</v>
      </c>
      <c r="D85" s="139">
        <f t="shared" si="8"/>
        <v>99.999999999999986</v>
      </c>
      <c r="F85" s="112">
        <f>SUM(F87:F91)</f>
        <v>11.324999999999999</v>
      </c>
      <c r="G85" s="112">
        <f t="shared" si="5"/>
        <v>19.009651699538395</v>
      </c>
      <c r="I85" s="112">
        <f>SUM(I87:I91)</f>
        <v>43.75</v>
      </c>
      <c r="J85" s="112">
        <f t="shared" si="6"/>
        <v>73.436844313890049</v>
      </c>
      <c r="L85" s="112">
        <f>SUM(L87:L91)</f>
        <v>4.5</v>
      </c>
      <c r="M85" s="112">
        <f t="shared" si="7"/>
        <v>7.5535039865715481</v>
      </c>
    </row>
    <row r="86" spans="1:13" ht="7" customHeight="1">
      <c r="C86" s="112" t="str">
        <f t="shared" si="8"/>
        <v/>
      </c>
      <c r="D86" s="139" t="str">
        <f t="shared" si="8"/>
        <v/>
      </c>
      <c r="G86" s="112" t="str">
        <f t="shared" si="5"/>
        <v/>
      </c>
      <c r="J86" s="112" t="str">
        <f t="shared" si="6"/>
        <v/>
      </c>
      <c r="L86" s="112" t="s">
        <v>154</v>
      </c>
      <c r="M86" s="112" t="str">
        <f t="shared" si="7"/>
        <v/>
      </c>
    </row>
    <row r="87" spans="1:13">
      <c r="A87" s="26" t="s">
        <v>354</v>
      </c>
      <c r="C87" s="112">
        <f t="shared" si="8"/>
        <v>30.75</v>
      </c>
      <c r="D87" s="139">
        <f t="shared" si="8"/>
        <v>100</v>
      </c>
      <c r="F87" s="156">
        <v>6</v>
      </c>
      <c r="G87" s="112">
        <f t="shared" si="5"/>
        <v>19.512195121951219</v>
      </c>
      <c r="I87" s="112">
        <v>22.25</v>
      </c>
      <c r="J87" s="112">
        <f t="shared" si="6"/>
        <v>72.357723577235774</v>
      </c>
      <c r="L87" s="112">
        <v>2.5</v>
      </c>
      <c r="M87" s="112">
        <f t="shared" si="7"/>
        <v>8.1300813008130071</v>
      </c>
    </row>
    <row r="88" spans="1:13">
      <c r="A88" s="26" t="s">
        <v>360</v>
      </c>
      <c r="C88" s="112">
        <f t="shared" si="8"/>
        <v>11.824999999999999</v>
      </c>
      <c r="D88" s="139">
        <f t="shared" si="8"/>
        <v>100.00000000000001</v>
      </c>
      <c r="F88" s="112">
        <v>3.8250000000000002</v>
      </c>
      <c r="G88" s="112">
        <f t="shared" si="5"/>
        <v>32.346723044397471</v>
      </c>
      <c r="I88" s="112">
        <v>7</v>
      </c>
      <c r="J88" s="112">
        <f t="shared" si="6"/>
        <v>59.196617336152222</v>
      </c>
      <c r="L88" s="112">
        <v>1</v>
      </c>
      <c r="M88" s="112">
        <f t="shared" si="7"/>
        <v>8.456659619450317</v>
      </c>
    </row>
    <row r="89" spans="1:13" ht="15">
      <c r="A89" s="26" t="s">
        <v>1975</v>
      </c>
      <c r="C89" s="112">
        <f t="shared" si="8"/>
        <v>10</v>
      </c>
      <c r="D89" s="139">
        <f t="shared" si="8"/>
        <v>100</v>
      </c>
      <c r="F89" s="156">
        <v>1.5</v>
      </c>
      <c r="G89" s="112">
        <f t="shared" si="5"/>
        <v>15</v>
      </c>
      <c r="I89" s="112">
        <f>5+3.5</f>
        <v>8.5</v>
      </c>
      <c r="J89" s="112">
        <f t="shared" si="6"/>
        <v>85</v>
      </c>
      <c r="L89" s="112">
        <v>0</v>
      </c>
      <c r="M89" s="112">
        <f t="shared" si="7"/>
        <v>0</v>
      </c>
    </row>
    <row r="90" spans="1:13">
      <c r="A90" s="26" t="s">
        <v>372</v>
      </c>
      <c r="C90" s="112">
        <f t="shared" si="8"/>
        <v>2</v>
      </c>
      <c r="D90" s="139">
        <f t="shared" si="8"/>
        <v>100</v>
      </c>
      <c r="F90" s="112">
        <v>0</v>
      </c>
      <c r="G90" s="112">
        <f t="shared" si="5"/>
        <v>0</v>
      </c>
      <c r="I90" s="112">
        <v>1</v>
      </c>
      <c r="J90" s="112">
        <f t="shared" si="6"/>
        <v>50</v>
      </c>
      <c r="L90" s="112">
        <v>1</v>
      </c>
      <c r="M90" s="112">
        <f t="shared" si="7"/>
        <v>50</v>
      </c>
    </row>
    <row r="91" spans="1:13">
      <c r="A91" s="26" t="s">
        <v>378</v>
      </c>
      <c r="C91" s="112">
        <f t="shared" si="8"/>
        <v>5</v>
      </c>
      <c r="D91" s="139">
        <f t="shared" si="8"/>
        <v>100</v>
      </c>
      <c r="F91" s="112">
        <v>0</v>
      </c>
      <c r="G91" s="112">
        <f t="shared" si="5"/>
        <v>0</v>
      </c>
      <c r="I91" s="112">
        <v>5</v>
      </c>
      <c r="J91" s="112">
        <f t="shared" si="6"/>
        <v>100</v>
      </c>
      <c r="L91" s="112">
        <v>0</v>
      </c>
      <c r="M91" s="112">
        <f t="shared" si="7"/>
        <v>0</v>
      </c>
    </row>
    <row r="92" spans="1:13" ht="7" customHeight="1" thickBot="1">
      <c r="A92" s="124"/>
      <c r="B92" s="102"/>
      <c r="C92" s="136"/>
      <c r="D92" s="124"/>
      <c r="E92" s="124"/>
      <c r="F92" s="136"/>
      <c r="G92" s="136"/>
      <c r="H92" s="136"/>
      <c r="I92" s="136"/>
      <c r="J92" s="136"/>
      <c r="K92" s="136"/>
      <c r="L92" s="136"/>
      <c r="M92" s="136"/>
    </row>
    <row r="93" spans="1:13" ht="7" customHeight="1"/>
    <row r="94" spans="1:13" ht="13.5" customHeight="1">
      <c r="A94" s="27" t="s">
        <v>1841</v>
      </c>
    </row>
    <row r="95" spans="1:13" ht="15">
      <c r="A95" s="27" t="s">
        <v>1976</v>
      </c>
    </row>
    <row r="96" spans="1:13" ht="9.5" customHeight="1">
      <c r="A96" s="27" t="s">
        <v>386</v>
      </c>
    </row>
    <row r="97" spans="1:1" ht="16" customHeight="1">
      <c r="A97" s="14" t="s">
        <v>1842</v>
      </c>
    </row>
    <row r="98" spans="1:1">
      <c r="A98" s="111" t="s">
        <v>387</v>
      </c>
    </row>
    <row r="100" spans="1:1">
      <c r="A100" s="157"/>
    </row>
  </sheetData>
  <mergeCells count="2">
    <mergeCell ref="C7:M7"/>
    <mergeCell ref="C8:D8"/>
  </mergeCells>
  <conditionalFormatting sqref="A65537:XFD1048576 IW1:XFD65536">
    <cfRule type="cellIs" dxfId="57" priority="4" operator="equal">
      <formula>0</formula>
    </cfRule>
  </conditionalFormatting>
  <conditionalFormatting sqref="A12:A14">
    <cfRule type="cellIs" dxfId="56" priority="3" stopIfTrue="1" operator="equal">
      <formula>0</formula>
    </cfRule>
  </conditionalFormatting>
  <conditionalFormatting sqref="A95">
    <cfRule type="cellIs" dxfId="55" priority="2" stopIfTrue="1" operator="equal">
      <formula>0</formula>
    </cfRule>
  </conditionalFormatting>
  <conditionalFormatting sqref="A4">
    <cfRule type="cellIs" dxfId="54" priority="1" stopIfTrue="1" operator="equal">
      <formula>0</formula>
    </cfRule>
  </conditionalFormatting>
  <pageMargins left="0.70866141732283472" right="0.70866141732283472" top="0.74803149606299213" bottom="0.74803149606299213" header="0.31496062992125984" footer="0.31496062992125984"/>
  <pageSetup scale="9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5" tint="-0.249977111117893"/>
  </sheetPr>
  <dimension ref="B2:K4"/>
  <sheetViews>
    <sheetView workbookViewId="0">
      <selection activeCell="J7" sqref="J7"/>
    </sheetView>
  </sheetViews>
  <sheetFormatPr baseColWidth="10" defaultRowHeight="15"/>
  <sheetData>
    <row r="2" spans="2:11" ht="23">
      <c r="J2" s="29"/>
    </row>
    <row r="3" spans="2:11" ht="23">
      <c r="H3" s="30"/>
    </row>
    <row r="4" spans="2:11" ht="23">
      <c r="B4" s="435"/>
      <c r="C4" s="435"/>
      <c r="D4" s="435"/>
      <c r="F4" s="28"/>
      <c r="H4" s="31"/>
      <c r="K4" s="32"/>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S189"/>
  <sheetViews>
    <sheetView workbookViewId="0">
      <selection activeCell="J7" sqref="J7"/>
    </sheetView>
  </sheetViews>
  <sheetFormatPr baseColWidth="10" defaultColWidth="11.5" defaultRowHeight="13"/>
  <cols>
    <col min="1" max="1" width="29.5" style="14" customWidth="1"/>
    <col min="2" max="3" width="7.33203125" style="14" customWidth="1"/>
    <col min="4" max="4" width="3.33203125" style="14" customWidth="1"/>
    <col min="5" max="6" width="7.33203125" style="14" customWidth="1"/>
    <col min="7" max="7" width="3.33203125" style="14" customWidth="1"/>
    <col min="8" max="8" width="7.33203125" style="343" customWidth="1"/>
    <col min="9" max="9" width="7.33203125" style="204" customWidth="1"/>
    <col min="10" max="10" width="3.33203125" style="14" customWidth="1"/>
    <col min="11" max="12" width="7.33203125" style="14" customWidth="1"/>
    <col min="13" max="13" width="3.33203125" style="14" customWidth="1"/>
    <col min="14" max="15" width="7.33203125" style="14" customWidth="1"/>
    <col min="16" max="16" width="2.83203125" style="14" customWidth="1"/>
    <col min="17" max="17" width="8" style="111" customWidth="1"/>
    <col min="18" max="19" width="7.33203125" style="111" customWidth="1"/>
    <col min="20" max="16384" width="11.5" style="95"/>
  </cols>
  <sheetData>
    <row r="1" spans="1:18">
      <c r="A1" s="14" t="s">
        <v>674</v>
      </c>
    </row>
    <row r="2" spans="1:18">
      <c r="A2" s="14" t="s">
        <v>1164</v>
      </c>
      <c r="H2" s="438"/>
      <c r="K2" s="416"/>
      <c r="N2" s="416"/>
      <c r="Q2" s="416"/>
    </row>
    <row r="3" spans="1:18">
      <c r="A3" s="14" t="s">
        <v>1977</v>
      </c>
    </row>
    <row r="4" spans="1:18" ht="14" thickBot="1">
      <c r="E4" s="439"/>
      <c r="F4" s="440"/>
      <c r="G4" s="440"/>
      <c r="H4" s="64"/>
      <c r="I4" s="64"/>
      <c r="J4" s="64"/>
      <c r="K4" s="64"/>
      <c r="L4" s="64"/>
      <c r="M4" s="64"/>
      <c r="O4" s="111"/>
      <c r="P4" s="64"/>
      <c r="Q4" s="14"/>
    </row>
    <row r="5" spans="1:18">
      <c r="A5" s="376"/>
      <c r="B5" s="376"/>
      <c r="C5" s="376"/>
      <c r="D5" s="376"/>
      <c r="E5" s="441"/>
      <c r="F5" s="222"/>
      <c r="G5" s="222"/>
      <c r="H5" s="376"/>
      <c r="I5" s="376"/>
      <c r="J5" s="376"/>
      <c r="K5" s="376"/>
      <c r="L5" s="376"/>
      <c r="M5" s="376"/>
      <c r="N5" s="114"/>
      <c r="O5" s="114"/>
      <c r="P5" s="376"/>
      <c r="Q5" s="114"/>
      <c r="R5" s="114"/>
    </row>
    <row r="6" spans="1:18" ht="15">
      <c r="A6" s="14" t="s">
        <v>147</v>
      </c>
      <c r="B6" s="1034" t="s">
        <v>1165</v>
      </c>
      <c r="C6" s="1034"/>
      <c r="E6" s="1034" t="s">
        <v>1166</v>
      </c>
      <c r="F6" s="1034"/>
      <c r="G6" s="442"/>
      <c r="H6" s="1033" t="s">
        <v>1167</v>
      </c>
      <c r="I6" s="1033"/>
      <c r="J6" s="75"/>
      <c r="K6" s="1033" t="s">
        <v>1168</v>
      </c>
      <c r="L6" s="1033"/>
      <c r="M6" s="75"/>
      <c r="N6" s="1044" t="s">
        <v>1169</v>
      </c>
      <c r="O6" s="1044"/>
      <c r="P6" s="75"/>
      <c r="Q6" s="1044" t="s">
        <v>1170</v>
      </c>
      <c r="R6" s="1044"/>
    </row>
    <row r="7" spans="1:18">
      <c r="A7" s="75" t="s">
        <v>1171</v>
      </c>
      <c r="B7" s="443" t="s">
        <v>1172</v>
      </c>
      <c r="C7" s="224" t="s">
        <v>401</v>
      </c>
      <c r="D7" s="75"/>
      <c r="E7" s="443" t="s">
        <v>1172</v>
      </c>
      <c r="F7" s="224" t="s">
        <v>401</v>
      </c>
      <c r="G7" s="444"/>
      <c r="H7" s="445" t="s">
        <v>1172</v>
      </c>
      <c r="I7" s="446" t="s">
        <v>401</v>
      </c>
      <c r="J7" s="249"/>
      <c r="K7" s="445" t="s">
        <v>1172</v>
      </c>
      <c r="L7" s="446" t="s">
        <v>401</v>
      </c>
      <c r="M7" s="249"/>
      <c r="N7" s="445" t="s">
        <v>1172</v>
      </c>
      <c r="O7" s="446" t="s">
        <v>401</v>
      </c>
      <c r="P7" s="249"/>
      <c r="Q7" s="445" t="s">
        <v>1172</v>
      </c>
      <c r="R7" s="446" t="s">
        <v>401</v>
      </c>
    </row>
    <row r="8" spans="1:18" ht="14" thickBot="1">
      <c r="A8" s="285"/>
      <c r="B8" s="285"/>
      <c r="C8" s="285"/>
      <c r="D8" s="285"/>
      <c r="E8" s="447"/>
      <c r="F8" s="448"/>
      <c r="G8" s="448"/>
      <c r="H8" s="449"/>
      <c r="I8" s="449"/>
      <c r="J8" s="449"/>
      <c r="K8" s="449"/>
      <c r="L8" s="449"/>
      <c r="M8" s="449"/>
      <c r="N8" s="449"/>
      <c r="O8" s="449"/>
      <c r="P8" s="449"/>
      <c r="Q8" s="449"/>
      <c r="R8" s="450"/>
    </row>
    <row r="9" spans="1:18">
      <c r="E9" s="437"/>
      <c r="F9" s="451"/>
      <c r="G9" s="452"/>
      <c r="H9" s="17"/>
      <c r="I9" s="17"/>
      <c r="J9" s="17"/>
      <c r="K9" s="17"/>
      <c r="L9" s="17"/>
      <c r="M9" s="17"/>
      <c r="N9" s="17"/>
      <c r="O9" s="17"/>
      <c r="P9" s="17"/>
      <c r="Q9" s="17"/>
    </row>
    <row r="10" spans="1:18">
      <c r="A10" s="17" t="s">
        <v>402</v>
      </c>
      <c r="B10" s="453">
        <f>SUM(B12+B169)</f>
        <v>1865</v>
      </c>
      <c r="C10" s="204">
        <f>SUM(C12+C169)</f>
        <v>100</v>
      </c>
      <c r="D10" s="17"/>
      <c r="E10" s="242">
        <f>SUM(E12+E169)</f>
        <v>506</v>
      </c>
      <c r="F10" s="204">
        <f>SUM(F12+F169)</f>
        <v>100</v>
      </c>
      <c r="G10" s="204"/>
      <c r="H10" s="242">
        <f>SUM(H12+H169)</f>
        <v>34</v>
      </c>
      <c r="I10" s="204">
        <f>SUM(I12+I169)</f>
        <v>100</v>
      </c>
      <c r="K10" s="242">
        <f>SUM(K12+K169)</f>
        <v>471</v>
      </c>
      <c r="L10" s="204">
        <f>SUM(L12+L169)</f>
        <v>100</v>
      </c>
      <c r="N10" s="242">
        <f>SUM(N12+N169)</f>
        <v>602</v>
      </c>
      <c r="O10" s="204">
        <f>SUM(O12+O169)</f>
        <v>100</v>
      </c>
      <c r="Q10" s="242">
        <f>SUM(Q12+Q169)</f>
        <v>25</v>
      </c>
      <c r="R10" s="204">
        <f>SUM(R12+R169)</f>
        <v>100</v>
      </c>
    </row>
    <row r="11" spans="1:18">
      <c r="B11" s="453"/>
      <c r="C11" s="204"/>
      <c r="E11" s="242"/>
      <c r="F11" s="204"/>
      <c r="G11" s="204"/>
      <c r="H11" s="242"/>
      <c r="K11" s="242"/>
      <c r="L11" s="204" t="str">
        <f t="shared" ref="L11:L74" si="0">IF(A11&lt;&gt;0,K11/$K$10*100,"")</f>
        <v/>
      </c>
      <c r="N11" s="242"/>
      <c r="O11" s="204"/>
      <c r="Q11" s="242"/>
      <c r="R11" s="204" t="str">
        <f t="shared" ref="R11:R36" si="1">IF(A11&lt;&gt;0,Q11/$Q$10*100,"")</f>
        <v/>
      </c>
    </row>
    <row r="12" spans="1:18">
      <c r="A12" s="17" t="s">
        <v>403</v>
      </c>
      <c r="B12" s="453">
        <f>SUM(B13+B103+B166)</f>
        <v>1759</v>
      </c>
      <c r="C12" s="204">
        <f>IF($A12&lt;&gt;0,B12/B$10*100,"")</f>
        <v>94.316353887399458</v>
      </c>
      <c r="D12" s="17"/>
      <c r="E12" s="343">
        <f>SUM(E13+E103+E166)</f>
        <v>467</v>
      </c>
      <c r="F12" s="204">
        <f>IF($A12&lt;&gt;0,E12/E$10*100,"")</f>
        <v>92.292490118577078</v>
      </c>
      <c r="G12" s="204"/>
      <c r="H12" s="242">
        <f>SUM(H13+H103+H166)</f>
        <v>33</v>
      </c>
      <c r="I12" s="204">
        <f>IF($A12&lt;&gt;0,H12/H$10*100,"")</f>
        <v>97.058823529411768</v>
      </c>
      <c r="K12" s="242">
        <f>SUM(K13+K103+K166)</f>
        <v>438</v>
      </c>
      <c r="L12" s="204">
        <f t="shared" si="0"/>
        <v>92.99363057324841</v>
      </c>
      <c r="N12" s="242">
        <f>SUM(N13+N103+N166)</f>
        <v>578</v>
      </c>
      <c r="O12" s="204">
        <f>IF($A12&lt;&gt;0,N12/N$10*100,"")</f>
        <v>96.013289036544847</v>
      </c>
      <c r="Q12" s="343">
        <f>SUM(Q13+Q103+Q166)</f>
        <v>25</v>
      </c>
      <c r="R12" s="204">
        <f t="shared" si="1"/>
        <v>100</v>
      </c>
    </row>
    <row r="13" spans="1:18" s="111" customFormat="1">
      <c r="A13" s="17" t="s">
        <v>1173</v>
      </c>
      <c r="B13" s="453">
        <f>SUM(B15+B27+B35+B63+B77+B91+B99+B100+B101)</f>
        <v>444</v>
      </c>
      <c r="C13" s="204">
        <f>IF($A13&lt;&gt;0,B13/B$10*100,"")</f>
        <v>23.806970509383376</v>
      </c>
      <c r="D13" s="17"/>
      <c r="E13" s="343">
        <f>SUM(E15+E27+E35+E63+E77+E91+E99+E100+E101)</f>
        <v>131</v>
      </c>
      <c r="F13" s="204">
        <f>IF($A13&lt;&gt;0,E13/E$10*100,"")</f>
        <v>25.889328063241106</v>
      </c>
      <c r="G13" s="204"/>
      <c r="H13" s="343">
        <f>SUM(H15+H27+H35+H63+H77+H91+H99+H100+H101)</f>
        <v>11</v>
      </c>
      <c r="I13" s="204">
        <f>IF($A13&lt;&gt;0,H13/H$10*100,"")</f>
        <v>32.352941176470587</v>
      </c>
      <c r="J13" s="14"/>
      <c r="K13" s="343">
        <f>SUM(K15+K27+K35+K63+K77+K91+K99+K100+K101)</f>
        <v>87</v>
      </c>
      <c r="L13" s="204">
        <f t="shared" si="0"/>
        <v>18.471337579617835</v>
      </c>
      <c r="M13" s="14"/>
      <c r="N13" s="343">
        <f>SUM(N15+N27+N35+N63+N77+N91+N99+N100+N101)</f>
        <v>137</v>
      </c>
      <c r="O13" s="204">
        <f>IF($A13&lt;&gt;0,N13/N$10*100,"")</f>
        <v>22.757475083056477</v>
      </c>
      <c r="P13" s="14"/>
      <c r="Q13" s="343">
        <f>SUM(Q15+Q27+Q35+Q63+Q77+Q91+Q99+Q100+Q101)</f>
        <v>8</v>
      </c>
      <c r="R13" s="204">
        <f t="shared" si="1"/>
        <v>32</v>
      </c>
    </row>
    <row r="14" spans="1:18" s="111" customFormat="1">
      <c r="A14" s="14"/>
      <c r="B14" s="453"/>
      <c r="C14" s="204" t="str">
        <f t="shared" ref="C14:C77" si="2">IF($A14&lt;&gt;0,B14/B$10*100,"")</f>
        <v/>
      </c>
      <c r="D14" s="14"/>
      <c r="E14" s="242"/>
      <c r="F14" s="204" t="str">
        <f>IF($A14&lt;&gt;0,E14/E$10*100,"")</f>
        <v/>
      </c>
      <c r="G14" s="204"/>
      <c r="H14" s="14"/>
      <c r="I14" s="204" t="str">
        <f t="shared" ref="I14:I77" si="3">IF($A14&lt;&gt;0,H14/H$10*100,"")</f>
        <v/>
      </c>
      <c r="J14" s="14"/>
      <c r="K14" s="14"/>
      <c r="L14" s="204" t="str">
        <f t="shared" si="0"/>
        <v/>
      </c>
      <c r="M14" s="14"/>
      <c r="O14" s="204" t="str">
        <f t="shared" ref="O14:O77" si="4">IF($A14&lt;&gt;0,N14/N$10*100,"")</f>
        <v/>
      </c>
      <c r="P14" s="14"/>
      <c r="R14" s="204" t="str">
        <f t="shared" si="1"/>
        <v/>
      </c>
    </row>
    <row r="15" spans="1:18" s="111" customFormat="1">
      <c r="A15" s="17" t="s">
        <v>404</v>
      </c>
      <c r="B15" s="453">
        <f>SUM(B16+B22)</f>
        <v>28</v>
      </c>
      <c r="C15" s="204">
        <f t="shared" si="2"/>
        <v>1.5013404825737267</v>
      </c>
      <c r="D15" s="17"/>
      <c r="E15" s="242">
        <f>SUM(E16+E22)</f>
        <v>8</v>
      </c>
      <c r="F15" s="204">
        <f>IF($A15&lt;&gt;0,E15/E$10*100,"")</f>
        <v>1.5810276679841897</v>
      </c>
      <c r="G15" s="204"/>
      <c r="H15" s="14">
        <f>SUM(H16+H22)</f>
        <v>2</v>
      </c>
      <c r="I15" s="204">
        <f t="shared" si="3"/>
        <v>5.8823529411764701</v>
      </c>
      <c r="J15" s="14"/>
      <c r="K15" s="14">
        <f>SUM(K16+K22)</f>
        <v>10</v>
      </c>
      <c r="L15" s="204">
        <f t="shared" si="0"/>
        <v>2.1231422505307855</v>
      </c>
      <c r="M15" s="14"/>
      <c r="N15" s="14">
        <f>SUM(N16+N22)</f>
        <v>9</v>
      </c>
      <c r="O15" s="204">
        <f t="shared" si="4"/>
        <v>1.4950166112956811</v>
      </c>
      <c r="P15" s="14"/>
      <c r="Q15" s="14">
        <f>SUM(Q16+Q22)</f>
        <v>3</v>
      </c>
      <c r="R15" s="204">
        <f t="shared" si="1"/>
        <v>12</v>
      </c>
    </row>
    <row r="16" spans="1:18" s="111" customFormat="1">
      <c r="A16" s="14" t="s">
        <v>162</v>
      </c>
      <c r="B16" s="453">
        <f>SUM(B17:B20)</f>
        <v>2</v>
      </c>
      <c r="C16" s="204">
        <f t="shared" si="2"/>
        <v>0.10723860589812334</v>
      </c>
      <c r="D16" s="14"/>
      <c r="E16" s="242">
        <f>SUM(E17:E20)</f>
        <v>0</v>
      </c>
      <c r="F16" s="204">
        <f t="shared" ref="F16:F79" si="5">IF($A16&lt;&gt;0,E16/E$10*100,"")</f>
        <v>0</v>
      </c>
      <c r="G16" s="204"/>
      <c r="H16" s="242">
        <f>SUM(H17:H20)</f>
        <v>1</v>
      </c>
      <c r="I16" s="204">
        <f t="shared" si="3"/>
        <v>2.9411764705882351</v>
      </c>
      <c r="J16" s="14"/>
      <c r="K16" s="242">
        <f>SUM(K17:K20)</f>
        <v>1</v>
      </c>
      <c r="L16" s="204">
        <f t="shared" si="0"/>
        <v>0.21231422505307856</v>
      </c>
      <c r="M16" s="14"/>
      <c r="N16" s="242">
        <f>SUM(N17:N20)</f>
        <v>2</v>
      </c>
      <c r="O16" s="204">
        <f t="shared" si="4"/>
        <v>0.33222591362126247</v>
      </c>
      <c r="P16" s="14"/>
      <c r="Q16" s="242">
        <f>SUM(Q17:Q20)</f>
        <v>0</v>
      </c>
      <c r="R16" s="204">
        <f t="shared" si="1"/>
        <v>0</v>
      </c>
    </row>
    <row r="17" spans="1:18" s="111" customFormat="1" hidden="1">
      <c r="A17" s="14" t="s">
        <v>1174</v>
      </c>
      <c r="B17" s="121"/>
      <c r="C17" s="204">
        <f t="shared" si="2"/>
        <v>0</v>
      </c>
      <c r="D17" s="121"/>
      <c r="E17" s="121"/>
      <c r="F17" s="204">
        <f t="shared" si="5"/>
        <v>0</v>
      </c>
      <c r="G17" s="121"/>
      <c r="H17" s="121"/>
      <c r="I17" s="204">
        <f t="shared" si="3"/>
        <v>0</v>
      </c>
      <c r="J17" s="121"/>
      <c r="K17" s="121"/>
      <c r="L17" s="204">
        <f t="shared" si="0"/>
        <v>0</v>
      </c>
      <c r="M17" s="121"/>
      <c r="N17" s="121"/>
      <c r="O17" s="204">
        <f t="shared" si="4"/>
        <v>0</v>
      </c>
      <c r="P17" s="121"/>
      <c r="Q17" s="121"/>
      <c r="R17" s="204">
        <f t="shared" si="1"/>
        <v>0</v>
      </c>
    </row>
    <row r="18" spans="1:18" s="111" customFormat="1">
      <c r="A18" s="14" t="s">
        <v>164</v>
      </c>
      <c r="B18" s="856">
        <v>2</v>
      </c>
      <c r="C18" s="204">
        <f t="shared" si="2"/>
        <v>0.10723860589812334</v>
      </c>
      <c r="D18" s="856"/>
      <c r="E18" s="856"/>
      <c r="F18" s="204">
        <f t="shared" si="5"/>
        <v>0</v>
      </c>
      <c r="G18" s="856"/>
      <c r="H18" s="856">
        <v>1</v>
      </c>
      <c r="I18" s="204">
        <f t="shared" si="3"/>
        <v>2.9411764705882351</v>
      </c>
      <c r="J18" s="856"/>
      <c r="K18" s="856">
        <v>1</v>
      </c>
      <c r="L18" s="204">
        <f t="shared" si="0"/>
        <v>0.21231422505307856</v>
      </c>
      <c r="M18" s="856"/>
      <c r="N18" s="856">
        <v>2</v>
      </c>
      <c r="O18" s="204">
        <f t="shared" si="4"/>
        <v>0.33222591362126247</v>
      </c>
      <c r="P18" s="856"/>
      <c r="Q18" s="856"/>
      <c r="R18" s="204">
        <f t="shared" si="1"/>
        <v>0</v>
      </c>
    </row>
    <row r="19" spans="1:18" s="111" customFormat="1" hidden="1">
      <c r="A19" s="14" t="s">
        <v>163</v>
      </c>
      <c r="B19" s="121"/>
      <c r="C19" s="204">
        <f t="shared" si="2"/>
        <v>0</v>
      </c>
      <c r="D19" s="121"/>
      <c r="E19" s="121"/>
      <c r="F19" s="204">
        <f t="shared" si="5"/>
        <v>0</v>
      </c>
      <c r="G19" s="121"/>
      <c r="H19" s="121"/>
      <c r="I19" s="204">
        <f t="shared" si="3"/>
        <v>0</v>
      </c>
      <c r="J19" s="121"/>
      <c r="K19" s="121"/>
      <c r="L19" s="204">
        <f t="shared" si="0"/>
        <v>0</v>
      </c>
      <c r="M19" s="121"/>
      <c r="N19" s="121"/>
      <c r="O19" s="204">
        <f t="shared" si="4"/>
        <v>0</v>
      </c>
      <c r="P19" s="121"/>
      <c r="Q19" s="121"/>
      <c r="R19" s="204">
        <f t="shared" si="1"/>
        <v>0</v>
      </c>
    </row>
    <row r="20" spans="1:18" s="111" customFormat="1" hidden="1">
      <c r="A20" s="14" t="s">
        <v>165</v>
      </c>
      <c r="B20" s="75"/>
      <c r="C20" s="204">
        <f t="shared" si="2"/>
        <v>0</v>
      </c>
      <c r="D20" s="75"/>
      <c r="E20" s="75"/>
      <c r="F20" s="204">
        <f t="shared" si="5"/>
        <v>0</v>
      </c>
      <c r="G20" s="75"/>
      <c r="H20" s="75"/>
      <c r="I20" s="204">
        <f t="shared" si="3"/>
        <v>0</v>
      </c>
      <c r="J20" s="75"/>
      <c r="K20" s="75"/>
      <c r="L20" s="204">
        <f t="shared" si="0"/>
        <v>0</v>
      </c>
      <c r="M20" s="75"/>
      <c r="N20" s="75"/>
      <c r="O20" s="204">
        <f t="shared" si="4"/>
        <v>0</v>
      </c>
      <c r="P20" s="75"/>
      <c r="Q20" s="75"/>
      <c r="R20" s="204">
        <f t="shared" si="1"/>
        <v>0</v>
      </c>
    </row>
    <row r="21" spans="1:18" s="111" customFormat="1">
      <c r="A21" s="14"/>
      <c r="B21" s="453"/>
      <c r="C21" s="204" t="str">
        <f t="shared" si="2"/>
        <v/>
      </c>
      <c r="D21" s="14"/>
      <c r="E21" s="242"/>
      <c r="F21" s="204" t="str">
        <f t="shared" si="5"/>
        <v/>
      </c>
      <c r="G21" s="204"/>
      <c r="H21" s="14"/>
      <c r="I21" s="204" t="str">
        <f t="shared" si="3"/>
        <v/>
      </c>
      <c r="J21" s="14"/>
      <c r="K21" s="14"/>
      <c r="L21" s="204" t="str">
        <f t="shared" si="0"/>
        <v/>
      </c>
      <c r="M21" s="14"/>
      <c r="N21" s="14"/>
      <c r="O21" s="204" t="str">
        <f t="shared" si="4"/>
        <v/>
      </c>
      <c r="P21" s="14"/>
      <c r="Q21" s="242"/>
      <c r="R21" s="204" t="str">
        <f t="shared" si="1"/>
        <v/>
      </c>
    </row>
    <row r="22" spans="1:18" s="111" customFormat="1">
      <c r="A22" s="14" t="s">
        <v>166</v>
      </c>
      <c r="B22" s="453">
        <f>SUM(B23:B25)</f>
        <v>26</v>
      </c>
      <c r="C22" s="204">
        <f t="shared" si="2"/>
        <v>1.394101876675603</v>
      </c>
      <c r="D22" s="14"/>
      <c r="E22" s="343">
        <f>SUM(E23:E25)</f>
        <v>8</v>
      </c>
      <c r="F22" s="204">
        <f t="shared" si="5"/>
        <v>1.5810276679841897</v>
      </c>
      <c r="G22" s="204"/>
      <c r="H22" s="343">
        <f>SUM(H23:H25)</f>
        <v>1</v>
      </c>
      <c r="I22" s="204">
        <f t="shared" si="3"/>
        <v>2.9411764705882351</v>
      </c>
      <c r="J22" s="14"/>
      <c r="K22" s="343">
        <f>SUM(K23:K25)</f>
        <v>9</v>
      </c>
      <c r="L22" s="204">
        <f t="shared" si="0"/>
        <v>1.910828025477707</v>
      </c>
      <c r="M22" s="14"/>
      <c r="N22" s="343">
        <f>SUM(N23:N25)</f>
        <v>7</v>
      </c>
      <c r="O22" s="204">
        <f t="shared" si="4"/>
        <v>1.1627906976744187</v>
      </c>
      <c r="P22" s="14"/>
      <c r="Q22" s="242">
        <f>SUM(Q23:Q25)</f>
        <v>3</v>
      </c>
      <c r="R22" s="204">
        <f t="shared" si="1"/>
        <v>12</v>
      </c>
    </row>
    <row r="23" spans="1:18" s="111" customFormat="1">
      <c r="A23" s="14" t="s">
        <v>167</v>
      </c>
      <c r="B23" s="856">
        <v>14</v>
      </c>
      <c r="C23" s="204">
        <f t="shared" si="2"/>
        <v>0.75067024128686333</v>
      </c>
      <c r="D23" s="856"/>
      <c r="E23" s="856">
        <v>4</v>
      </c>
      <c r="F23" s="204">
        <f t="shared" si="5"/>
        <v>0.79051383399209485</v>
      </c>
      <c r="G23" s="856"/>
      <c r="H23" s="856">
        <v>0</v>
      </c>
      <c r="I23" s="204">
        <f t="shared" si="3"/>
        <v>0</v>
      </c>
      <c r="J23" s="856"/>
      <c r="K23" s="856">
        <v>5</v>
      </c>
      <c r="L23" s="204">
        <f t="shared" si="0"/>
        <v>1.0615711252653928</v>
      </c>
      <c r="M23" s="856"/>
      <c r="N23" s="856">
        <v>3</v>
      </c>
      <c r="O23" s="204">
        <f t="shared" si="4"/>
        <v>0.49833887043189368</v>
      </c>
      <c r="P23" s="856"/>
      <c r="Q23" s="856">
        <v>2</v>
      </c>
      <c r="R23" s="204">
        <f t="shared" si="1"/>
        <v>8</v>
      </c>
    </row>
    <row r="24" spans="1:18" s="111" customFormat="1" hidden="1">
      <c r="A24" s="14" t="s">
        <v>168</v>
      </c>
      <c r="B24" s="857"/>
      <c r="C24" s="204">
        <f t="shared" si="2"/>
        <v>0</v>
      </c>
      <c r="D24" s="857"/>
      <c r="E24" s="856"/>
      <c r="F24" s="204">
        <f t="shared" si="5"/>
        <v>0</v>
      </c>
      <c r="G24" s="856"/>
      <c r="H24" s="95"/>
      <c r="I24" s="204">
        <f t="shared" si="3"/>
        <v>0</v>
      </c>
      <c r="J24" s="95"/>
      <c r="K24" s="95"/>
      <c r="L24" s="204">
        <f t="shared" si="0"/>
        <v>0</v>
      </c>
      <c r="M24" s="95"/>
      <c r="N24" s="95"/>
      <c r="O24" s="204">
        <f t="shared" si="4"/>
        <v>0</v>
      </c>
      <c r="P24" s="95"/>
      <c r="Q24" s="95"/>
      <c r="R24" s="204">
        <f t="shared" si="1"/>
        <v>0</v>
      </c>
    </row>
    <row r="25" spans="1:18" s="111" customFormat="1">
      <c r="A25" s="14" t="s">
        <v>169</v>
      </c>
      <c r="B25" s="856">
        <v>12</v>
      </c>
      <c r="C25" s="204">
        <f t="shared" si="2"/>
        <v>0.64343163538873993</v>
      </c>
      <c r="D25" s="856"/>
      <c r="E25" s="856">
        <v>4</v>
      </c>
      <c r="F25" s="204">
        <f t="shared" si="5"/>
        <v>0.79051383399209485</v>
      </c>
      <c r="G25" s="856"/>
      <c r="H25" s="856">
        <v>1</v>
      </c>
      <c r="I25" s="204">
        <f t="shared" si="3"/>
        <v>2.9411764705882351</v>
      </c>
      <c r="J25" s="856"/>
      <c r="K25" s="856">
        <v>4</v>
      </c>
      <c r="L25" s="204">
        <f t="shared" si="0"/>
        <v>0.84925690021231426</v>
      </c>
      <c r="M25" s="856"/>
      <c r="N25" s="856">
        <v>4</v>
      </c>
      <c r="O25" s="204">
        <f t="shared" si="4"/>
        <v>0.66445182724252494</v>
      </c>
      <c r="P25" s="856"/>
      <c r="Q25" s="856">
        <v>1</v>
      </c>
      <c r="R25" s="204">
        <f t="shared" si="1"/>
        <v>4</v>
      </c>
    </row>
    <row r="26" spans="1:18" s="111" customFormat="1">
      <c r="A26" s="14"/>
      <c r="B26" s="453"/>
      <c r="C26" s="204" t="str">
        <f t="shared" si="2"/>
        <v/>
      </c>
      <c r="D26" s="14"/>
      <c r="E26" s="242"/>
      <c r="F26" s="204" t="str">
        <f t="shared" si="5"/>
        <v/>
      </c>
      <c r="G26" s="204"/>
      <c r="H26" s="14"/>
      <c r="I26" s="204" t="str">
        <f t="shared" si="3"/>
        <v/>
      </c>
      <c r="J26" s="14"/>
      <c r="K26" s="14"/>
      <c r="L26" s="204" t="str">
        <f t="shared" si="0"/>
        <v/>
      </c>
      <c r="M26" s="14"/>
      <c r="O26" s="204" t="str">
        <f t="shared" si="4"/>
        <v/>
      </c>
      <c r="P26" s="14"/>
      <c r="Q26" s="242"/>
      <c r="R26" s="204" t="str">
        <f t="shared" si="1"/>
        <v/>
      </c>
    </row>
    <row r="27" spans="1:18" s="111" customFormat="1">
      <c r="A27" s="17" t="s">
        <v>464</v>
      </c>
      <c r="B27" s="453">
        <f>SUM(B28)</f>
        <v>95</v>
      </c>
      <c r="C27" s="204">
        <f t="shared" si="2"/>
        <v>5.0938337801608577</v>
      </c>
      <c r="D27" s="17"/>
      <c r="E27" s="242">
        <f>SUM(E28)</f>
        <v>28</v>
      </c>
      <c r="F27" s="204">
        <f t="shared" si="5"/>
        <v>5.5335968379446641</v>
      </c>
      <c r="G27" s="204"/>
      <c r="H27" s="455">
        <f>SUM(H28)</f>
        <v>1</v>
      </c>
      <c r="I27" s="204">
        <f t="shared" si="3"/>
        <v>2.9411764705882351</v>
      </c>
      <c r="J27" s="14"/>
      <c r="K27" s="14">
        <f>SUM(K28)</f>
        <v>13</v>
      </c>
      <c r="L27" s="204">
        <f t="shared" si="0"/>
        <v>2.7600849256900215</v>
      </c>
      <c r="M27" s="14"/>
      <c r="N27" s="14">
        <f>SUM(N28)</f>
        <v>30</v>
      </c>
      <c r="O27" s="204">
        <f t="shared" si="4"/>
        <v>4.9833887043189371</v>
      </c>
      <c r="P27" s="14"/>
      <c r="Q27" s="14">
        <f>SUM(Q28)</f>
        <v>1</v>
      </c>
      <c r="R27" s="204">
        <f t="shared" si="1"/>
        <v>4</v>
      </c>
    </row>
    <row r="28" spans="1:18" s="111" customFormat="1">
      <c r="A28" s="14" t="s">
        <v>171</v>
      </c>
      <c r="B28" s="453">
        <f>SUM(B29:B33)</f>
        <v>95</v>
      </c>
      <c r="C28" s="204">
        <f t="shared" si="2"/>
        <v>5.0938337801608577</v>
      </c>
      <c r="D28" s="14"/>
      <c r="E28" s="242">
        <f>SUM(E29:E33)</f>
        <v>28</v>
      </c>
      <c r="F28" s="204">
        <f t="shared" si="5"/>
        <v>5.5335968379446641</v>
      </c>
      <c r="G28" s="204"/>
      <c r="H28" s="14">
        <f>SUM(H29:H33)</f>
        <v>1</v>
      </c>
      <c r="I28" s="204">
        <f t="shared" si="3"/>
        <v>2.9411764705882351</v>
      </c>
      <c r="J28" s="14"/>
      <c r="K28" s="14">
        <f>SUM(K29:K33)</f>
        <v>13</v>
      </c>
      <c r="L28" s="204">
        <f t="shared" si="0"/>
        <v>2.7600849256900215</v>
      </c>
      <c r="M28" s="14"/>
      <c r="N28" s="14">
        <f>SUM(N29:N33)</f>
        <v>30</v>
      </c>
      <c r="O28" s="204">
        <f t="shared" si="4"/>
        <v>4.9833887043189371</v>
      </c>
      <c r="P28" s="14"/>
      <c r="Q28" s="242">
        <f>SUM(Q29:Q33)</f>
        <v>1</v>
      </c>
      <c r="R28" s="204">
        <f t="shared" si="1"/>
        <v>4</v>
      </c>
    </row>
    <row r="29" spans="1:18" s="111" customFormat="1">
      <c r="A29" s="14" t="s">
        <v>172</v>
      </c>
      <c r="B29" s="856">
        <v>56</v>
      </c>
      <c r="C29" s="204">
        <f t="shared" si="2"/>
        <v>3.0026809651474533</v>
      </c>
      <c r="D29" s="856"/>
      <c r="E29" s="856">
        <v>17</v>
      </c>
      <c r="F29" s="204">
        <f t="shared" si="5"/>
        <v>3.3596837944664033</v>
      </c>
      <c r="G29" s="856"/>
      <c r="H29" s="856">
        <v>1</v>
      </c>
      <c r="I29" s="204">
        <f t="shared" si="3"/>
        <v>2.9411764705882351</v>
      </c>
      <c r="J29" s="856"/>
      <c r="K29" s="856">
        <v>5</v>
      </c>
      <c r="L29" s="204">
        <f t="shared" si="0"/>
        <v>1.0615711252653928</v>
      </c>
      <c r="M29" s="856"/>
      <c r="N29" s="856">
        <v>17</v>
      </c>
      <c r="O29" s="204">
        <f t="shared" si="4"/>
        <v>2.823920265780731</v>
      </c>
      <c r="P29" s="856"/>
      <c r="Q29" s="856">
        <v>1</v>
      </c>
      <c r="R29" s="204">
        <f t="shared" si="1"/>
        <v>4</v>
      </c>
    </row>
    <row r="30" spans="1:18" s="111" customFormat="1">
      <c r="A30" s="14" t="s">
        <v>173</v>
      </c>
      <c r="B30" s="856">
        <v>4</v>
      </c>
      <c r="C30" s="204">
        <f t="shared" si="2"/>
        <v>0.21447721179624668</v>
      </c>
      <c r="D30" s="856"/>
      <c r="E30" s="856"/>
      <c r="F30" s="204">
        <f t="shared" si="5"/>
        <v>0</v>
      </c>
      <c r="G30" s="856"/>
      <c r="H30" s="856"/>
      <c r="I30" s="204">
        <f t="shared" si="3"/>
        <v>0</v>
      </c>
      <c r="J30" s="856"/>
      <c r="K30" s="856">
        <v>1</v>
      </c>
      <c r="L30" s="204">
        <f t="shared" si="0"/>
        <v>0.21231422505307856</v>
      </c>
      <c r="M30" s="856"/>
      <c r="N30" s="856"/>
      <c r="O30" s="204">
        <f t="shared" si="4"/>
        <v>0</v>
      </c>
      <c r="P30" s="856"/>
      <c r="Q30" s="856"/>
      <c r="R30" s="204">
        <f t="shared" si="1"/>
        <v>0</v>
      </c>
    </row>
    <row r="31" spans="1:18" s="111" customFormat="1">
      <c r="A31" s="14" t="s">
        <v>174</v>
      </c>
      <c r="B31" s="856">
        <v>17</v>
      </c>
      <c r="C31" s="204">
        <f t="shared" si="2"/>
        <v>0.9115281501340482</v>
      </c>
      <c r="D31" s="856"/>
      <c r="E31" s="856">
        <v>4</v>
      </c>
      <c r="F31" s="204">
        <f t="shared" si="5"/>
        <v>0.79051383399209485</v>
      </c>
      <c r="G31" s="856"/>
      <c r="H31" s="856"/>
      <c r="I31" s="204">
        <f t="shared" si="3"/>
        <v>0</v>
      </c>
      <c r="J31" s="856"/>
      <c r="K31" s="856">
        <v>5</v>
      </c>
      <c r="L31" s="204">
        <f t="shared" si="0"/>
        <v>1.0615711252653928</v>
      </c>
      <c r="M31" s="856"/>
      <c r="N31" s="856">
        <v>7</v>
      </c>
      <c r="O31" s="204">
        <f t="shared" si="4"/>
        <v>1.1627906976744187</v>
      </c>
      <c r="P31" s="856"/>
      <c r="Q31" s="856"/>
      <c r="R31" s="204">
        <f t="shared" si="1"/>
        <v>0</v>
      </c>
    </row>
    <row r="32" spans="1:18" s="111" customFormat="1">
      <c r="A32" s="14" t="s">
        <v>175</v>
      </c>
      <c r="B32" s="856">
        <v>1</v>
      </c>
      <c r="C32" s="204">
        <f t="shared" si="2"/>
        <v>5.361930294906167E-2</v>
      </c>
      <c r="D32" s="856"/>
      <c r="E32" s="856"/>
      <c r="F32" s="204">
        <f t="shared" si="5"/>
        <v>0</v>
      </c>
      <c r="G32" s="856"/>
      <c r="H32" s="856"/>
      <c r="I32" s="204">
        <f t="shared" si="3"/>
        <v>0</v>
      </c>
      <c r="J32" s="856"/>
      <c r="K32" s="856"/>
      <c r="L32" s="204">
        <f t="shared" si="0"/>
        <v>0</v>
      </c>
      <c r="M32" s="856"/>
      <c r="N32" s="856"/>
      <c r="O32" s="204">
        <f t="shared" si="4"/>
        <v>0</v>
      </c>
      <c r="P32" s="856"/>
      <c r="Q32" s="856"/>
      <c r="R32" s="204">
        <f t="shared" si="1"/>
        <v>0</v>
      </c>
    </row>
    <row r="33" spans="1:18" s="111" customFormat="1">
      <c r="A33" s="14" t="s">
        <v>176</v>
      </c>
      <c r="B33" s="856">
        <v>17</v>
      </c>
      <c r="C33" s="204">
        <f t="shared" si="2"/>
        <v>0.9115281501340482</v>
      </c>
      <c r="D33" s="856"/>
      <c r="E33" s="856">
        <v>7</v>
      </c>
      <c r="F33" s="204">
        <f t="shared" si="5"/>
        <v>1.383399209486166</v>
      </c>
      <c r="G33" s="856"/>
      <c r="H33" s="856"/>
      <c r="I33" s="204">
        <f t="shared" si="3"/>
        <v>0</v>
      </c>
      <c r="J33" s="856"/>
      <c r="K33" s="856">
        <v>2</v>
      </c>
      <c r="L33" s="204">
        <f t="shared" si="0"/>
        <v>0.42462845010615713</v>
      </c>
      <c r="M33" s="856"/>
      <c r="N33" s="856">
        <v>6</v>
      </c>
      <c r="O33" s="204">
        <f t="shared" si="4"/>
        <v>0.99667774086378735</v>
      </c>
      <c r="P33" s="856"/>
      <c r="Q33" s="856"/>
      <c r="R33" s="204">
        <f t="shared" si="1"/>
        <v>0</v>
      </c>
    </row>
    <row r="34" spans="1:18" s="111" customFormat="1">
      <c r="A34" s="14"/>
      <c r="B34" s="453"/>
      <c r="C34" s="204" t="str">
        <f t="shared" si="2"/>
        <v/>
      </c>
      <c r="D34" s="14"/>
      <c r="E34" s="242"/>
      <c r="F34" s="204" t="str">
        <f t="shared" si="5"/>
        <v/>
      </c>
      <c r="G34" s="204"/>
      <c r="H34" s="14"/>
      <c r="I34" s="204" t="str">
        <f t="shared" si="3"/>
        <v/>
      </c>
      <c r="J34" s="14"/>
      <c r="K34" s="14"/>
      <c r="L34" s="204" t="str">
        <f t="shared" si="0"/>
        <v/>
      </c>
      <c r="M34" s="14"/>
      <c r="O34" s="204" t="str">
        <f t="shared" si="4"/>
        <v/>
      </c>
      <c r="P34" s="14"/>
      <c r="Q34" s="242"/>
      <c r="R34" s="204" t="str">
        <f t="shared" si="1"/>
        <v/>
      </c>
    </row>
    <row r="35" spans="1:18" s="111" customFormat="1">
      <c r="A35" s="17" t="s">
        <v>406</v>
      </c>
      <c r="B35" s="453">
        <f>SUM(B36+B42+B44+B55)</f>
        <v>89</v>
      </c>
      <c r="C35" s="204">
        <f t="shared" si="2"/>
        <v>4.7721179624664876</v>
      </c>
      <c r="D35" s="17"/>
      <c r="E35" s="242">
        <f>SUM(E36+E42+E44+E55)</f>
        <v>25</v>
      </c>
      <c r="F35" s="204">
        <f t="shared" si="5"/>
        <v>4.9407114624505928</v>
      </c>
      <c r="G35" s="204"/>
      <c r="H35" s="242">
        <f>SUM(H36+H42+H44+H55)</f>
        <v>6</v>
      </c>
      <c r="I35" s="204">
        <f t="shared" si="3"/>
        <v>17.647058823529413</v>
      </c>
      <c r="J35" s="14"/>
      <c r="K35" s="242">
        <f>SUM(K36+K42+K44+K55)</f>
        <v>19</v>
      </c>
      <c r="L35" s="204">
        <f t="shared" si="0"/>
        <v>4.0339702760084926</v>
      </c>
      <c r="M35" s="14"/>
      <c r="N35" s="242">
        <f>SUM(N36+N42+N44+N55)</f>
        <v>27</v>
      </c>
      <c r="O35" s="204">
        <f t="shared" si="4"/>
        <v>4.485049833887043</v>
      </c>
      <c r="P35" s="14"/>
      <c r="Q35" s="242">
        <f>SUM(Q36+Q42+Q44+Q55)</f>
        <v>3</v>
      </c>
      <c r="R35" s="204">
        <f t="shared" si="1"/>
        <v>12</v>
      </c>
    </row>
    <row r="36" spans="1:18" s="111" customFormat="1">
      <c r="A36" s="14" t="s">
        <v>178</v>
      </c>
      <c r="B36" s="453">
        <f>SUM(B38:B41)</f>
        <v>26</v>
      </c>
      <c r="C36" s="204">
        <f t="shared" si="2"/>
        <v>1.394101876675603</v>
      </c>
      <c r="D36" s="14"/>
      <c r="E36" s="242">
        <f>SUM(E38:E41)</f>
        <v>7</v>
      </c>
      <c r="F36" s="204">
        <f t="shared" si="5"/>
        <v>1.383399209486166</v>
      </c>
      <c r="G36" s="204"/>
      <c r="H36" s="14">
        <f>SUM(H38:H41)</f>
        <v>1</v>
      </c>
      <c r="I36" s="204">
        <f t="shared" si="3"/>
        <v>2.9411764705882351</v>
      </c>
      <c r="J36" s="14"/>
      <c r="K36" s="14">
        <f>SUM(K38:K41)</f>
        <v>3</v>
      </c>
      <c r="L36" s="204">
        <f t="shared" si="0"/>
        <v>0.63694267515923575</v>
      </c>
      <c r="M36" s="14"/>
      <c r="N36" s="14">
        <f>SUM(N38:N41)</f>
        <v>8</v>
      </c>
      <c r="O36" s="204">
        <f t="shared" si="4"/>
        <v>1.3289036544850499</v>
      </c>
      <c r="P36" s="14"/>
      <c r="Q36" s="242">
        <f>SUM(Q38:Q41)</f>
        <v>1</v>
      </c>
      <c r="R36" s="204">
        <f t="shared" si="1"/>
        <v>4</v>
      </c>
    </row>
    <row r="37" spans="1:18" s="111" customFormat="1" hidden="1">
      <c r="A37" s="14" t="s">
        <v>1175</v>
      </c>
      <c r="B37" s="453"/>
      <c r="C37" s="204">
        <f t="shared" si="2"/>
        <v>0</v>
      </c>
      <c r="D37" s="14"/>
      <c r="E37" s="242"/>
      <c r="F37" s="204">
        <f t="shared" si="5"/>
        <v>0</v>
      </c>
      <c r="G37" s="204"/>
      <c r="H37" s="14"/>
      <c r="I37" s="204">
        <f t="shared" si="3"/>
        <v>0</v>
      </c>
      <c r="J37" s="14"/>
      <c r="K37" s="14"/>
      <c r="L37" s="204">
        <f t="shared" si="0"/>
        <v>0</v>
      </c>
      <c r="M37" s="14"/>
      <c r="N37" s="14"/>
      <c r="O37" s="204">
        <f t="shared" si="4"/>
        <v>0</v>
      </c>
      <c r="P37" s="14"/>
      <c r="Q37" s="242"/>
      <c r="R37" s="204"/>
    </row>
    <row r="38" spans="1:18" s="111" customFormat="1">
      <c r="A38" s="14" t="s">
        <v>179</v>
      </c>
      <c r="B38" s="856">
        <v>7</v>
      </c>
      <c r="C38" s="204">
        <f t="shared" si="2"/>
        <v>0.37533512064343166</v>
      </c>
      <c r="D38" s="856"/>
      <c r="E38" s="856">
        <v>2</v>
      </c>
      <c r="F38" s="204">
        <f t="shared" si="5"/>
        <v>0.39525691699604742</v>
      </c>
      <c r="G38" s="856"/>
      <c r="H38" s="856"/>
      <c r="I38" s="204">
        <f t="shared" si="3"/>
        <v>0</v>
      </c>
      <c r="J38" s="856"/>
      <c r="K38" s="856"/>
      <c r="L38" s="204">
        <f t="shared" si="0"/>
        <v>0</v>
      </c>
      <c r="M38" s="856"/>
      <c r="N38" s="856">
        <v>1</v>
      </c>
      <c r="O38" s="204">
        <f t="shared" si="4"/>
        <v>0.16611295681063123</v>
      </c>
      <c r="P38" s="856"/>
      <c r="Q38" s="856"/>
      <c r="R38" s="204">
        <f t="shared" ref="R38:R75" si="6">IF(A38&lt;&gt;0,Q38/$Q$10*100,"")</f>
        <v>0</v>
      </c>
    </row>
    <row r="39" spans="1:18" s="111" customFormat="1">
      <c r="A39" s="14" t="s">
        <v>180</v>
      </c>
      <c r="B39" s="856">
        <v>6</v>
      </c>
      <c r="C39" s="204">
        <f t="shared" si="2"/>
        <v>0.32171581769436997</v>
      </c>
      <c r="D39" s="856"/>
      <c r="E39" s="856">
        <v>1</v>
      </c>
      <c r="F39" s="204">
        <f t="shared" si="5"/>
        <v>0.19762845849802371</v>
      </c>
      <c r="G39" s="856"/>
      <c r="H39" s="856"/>
      <c r="I39" s="204">
        <f t="shared" si="3"/>
        <v>0</v>
      </c>
      <c r="J39" s="856"/>
      <c r="K39" s="856"/>
      <c r="L39" s="204">
        <f t="shared" si="0"/>
        <v>0</v>
      </c>
      <c r="M39" s="856"/>
      <c r="N39" s="856">
        <v>4</v>
      </c>
      <c r="O39" s="204">
        <f t="shared" si="4"/>
        <v>0.66445182724252494</v>
      </c>
      <c r="P39" s="856"/>
      <c r="Q39" s="856"/>
      <c r="R39" s="204">
        <f t="shared" si="6"/>
        <v>0</v>
      </c>
    </row>
    <row r="40" spans="1:18" s="111" customFormat="1">
      <c r="A40" s="14" t="s">
        <v>1095</v>
      </c>
      <c r="B40" s="856">
        <v>12</v>
      </c>
      <c r="C40" s="204">
        <f t="shared" si="2"/>
        <v>0.64343163538873993</v>
      </c>
      <c r="D40" s="856"/>
      <c r="E40" s="856">
        <v>4</v>
      </c>
      <c r="F40" s="204">
        <f t="shared" si="5"/>
        <v>0.79051383399209485</v>
      </c>
      <c r="G40" s="856"/>
      <c r="H40" s="856">
        <v>1</v>
      </c>
      <c r="I40" s="204">
        <f t="shared" si="3"/>
        <v>2.9411764705882351</v>
      </c>
      <c r="J40" s="856"/>
      <c r="K40" s="856">
        <v>3</v>
      </c>
      <c r="L40" s="204">
        <f t="shared" si="0"/>
        <v>0.63694267515923575</v>
      </c>
      <c r="M40" s="856"/>
      <c r="N40" s="856">
        <v>3</v>
      </c>
      <c r="O40" s="204">
        <f t="shared" si="4"/>
        <v>0.49833887043189368</v>
      </c>
      <c r="P40" s="856"/>
      <c r="Q40" s="856">
        <v>1</v>
      </c>
      <c r="R40" s="204">
        <f t="shared" si="6"/>
        <v>4</v>
      </c>
    </row>
    <row r="41" spans="1:18" s="111" customFormat="1">
      <c r="A41" s="14" t="s">
        <v>182</v>
      </c>
      <c r="B41" s="856">
        <v>1</v>
      </c>
      <c r="C41" s="204">
        <f t="shared" si="2"/>
        <v>5.361930294906167E-2</v>
      </c>
      <c r="D41" s="856"/>
      <c r="E41" s="856"/>
      <c r="F41" s="204">
        <f t="shared" si="5"/>
        <v>0</v>
      </c>
      <c r="G41" s="856"/>
      <c r="H41" s="856"/>
      <c r="I41" s="204">
        <f t="shared" si="3"/>
        <v>0</v>
      </c>
      <c r="J41" s="856"/>
      <c r="K41" s="856"/>
      <c r="L41" s="204">
        <f t="shared" si="0"/>
        <v>0</v>
      </c>
      <c r="M41" s="856"/>
      <c r="N41" s="856"/>
      <c r="O41" s="204">
        <f t="shared" si="4"/>
        <v>0</v>
      </c>
      <c r="P41" s="856"/>
      <c r="Q41" s="856"/>
      <c r="R41" s="204">
        <f t="shared" si="6"/>
        <v>0</v>
      </c>
    </row>
    <row r="42" spans="1:18" s="111" customFormat="1" hidden="1">
      <c r="A42" s="14" t="s">
        <v>192</v>
      </c>
      <c r="B42" s="856"/>
      <c r="C42" s="204">
        <f t="shared" si="2"/>
        <v>0</v>
      </c>
      <c r="D42" s="856"/>
      <c r="E42" s="856"/>
      <c r="F42" s="204">
        <f t="shared" si="5"/>
        <v>0</v>
      </c>
      <c r="G42" s="856"/>
      <c r="H42" s="856"/>
      <c r="I42" s="204">
        <f t="shared" si="3"/>
        <v>0</v>
      </c>
      <c r="J42" s="856"/>
      <c r="K42" s="856"/>
      <c r="L42" s="204">
        <f t="shared" si="0"/>
        <v>0</v>
      </c>
      <c r="M42" s="856"/>
      <c r="N42" s="856"/>
      <c r="O42" s="204">
        <f t="shared" si="4"/>
        <v>0</v>
      </c>
      <c r="P42" s="856"/>
      <c r="Q42" s="856"/>
      <c r="R42" s="204">
        <f t="shared" si="6"/>
        <v>0</v>
      </c>
    </row>
    <row r="43" spans="1:18" s="111" customFormat="1">
      <c r="A43" s="14"/>
      <c r="B43" s="453"/>
      <c r="C43" s="204" t="str">
        <f t="shared" si="2"/>
        <v/>
      </c>
      <c r="D43" s="14"/>
      <c r="E43" s="242"/>
      <c r="F43" s="204" t="str">
        <f t="shared" si="5"/>
        <v/>
      </c>
      <c r="G43" s="204"/>
      <c r="H43" s="14"/>
      <c r="I43" s="204" t="str">
        <f t="shared" si="3"/>
        <v/>
      </c>
      <c r="J43" s="14"/>
      <c r="K43" s="14"/>
      <c r="L43" s="204" t="str">
        <f t="shared" si="0"/>
        <v/>
      </c>
      <c r="M43" s="14"/>
      <c r="O43" s="204" t="str">
        <f t="shared" si="4"/>
        <v/>
      </c>
      <c r="P43" s="14"/>
      <c r="Q43" s="242"/>
      <c r="R43" s="204" t="str">
        <f t="shared" si="6"/>
        <v/>
      </c>
    </row>
    <row r="44" spans="1:18" s="111" customFormat="1">
      <c r="A44" s="14" t="s">
        <v>183</v>
      </c>
      <c r="B44" s="453">
        <f>SUM(B45:B53)</f>
        <v>46</v>
      </c>
      <c r="C44" s="204">
        <f t="shared" si="2"/>
        <v>2.4664879356568368</v>
      </c>
      <c r="D44" s="14"/>
      <c r="E44" s="242">
        <f>SUM(E45:E53)</f>
        <v>14</v>
      </c>
      <c r="F44" s="204">
        <f t="shared" si="5"/>
        <v>2.766798418972332</v>
      </c>
      <c r="G44" s="204"/>
      <c r="H44" s="455">
        <f>SUM(H45:H53)</f>
        <v>5</v>
      </c>
      <c r="I44" s="204">
        <f t="shared" si="3"/>
        <v>14.705882352941178</v>
      </c>
      <c r="J44" s="14"/>
      <c r="K44" s="14">
        <f>SUM(K45:K53)</f>
        <v>14</v>
      </c>
      <c r="L44" s="204">
        <f t="shared" si="0"/>
        <v>2.9723991507431</v>
      </c>
      <c r="M44" s="14"/>
      <c r="N44" s="14">
        <f>SUM(N45:N53)</f>
        <v>14</v>
      </c>
      <c r="O44" s="204">
        <f t="shared" si="4"/>
        <v>2.3255813953488373</v>
      </c>
      <c r="P44" s="14"/>
      <c r="Q44" s="242">
        <f>SUM(Q45:Q53)</f>
        <v>2</v>
      </c>
      <c r="R44" s="204">
        <f t="shared" si="6"/>
        <v>8</v>
      </c>
    </row>
    <row r="45" spans="1:18" s="111" customFormat="1">
      <c r="A45" s="14" t="s">
        <v>1176</v>
      </c>
      <c r="B45" s="856">
        <v>2</v>
      </c>
      <c r="C45" s="204">
        <f t="shared" si="2"/>
        <v>0.10723860589812334</v>
      </c>
      <c r="D45" s="856"/>
      <c r="E45" s="856"/>
      <c r="F45" s="204">
        <f t="shared" si="5"/>
        <v>0</v>
      </c>
      <c r="G45" s="856"/>
      <c r="H45" s="856"/>
      <c r="I45" s="204">
        <f t="shared" si="3"/>
        <v>0</v>
      </c>
      <c r="J45" s="856"/>
      <c r="K45" s="856"/>
      <c r="L45" s="204">
        <f t="shared" si="0"/>
        <v>0</v>
      </c>
      <c r="M45" s="856"/>
      <c r="N45" s="856">
        <v>2</v>
      </c>
      <c r="O45" s="204">
        <f t="shared" si="4"/>
        <v>0.33222591362126247</v>
      </c>
      <c r="P45" s="856"/>
      <c r="Q45" s="856"/>
      <c r="R45" s="204">
        <f t="shared" si="6"/>
        <v>0</v>
      </c>
    </row>
    <row r="46" spans="1:18" s="111" customFormat="1">
      <c r="A46" s="14" t="s">
        <v>191</v>
      </c>
      <c r="B46" s="856">
        <v>1</v>
      </c>
      <c r="C46" s="204">
        <f t="shared" si="2"/>
        <v>5.361930294906167E-2</v>
      </c>
      <c r="D46" s="856"/>
      <c r="E46" s="856"/>
      <c r="F46" s="204">
        <f t="shared" si="5"/>
        <v>0</v>
      </c>
      <c r="G46" s="856"/>
      <c r="H46" s="856"/>
      <c r="I46" s="204">
        <f t="shared" si="3"/>
        <v>0</v>
      </c>
      <c r="J46" s="856"/>
      <c r="K46" s="856"/>
      <c r="L46" s="204">
        <f t="shared" si="0"/>
        <v>0</v>
      </c>
      <c r="M46" s="856"/>
      <c r="N46" s="856">
        <v>1</v>
      </c>
      <c r="O46" s="204">
        <f t="shared" si="4"/>
        <v>0.16611295681063123</v>
      </c>
      <c r="P46" s="856"/>
      <c r="Q46" s="856"/>
      <c r="R46" s="204">
        <f t="shared" si="6"/>
        <v>0</v>
      </c>
    </row>
    <row r="47" spans="1:18" s="111" customFormat="1">
      <c r="A47" s="14" t="s">
        <v>184</v>
      </c>
      <c r="B47" s="856">
        <v>6</v>
      </c>
      <c r="C47" s="204">
        <f t="shared" si="2"/>
        <v>0.32171581769436997</v>
      </c>
      <c r="D47" s="856"/>
      <c r="E47" s="856">
        <v>3</v>
      </c>
      <c r="F47" s="204">
        <f t="shared" si="5"/>
        <v>0.59288537549407105</v>
      </c>
      <c r="G47" s="856"/>
      <c r="H47" s="856">
        <v>4</v>
      </c>
      <c r="I47" s="204">
        <f t="shared" si="3"/>
        <v>11.76470588235294</v>
      </c>
      <c r="J47" s="856"/>
      <c r="K47" s="856">
        <v>3</v>
      </c>
      <c r="L47" s="204">
        <f t="shared" si="0"/>
        <v>0.63694267515923575</v>
      </c>
      <c r="M47" s="856"/>
      <c r="N47" s="856">
        <v>1</v>
      </c>
      <c r="O47" s="204">
        <f t="shared" si="4"/>
        <v>0.16611295681063123</v>
      </c>
      <c r="P47" s="856"/>
      <c r="Q47" s="856">
        <v>1</v>
      </c>
      <c r="R47" s="204">
        <f t="shared" si="6"/>
        <v>4</v>
      </c>
    </row>
    <row r="48" spans="1:18" s="111" customFormat="1" hidden="1">
      <c r="A48" s="14" t="s">
        <v>185</v>
      </c>
      <c r="B48" s="121"/>
      <c r="C48" s="204">
        <f t="shared" si="2"/>
        <v>0</v>
      </c>
      <c r="D48" s="121"/>
      <c r="E48" s="121"/>
      <c r="F48" s="204">
        <f t="shared" si="5"/>
        <v>0</v>
      </c>
      <c r="G48" s="121"/>
      <c r="H48" s="121"/>
      <c r="I48" s="204">
        <f t="shared" si="3"/>
        <v>0</v>
      </c>
      <c r="J48" s="121"/>
      <c r="K48" s="121"/>
      <c r="L48" s="204">
        <f t="shared" si="0"/>
        <v>0</v>
      </c>
      <c r="M48" s="121"/>
      <c r="N48" s="121"/>
      <c r="O48" s="204">
        <f t="shared" si="4"/>
        <v>0</v>
      </c>
      <c r="P48" s="121"/>
      <c r="Q48" s="121"/>
      <c r="R48" s="204">
        <f t="shared" si="6"/>
        <v>0</v>
      </c>
    </row>
    <row r="49" spans="1:18" s="111" customFormat="1" hidden="1">
      <c r="A49" s="14" t="s">
        <v>186</v>
      </c>
      <c r="B49" s="454">
        <v>0</v>
      </c>
      <c r="C49" s="204">
        <f t="shared" si="2"/>
        <v>0</v>
      </c>
      <c r="D49" s="454"/>
      <c r="E49" s="454">
        <v>0</v>
      </c>
      <c r="F49" s="204">
        <f t="shared" si="5"/>
        <v>0</v>
      </c>
      <c r="G49" s="454"/>
      <c r="H49" s="454">
        <v>0</v>
      </c>
      <c r="I49" s="204">
        <f t="shared" si="3"/>
        <v>0</v>
      </c>
      <c r="J49" s="454"/>
      <c r="K49" s="454"/>
      <c r="L49" s="204">
        <f t="shared" si="0"/>
        <v>0</v>
      </c>
      <c r="M49" s="454"/>
      <c r="N49" s="454">
        <v>0</v>
      </c>
      <c r="O49" s="204">
        <f t="shared" si="4"/>
        <v>0</v>
      </c>
      <c r="P49" s="454"/>
      <c r="Q49" s="454">
        <v>0</v>
      </c>
      <c r="R49" s="204">
        <f t="shared" si="6"/>
        <v>0</v>
      </c>
    </row>
    <row r="50" spans="1:18" s="111" customFormat="1" hidden="1">
      <c r="A50" s="14" t="s">
        <v>531</v>
      </c>
      <c r="B50" s="121"/>
      <c r="C50" s="204">
        <f t="shared" si="2"/>
        <v>0</v>
      </c>
      <c r="D50" s="121"/>
      <c r="E50" s="121"/>
      <c r="F50" s="204">
        <f t="shared" si="5"/>
        <v>0</v>
      </c>
      <c r="G50" s="121"/>
      <c r="H50" s="121"/>
      <c r="I50" s="204">
        <f t="shared" si="3"/>
        <v>0</v>
      </c>
      <c r="J50" s="121"/>
      <c r="K50" s="121"/>
      <c r="L50" s="204">
        <f t="shared" si="0"/>
        <v>0</v>
      </c>
      <c r="M50" s="121"/>
      <c r="N50" s="121"/>
      <c r="O50" s="204">
        <f t="shared" si="4"/>
        <v>0</v>
      </c>
      <c r="P50" s="121"/>
      <c r="Q50" s="121"/>
      <c r="R50" s="204">
        <f t="shared" si="6"/>
        <v>0</v>
      </c>
    </row>
    <row r="51" spans="1:18" s="111" customFormat="1">
      <c r="A51" s="14" t="s">
        <v>190</v>
      </c>
      <c r="B51" s="856">
        <v>26</v>
      </c>
      <c r="C51" s="204">
        <f t="shared" si="2"/>
        <v>1.394101876675603</v>
      </c>
      <c r="D51" s="856"/>
      <c r="E51" s="856">
        <v>6</v>
      </c>
      <c r="F51" s="204">
        <f t="shared" si="5"/>
        <v>1.1857707509881421</v>
      </c>
      <c r="G51" s="856"/>
      <c r="H51" s="856"/>
      <c r="I51" s="204">
        <f t="shared" si="3"/>
        <v>0</v>
      </c>
      <c r="J51" s="856"/>
      <c r="K51" s="856">
        <v>7</v>
      </c>
      <c r="L51" s="204">
        <f t="shared" si="0"/>
        <v>1.48619957537155</v>
      </c>
      <c r="M51" s="856"/>
      <c r="N51" s="856">
        <v>8</v>
      </c>
      <c r="O51" s="204">
        <f t="shared" si="4"/>
        <v>1.3289036544850499</v>
      </c>
      <c r="P51" s="856"/>
      <c r="Q51" s="856"/>
      <c r="R51" s="204">
        <f t="shared" si="6"/>
        <v>0</v>
      </c>
    </row>
    <row r="52" spans="1:18" s="111" customFormat="1">
      <c r="A52" s="14" t="s">
        <v>189</v>
      </c>
      <c r="B52" s="856">
        <v>5</v>
      </c>
      <c r="C52" s="204">
        <f t="shared" si="2"/>
        <v>0.26809651474530832</v>
      </c>
      <c r="D52" s="856"/>
      <c r="E52" s="856">
        <v>2</v>
      </c>
      <c r="F52" s="204">
        <f t="shared" si="5"/>
        <v>0.39525691699604742</v>
      </c>
      <c r="G52" s="856"/>
      <c r="H52" s="856">
        <v>1</v>
      </c>
      <c r="I52" s="204">
        <f t="shared" si="3"/>
        <v>2.9411764705882351</v>
      </c>
      <c r="J52" s="856"/>
      <c r="K52" s="856">
        <v>2</v>
      </c>
      <c r="L52" s="204">
        <f t="shared" si="0"/>
        <v>0.42462845010615713</v>
      </c>
      <c r="M52" s="856"/>
      <c r="N52" s="856">
        <v>1</v>
      </c>
      <c r="O52" s="204">
        <f t="shared" si="4"/>
        <v>0.16611295681063123</v>
      </c>
      <c r="P52" s="856"/>
      <c r="Q52" s="856"/>
      <c r="R52" s="204">
        <f t="shared" si="6"/>
        <v>0</v>
      </c>
    </row>
    <row r="53" spans="1:18" s="111" customFormat="1">
      <c r="A53" s="14" t="s">
        <v>188</v>
      </c>
      <c r="B53" s="856">
        <v>6</v>
      </c>
      <c r="C53" s="204">
        <f t="shared" si="2"/>
        <v>0.32171581769436997</v>
      </c>
      <c r="D53" s="856"/>
      <c r="E53" s="856">
        <v>3</v>
      </c>
      <c r="F53" s="204">
        <f t="shared" si="5"/>
        <v>0.59288537549407105</v>
      </c>
      <c r="G53" s="856"/>
      <c r="H53" s="856"/>
      <c r="I53" s="204">
        <f t="shared" si="3"/>
        <v>0</v>
      </c>
      <c r="J53" s="856"/>
      <c r="K53" s="856">
        <v>2</v>
      </c>
      <c r="L53" s="204">
        <f t="shared" si="0"/>
        <v>0.42462845010615713</v>
      </c>
      <c r="M53" s="856"/>
      <c r="N53" s="856">
        <v>1</v>
      </c>
      <c r="O53" s="204">
        <f t="shared" si="4"/>
        <v>0.16611295681063123</v>
      </c>
      <c r="P53" s="856"/>
      <c r="Q53" s="856">
        <v>1</v>
      </c>
      <c r="R53" s="204">
        <f t="shared" si="6"/>
        <v>4</v>
      </c>
    </row>
    <row r="54" spans="1:18" s="111" customFormat="1">
      <c r="A54" s="14"/>
      <c r="B54" s="453"/>
      <c r="C54" s="204" t="str">
        <f t="shared" si="2"/>
        <v/>
      </c>
      <c r="D54" s="14"/>
      <c r="E54" s="242"/>
      <c r="F54" s="204" t="str">
        <f t="shared" si="5"/>
        <v/>
      </c>
      <c r="G54" s="204"/>
      <c r="H54" s="14"/>
      <c r="I54" s="204" t="str">
        <f t="shared" si="3"/>
        <v/>
      </c>
      <c r="J54" s="14"/>
      <c r="K54" s="14"/>
      <c r="L54" s="204" t="str">
        <f t="shared" si="0"/>
        <v/>
      </c>
      <c r="M54" s="14"/>
      <c r="O54" s="204" t="str">
        <f t="shared" si="4"/>
        <v/>
      </c>
      <c r="P54" s="14"/>
      <c r="Q54" s="242"/>
      <c r="R54" s="204" t="str">
        <f t="shared" si="6"/>
        <v/>
      </c>
    </row>
    <row r="55" spans="1:18" s="111" customFormat="1">
      <c r="A55" s="14" t="s">
        <v>193</v>
      </c>
      <c r="B55" s="453">
        <f>SUM(B56:B61)</f>
        <v>17</v>
      </c>
      <c r="C55" s="204">
        <f t="shared" si="2"/>
        <v>0.9115281501340482</v>
      </c>
      <c r="D55" s="14"/>
      <c r="E55" s="242">
        <f>SUM(E56:E61)</f>
        <v>4</v>
      </c>
      <c r="F55" s="204">
        <f t="shared" si="5"/>
        <v>0.79051383399209485</v>
      </c>
      <c r="G55" s="204"/>
      <c r="H55" s="455">
        <f>SUM(H56:H61)</f>
        <v>0</v>
      </c>
      <c r="I55" s="204">
        <f t="shared" si="3"/>
        <v>0</v>
      </c>
      <c r="J55" s="14"/>
      <c r="K55" s="14">
        <f>SUM(K56:K61)</f>
        <v>2</v>
      </c>
      <c r="L55" s="204">
        <f t="shared" si="0"/>
        <v>0.42462845010615713</v>
      </c>
      <c r="M55" s="14"/>
      <c r="N55" s="455">
        <f>SUM(N56:N61)</f>
        <v>5</v>
      </c>
      <c r="O55" s="204">
        <f t="shared" si="4"/>
        <v>0.83056478405315626</v>
      </c>
      <c r="P55" s="14"/>
      <c r="Q55" s="242">
        <f>SUM(Q56:Q61)</f>
        <v>0</v>
      </c>
      <c r="R55" s="204">
        <f t="shared" si="6"/>
        <v>0</v>
      </c>
    </row>
    <row r="56" spans="1:18" s="111" customFormat="1">
      <c r="A56" s="14" t="s">
        <v>1177</v>
      </c>
      <c r="B56" s="856">
        <v>1</v>
      </c>
      <c r="C56" s="204">
        <f t="shared" si="2"/>
        <v>5.361930294906167E-2</v>
      </c>
      <c r="D56" s="856"/>
      <c r="E56" s="856"/>
      <c r="F56" s="204">
        <f t="shared" si="5"/>
        <v>0</v>
      </c>
      <c r="G56" s="856"/>
      <c r="H56" s="856"/>
      <c r="I56" s="204">
        <f t="shared" si="3"/>
        <v>0</v>
      </c>
      <c r="J56" s="856"/>
      <c r="K56" s="856"/>
      <c r="L56" s="204">
        <f t="shared" si="0"/>
        <v>0</v>
      </c>
      <c r="M56" s="856"/>
      <c r="N56" s="856">
        <v>1</v>
      </c>
      <c r="O56" s="204">
        <f t="shared" si="4"/>
        <v>0.16611295681063123</v>
      </c>
      <c r="P56" s="856"/>
      <c r="Q56" s="856"/>
      <c r="R56" s="204">
        <f t="shared" si="6"/>
        <v>0</v>
      </c>
    </row>
    <row r="57" spans="1:18" s="111" customFormat="1">
      <c r="A57" s="14" t="s">
        <v>194</v>
      </c>
      <c r="B57" s="856">
        <v>2</v>
      </c>
      <c r="C57" s="204">
        <f t="shared" si="2"/>
        <v>0.10723860589812334</v>
      </c>
      <c r="D57" s="856"/>
      <c r="E57" s="856"/>
      <c r="F57" s="204">
        <f t="shared" si="5"/>
        <v>0</v>
      </c>
      <c r="G57" s="856"/>
      <c r="H57" s="856"/>
      <c r="I57" s="204">
        <f t="shared" si="3"/>
        <v>0</v>
      </c>
      <c r="J57" s="856"/>
      <c r="K57" s="856"/>
      <c r="L57" s="204">
        <f t="shared" si="0"/>
        <v>0</v>
      </c>
      <c r="M57" s="856"/>
      <c r="N57" s="856">
        <v>1</v>
      </c>
      <c r="O57" s="204">
        <f t="shared" si="4"/>
        <v>0.16611295681063123</v>
      </c>
      <c r="P57" s="856"/>
      <c r="Q57" s="856"/>
      <c r="R57" s="204">
        <f t="shared" si="6"/>
        <v>0</v>
      </c>
    </row>
    <row r="58" spans="1:18" s="111" customFormat="1">
      <c r="A58" s="14" t="s">
        <v>195</v>
      </c>
      <c r="B58" s="856">
        <v>2</v>
      </c>
      <c r="C58" s="204">
        <f t="shared" si="2"/>
        <v>0.10723860589812334</v>
      </c>
      <c r="D58" s="856"/>
      <c r="E58" s="856">
        <v>1</v>
      </c>
      <c r="F58" s="204">
        <f t="shared" si="5"/>
        <v>0.19762845849802371</v>
      </c>
      <c r="G58" s="856"/>
      <c r="H58" s="856"/>
      <c r="I58" s="204">
        <f t="shared" si="3"/>
        <v>0</v>
      </c>
      <c r="J58" s="856"/>
      <c r="K58" s="856">
        <v>1</v>
      </c>
      <c r="L58" s="204">
        <f t="shared" si="0"/>
        <v>0.21231422505307856</v>
      </c>
      <c r="M58" s="856"/>
      <c r="N58" s="856"/>
      <c r="O58" s="204">
        <f t="shared" si="4"/>
        <v>0</v>
      </c>
      <c r="P58" s="856"/>
      <c r="Q58" s="856"/>
      <c r="R58" s="204">
        <f t="shared" si="6"/>
        <v>0</v>
      </c>
    </row>
    <row r="59" spans="1:18" s="111" customFormat="1" hidden="1">
      <c r="A59" s="14" t="s">
        <v>1178</v>
      </c>
      <c r="B59" s="95"/>
      <c r="C59" s="204">
        <f t="shared" si="2"/>
        <v>0</v>
      </c>
      <c r="D59" s="95"/>
      <c r="E59" s="95"/>
      <c r="F59" s="204">
        <f t="shared" si="5"/>
        <v>0</v>
      </c>
      <c r="G59" s="95"/>
      <c r="H59" s="95"/>
      <c r="I59" s="204">
        <f t="shared" si="3"/>
        <v>0</v>
      </c>
      <c r="J59" s="95"/>
      <c r="K59" s="95"/>
      <c r="L59" s="204">
        <f t="shared" si="0"/>
        <v>0</v>
      </c>
      <c r="M59" s="95"/>
      <c r="N59" s="95"/>
      <c r="O59" s="204">
        <f t="shared" si="4"/>
        <v>0</v>
      </c>
      <c r="P59" s="95"/>
      <c r="Q59" s="95"/>
      <c r="R59" s="204">
        <f t="shared" si="6"/>
        <v>0</v>
      </c>
    </row>
    <row r="60" spans="1:18" s="111" customFormat="1">
      <c r="A60" s="14" t="s">
        <v>1179</v>
      </c>
      <c r="B60" s="856">
        <v>11</v>
      </c>
      <c r="C60" s="204">
        <f t="shared" si="2"/>
        <v>0.58981233243967823</v>
      </c>
      <c r="D60" s="856"/>
      <c r="E60" s="856">
        <v>3</v>
      </c>
      <c r="F60" s="204">
        <f t="shared" si="5"/>
        <v>0.59288537549407105</v>
      </c>
      <c r="G60" s="856"/>
      <c r="H60" s="856"/>
      <c r="I60" s="204">
        <f t="shared" si="3"/>
        <v>0</v>
      </c>
      <c r="J60" s="856"/>
      <c r="K60" s="856">
        <v>1</v>
      </c>
      <c r="L60" s="204">
        <f t="shared" si="0"/>
        <v>0.21231422505307856</v>
      </c>
      <c r="M60" s="856"/>
      <c r="N60" s="856">
        <v>3</v>
      </c>
      <c r="O60" s="204">
        <f t="shared" si="4"/>
        <v>0.49833887043189368</v>
      </c>
      <c r="P60" s="856"/>
      <c r="Q60" s="856"/>
      <c r="R60" s="204">
        <f t="shared" si="6"/>
        <v>0</v>
      </c>
    </row>
    <row r="61" spans="1:18" s="111" customFormat="1">
      <c r="A61" s="14" t="s">
        <v>198</v>
      </c>
      <c r="B61" s="856">
        <v>1</v>
      </c>
      <c r="C61" s="204">
        <f t="shared" si="2"/>
        <v>5.361930294906167E-2</v>
      </c>
      <c r="D61" s="856"/>
      <c r="E61" s="856"/>
      <c r="F61" s="204">
        <f t="shared" si="5"/>
        <v>0</v>
      </c>
      <c r="G61" s="856"/>
      <c r="H61" s="856"/>
      <c r="I61" s="204">
        <f t="shared" si="3"/>
        <v>0</v>
      </c>
      <c r="J61" s="856"/>
      <c r="K61" s="856"/>
      <c r="L61" s="204">
        <f t="shared" si="0"/>
        <v>0</v>
      </c>
      <c r="M61" s="856"/>
      <c r="N61" s="856"/>
      <c r="O61" s="204">
        <f t="shared" si="4"/>
        <v>0</v>
      </c>
      <c r="P61" s="856"/>
      <c r="Q61" s="856"/>
      <c r="R61" s="204">
        <f t="shared" si="6"/>
        <v>0</v>
      </c>
    </row>
    <row r="62" spans="1:18" s="111" customFormat="1">
      <c r="A62" s="14"/>
      <c r="B62" s="453"/>
      <c r="C62" s="204" t="str">
        <f t="shared" si="2"/>
        <v/>
      </c>
      <c r="D62" s="14"/>
      <c r="E62" s="242"/>
      <c r="F62" s="204" t="str">
        <f t="shared" si="5"/>
        <v/>
      </c>
      <c r="G62" s="204"/>
      <c r="H62" s="14"/>
      <c r="I62" s="204" t="str">
        <f t="shared" si="3"/>
        <v/>
      </c>
      <c r="J62" s="14"/>
      <c r="K62" s="14"/>
      <c r="L62" s="204" t="str">
        <f t="shared" si="0"/>
        <v/>
      </c>
      <c r="M62" s="14"/>
      <c r="O62" s="204" t="str">
        <f t="shared" si="4"/>
        <v/>
      </c>
      <c r="P62" s="14"/>
      <c r="Q62" s="242"/>
      <c r="R62" s="204" t="str">
        <f t="shared" si="6"/>
        <v/>
      </c>
    </row>
    <row r="63" spans="1:18" s="111" customFormat="1">
      <c r="A63" s="17" t="s">
        <v>410</v>
      </c>
      <c r="B63" s="453">
        <f>SUM(B65+B73+B75)</f>
        <v>89</v>
      </c>
      <c r="C63" s="204">
        <f t="shared" si="2"/>
        <v>4.7721179624664876</v>
      </c>
      <c r="D63" s="17"/>
      <c r="E63" s="242">
        <f>SUM(E65+E73+E75)</f>
        <v>25</v>
      </c>
      <c r="F63" s="204">
        <f t="shared" si="5"/>
        <v>4.9407114624505928</v>
      </c>
      <c r="G63" s="204"/>
      <c r="H63" s="242">
        <f>SUM(H65+H73+H75)</f>
        <v>2</v>
      </c>
      <c r="I63" s="204">
        <f t="shared" si="3"/>
        <v>5.8823529411764701</v>
      </c>
      <c r="J63" s="14"/>
      <c r="K63" s="242">
        <f>SUM(K65+K73+K75)</f>
        <v>25</v>
      </c>
      <c r="L63" s="204">
        <f t="shared" si="0"/>
        <v>5.3078556263269645</v>
      </c>
      <c r="M63" s="14"/>
      <c r="N63" s="242">
        <f>SUM(N65+N73+N75)</f>
        <v>27</v>
      </c>
      <c r="O63" s="204">
        <f t="shared" si="4"/>
        <v>4.485049833887043</v>
      </c>
      <c r="P63" s="14"/>
      <c r="Q63" s="242">
        <f>SUM(Q65+Q73+Q75)</f>
        <v>1</v>
      </c>
      <c r="R63" s="204">
        <f t="shared" si="6"/>
        <v>4</v>
      </c>
    </row>
    <row r="64" spans="1:18" s="111" customFormat="1">
      <c r="A64" s="14"/>
      <c r="B64" s="453"/>
      <c r="C64" s="204" t="str">
        <f t="shared" si="2"/>
        <v/>
      </c>
      <c r="D64" s="14"/>
      <c r="E64" s="242"/>
      <c r="F64" s="204" t="str">
        <f t="shared" si="5"/>
        <v/>
      </c>
      <c r="G64" s="204"/>
      <c r="H64" s="14"/>
      <c r="I64" s="204" t="str">
        <f t="shared" si="3"/>
        <v/>
      </c>
      <c r="J64" s="14"/>
      <c r="K64" s="14"/>
      <c r="L64" s="204" t="str">
        <f t="shared" si="0"/>
        <v/>
      </c>
      <c r="M64" s="14"/>
      <c r="O64" s="204" t="str">
        <f t="shared" si="4"/>
        <v/>
      </c>
      <c r="P64" s="14"/>
      <c r="Q64" s="242"/>
      <c r="R64" s="204" t="str">
        <f t="shared" si="6"/>
        <v/>
      </c>
    </row>
    <row r="65" spans="1:18" s="111" customFormat="1">
      <c r="A65" s="14" t="s">
        <v>202</v>
      </c>
      <c r="B65" s="453">
        <f>SUM(B66:B71)</f>
        <v>52</v>
      </c>
      <c r="C65" s="204">
        <f t="shared" si="2"/>
        <v>2.7882037533512061</v>
      </c>
      <c r="D65" s="14"/>
      <c r="E65" s="242">
        <f>SUM(E66:E71)</f>
        <v>13</v>
      </c>
      <c r="F65" s="204">
        <f t="shared" si="5"/>
        <v>2.5691699604743086</v>
      </c>
      <c r="G65" s="204"/>
      <c r="H65" s="14">
        <f>SUM(H66:H71)</f>
        <v>2</v>
      </c>
      <c r="I65" s="204">
        <f t="shared" si="3"/>
        <v>5.8823529411764701</v>
      </c>
      <c r="J65" s="14"/>
      <c r="K65" s="14">
        <f>SUM(K66:K71)</f>
        <v>13</v>
      </c>
      <c r="L65" s="204">
        <f t="shared" si="0"/>
        <v>2.7600849256900215</v>
      </c>
      <c r="M65" s="14"/>
      <c r="N65" s="14">
        <f>SUM(N66:N71)</f>
        <v>16</v>
      </c>
      <c r="O65" s="204">
        <f t="shared" si="4"/>
        <v>2.6578073089700998</v>
      </c>
      <c r="P65" s="14"/>
      <c r="Q65" s="242">
        <f>SUM(Q66:Q71)</f>
        <v>1</v>
      </c>
      <c r="R65" s="204">
        <f t="shared" si="6"/>
        <v>4</v>
      </c>
    </row>
    <row r="66" spans="1:18" s="111" customFormat="1" hidden="1">
      <c r="A66" s="14" t="s">
        <v>1180</v>
      </c>
      <c r="B66" s="121"/>
      <c r="C66" s="204">
        <f t="shared" si="2"/>
        <v>0</v>
      </c>
      <c r="D66" s="121"/>
      <c r="E66" s="121"/>
      <c r="F66" s="204">
        <f t="shared" si="5"/>
        <v>0</v>
      </c>
      <c r="G66" s="121"/>
      <c r="H66" s="121"/>
      <c r="I66" s="204">
        <f t="shared" si="3"/>
        <v>0</v>
      </c>
      <c r="J66" s="121"/>
      <c r="K66" s="121"/>
      <c r="L66" s="204">
        <f t="shared" si="0"/>
        <v>0</v>
      </c>
      <c r="M66" s="121"/>
      <c r="N66" s="121"/>
      <c r="O66" s="204">
        <f t="shared" si="4"/>
        <v>0</v>
      </c>
      <c r="P66" s="121"/>
      <c r="Q66" s="121"/>
      <c r="R66" s="204">
        <f t="shared" si="6"/>
        <v>0</v>
      </c>
    </row>
    <row r="67" spans="1:18" s="111" customFormat="1">
      <c r="A67" s="14" t="s">
        <v>203</v>
      </c>
      <c r="B67" s="856">
        <v>13</v>
      </c>
      <c r="C67" s="204">
        <f t="shared" si="2"/>
        <v>0.69705093833780152</v>
      </c>
      <c r="D67" s="856"/>
      <c r="E67" s="856">
        <v>4</v>
      </c>
      <c r="F67" s="204">
        <f t="shared" si="5"/>
        <v>0.79051383399209485</v>
      </c>
      <c r="G67" s="856"/>
      <c r="H67" s="856"/>
      <c r="I67" s="204">
        <f t="shared" si="3"/>
        <v>0</v>
      </c>
      <c r="J67" s="856"/>
      <c r="K67" s="856">
        <v>3</v>
      </c>
      <c r="L67" s="204">
        <f t="shared" si="0"/>
        <v>0.63694267515923575</v>
      </c>
      <c r="M67" s="856"/>
      <c r="N67" s="856">
        <v>4</v>
      </c>
      <c r="O67" s="204">
        <f t="shared" si="4"/>
        <v>0.66445182724252494</v>
      </c>
      <c r="P67" s="856"/>
      <c r="Q67" s="856"/>
      <c r="R67" s="204">
        <f t="shared" si="6"/>
        <v>0</v>
      </c>
    </row>
    <row r="68" spans="1:18" s="111" customFormat="1">
      <c r="A68" s="14" t="s">
        <v>204</v>
      </c>
      <c r="B68" s="856">
        <v>20</v>
      </c>
      <c r="C68" s="204">
        <f t="shared" si="2"/>
        <v>1.0723860589812333</v>
      </c>
      <c r="D68" s="856"/>
      <c r="E68" s="856">
        <v>3</v>
      </c>
      <c r="F68" s="204">
        <f t="shared" si="5"/>
        <v>0.59288537549407105</v>
      </c>
      <c r="G68" s="856"/>
      <c r="H68" s="856"/>
      <c r="I68" s="204">
        <f t="shared" si="3"/>
        <v>0</v>
      </c>
      <c r="J68" s="856"/>
      <c r="K68" s="856">
        <v>4</v>
      </c>
      <c r="L68" s="204">
        <f t="shared" si="0"/>
        <v>0.84925690021231426</v>
      </c>
      <c r="M68" s="856"/>
      <c r="N68" s="856">
        <v>8</v>
      </c>
      <c r="O68" s="204">
        <f t="shared" si="4"/>
        <v>1.3289036544850499</v>
      </c>
      <c r="P68" s="856"/>
      <c r="Q68" s="856"/>
      <c r="R68" s="204">
        <f t="shared" si="6"/>
        <v>0</v>
      </c>
    </row>
    <row r="69" spans="1:18" s="111" customFormat="1">
      <c r="A69" s="14" t="s">
        <v>206</v>
      </c>
      <c r="B69" s="856">
        <v>4</v>
      </c>
      <c r="C69" s="204">
        <f t="shared" si="2"/>
        <v>0.21447721179624668</v>
      </c>
      <c r="D69" s="856"/>
      <c r="E69" s="856">
        <v>1</v>
      </c>
      <c r="F69" s="204">
        <f t="shared" si="5"/>
        <v>0.19762845849802371</v>
      </c>
      <c r="G69" s="856"/>
      <c r="H69" s="856"/>
      <c r="I69" s="204">
        <f t="shared" si="3"/>
        <v>0</v>
      </c>
      <c r="J69" s="856"/>
      <c r="K69" s="856">
        <v>1</v>
      </c>
      <c r="L69" s="204">
        <f t="shared" si="0"/>
        <v>0.21231422505307856</v>
      </c>
      <c r="M69" s="856"/>
      <c r="N69" s="856">
        <v>2</v>
      </c>
      <c r="O69" s="204">
        <f t="shared" si="4"/>
        <v>0.33222591362126247</v>
      </c>
      <c r="P69" s="856"/>
      <c r="Q69" s="856"/>
      <c r="R69" s="204">
        <f t="shared" si="6"/>
        <v>0</v>
      </c>
    </row>
    <row r="70" spans="1:18" s="111" customFormat="1">
      <c r="A70" s="14" t="s">
        <v>1181</v>
      </c>
      <c r="B70" s="856">
        <v>4</v>
      </c>
      <c r="C70" s="204">
        <f t="shared" si="2"/>
        <v>0.21447721179624668</v>
      </c>
      <c r="D70" s="856"/>
      <c r="E70" s="856"/>
      <c r="F70" s="204">
        <f t="shared" si="5"/>
        <v>0</v>
      </c>
      <c r="G70" s="856"/>
      <c r="H70" s="856">
        <v>1</v>
      </c>
      <c r="I70" s="204">
        <f t="shared" si="3"/>
        <v>2.9411764705882351</v>
      </c>
      <c r="J70" s="856"/>
      <c r="K70" s="856">
        <v>2</v>
      </c>
      <c r="L70" s="204">
        <f t="shared" si="0"/>
        <v>0.42462845010615713</v>
      </c>
      <c r="M70" s="856"/>
      <c r="N70" s="856">
        <v>1</v>
      </c>
      <c r="O70" s="204">
        <f t="shared" si="4"/>
        <v>0.16611295681063123</v>
      </c>
      <c r="P70" s="856"/>
      <c r="Q70" s="856">
        <v>1</v>
      </c>
      <c r="R70" s="204">
        <f t="shared" si="6"/>
        <v>4</v>
      </c>
    </row>
    <row r="71" spans="1:18" s="111" customFormat="1">
      <c r="A71" s="14" t="s">
        <v>205</v>
      </c>
      <c r="B71" s="856">
        <v>11</v>
      </c>
      <c r="C71" s="204">
        <f t="shared" si="2"/>
        <v>0.58981233243967823</v>
      </c>
      <c r="D71" s="856"/>
      <c r="E71" s="856">
        <v>5</v>
      </c>
      <c r="F71" s="204">
        <f t="shared" si="5"/>
        <v>0.98814229249011865</v>
      </c>
      <c r="G71" s="856"/>
      <c r="H71" s="856">
        <v>1</v>
      </c>
      <c r="I71" s="204">
        <f t="shared" si="3"/>
        <v>2.9411764705882351</v>
      </c>
      <c r="J71" s="856"/>
      <c r="K71" s="856">
        <v>3</v>
      </c>
      <c r="L71" s="204">
        <f t="shared" si="0"/>
        <v>0.63694267515923575</v>
      </c>
      <c r="M71" s="856"/>
      <c r="N71" s="856">
        <v>1</v>
      </c>
      <c r="O71" s="204">
        <f t="shared" si="4"/>
        <v>0.16611295681063123</v>
      </c>
      <c r="P71" s="856"/>
      <c r="Q71" s="856"/>
      <c r="R71" s="204">
        <f t="shared" si="6"/>
        <v>0</v>
      </c>
    </row>
    <row r="72" spans="1:18" s="111" customFormat="1">
      <c r="A72" s="14"/>
      <c r="B72" s="95"/>
      <c r="C72" s="204" t="str">
        <f t="shared" si="2"/>
        <v/>
      </c>
      <c r="D72" s="95"/>
      <c r="E72" s="95"/>
      <c r="F72" s="204" t="str">
        <f t="shared" si="5"/>
        <v/>
      </c>
      <c r="G72" s="95"/>
      <c r="H72" s="95"/>
      <c r="I72" s="204" t="str">
        <f t="shared" si="3"/>
        <v/>
      </c>
      <c r="J72" s="95"/>
      <c r="K72" s="95"/>
      <c r="L72" s="204" t="str">
        <f t="shared" si="0"/>
        <v/>
      </c>
      <c r="M72" s="95"/>
      <c r="N72" s="95"/>
      <c r="O72" s="204" t="str">
        <f t="shared" si="4"/>
        <v/>
      </c>
      <c r="P72" s="95"/>
      <c r="Q72" s="95"/>
      <c r="R72" s="204" t="str">
        <f t="shared" si="6"/>
        <v/>
      </c>
    </row>
    <row r="73" spans="1:18" s="111" customFormat="1">
      <c r="A73" s="14" t="s">
        <v>208</v>
      </c>
      <c r="B73" s="856">
        <v>10</v>
      </c>
      <c r="C73" s="204">
        <f t="shared" si="2"/>
        <v>0.53619302949061665</v>
      </c>
      <c r="D73" s="856"/>
      <c r="E73" s="856">
        <v>1</v>
      </c>
      <c r="F73" s="204">
        <f t="shared" si="5"/>
        <v>0.19762845849802371</v>
      </c>
      <c r="G73" s="856"/>
      <c r="H73" s="856"/>
      <c r="I73" s="204">
        <f t="shared" si="3"/>
        <v>0</v>
      </c>
      <c r="J73" s="856"/>
      <c r="K73" s="856">
        <v>3</v>
      </c>
      <c r="L73" s="204">
        <f t="shared" si="0"/>
        <v>0.63694267515923575</v>
      </c>
      <c r="M73" s="856"/>
      <c r="N73" s="856">
        <v>7</v>
      </c>
      <c r="O73" s="204">
        <f t="shared" si="4"/>
        <v>1.1627906976744187</v>
      </c>
      <c r="P73" s="856"/>
      <c r="Q73" s="856"/>
      <c r="R73" s="204">
        <f t="shared" si="6"/>
        <v>0</v>
      </c>
    </row>
    <row r="74" spans="1:18" s="111" customFormat="1">
      <c r="A74" s="14"/>
      <c r="B74" s="95"/>
      <c r="C74" s="204" t="str">
        <f t="shared" si="2"/>
        <v/>
      </c>
      <c r="D74" s="95"/>
      <c r="E74" s="95"/>
      <c r="F74" s="204" t="str">
        <f t="shared" si="5"/>
        <v/>
      </c>
      <c r="G74" s="95"/>
      <c r="H74" s="95"/>
      <c r="I74" s="204" t="str">
        <f t="shared" si="3"/>
        <v/>
      </c>
      <c r="J74" s="95"/>
      <c r="K74" s="95"/>
      <c r="L74" s="204" t="str">
        <f t="shared" si="0"/>
        <v/>
      </c>
      <c r="M74" s="95"/>
      <c r="N74" s="95"/>
      <c r="O74" s="204" t="str">
        <f t="shared" si="4"/>
        <v/>
      </c>
      <c r="P74" s="95"/>
      <c r="Q74" s="95"/>
      <c r="R74" s="204" t="str">
        <f t="shared" si="6"/>
        <v/>
      </c>
    </row>
    <row r="75" spans="1:18" s="111" customFormat="1">
      <c r="A75" s="14" t="s">
        <v>209</v>
      </c>
      <c r="B75" s="856">
        <v>27</v>
      </c>
      <c r="C75" s="204">
        <f t="shared" si="2"/>
        <v>1.447721179624665</v>
      </c>
      <c r="D75" s="856"/>
      <c r="E75" s="856">
        <v>11</v>
      </c>
      <c r="F75" s="204">
        <f t="shared" si="5"/>
        <v>2.1739130434782608</v>
      </c>
      <c r="G75" s="856"/>
      <c r="H75" s="856"/>
      <c r="I75" s="204">
        <f t="shared" si="3"/>
        <v>0</v>
      </c>
      <c r="J75" s="856"/>
      <c r="K75" s="856">
        <v>9</v>
      </c>
      <c r="L75" s="204">
        <f t="shared" ref="L75:L89" si="7">IF(A75&lt;&gt;0,K75/$K$10*100,"")</f>
        <v>1.910828025477707</v>
      </c>
      <c r="M75" s="856"/>
      <c r="N75" s="856">
        <v>4</v>
      </c>
      <c r="O75" s="204">
        <f t="shared" si="4"/>
        <v>0.66445182724252494</v>
      </c>
      <c r="P75" s="856"/>
      <c r="Q75" s="856"/>
      <c r="R75" s="204">
        <f t="shared" si="6"/>
        <v>0</v>
      </c>
    </row>
    <row r="76" spans="1:18" s="111" customFormat="1">
      <c r="C76" s="204" t="str">
        <f t="shared" si="2"/>
        <v/>
      </c>
      <c r="F76" s="204" t="str">
        <f t="shared" si="5"/>
        <v/>
      </c>
      <c r="I76" s="204" t="str">
        <f t="shared" si="3"/>
        <v/>
      </c>
      <c r="L76" s="204" t="str">
        <f t="shared" si="7"/>
        <v/>
      </c>
      <c r="O76" s="204" t="str">
        <f t="shared" si="4"/>
        <v/>
      </c>
    </row>
    <row r="77" spans="1:18" s="111" customFormat="1">
      <c r="A77" s="17" t="s">
        <v>483</v>
      </c>
      <c r="B77" s="453">
        <f>SUM(B79)</f>
        <v>114</v>
      </c>
      <c r="C77" s="204">
        <f t="shared" si="2"/>
        <v>6.1126005361930291</v>
      </c>
      <c r="D77" s="17"/>
      <c r="E77" s="242">
        <f>SUM(E79)</f>
        <v>35</v>
      </c>
      <c r="F77" s="204">
        <f t="shared" si="5"/>
        <v>6.9169960474308301</v>
      </c>
      <c r="G77" s="204"/>
      <c r="H77" s="14">
        <f>SUM(H79)</f>
        <v>0</v>
      </c>
      <c r="I77" s="204">
        <f t="shared" si="3"/>
        <v>0</v>
      </c>
      <c r="J77" s="14"/>
      <c r="K77" s="14">
        <f>SUM(K79)</f>
        <v>17</v>
      </c>
      <c r="L77" s="204">
        <f t="shared" si="7"/>
        <v>3.6093418259023355</v>
      </c>
      <c r="M77" s="14"/>
      <c r="N77" s="14">
        <f>SUM(N79)</f>
        <v>37</v>
      </c>
      <c r="O77" s="204">
        <f t="shared" si="4"/>
        <v>6.1461794019933551</v>
      </c>
      <c r="P77" s="14"/>
      <c r="Q77" s="14">
        <f>SUM(Q79)</f>
        <v>0</v>
      </c>
      <c r="R77" s="204">
        <f t="shared" ref="R77:R89" si="8">IF(A77&lt;&gt;0,Q77/$Q$10*100,"")</f>
        <v>0</v>
      </c>
    </row>
    <row r="78" spans="1:18" s="111" customFormat="1">
      <c r="A78" s="14"/>
      <c r="B78" s="453"/>
      <c r="C78" s="204" t="str">
        <f t="shared" ref="C78:C89" si="9">IF($A78&lt;&gt;0,B78/B$10*100,"")</f>
        <v/>
      </c>
      <c r="D78" s="14"/>
      <c r="E78" s="242"/>
      <c r="F78" s="204" t="str">
        <f t="shared" si="5"/>
        <v/>
      </c>
      <c r="G78" s="204"/>
      <c r="H78" s="14"/>
      <c r="I78" s="204" t="str">
        <f t="shared" ref="I78:I89" si="10">IF($A78&lt;&gt;0,H78/H$10*100,"")</f>
        <v/>
      </c>
      <c r="J78" s="14"/>
      <c r="K78" s="14"/>
      <c r="L78" s="204" t="str">
        <f t="shared" si="7"/>
        <v/>
      </c>
      <c r="M78" s="14"/>
      <c r="O78" s="204" t="str">
        <f t="shared" ref="O78:O89" si="11">IF($A78&lt;&gt;0,N78/N$10*100,"")</f>
        <v/>
      </c>
      <c r="P78" s="14"/>
      <c r="R78" s="204" t="str">
        <f t="shared" si="8"/>
        <v/>
      </c>
    </row>
    <row r="79" spans="1:18" s="111" customFormat="1">
      <c r="A79" s="14" t="s">
        <v>217</v>
      </c>
      <c r="B79" s="453">
        <f>SUM(B80:B89)</f>
        <v>114</v>
      </c>
      <c r="C79" s="204">
        <f t="shared" si="9"/>
        <v>6.1126005361930291</v>
      </c>
      <c r="D79" s="14"/>
      <c r="E79" s="242">
        <f>SUM(E80:E89)</f>
        <v>35</v>
      </c>
      <c r="F79" s="204">
        <f t="shared" si="5"/>
        <v>6.9169960474308301</v>
      </c>
      <c r="G79" s="204"/>
      <c r="H79" s="14">
        <f>SUM(H80:H89)</f>
        <v>0</v>
      </c>
      <c r="I79" s="204">
        <f t="shared" si="10"/>
        <v>0</v>
      </c>
      <c r="J79" s="14"/>
      <c r="K79" s="14">
        <f>SUM(K80:K89)</f>
        <v>17</v>
      </c>
      <c r="L79" s="204">
        <f t="shared" si="7"/>
        <v>3.6093418259023355</v>
      </c>
      <c r="M79" s="14"/>
      <c r="N79" s="14">
        <f>SUM(N80:N89)</f>
        <v>37</v>
      </c>
      <c r="O79" s="204">
        <f t="shared" si="11"/>
        <v>6.1461794019933551</v>
      </c>
      <c r="P79" s="14"/>
      <c r="Q79" s="14">
        <f>SUM(Q80:Q89)</f>
        <v>0</v>
      </c>
      <c r="R79" s="204">
        <f t="shared" si="8"/>
        <v>0</v>
      </c>
    </row>
    <row r="80" spans="1:18" s="111" customFormat="1">
      <c r="A80" s="14" t="s">
        <v>1182</v>
      </c>
      <c r="B80" s="14"/>
      <c r="C80" s="204">
        <f t="shared" si="9"/>
        <v>0</v>
      </c>
      <c r="D80" s="14"/>
      <c r="E80" s="14"/>
      <c r="F80" s="204">
        <f t="shared" ref="F80:F89" si="12">IF($A80&lt;&gt;0,E80/E$10*100,"")</f>
        <v>0</v>
      </c>
      <c r="G80" s="14"/>
      <c r="H80" s="14"/>
      <c r="I80" s="204">
        <f t="shared" si="10"/>
        <v>0</v>
      </c>
      <c r="J80" s="14"/>
      <c r="K80" s="14"/>
      <c r="L80" s="204">
        <f t="shared" si="7"/>
        <v>0</v>
      </c>
      <c r="M80" s="14"/>
      <c r="N80" s="14"/>
      <c r="O80" s="204">
        <f t="shared" si="11"/>
        <v>0</v>
      </c>
      <c r="P80" s="14"/>
      <c r="Q80" s="14"/>
      <c r="R80" s="204">
        <f t="shared" si="8"/>
        <v>0</v>
      </c>
    </row>
    <row r="81" spans="1:19" s="111" customFormat="1">
      <c r="A81" s="14" t="s">
        <v>218</v>
      </c>
      <c r="B81" s="856">
        <v>38</v>
      </c>
      <c r="C81" s="204">
        <f t="shared" si="9"/>
        <v>2.0375335120643432</v>
      </c>
      <c r="D81" s="856"/>
      <c r="E81" s="856">
        <v>7</v>
      </c>
      <c r="F81" s="204">
        <f t="shared" si="12"/>
        <v>1.383399209486166</v>
      </c>
      <c r="G81" s="856"/>
      <c r="H81" s="856"/>
      <c r="I81" s="204">
        <f t="shared" si="10"/>
        <v>0</v>
      </c>
      <c r="J81" s="856"/>
      <c r="K81" s="856">
        <v>6</v>
      </c>
      <c r="L81" s="204">
        <f t="shared" si="7"/>
        <v>1.2738853503184715</v>
      </c>
      <c r="M81" s="856"/>
      <c r="N81" s="856">
        <v>18</v>
      </c>
      <c r="O81" s="204">
        <f t="shared" si="11"/>
        <v>2.9900332225913622</v>
      </c>
      <c r="P81" s="454"/>
      <c r="Q81" s="454">
        <v>0</v>
      </c>
      <c r="R81" s="204">
        <f t="shared" si="8"/>
        <v>0</v>
      </c>
    </row>
    <row r="82" spans="1:19" s="111" customFormat="1">
      <c r="A82" s="14" t="s">
        <v>220</v>
      </c>
      <c r="B82" s="856">
        <v>20</v>
      </c>
      <c r="C82" s="204">
        <f t="shared" si="9"/>
        <v>1.0723860589812333</v>
      </c>
      <c r="D82" s="856"/>
      <c r="E82" s="856">
        <v>11</v>
      </c>
      <c r="F82" s="204">
        <f t="shared" si="12"/>
        <v>2.1739130434782608</v>
      </c>
      <c r="G82" s="856"/>
      <c r="H82" s="856"/>
      <c r="I82" s="204">
        <f t="shared" si="10"/>
        <v>0</v>
      </c>
      <c r="J82" s="856"/>
      <c r="K82" s="856">
        <v>2</v>
      </c>
      <c r="L82" s="204">
        <f t="shared" si="7"/>
        <v>0.42462845010615713</v>
      </c>
      <c r="M82" s="856"/>
      <c r="N82" s="856">
        <v>2</v>
      </c>
      <c r="O82" s="204">
        <f t="shared" si="11"/>
        <v>0.33222591362126247</v>
      </c>
      <c r="P82" s="454"/>
      <c r="Q82" s="454">
        <v>0</v>
      </c>
      <c r="R82" s="204">
        <f t="shared" si="8"/>
        <v>0</v>
      </c>
    </row>
    <row r="83" spans="1:19" s="111" customFormat="1">
      <c r="A83" s="14" t="s">
        <v>222</v>
      </c>
      <c r="B83" s="856">
        <v>11</v>
      </c>
      <c r="C83" s="204">
        <f t="shared" si="9"/>
        <v>0.58981233243967823</v>
      </c>
      <c r="D83" s="856"/>
      <c r="E83" s="856">
        <v>5</v>
      </c>
      <c r="F83" s="204">
        <f t="shared" si="12"/>
        <v>0.98814229249011865</v>
      </c>
      <c r="G83" s="856"/>
      <c r="H83" s="856"/>
      <c r="I83" s="204">
        <f t="shared" si="10"/>
        <v>0</v>
      </c>
      <c r="J83" s="856"/>
      <c r="K83" s="856">
        <v>2</v>
      </c>
      <c r="L83" s="204">
        <f t="shared" si="7"/>
        <v>0.42462845010615713</v>
      </c>
      <c r="M83" s="856"/>
      <c r="N83" s="856">
        <v>4</v>
      </c>
      <c r="O83" s="204">
        <f t="shared" si="11"/>
        <v>0.66445182724252494</v>
      </c>
      <c r="P83" s="454"/>
      <c r="Q83" s="454">
        <v>0</v>
      </c>
      <c r="R83" s="204">
        <f t="shared" si="8"/>
        <v>0</v>
      </c>
    </row>
    <row r="84" spans="1:19" s="111" customFormat="1">
      <c r="A84" s="14" t="s">
        <v>221</v>
      </c>
      <c r="B84" s="856">
        <v>1</v>
      </c>
      <c r="C84" s="204">
        <f t="shared" si="9"/>
        <v>5.361930294906167E-2</v>
      </c>
      <c r="D84" s="856"/>
      <c r="E84" s="856">
        <v>1</v>
      </c>
      <c r="F84" s="204">
        <f t="shared" si="12"/>
        <v>0.19762845849802371</v>
      </c>
      <c r="G84" s="856"/>
      <c r="H84" s="856"/>
      <c r="I84" s="204">
        <f t="shared" si="10"/>
        <v>0</v>
      </c>
      <c r="J84" s="856"/>
      <c r="K84" s="856"/>
      <c r="L84" s="204">
        <f t="shared" si="7"/>
        <v>0</v>
      </c>
      <c r="M84" s="856"/>
      <c r="N84" s="856"/>
      <c r="O84" s="204">
        <f t="shared" si="11"/>
        <v>0</v>
      </c>
      <c r="P84" s="454"/>
      <c r="Q84" s="454">
        <v>0</v>
      </c>
      <c r="R84" s="204">
        <f t="shared" si="8"/>
        <v>0</v>
      </c>
    </row>
    <row r="85" spans="1:19" s="111" customFormat="1">
      <c r="A85" s="14" t="s">
        <v>219</v>
      </c>
      <c r="B85" s="856">
        <v>9</v>
      </c>
      <c r="C85" s="204">
        <f t="shared" si="9"/>
        <v>0.482573726541555</v>
      </c>
      <c r="D85" s="856"/>
      <c r="E85" s="856">
        <v>2</v>
      </c>
      <c r="F85" s="204">
        <f t="shared" si="12"/>
        <v>0.39525691699604742</v>
      </c>
      <c r="G85" s="856"/>
      <c r="H85" s="856"/>
      <c r="I85" s="204">
        <f t="shared" si="10"/>
        <v>0</v>
      </c>
      <c r="J85" s="856"/>
      <c r="K85" s="856"/>
      <c r="L85" s="204">
        <f t="shared" si="7"/>
        <v>0</v>
      </c>
      <c r="M85" s="856"/>
      <c r="N85" s="856">
        <v>4</v>
      </c>
      <c r="O85" s="204">
        <f t="shared" si="11"/>
        <v>0.66445182724252494</v>
      </c>
      <c r="P85" s="454"/>
      <c r="Q85" s="454">
        <v>0</v>
      </c>
      <c r="R85" s="204">
        <f t="shared" si="8"/>
        <v>0</v>
      </c>
    </row>
    <row r="86" spans="1:19" s="111" customFormat="1">
      <c r="A86" s="14" t="s">
        <v>416</v>
      </c>
      <c r="B86" s="856">
        <v>2</v>
      </c>
      <c r="C86" s="204">
        <f t="shared" si="9"/>
        <v>0.10723860589812334</v>
      </c>
      <c r="D86" s="856"/>
      <c r="E86" s="856">
        <v>1</v>
      </c>
      <c r="F86" s="204">
        <f t="shared" si="12"/>
        <v>0.19762845849802371</v>
      </c>
      <c r="G86" s="856"/>
      <c r="H86" s="856"/>
      <c r="I86" s="204">
        <f t="shared" si="10"/>
        <v>0</v>
      </c>
      <c r="J86" s="856"/>
      <c r="K86" s="856">
        <v>1</v>
      </c>
      <c r="L86" s="204">
        <f t="shared" si="7"/>
        <v>0.21231422505307856</v>
      </c>
      <c r="M86" s="856"/>
      <c r="N86" s="856">
        <v>1</v>
      </c>
      <c r="O86" s="204">
        <f t="shared" si="11"/>
        <v>0.16611295681063123</v>
      </c>
      <c r="P86" s="454"/>
      <c r="Q86" s="454">
        <v>0</v>
      </c>
      <c r="R86" s="204">
        <f t="shared" si="8"/>
        <v>0</v>
      </c>
    </row>
    <row r="87" spans="1:19" s="111" customFormat="1">
      <c r="A87" s="14" t="s">
        <v>223</v>
      </c>
      <c r="B87" s="856">
        <v>17</v>
      </c>
      <c r="C87" s="204">
        <f t="shared" si="9"/>
        <v>0.9115281501340482</v>
      </c>
      <c r="D87" s="856"/>
      <c r="E87" s="856">
        <v>5</v>
      </c>
      <c r="F87" s="204">
        <f t="shared" si="12"/>
        <v>0.98814229249011865</v>
      </c>
      <c r="G87" s="856"/>
      <c r="H87" s="856"/>
      <c r="I87" s="204">
        <f t="shared" si="10"/>
        <v>0</v>
      </c>
      <c r="J87" s="856"/>
      <c r="K87" s="856">
        <v>3</v>
      </c>
      <c r="L87" s="204">
        <f t="shared" si="7"/>
        <v>0.63694267515923575</v>
      </c>
      <c r="M87" s="856"/>
      <c r="N87" s="856">
        <v>2</v>
      </c>
      <c r="O87" s="204">
        <f t="shared" si="11"/>
        <v>0.33222591362126247</v>
      </c>
      <c r="P87" s="454"/>
      <c r="Q87" s="454">
        <v>0</v>
      </c>
      <c r="R87" s="204">
        <f t="shared" si="8"/>
        <v>0</v>
      </c>
    </row>
    <row r="88" spans="1:19" s="111" customFormat="1">
      <c r="A88" s="14" t="s">
        <v>1183</v>
      </c>
      <c r="B88" s="856">
        <v>5</v>
      </c>
      <c r="C88" s="204">
        <f t="shared" si="9"/>
        <v>0.26809651474530832</v>
      </c>
      <c r="D88" s="856"/>
      <c r="E88" s="856">
        <v>2</v>
      </c>
      <c r="F88" s="204">
        <f t="shared" si="12"/>
        <v>0.39525691699604742</v>
      </c>
      <c r="G88" s="856"/>
      <c r="H88" s="856"/>
      <c r="I88" s="204">
        <f t="shared" si="10"/>
        <v>0</v>
      </c>
      <c r="J88" s="856"/>
      <c r="K88" s="856">
        <v>1</v>
      </c>
      <c r="L88" s="204">
        <f t="shared" si="7"/>
        <v>0.21231422505307856</v>
      </c>
      <c r="M88" s="856"/>
      <c r="N88" s="856">
        <v>2</v>
      </c>
      <c r="O88" s="204">
        <f t="shared" si="11"/>
        <v>0.33222591362126247</v>
      </c>
      <c r="P88" s="454"/>
      <c r="Q88" s="454">
        <v>0</v>
      </c>
      <c r="R88" s="204">
        <f t="shared" si="8"/>
        <v>0</v>
      </c>
    </row>
    <row r="89" spans="1:19" s="111" customFormat="1">
      <c r="A89" s="14" t="s">
        <v>1184</v>
      </c>
      <c r="B89" s="856">
        <v>11</v>
      </c>
      <c r="C89" s="204">
        <f t="shared" si="9"/>
        <v>0.58981233243967823</v>
      </c>
      <c r="D89" s="856"/>
      <c r="E89" s="856">
        <v>1</v>
      </c>
      <c r="F89" s="204">
        <f t="shared" si="12"/>
        <v>0.19762845849802371</v>
      </c>
      <c r="G89" s="856"/>
      <c r="H89" s="856"/>
      <c r="I89" s="204">
        <f t="shared" si="10"/>
        <v>0</v>
      </c>
      <c r="J89" s="856"/>
      <c r="K89" s="856">
        <v>2</v>
      </c>
      <c r="L89" s="204">
        <f t="shared" si="7"/>
        <v>0.42462845010615713</v>
      </c>
      <c r="M89" s="856"/>
      <c r="N89" s="856">
        <v>4</v>
      </c>
      <c r="O89" s="204">
        <f t="shared" si="11"/>
        <v>0.66445182724252494</v>
      </c>
      <c r="P89" s="454"/>
      <c r="Q89" s="454">
        <v>0</v>
      </c>
      <c r="R89" s="204">
        <f t="shared" si="8"/>
        <v>0</v>
      </c>
    </row>
    <row r="90" spans="1:19" s="111" customFormat="1">
      <c r="A90" s="14"/>
      <c r="B90" s="456"/>
      <c r="C90" s="14"/>
      <c r="D90" s="14"/>
      <c r="E90" s="204"/>
      <c r="F90" s="204"/>
      <c r="G90" s="204"/>
      <c r="H90" s="204"/>
      <c r="I90" s="204"/>
      <c r="J90" s="204"/>
      <c r="K90" s="204"/>
      <c r="L90" s="204"/>
      <c r="M90" s="204"/>
      <c r="N90" s="204"/>
      <c r="O90" s="204"/>
      <c r="P90" s="204"/>
      <c r="Q90" s="204"/>
      <c r="R90" s="204"/>
    </row>
    <row r="91" spans="1:19" s="111" customFormat="1" hidden="1">
      <c r="A91" s="17" t="s">
        <v>413</v>
      </c>
      <c r="B91" s="453">
        <f t="shared" ref="B91" si="13">SUM(B93)</f>
        <v>0</v>
      </c>
      <c r="C91" s="204">
        <f t="shared" ref="C91:C154" si="14">IF($A91&lt;&gt;0,B91/B$10*100,"")</f>
        <v>0</v>
      </c>
      <c r="D91" s="17"/>
      <c r="E91" s="343">
        <f t="shared" ref="E91:N91" si="15">SUM(E93)</f>
        <v>0</v>
      </c>
      <c r="F91" s="204">
        <f t="shared" ref="F91:F154" si="16">IF($A91&lt;&gt;0,E91/E$10*100,"")</f>
        <v>0</v>
      </c>
      <c r="G91" s="343"/>
      <c r="H91" s="343">
        <f t="shared" si="15"/>
        <v>0</v>
      </c>
      <c r="I91" s="204">
        <f t="shared" ref="I91:I154" si="17">IF($A91&lt;&gt;0,H91/H$10*100,"")</f>
        <v>0</v>
      </c>
      <c r="J91" s="343"/>
      <c r="K91" s="343">
        <f t="shared" si="15"/>
        <v>0</v>
      </c>
      <c r="L91" s="204">
        <f>IF(A91&lt;&gt;0,K91/$K$10*100,"")</f>
        <v>0</v>
      </c>
      <c r="M91" s="343"/>
      <c r="N91" s="343">
        <f t="shared" si="15"/>
        <v>0</v>
      </c>
      <c r="O91" s="204">
        <f t="shared" ref="O91:O154" si="18">IF($A91&lt;&gt;0,N91/N$10*100,"")</f>
        <v>0</v>
      </c>
      <c r="P91" s="343"/>
      <c r="Q91" s="343">
        <f t="shared" ref="Q91" si="19">SUM(Q93)</f>
        <v>0</v>
      </c>
      <c r="R91" s="204">
        <f t="shared" ref="R91:R154" si="20">IF(A91&lt;&gt;0,Q91/$Q$10*100,"")</f>
        <v>0</v>
      </c>
    </row>
    <row r="92" spans="1:19" s="111" customFormat="1" hidden="1">
      <c r="A92" s="14"/>
      <c r="B92" s="453"/>
      <c r="C92" s="204" t="str">
        <f t="shared" si="14"/>
        <v/>
      </c>
      <c r="D92" s="14"/>
      <c r="E92" s="242"/>
      <c r="F92" s="204" t="str">
        <f t="shared" si="16"/>
        <v/>
      </c>
      <c r="G92" s="204"/>
      <c r="H92" s="14"/>
      <c r="I92" s="204" t="str">
        <f t="shared" si="17"/>
        <v/>
      </c>
      <c r="J92" s="14"/>
      <c r="K92" s="14"/>
      <c r="L92" s="204" t="str">
        <f>IF(A92&lt;&gt;0,K92/$K$10*100,"")</f>
        <v/>
      </c>
      <c r="M92" s="14"/>
      <c r="O92" s="204" t="str">
        <f t="shared" si="18"/>
        <v/>
      </c>
      <c r="P92" s="14"/>
      <c r="R92" s="204" t="str">
        <f t="shared" si="20"/>
        <v/>
      </c>
    </row>
    <row r="93" spans="1:19" s="111" customFormat="1" hidden="1">
      <c r="A93" s="14" t="s">
        <v>1292</v>
      </c>
      <c r="B93" s="454">
        <v>0</v>
      </c>
      <c r="C93" s="204">
        <f t="shared" si="14"/>
        <v>0</v>
      </c>
      <c r="D93" s="454"/>
      <c r="E93" s="454">
        <v>0</v>
      </c>
      <c r="F93" s="204">
        <f t="shared" si="16"/>
        <v>0</v>
      </c>
      <c r="G93" s="454"/>
      <c r="H93" s="454">
        <v>0</v>
      </c>
      <c r="I93" s="204">
        <f t="shared" si="17"/>
        <v>0</v>
      </c>
      <c r="J93" s="454"/>
      <c r="K93" s="454"/>
      <c r="L93" s="204">
        <f>IF(A93&lt;&gt;0,K93/$K$10*100,"")</f>
        <v>0</v>
      </c>
      <c r="M93" s="454"/>
      <c r="N93" s="454">
        <v>0</v>
      </c>
      <c r="O93" s="204">
        <f t="shared" si="18"/>
        <v>0</v>
      </c>
      <c r="P93" s="454"/>
      <c r="Q93" s="454">
        <v>0</v>
      </c>
      <c r="R93" s="204">
        <f t="shared" si="20"/>
        <v>0</v>
      </c>
      <c r="S93" s="343"/>
    </row>
    <row r="94" spans="1:19" s="111" customFormat="1" hidden="1">
      <c r="A94" s="14" t="s">
        <v>1185</v>
      </c>
      <c r="B94" s="454">
        <v>0</v>
      </c>
      <c r="C94" s="204">
        <f t="shared" si="14"/>
        <v>0</v>
      </c>
      <c r="D94" s="454"/>
      <c r="E94" s="454">
        <v>0</v>
      </c>
      <c r="F94" s="204">
        <f t="shared" si="16"/>
        <v>0</v>
      </c>
      <c r="G94" s="454"/>
      <c r="H94" s="454">
        <v>0</v>
      </c>
      <c r="I94" s="204">
        <f t="shared" si="17"/>
        <v>0</v>
      </c>
      <c r="J94" s="454"/>
      <c r="K94" s="454"/>
      <c r="L94" s="204">
        <f t="shared" ref="L94:L102" si="21">IF(A94&lt;&gt;0,K94/$K$10*100,"")</f>
        <v>0</v>
      </c>
      <c r="M94" s="454"/>
      <c r="N94" s="454">
        <v>0</v>
      </c>
      <c r="O94" s="204">
        <f t="shared" si="18"/>
        <v>0</v>
      </c>
      <c r="P94" s="454"/>
      <c r="Q94" s="454">
        <v>0</v>
      </c>
      <c r="R94" s="204">
        <f t="shared" si="20"/>
        <v>0</v>
      </c>
    </row>
    <row r="95" spans="1:19" s="111" customFormat="1" hidden="1">
      <c r="A95" s="14" t="s">
        <v>1186</v>
      </c>
      <c r="B95" s="169"/>
      <c r="C95" s="204">
        <f t="shared" si="14"/>
        <v>0</v>
      </c>
      <c r="D95" s="14"/>
      <c r="F95" s="204">
        <f t="shared" si="16"/>
        <v>0</v>
      </c>
      <c r="I95" s="204">
        <f t="shared" si="17"/>
        <v>0</v>
      </c>
      <c r="L95" s="204">
        <f t="shared" si="21"/>
        <v>0</v>
      </c>
      <c r="O95" s="204">
        <f t="shared" si="18"/>
        <v>0</v>
      </c>
      <c r="R95" s="204">
        <f t="shared" si="20"/>
        <v>0</v>
      </c>
    </row>
    <row r="96" spans="1:19" s="111" customFormat="1" hidden="1">
      <c r="A96" s="14" t="s">
        <v>1187</v>
      </c>
      <c r="B96" s="169"/>
      <c r="C96" s="204">
        <f t="shared" si="14"/>
        <v>0</v>
      </c>
      <c r="D96" s="14"/>
      <c r="F96" s="204">
        <f t="shared" si="16"/>
        <v>0</v>
      </c>
      <c r="I96" s="204">
        <f t="shared" si="17"/>
        <v>0</v>
      </c>
      <c r="L96" s="204">
        <f t="shared" si="21"/>
        <v>0</v>
      </c>
      <c r="O96" s="204">
        <f t="shared" si="18"/>
        <v>0</v>
      </c>
      <c r="R96" s="204">
        <f t="shared" si="20"/>
        <v>0</v>
      </c>
    </row>
    <row r="97" spans="1:18" s="111" customFormat="1" hidden="1">
      <c r="A97" s="14" t="s">
        <v>212</v>
      </c>
      <c r="B97" s="169"/>
      <c r="C97" s="204">
        <f t="shared" si="14"/>
        <v>0</v>
      </c>
      <c r="D97" s="14"/>
      <c r="F97" s="204">
        <f t="shared" si="16"/>
        <v>0</v>
      </c>
      <c r="I97" s="204">
        <f t="shared" si="17"/>
        <v>0</v>
      </c>
      <c r="L97" s="204">
        <f t="shared" si="21"/>
        <v>0</v>
      </c>
      <c r="O97" s="204">
        <f t="shared" si="18"/>
        <v>0</v>
      </c>
      <c r="R97" s="204">
        <f t="shared" si="20"/>
        <v>0</v>
      </c>
    </row>
    <row r="98" spans="1:18" s="111" customFormat="1" hidden="1">
      <c r="A98" s="14"/>
      <c r="B98" s="169"/>
      <c r="C98" s="204" t="str">
        <f t="shared" si="14"/>
        <v/>
      </c>
      <c r="D98" s="14"/>
      <c r="F98" s="204" t="str">
        <f t="shared" si="16"/>
        <v/>
      </c>
      <c r="I98" s="204" t="str">
        <f t="shared" si="17"/>
        <v/>
      </c>
      <c r="L98" s="204" t="str">
        <f t="shared" si="21"/>
        <v/>
      </c>
      <c r="O98" s="204" t="str">
        <f t="shared" si="18"/>
        <v/>
      </c>
      <c r="R98" s="204" t="str">
        <f t="shared" si="20"/>
        <v/>
      </c>
    </row>
    <row r="99" spans="1:18" s="111" customFormat="1">
      <c r="A99" s="14" t="s">
        <v>1188</v>
      </c>
      <c r="B99" s="856">
        <v>16</v>
      </c>
      <c r="C99" s="204">
        <f t="shared" si="14"/>
        <v>0.85790884718498672</v>
      </c>
      <c r="D99" s="856"/>
      <c r="E99" s="856">
        <v>5</v>
      </c>
      <c r="F99" s="204">
        <f t="shared" si="16"/>
        <v>0.98814229249011865</v>
      </c>
      <c r="G99" s="856"/>
      <c r="H99" s="856"/>
      <c r="I99" s="204">
        <f t="shared" si="17"/>
        <v>0</v>
      </c>
      <c r="J99" s="856"/>
      <c r="K99" s="856">
        <v>3</v>
      </c>
      <c r="L99" s="204">
        <f t="shared" si="21"/>
        <v>0.63694267515923575</v>
      </c>
      <c r="M99" s="856"/>
      <c r="N99" s="856">
        <v>5</v>
      </c>
      <c r="O99" s="204">
        <f t="shared" si="18"/>
        <v>0.83056478405315626</v>
      </c>
      <c r="P99" s="454"/>
      <c r="Q99" s="454">
        <v>0</v>
      </c>
      <c r="R99" s="204">
        <f t="shared" si="20"/>
        <v>0</v>
      </c>
    </row>
    <row r="100" spans="1:18" s="111" customFormat="1">
      <c r="A100" s="14" t="s">
        <v>417</v>
      </c>
      <c r="B100" s="856">
        <v>13</v>
      </c>
      <c r="C100" s="204">
        <f t="shared" si="14"/>
        <v>0.69705093833780152</v>
      </c>
      <c r="D100" s="856"/>
      <c r="E100" s="856">
        <v>5</v>
      </c>
      <c r="F100" s="204">
        <f t="shared" si="16"/>
        <v>0.98814229249011865</v>
      </c>
      <c r="G100" s="856"/>
      <c r="H100" s="856"/>
      <c r="I100" s="204">
        <f t="shared" si="17"/>
        <v>0</v>
      </c>
      <c r="J100" s="856"/>
      <c r="K100" s="856"/>
      <c r="L100" s="204">
        <f t="shared" si="21"/>
        <v>0</v>
      </c>
      <c r="M100" s="856"/>
      <c r="N100" s="856">
        <v>2</v>
      </c>
      <c r="O100" s="204">
        <f t="shared" si="18"/>
        <v>0.33222591362126247</v>
      </c>
      <c r="P100" s="454"/>
      <c r="Q100" s="454">
        <v>0</v>
      </c>
      <c r="R100" s="204">
        <f t="shared" si="20"/>
        <v>0</v>
      </c>
    </row>
    <row r="101" spans="1:18" s="111" customFormat="1" hidden="1">
      <c r="A101" s="14" t="s">
        <v>157</v>
      </c>
      <c r="B101" s="458"/>
      <c r="C101" s="204">
        <f t="shared" si="14"/>
        <v>0</v>
      </c>
      <c r="D101" s="14"/>
      <c r="E101" s="459"/>
      <c r="F101" s="204">
        <f t="shared" si="16"/>
        <v>0</v>
      </c>
      <c r="G101" s="459"/>
      <c r="H101" s="459"/>
      <c r="I101" s="204">
        <f t="shared" si="17"/>
        <v>0</v>
      </c>
      <c r="J101" s="459"/>
      <c r="K101" s="459"/>
      <c r="L101" s="204">
        <f t="shared" si="21"/>
        <v>0</v>
      </c>
      <c r="M101" s="459"/>
      <c r="N101" s="459"/>
      <c r="O101" s="204">
        <f t="shared" si="18"/>
        <v>0</v>
      </c>
      <c r="P101" s="459"/>
      <c r="Q101" s="459"/>
      <c r="R101" s="204">
        <f t="shared" si="20"/>
        <v>0</v>
      </c>
    </row>
    <row r="102" spans="1:18" s="111" customFormat="1">
      <c r="A102" s="14"/>
      <c r="B102" s="453"/>
      <c r="C102" s="204" t="str">
        <f t="shared" si="14"/>
        <v/>
      </c>
      <c r="D102" s="14"/>
      <c r="E102" s="242"/>
      <c r="F102" s="204" t="str">
        <f t="shared" si="16"/>
        <v/>
      </c>
      <c r="G102" s="204"/>
      <c r="H102" s="14"/>
      <c r="I102" s="204" t="str">
        <f t="shared" si="17"/>
        <v/>
      </c>
      <c r="J102" s="14"/>
      <c r="K102" s="14"/>
      <c r="L102" s="204" t="str">
        <f t="shared" si="21"/>
        <v/>
      </c>
      <c r="M102" s="14"/>
      <c r="O102" s="204" t="str">
        <f t="shared" si="18"/>
        <v/>
      </c>
      <c r="P102" s="14"/>
      <c r="R102" s="204" t="str">
        <f t="shared" si="20"/>
        <v/>
      </c>
    </row>
    <row r="103" spans="1:18" s="111" customFormat="1">
      <c r="A103" s="17" t="s">
        <v>1189</v>
      </c>
      <c r="B103" s="453">
        <f>SUM(B105+B112+B162)</f>
        <v>1301</v>
      </c>
      <c r="C103" s="204">
        <f t="shared" si="14"/>
        <v>69.758713136729227</v>
      </c>
      <c r="D103" s="17"/>
      <c r="E103" s="242">
        <f>SUM(E105+E112+E162)</f>
        <v>334</v>
      </c>
      <c r="F103" s="204">
        <f t="shared" si="16"/>
        <v>66.007905138339922</v>
      </c>
      <c r="G103" s="204"/>
      <c r="H103" s="242">
        <f>SUM(H105+H112+H162)</f>
        <v>22</v>
      </c>
      <c r="I103" s="204">
        <f t="shared" si="17"/>
        <v>64.705882352941174</v>
      </c>
      <c r="J103" s="14"/>
      <c r="K103" s="242">
        <f>SUM(K105+K112+K162)</f>
        <v>348</v>
      </c>
      <c r="L103" s="204">
        <f>IF(A103&lt;&gt;0,K103/$K$10*100,"")</f>
        <v>73.885350318471339</v>
      </c>
      <c r="M103" s="14"/>
      <c r="N103" s="242">
        <f>SUM(N105+N112+N162)</f>
        <v>429</v>
      </c>
      <c r="O103" s="204">
        <f t="shared" si="18"/>
        <v>71.262458471760795</v>
      </c>
      <c r="P103" s="14"/>
      <c r="Q103" s="242">
        <f>SUM(Q105+Q112+Q162)</f>
        <v>17</v>
      </c>
      <c r="R103" s="204">
        <f t="shared" si="20"/>
        <v>68</v>
      </c>
    </row>
    <row r="104" spans="1:18" s="111" customFormat="1">
      <c r="A104" s="14"/>
      <c r="B104" s="453"/>
      <c r="C104" s="204" t="str">
        <f t="shared" si="14"/>
        <v/>
      </c>
      <c r="D104" s="14"/>
      <c r="E104" s="242"/>
      <c r="F104" s="204" t="str">
        <f t="shared" si="16"/>
        <v/>
      </c>
      <c r="G104" s="204"/>
      <c r="H104" s="14"/>
      <c r="I104" s="204" t="str">
        <f t="shared" si="17"/>
        <v/>
      </c>
      <c r="J104" s="14"/>
      <c r="K104" s="14"/>
      <c r="L104" s="204" t="str">
        <f>IF(A104&lt;&gt;0,K104/$K$10*100,"")</f>
        <v/>
      </c>
      <c r="M104" s="14"/>
      <c r="O104" s="204" t="str">
        <f t="shared" si="18"/>
        <v/>
      </c>
      <c r="P104" s="14"/>
      <c r="R104" s="204" t="str">
        <f t="shared" si="20"/>
        <v/>
      </c>
    </row>
    <row r="105" spans="1:18" s="111" customFormat="1">
      <c r="A105" s="14" t="s">
        <v>1190</v>
      </c>
      <c r="B105" s="453">
        <f>SUM(B106:B110)</f>
        <v>74</v>
      </c>
      <c r="C105" s="204">
        <f t="shared" si="14"/>
        <v>3.967828418230563</v>
      </c>
      <c r="D105" s="14"/>
      <c r="E105" s="242">
        <f>SUM(E106:E110)</f>
        <v>12</v>
      </c>
      <c r="F105" s="204">
        <f t="shared" si="16"/>
        <v>2.3715415019762842</v>
      </c>
      <c r="G105" s="204"/>
      <c r="H105" s="14">
        <f>SUM(H106:H110)</f>
        <v>0</v>
      </c>
      <c r="I105" s="204">
        <f t="shared" si="17"/>
        <v>0</v>
      </c>
      <c r="J105" s="14"/>
      <c r="K105" s="14">
        <f>SUM(K106:K110)</f>
        <v>8</v>
      </c>
      <c r="L105" s="204">
        <f>IF(A105&lt;&gt;0,K105/$K$10*100,"")</f>
        <v>1.6985138004246285</v>
      </c>
      <c r="M105" s="14"/>
      <c r="N105" s="14">
        <f>SUM(N106:N110)</f>
        <v>31</v>
      </c>
      <c r="O105" s="204">
        <f t="shared" si="18"/>
        <v>5.1495016611295679</v>
      </c>
      <c r="P105" s="14"/>
      <c r="Q105" s="14">
        <f>SUM(Q106:Q110)</f>
        <v>0</v>
      </c>
      <c r="R105" s="204">
        <f t="shared" si="20"/>
        <v>0</v>
      </c>
    </row>
    <row r="106" spans="1:18" s="111" customFormat="1">
      <c r="A106" s="14" t="s">
        <v>1191</v>
      </c>
      <c r="B106" s="856">
        <v>35</v>
      </c>
      <c r="C106" s="204">
        <f t="shared" si="14"/>
        <v>1.8766756032171581</v>
      </c>
      <c r="D106" s="856"/>
      <c r="E106" s="856">
        <v>4</v>
      </c>
      <c r="F106" s="204">
        <f t="shared" si="16"/>
        <v>0.79051383399209485</v>
      </c>
      <c r="G106" s="856"/>
      <c r="H106" s="856"/>
      <c r="I106" s="204">
        <f t="shared" si="17"/>
        <v>0</v>
      </c>
      <c r="J106" s="856"/>
      <c r="K106" s="856">
        <v>5</v>
      </c>
      <c r="L106" s="204">
        <f t="shared" ref="L106:L111" si="22">IF(A106&lt;&gt;0,K106/$K$10*100,"")</f>
        <v>1.0615711252653928</v>
      </c>
      <c r="M106" s="856"/>
      <c r="N106" s="856">
        <v>15</v>
      </c>
      <c r="O106" s="204">
        <f t="shared" si="18"/>
        <v>2.4916943521594686</v>
      </c>
      <c r="P106" s="454"/>
      <c r="Q106" s="454">
        <v>0</v>
      </c>
      <c r="R106" s="204">
        <f t="shared" si="20"/>
        <v>0</v>
      </c>
    </row>
    <row r="107" spans="1:18" s="111" customFormat="1">
      <c r="A107" s="14" t="s">
        <v>1192</v>
      </c>
      <c r="B107" s="856">
        <v>19</v>
      </c>
      <c r="C107" s="204">
        <f t="shared" si="14"/>
        <v>1.0187667560321716</v>
      </c>
      <c r="D107" s="856"/>
      <c r="E107" s="856">
        <v>7</v>
      </c>
      <c r="F107" s="204">
        <f t="shared" si="16"/>
        <v>1.383399209486166</v>
      </c>
      <c r="G107" s="856"/>
      <c r="H107" s="856"/>
      <c r="I107" s="204">
        <f t="shared" si="17"/>
        <v>0</v>
      </c>
      <c r="J107" s="856"/>
      <c r="K107" s="856">
        <v>1</v>
      </c>
      <c r="L107" s="204">
        <f t="shared" si="22"/>
        <v>0.21231422505307856</v>
      </c>
      <c r="M107" s="856"/>
      <c r="N107" s="856">
        <v>9</v>
      </c>
      <c r="O107" s="204">
        <f t="shared" si="18"/>
        <v>1.4950166112956811</v>
      </c>
      <c r="P107" s="454"/>
      <c r="Q107" s="454">
        <v>0</v>
      </c>
      <c r="R107" s="204">
        <f t="shared" si="20"/>
        <v>0</v>
      </c>
    </row>
    <row r="108" spans="1:18" s="111" customFormat="1">
      <c r="A108" s="14" t="s">
        <v>1193</v>
      </c>
      <c r="B108" s="856">
        <v>4</v>
      </c>
      <c r="C108" s="204">
        <f t="shared" si="14"/>
        <v>0.21447721179624668</v>
      </c>
      <c r="D108" s="856"/>
      <c r="E108" s="856"/>
      <c r="F108" s="204">
        <f t="shared" si="16"/>
        <v>0</v>
      </c>
      <c r="G108" s="856"/>
      <c r="H108" s="856"/>
      <c r="I108" s="204">
        <f t="shared" si="17"/>
        <v>0</v>
      </c>
      <c r="J108" s="856"/>
      <c r="K108" s="856">
        <v>1</v>
      </c>
      <c r="L108" s="204">
        <f t="shared" si="22"/>
        <v>0.21231422505307856</v>
      </c>
      <c r="M108" s="856"/>
      <c r="N108" s="856">
        <v>1</v>
      </c>
      <c r="O108" s="204">
        <f t="shared" si="18"/>
        <v>0.16611295681063123</v>
      </c>
      <c r="P108" s="454"/>
      <c r="Q108" s="454">
        <v>0</v>
      </c>
      <c r="R108" s="204">
        <f t="shared" si="20"/>
        <v>0</v>
      </c>
    </row>
    <row r="109" spans="1:18" s="111" customFormat="1">
      <c r="A109" s="14" t="s">
        <v>583</v>
      </c>
      <c r="B109" s="856">
        <v>11</v>
      </c>
      <c r="C109" s="204">
        <f t="shared" si="14"/>
        <v>0.58981233243967823</v>
      </c>
      <c r="D109" s="856"/>
      <c r="E109" s="856">
        <v>1</v>
      </c>
      <c r="F109" s="204">
        <f t="shared" si="16"/>
        <v>0.19762845849802371</v>
      </c>
      <c r="G109" s="856"/>
      <c r="H109" s="856"/>
      <c r="I109" s="204">
        <f t="shared" si="17"/>
        <v>0</v>
      </c>
      <c r="J109" s="856"/>
      <c r="K109" s="856">
        <v>1</v>
      </c>
      <c r="L109" s="204">
        <f t="shared" si="22"/>
        <v>0.21231422505307856</v>
      </c>
      <c r="M109" s="856"/>
      <c r="N109" s="856">
        <v>1</v>
      </c>
      <c r="O109" s="204">
        <f t="shared" si="18"/>
        <v>0.16611295681063123</v>
      </c>
      <c r="P109" s="454"/>
      <c r="Q109" s="454">
        <v>0</v>
      </c>
      <c r="R109" s="204">
        <f t="shared" si="20"/>
        <v>0</v>
      </c>
    </row>
    <row r="110" spans="1:18" s="111" customFormat="1">
      <c r="A110" s="14" t="s">
        <v>1194</v>
      </c>
      <c r="B110" s="856">
        <v>5</v>
      </c>
      <c r="C110" s="204">
        <f t="shared" si="14"/>
        <v>0.26809651474530832</v>
      </c>
      <c r="D110" s="856"/>
      <c r="E110" s="856"/>
      <c r="F110" s="204">
        <f t="shared" si="16"/>
        <v>0</v>
      </c>
      <c r="G110" s="856"/>
      <c r="H110" s="856"/>
      <c r="I110" s="856"/>
      <c r="J110" s="856"/>
      <c r="K110" s="856"/>
      <c r="L110" s="204">
        <f t="shared" si="22"/>
        <v>0</v>
      </c>
      <c r="M110" s="856"/>
      <c r="N110" s="856">
        <v>5</v>
      </c>
      <c r="O110" s="204">
        <f t="shared" si="18"/>
        <v>0.83056478405315626</v>
      </c>
      <c r="P110" s="121"/>
      <c r="Q110" s="121">
        <v>0</v>
      </c>
      <c r="R110" s="204">
        <f t="shared" si="20"/>
        <v>0</v>
      </c>
    </row>
    <row r="111" spans="1:18" s="111" customFormat="1">
      <c r="A111" s="14"/>
      <c r="B111" s="453"/>
      <c r="C111" s="204" t="str">
        <f t="shared" si="14"/>
        <v/>
      </c>
      <c r="D111" s="14"/>
      <c r="E111" s="242"/>
      <c r="F111" s="204" t="str">
        <f t="shared" si="16"/>
        <v/>
      </c>
      <c r="G111" s="204"/>
      <c r="H111" s="14"/>
      <c r="I111" s="204" t="str">
        <f t="shared" si="17"/>
        <v/>
      </c>
      <c r="J111" s="14"/>
      <c r="K111" s="14"/>
      <c r="L111" s="204" t="str">
        <f t="shared" si="22"/>
        <v/>
      </c>
      <c r="M111" s="14"/>
      <c r="O111" s="204" t="str">
        <f t="shared" si="18"/>
        <v/>
      </c>
      <c r="P111" s="14"/>
      <c r="R111" s="204" t="str">
        <f t="shared" si="20"/>
        <v/>
      </c>
    </row>
    <row r="112" spans="1:18" s="111" customFormat="1">
      <c r="A112" s="14" t="s">
        <v>1195</v>
      </c>
      <c r="B112" s="453">
        <f>SUM(B113:B161)</f>
        <v>1227</v>
      </c>
      <c r="C112" s="204">
        <f t="shared" si="14"/>
        <v>65.79088471849866</v>
      </c>
      <c r="D112" s="14"/>
      <c r="E112" s="242">
        <f>SUM(E113:E161)</f>
        <v>322</v>
      </c>
      <c r="F112" s="204">
        <f t="shared" si="16"/>
        <v>63.636363636363633</v>
      </c>
      <c r="G112" s="204"/>
      <c r="H112" s="14">
        <f>SUM(H113:H161)</f>
        <v>22</v>
      </c>
      <c r="I112" s="204">
        <f t="shared" si="17"/>
        <v>64.705882352941174</v>
      </c>
      <c r="J112" s="14"/>
      <c r="K112" s="14">
        <f>SUM(K113:K161)</f>
        <v>340</v>
      </c>
      <c r="L112" s="204">
        <f>IF(A112&lt;&gt;0,K112/$K$10*100,"")</f>
        <v>72.186836518046704</v>
      </c>
      <c r="M112" s="14"/>
      <c r="N112" s="14">
        <f>SUM(N113:N161)</f>
        <v>398</v>
      </c>
      <c r="O112" s="204">
        <f t="shared" si="18"/>
        <v>66.112956810631232</v>
      </c>
      <c r="P112" s="14"/>
      <c r="Q112" s="14">
        <f>SUM(Q113:Q161)</f>
        <v>17</v>
      </c>
      <c r="R112" s="204">
        <f t="shared" si="20"/>
        <v>68</v>
      </c>
    </row>
    <row r="113" spans="1:18" s="111" customFormat="1">
      <c r="A113" s="14" t="s">
        <v>1196</v>
      </c>
      <c r="B113" s="856">
        <v>16</v>
      </c>
      <c r="C113" s="204">
        <f t="shared" si="14"/>
        <v>0.85790884718498672</v>
      </c>
      <c r="D113" s="856"/>
      <c r="E113" s="856">
        <v>7</v>
      </c>
      <c r="F113" s="204">
        <f t="shared" si="16"/>
        <v>1.383399209486166</v>
      </c>
      <c r="G113" s="856"/>
      <c r="H113" s="856"/>
      <c r="I113" s="204">
        <f t="shared" si="17"/>
        <v>0</v>
      </c>
      <c r="J113" s="856"/>
      <c r="K113" s="856">
        <v>8</v>
      </c>
      <c r="L113" s="204">
        <f t="shared" ref="L113:L164" si="23">IF(A113&lt;&gt;0,K113/$K$10*100,"")</f>
        <v>1.6985138004246285</v>
      </c>
      <c r="M113" s="856"/>
      <c r="N113" s="856">
        <v>4</v>
      </c>
      <c r="O113" s="204">
        <f t="shared" si="18"/>
        <v>0.66445182724252494</v>
      </c>
      <c r="P113" s="856"/>
      <c r="Q113" s="856"/>
      <c r="R113" s="204">
        <f t="shared" si="20"/>
        <v>0</v>
      </c>
    </row>
    <row r="114" spans="1:18" s="111" customFormat="1">
      <c r="A114" s="14" t="s">
        <v>1197</v>
      </c>
      <c r="B114" s="856">
        <v>31</v>
      </c>
      <c r="C114" s="204">
        <f t="shared" si="14"/>
        <v>1.6621983914209115</v>
      </c>
      <c r="D114" s="856"/>
      <c r="E114" s="856">
        <v>5</v>
      </c>
      <c r="F114" s="204">
        <f t="shared" si="16"/>
        <v>0.98814229249011865</v>
      </c>
      <c r="G114" s="856"/>
      <c r="H114" s="856"/>
      <c r="I114" s="204">
        <f t="shared" si="17"/>
        <v>0</v>
      </c>
      <c r="J114" s="856"/>
      <c r="K114" s="856">
        <v>2</v>
      </c>
      <c r="L114" s="204">
        <f t="shared" si="23"/>
        <v>0.42462845010615713</v>
      </c>
      <c r="M114" s="856"/>
      <c r="N114" s="856">
        <v>11</v>
      </c>
      <c r="O114" s="204">
        <f t="shared" si="18"/>
        <v>1.8272425249169437</v>
      </c>
      <c r="P114" s="856"/>
      <c r="Q114" s="856"/>
      <c r="R114" s="204">
        <f t="shared" si="20"/>
        <v>0</v>
      </c>
    </row>
    <row r="115" spans="1:18" s="111" customFormat="1">
      <c r="A115" s="14" t="s">
        <v>1198</v>
      </c>
      <c r="B115" s="856">
        <v>33</v>
      </c>
      <c r="C115" s="204">
        <f t="shared" si="14"/>
        <v>1.7694369973190349</v>
      </c>
      <c r="D115" s="856"/>
      <c r="E115" s="856">
        <v>6</v>
      </c>
      <c r="F115" s="204">
        <f t="shared" si="16"/>
        <v>1.1857707509881421</v>
      </c>
      <c r="G115" s="856"/>
      <c r="H115" s="856">
        <v>1</v>
      </c>
      <c r="I115" s="204">
        <f t="shared" si="17"/>
        <v>2.9411764705882351</v>
      </c>
      <c r="J115" s="856"/>
      <c r="K115" s="856">
        <v>9</v>
      </c>
      <c r="L115" s="204">
        <f t="shared" si="23"/>
        <v>1.910828025477707</v>
      </c>
      <c r="M115" s="856"/>
      <c r="N115" s="856">
        <v>15</v>
      </c>
      <c r="O115" s="204">
        <f t="shared" si="18"/>
        <v>2.4916943521594686</v>
      </c>
      <c r="P115" s="856"/>
      <c r="Q115" s="856"/>
      <c r="R115" s="204">
        <f t="shared" si="20"/>
        <v>0</v>
      </c>
    </row>
    <row r="116" spans="1:18" s="111" customFormat="1">
      <c r="A116" s="14" t="s">
        <v>1199</v>
      </c>
      <c r="B116" s="856">
        <v>22</v>
      </c>
      <c r="C116" s="204">
        <f t="shared" si="14"/>
        <v>1.1796246648793565</v>
      </c>
      <c r="D116" s="856"/>
      <c r="E116" s="856">
        <v>6</v>
      </c>
      <c r="F116" s="204">
        <f t="shared" si="16"/>
        <v>1.1857707509881421</v>
      </c>
      <c r="G116" s="856"/>
      <c r="H116" s="856"/>
      <c r="I116" s="204">
        <f t="shared" si="17"/>
        <v>0</v>
      </c>
      <c r="J116" s="856"/>
      <c r="K116" s="856">
        <v>5</v>
      </c>
      <c r="L116" s="204">
        <f t="shared" si="23"/>
        <v>1.0615711252653928</v>
      </c>
      <c r="M116" s="856"/>
      <c r="N116" s="856">
        <v>6</v>
      </c>
      <c r="O116" s="204">
        <f t="shared" si="18"/>
        <v>0.99667774086378735</v>
      </c>
      <c r="P116" s="856"/>
      <c r="Q116" s="856">
        <v>1</v>
      </c>
      <c r="R116" s="204">
        <f t="shared" si="20"/>
        <v>4</v>
      </c>
    </row>
    <row r="117" spans="1:18" s="111" customFormat="1">
      <c r="A117" s="14" t="s">
        <v>1200</v>
      </c>
      <c r="B117" s="856">
        <v>44</v>
      </c>
      <c r="C117" s="204">
        <f t="shared" si="14"/>
        <v>2.3592493297587129</v>
      </c>
      <c r="D117" s="856"/>
      <c r="E117" s="856">
        <v>7</v>
      </c>
      <c r="F117" s="204">
        <f t="shared" si="16"/>
        <v>1.383399209486166</v>
      </c>
      <c r="G117" s="856"/>
      <c r="H117" s="856">
        <v>1</v>
      </c>
      <c r="I117" s="204">
        <f t="shared" si="17"/>
        <v>2.9411764705882351</v>
      </c>
      <c r="J117" s="856"/>
      <c r="K117" s="856">
        <v>14</v>
      </c>
      <c r="L117" s="204">
        <f t="shared" si="23"/>
        <v>2.9723991507431</v>
      </c>
      <c r="M117" s="856"/>
      <c r="N117" s="856">
        <v>17</v>
      </c>
      <c r="O117" s="204">
        <f t="shared" si="18"/>
        <v>2.823920265780731</v>
      </c>
      <c r="P117" s="856"/>
      <c r="Q117" s="856">
        <v>1</v>
      </c>
      <c r="R117" s="204">
        <f t="shared" si="20"/>
        <v>4</v>
      </c>
    </row>
    <row r="118" spans="1:18" s="111" customFormat="1">
      <c r="A118" s="14" t="s">
        <v>1201</v>
      </c>
      <c r="B118" s="856">
        <v>21</v>
      </c>
      <c r="C118" s="204">
        <f t="shared" si="14"/>
        <v>1.1260053619302948</v>
      </c>
      <c r="D118" s="856"/>
      <c r="E118" s="856">
        <v>4</v>
      </c>
      <c r="F118" s="204">
        <f t="shared" si="16"/>
        <v>0.79051383399209485</v>
      </c>
      <c r="G118" s="856"/>
      <c r="H118" s="856"/>
      <c r="I118" s="204">
        <f t="shared" si="17"/>
        <v>0</v>
      </c>
      <c r="J118" s="856"/>
      <c r="K118" s="856">
        <v>4</v>
      </c>
      <c r="L118" s="204">
        <f t="shared" si="23"/>
        <v>0.84925690021231426</v>
      </c>
      <c r="M118" s="856"/>
      <c r="N118" s="856">
        <v>9</v>
      </c>
      <c r="O118" s="204">
        <f t="shared" si="18"/>
        <v>1.4950166112956811</v>
      </c>
      <c r="P118" s="856"/>
      <c r="Q118" s="856"/>
      <c r="R118" s="204">
        <f t="shared" si="20"/>
        <v>0</v>
      </c>
    </row>
    <row r="119" spans="1:18" s="111" customFormat="1">
      <c r="A119" s="14" t="s">
        <v>1202</v>
      </c>
      <c r="B119" s="856">
        <v>21</v>
      </c>
      <c r="C119" s="204">
        <f t="shared" si="14"/>
        <v>1.1260053619302948</v>
      </c>
      <c r="D119" s="856"/>
      <c r="E119" s="856">
        <v>5</v>
      </c>
      <c r="F119" s="204">
        <f t="shared" si="16"/>
        <v>0.98814229249011865</v>
      </c>
      <c r="G119" s="856"/>
      <c r="H119" s="856">
        <v>2</v>
      </c>
      <c r="I119" s="204">
        <f t="shared" si="17"/>
        <v>5.8823529411764701</v>
      </c>
      <c r="J119" s="856"/>
      <c r="K119" s="856">
        <v>6</v>
      </c>
      <c r="L119" s="204">
        <f t="shared" si="23"/>
        <v>1.2738853503184715</v>
      </c>
      <c r="M119" s="856"/>
      <c r="N119" s="856">
        <v>11</v>
      </c>
      <c r="O119" s="204">
        <f t="shared" si="18"/>
        <v>1.8272425249169437</v>
      </c>
      <c r="P119" s="856"/>
      <c r="Q119" s="856">
        <v>1</v>
      </c>
      <c r="R119" s="204">
        <f t="shared" si="20"/>
        <v>4</v>
      </c>
    </row>
    <row r="120" spans="1:18" s="111" customFormat="1">
      <c r="A120" s="14" t="s">
        <v>1204</v>
      </c>
      <c r="B120" s="856">
        <v>11</v>
      </c>
      <c r="C120" s="204">
        <f t="shared" si="14"/>
        <v>0.58981233243967823</v>
      </c>
      <c r="D120" s="856"/>
      <c r="E120" s="856">
        <v>5</v>
      </c>
      <c r="F120" s="204">
        <f t="shared" si="16"/>
        <v>0.98814229249011865</v>
      </c>
      <c r="G120" s="856"/>
      <c r="H120" s="856"/>
      <c r="I120" s="204">
        <f t="shared" si="17"/>
        <v>0</v>
      </c>
      <c r="J120" s="856"/>
      <c r="K120" s="856">
        <v>4</v>
      </c>
      <c r="L120" s="204">
        <f t="shared" si="23"/>
        <v>0.84925690021231426</v>
      </c>
      <c r="M120" s="856"/>
      <c r="N120" s="856"/>
      <c r="O120" s="204">
        <f t="shared" si="18"/>
        <v>0</v>
      </c>
      <c r="P120" s="856"/>
      <c r="Q120" s="856"/>
      <c r="R120" s="204">
        <f t="shared" si="20"/>
        <v>0</v>
      </c>
    </row>
    <row r="121" spans="1:18" s="111" customFormat="1">
      <c r="A121" s="14" t="s">
        <v>1978</v>
      </c>
      <c r="B121" s="856">
        <v>19</v>
      </c>
      <c r="C121" s="204">
        <f t="shared" si="14"/>
        <v>1.0187667560321716</v>
      </c>
      <c r="D121" s="856"/>
      <c r="E121" s="856">
        <v>6</v>
      </c>
      <c r="F121" s="204">
        <f t="shared" si="16"/>
        <v>1.1857707509881421</v>
      </c>
      <c r="G121" s="856"/>
      <c r="H121" s="856"/>
      <c r="I121" s="204">
        <f t="shared" si="17"/>
        <v>0</v>
      </c>
      <c r="J121" s="856"/>
      <c r="K121" s="856">
        <v>2</v>
      </c>
      <c r="L121" s="204">
        <f t="shared" si="23"/>
        <v>0.42462845010615713</v>
      </c>
      <c r="M121" s="856"/>
      <c r="N121" s="856">
        <v>7</v>
      </c>
      <c r="O121" s="204">
        <f t="shared" si="18"/>
        <v>1.1627906976744187</v>
      </c>
      <c r="P121" s="856"/>
      <c r="Q121" s="856"/>
      <c r="R121" s="204">
        <f t="shared" si="20"/>
        <v>0</v>
      </c>
    </row>
    <row r="122" spans="1:18" s="111" customFormat="1">
      <c r="A122" s="14" t="s">
        <v>1203</v>
      </c>
      <c r="B122" s="856">
        <v>33</v>
      </c>
      <c r="C122" s="204">
        <f t="shared" si="14"/>
        <v>1.7694369973190349</v>
      </c>
      <c r="D122" s="856"/>
      <c r="E122" s="856">
        <v>16</v>
      </c>
      <c r="F122" s="204">
        <f t="shared" si="16"/>
        <v>3.1620553359683794</v>
      </c>
      <c r="G122" s="856"/>
      <c r="H122" s="856"/>
      <c r="I122" s="204">
        <f t="shared" si="17"/>
        <v>0</v>
      </c>
      <c r="J122" s="856"/>
      <c r="K122" s="856">
        <v>7</v>
      </c>
      <c r="L122" s="204">
        <f t="shared" si="23"/>
        <v>1.48619957537155</v>
      </c>
      <c r="M122" s="856"/>
      <c r="N122" s="856">
        <v>10</v>
      </c>
      <c r="O122" s="204">
        <f t="shared" si="18"/>
        <v>1.6611295681063125</v>
      </c>
      <c r="P122" s="856"/>
      <c r="Q122" s="856"/>
      <c r="R122" s="204">
        <f t="shared" si="20"/>
        <v>0</v>
      </c>
    </row>
    <row r="123" spans="1:18" s="111" customFormat="1">
      <c r="A123" s="14" t="s">
        <v>1205</v>
      </c>
      <c r="B123" s="856">
        <v>36</v>
      </c>
      <c r="C123" s="204">
        <f t="shared" si="14"/>
        <v>1.93029490616622</v>
      </c>
      <c r="D123" s="856"/>
      <c r="E123" s="856">
        <v>10</v>
      </c>
      <c r="F123" s="204">
        <f t="shared" si="16"/>
        <v>1.9762845849802373</v>
      </c>
      <c r="G123" s="856"/>
      <c r="H123" s="856"/>
      <c r="I123" s="204">
        <f t="shared" si="17"/>
        <v>0</v>
      </c>
      <c r="J123" s="856"/>
      <c r="K123" s="856">
        <v>6</v>
      </c>
      <c r="L123" s="204">
        <f t="shared" si="23"/>
        <v>1.2738853503184715</v>
      </c>
      <c r="M123" s="856"/>
      <c r="N123" s="856">
        <v>10</v>
      </c>
      <c r="O123" s="204">
        <f t="shared" si="18"/>
        <v>1.6611295681063125</v>
      </c>
      <c r="P123" s="856"/>
      <c r="Q123" s="856"/>
      <c r="R123" s="204">
        <f t="shared" si="20"/>
        <v>0</v>
      </c>
    </row>
    <row r="124" spans="1:18" s="111" customFormat="1">
      <c r="A124" s="14" t="s">
        <v>1207</v>
      </c>
      <c r="B124" s="856">
        <v>22</v>
      </c>
      <c r="C124" s="204">
        <f t="shared" si="14"/>
        <v>1.1796246648793565</v>
      </c>
      <c r="D124" s="856"/>
      <c r="E124" s="856">
        <v>8</v>
      </c>
      <c r="F124" s="204">
        <f t="shared" si="16"/>
        <v>1.5810276679841897</v>
      </c>
      <c r="G124" s="856"/>
      <c r="H124" s="856"/>
      <c r="I124" s="204">
        <f t="shared" si="17"/>
        <v>0</v>
      </c>
      <c r="J124" s="856"/>
      <c r="K124" s="856">
        <v>6</v>
      </c>
      <c r="L124" s="204">
        <f t="shared" si="23"/>
        <v>1.2738853503184715</v>
      </c>
      <c r="M124" s="856"/>
      <c r="N124" s="856">
        <v>5</v>
      </c>
      <c r="O124" s="204">
        <f t="shared" si="18"/>
        <v>0.83056478405315626</v>
      </c>
      <c r="P124" s="856"/>
      <c r="Q124" s="856"/>
      <c r="R124" s="204">
        <f t="shared" si="20"/>
        <v>0</v>
      </c>
    </row>
    <row r="125" spans="1:18" s="111" customFormat="1">
      <c r="A125" s="14" t="s">
        <v>1206</v>
      </c>
      <c r="B125" s="856">
        <v>17</v>
      </c>
      <c r="C125" s="204">
        <f t="shared" si="14"/>
        <v>0.9115281501340482</v>
      </c>
      <c r="D125" s="856"/>
      <c r="E125" s="856">
        <v>2</v>
      </c>
      <c r="F125" s="204">
        <f t="shared" si="16"/>
        <v>0.39525691699604742</v>
      </c>
      <c r="G125" s="856"/>
      <c r="H125" s="856"/>
      <c r="I125" s="204">
        <f t="shared" si="17"/>
        <v>0</v>
      </c>
      <c r="J125" s="856"/>
      <c r="K125" s="856">
        <v>3</v>
      </c>
      <c r="L125" s="204">
        <f t="shared" si="23"/>
        <v>0.63694267515923575</v>
      </c>
      <c r="M125" s="856"/>
      <c r="N125" s="856">
        <v>6</v>
      </c>
      <c r="O125" s="204">
        <f t="shared" si="18"/>
        <v>0.99667774086378735</v>
      </c>
      <c r="P125" s="856"/>
      <c r="Q125" s="856"/>
      <c r="R125" s="204">
        <f t="shared" si="20"/>
        <v>0</v>
      </c>
    </row>
    <row r="126" spans="1:18" s="111" customFormat="1">
      <c r="A126" s="14" t="s">
        <v>1208</v>
      </c>
      <c r="B126" s="856">
        <v>5</v>
      </c>
      <c r="C126" s="204">
        <f t="shared" si="14"/>
        <v>0.26809651474530832</v>
      </c>
      <c r="D126" s="856"/>
      <c r="E126" s="856">
        <v>1</v>
      </c>
      <c r="F126" s="204">
        <f t="shared" si="16"/>
        <v>0.19762845849802371</v>
      </c>
      <c r="G126" s="856"/>
      <c r="H126" s="856"/>
      <c r="I126" s="204">
        <f t="shared" si="17"/>
        <v>0</v>
      </c>
      <c r="J126" s="856"/>
      <c r="K126" s="856"/>
      <c r="L126" s="204">
        <f t="shared" si="23"/>
        <v>0</v>
      </c>
      <c r="M126" s="856"/>
      <c r="N126" s="856">
        <v>3</v>
      </c>
      <c r="O126" s="204">
        <f t="shared" si="18"/>
        <v>0.49833887043189368</v>
      </c>
      <c r="P126" s="856"/>
      <c r="Q126" s="856"/>
      <c r="R126" s="204">
        <f t="shared" si="20"/>
        <v>0</v>
      </c>
    </row>
    <row r="127" spans="1:18" s="111" customFormat="1">
      <c r="A127" s="14" t="s">
        <v>1210</v>
      </c>
      <c r="B127" s="856">
        <v>12</v>
      </c>
      <c r="C127" s="204">
        <f t="shared" si="14"/>
        <v>0.64343163538873993</v>
      </c>
      <c r="D127" s="856"/>
      <c r="E127" s="856">
        <v>2</v>
      </c>
      <c r="F127" s="204">
        <f t="shared" si="16"/>
        <v>0.39525691699604742</v>
      </c>
      <c r="G127" s="856"/>
      <c r="H127" s="856">
        <v>3</v>
      </c>
      <c r="I127" s="204">
        <f t="shared" si="17"/>
        <v>8.8235294117647065</v>
      </c>
      <c r="J127" s="856"/>
      <c r="K127" s="856">
        <v>5</v>
      </c>
      <c r="L127" s="204">
        <f t="shared" si="23"/>
        <v>1.0615711252653928</v>
      </c>
      <c r="M127" s="856"/>
      <c r="N127" s="856">
        <v>6</v>
      </c>
      <c r="O127" s="204">
        <f t="shared" si="18"/>
        <v>0.99667774086378735</v>
      </c>
      <c r="P127" s="856"/>
      <c r="Q127" s="856"/>
      <c r="R127" s="204">
        <f t="shared" si="20"/>
        <v>0</v>
      </c>
    </row>
    <row r="128" spans="1:18" s="111" customFormat="1">
      <c r="A128" s="14" t="s">
        <v>1211</v>
      </c>
      <c r="B128" s="856">
        <v>39</v>
      </c>
      <c r="C128" s="204">
        <f t="shared" si="14"/>
        <v>2.0911528150134049</v>
      </c>
      <c r="D128" s="856"/>
      <c r="E128" s="856">
        <v>11</v>
      </c>
      <c r="F128" s="204">
        <f t="shared" si="16"/>
        <v>2.1739130434782608</v>
      </c>
      <c r="G128" s="856"/>
      <c r="H128" s="856">
        <v>2</v>
      </c>
      <c r="I128" s="204">
        <f t="shared" si="17"/>
        <v>5.8823529411764701</v>
      </c>
      <c r="J128" s="856"/>
      <c r="K128" s="856">
        <v>8</v>
      </c>
      <c r="L128" s="204">
        <f t="shared" si="23"/>
        <v>1.6985138004246285</v>
      </c>
      <c r="M128" s="856"/>
      <c r="N128" s="856">
        <v>13</v>
      </c>
      <c r="O128" s="204">
        <f t="shared" si="18"/>
        <v>2.1594684385382057</v>
      </c>
      <c r="P128" s="856"/>
      <c r="Q128" s="856"/>
      <c r="R128" s="204">
        <f t="shared" si="20"/>
        <v>0</v>
      </c>
    </row>
    <row r="129" spans="1:18" s="111" customFormat="1">
      <c r="A129" s="14" t="s">
        <v>1209</v>
      </c>
      <c r="B129" s="856">
        <v>28</v>
      </c>
      <c r="C129" s="204">
        <f t="shared" si="14"/>
        <v>1.5013404825737267</v>
      </c>
      <c r="D129" s="856"/>
      <c r="E129" s="856">
        <v>12</v>
      </c>
      <c r="F129" s="204">
        <f t="shared" si="16"/>
        <v>2.3715415019762842</v>
      </c>
      <c r="G129" s="856"/>
      <c r="H129" s="856">
        <v>1</v>
      </c>
      <c r="I129" s="204">
        <f t="shared" si="17"/>
        <v>2.9411764705882351</v>
      </c>
      <c r="J129" s="856"/>
      <c r="K129" s="856">
        <v>11</v>
      </c>
      <c r="L129" s="204">
        <f t="shared" si="23"/>
        <v>2.335456475583864</v>
      </c>
      <c r="M129" s="856"/>
      <c r="N129" s="856">
        <v>10</v>
      </c>
      <c r="O129" s="204">
        <f t="shared" si="18"/>
        <v>1.6611295681063125</v>
      </c>
      <c r="P129" s="856"/>
      <c r="Q129" s="856">
        <v>1</v>
      </c>
      <c r="R129" s="204">
        <f t="shared" si="20"/>
        <v>4</v>
      </c>
    </row>
    <row r="130" spans="1:18" s="111" customFormat="1">
      <c r="A130" s="14" t="s">
        <v>1212</v>
      </c>
      <c r="B130" s="856">
        <v>56</v>
      </c>
      <c r="C130" s="204">
        <f t="shared" si="14"/>
        <v>3.0026809651474533</v>
      </c>
      <c r="D130" s="856"/>
      <c r="E130" s="856">
        <v>13</v>
      </c>
      <c r="F130" s="204">
        <f t="shared" si="16"/>
        <v>2.5691699604743086</v>
      </c>
      <c r="G130" s="856"/>
      <c r="H130" s="856"/>
      <c r="I130" s="204">
        <f t="shared" si="17"/>
        <v>0</v>
      </c>
      <c r="J130" s="856"/>
      <c r="K130" s="856">
        <v>15</v>
      </c>
      <c r="L130" s="204">
        <f t="shared" si="23"/>
        <v>3.1847133757961785</v>
      </c>
      <c r="M130" s="856"/>
      <c r="N130" s="856">
        <v>14</v>
      </c>
      <c r="O130" s="204">
        <f t="shared" si="18"/>
        <v>2.3255813953488373</v>
      </c>
      <c r="P130" s="856"/>
      <c r="Q130" s="856"/>
      <c r="R130" s="204">
        <f t="shared" si="20"/>
        <v>0</v>
      </c>
    </row>
    <row r="131" spans="1:18" s="111" customFormat="1">
      <c r="A131" s="14" t="s">
        <v>1213</v>
      </c>
      <c r="B131" s="856">
        <v>20</v>
      </c>
      <c r="C131" s="204">
        <f t="shared" si="14"/>
        <v>1.0723860589812333</v>
      </c>
      <c r="D131" s="856"/>
      <c r="E131" s="856">
        <v>3</v>
      </c>
      <c r="F131" s="204">
        <f t="shared" si="16"/>
        <v>0.59288537549407105</v>
      </c>
      <c r="G131" s="856"/>
      <c r="H131" s="856"/>
      <c r="I131" s="204">
        <f t="shared" si="17"/>
        <v>0</v>
      </c>
      <c r="J131" s="856"/>
      <c r="K131" s="856">
        <v>5</v>
      </c>
      <c r="L131" s="204">
        <f t="shared" si="23"/>
        <v>1.0615711252653928</v>
      </c>
      <c r="M131" s="856"/>
      <c r="N131" s="856">
        <v>7</v>
      </c>
      <c r="O131" s="204">
        <f t="shared" si="18"/>
        <v>1.1627906976744187</v>
      </c>
      <c r="P131" s="856"/>
      <c r="Q131" s="856"/>
      <c r="R131" s="204">
        <f t="shared" si="20"/>
        <v>0</v>
      </c>
    </row>
    <row r="132" spans="1:18" s="111" customFormat="1">
      <c r="A132" s="14" t="s">
        <v>1214</v>
      </c>
      <c r="B132" s="856">
        <v>21</v>
      </c>
      <c r="C132" s="204">
        <f t="shared" si="14"/>
        <v>1.1260053619302948</v>
      </c>
      <c r="D132" s="856"/>
      <c r="E132" s="856">
        <v>3</v>
      </c>
      <c r="F132" s="204">
        <f t="shared" si="16"/>
        <v>0.59288537549407105</v>
      </c>
      <c r="G132" s="856"/>
      <c r="H132" s="856"/>
      <c r="I132" s="204">
        <f t="shared" si="17"/>
        <v>0</v>
      </c>
      <c r="J132" s="856"/>
      <c r="K132" s="856">
        <v>2</v>
      </c>
      <c r="L132" s="204">
        <f t="shared" si="23"/>
        <v>0.42462845010615713</v>
      </c>
      <c r="M132" s="856"/>
      <c r="N132" s="856">
        <v>12</v>
      </c>
      <c r="O132" s="204">
        <f t="shared" si="18"/>
        <v>1.9933554817275747</v>
      </c>
      <c r="P132" s="856"/>
      <c r="Q132" s="856"/>
      <c r="R132" s="204">
        <f t="shared" si="20"/>
        <v>0</v>
      </c>
    </row>
    <row r="133" spans="1:18" s="111" customFormat="1">
      <c r="A133" s="14" t="s">
        <v>1215</v>
      </c>
      <c r="B133" s="856">
        <v>27</v>
      </c>
      <c r="C133" s="204">
        <f t="shared" si="14"/>
        <v>1.447721179624665</v>
      </c>
      <c r="D133" s="856"/>
      <c r="E133" s="856">
        <v>14</v>
      </c>
      <c r="F133" s="204">
        <f t="shared" si="16"/>
        <v>2.766798418972332</v>
      </c>
      <c r="G133" s="856"/>
      <c r="H133" s="856">
        <v>1</v>
      </c>
      <c r="I133" s="204">
        <f t="shared" si="17"/>
        <v>2.9411764705882351</v>
      </c>
      <c r="J133" s="856"/>
      <c r="K133" s="856">
        <v>17</v>
      </c>
      <c r="L133" s="204">
        <f t="shared" si="23"/>
        <v>3.6093418259023355</v>
      </c>
      <c r="M133" s="856"/>
      <c r="N133" s="856">
        <v>10</v>
      </c>
      <c r="O133" s="204">
        <f t="shared" si="18"/>
        <v>1.6611295681063125</v>
      </c>
      <c r="P133" s="856"/>
      <c r="Q133" s="856"/>
      <c r="R133" s="204">
        <f t="shared" si="20"/>
        <v>0</v>
      </c>
    </row>
    <row r="134" spans="1:18" s="111" customFormat="1">
      <c r="A134" s="14" t="s">
        <v>1216</v>
      </c>
      <c r="B134" s="856">
        <v>12</v>
      </c>
      <c r="C134" s="204">
        <f t="shared" si="14"/>
        <v>0.64343163538873993</v>
      </c>
      <c r="D134" s="856"/>
      <c r="E134" s="856">
        <v>4</v>
      </c>
      <c r="F134" s="204">
        <f t="shared" si="16"/>
        <v>0.79051383399209485</v>
      </c>
      <c r="G134" s="856"/>
      <c r="H134" s="856">
        <v>1</v>
      </c>
      <c r="I134" s="204">
        <f t="shared" si="17"/>
        <v>2.9411764705882351</v>
      </c>
      <c r="J134" s="856"/>
      <c r="K134" s="856">
        <v>4</v>
      </c>
      <c r="L134" s="204">
        <f t="shared" si="23"/>
        <v>0.84925690021231426</v>
      </c>
      <c r="M134" s="856"/>
      <c r="N134" s="856">
        <v>3</v>
      </c>
      <c r="O134" s="204">
        <f t="shared" si="18"/>
        <v>0.49833887043189368</v>
      </c>
      <c r="P134" s="856"/>
      <c r="Q134" s="856"/>
      <c r="R134" s="204">
        <f t="shared" si="20"/>
        <v>0</v>
      </c>
    </row>
    <row r="135" spans="1:18" s="111" customFormat="1">
      <c r="A135" s="14" t="s">
        <v>1217</v>
      </c>
      <c r="B135" s="856">
        <v>26</v>
      </c>
      <c r="C135" s="204">
        <f t="shared" si="14"/>
        <v>1.394101876675603</v>
      </c>
      <c r="D135" s="856"/>
      <c r="E135" s="856">
        <v>8</v>
      </c>
      <c r="F135" s="204">
        <f t="shared" si="16"/>
        <v>1.5810276679841897</v>
      </c>
      <c r="G135" s="856"/>
      <c r="H135" s="856"/>
      <c r="I135" s="204">
        <f t="shared" si="17"/>
        <v>0</v>
      </c>
      <c r="J135" s="856"/>
      <c r="K135" s="856">
        <v>6</v>
      </c>
      <c r="L135" s="204">
        <f t="shared" si="23"/>
        <v>1.2738853503184715</v>
      </c>
      <c r="M135" s="856"/>
      <c r="N135" s="856">
        <v>11</v>
      </c>
      <c r="O135" s="204">
        <f t="shared" si="18"/>
        <v>1.8272425249169437</v>
      </c>
      <c r="P135" s="856"/>
      <c r="Q135" s="856">
        <v>1</v>
      </c>
      <c r="R135" s="204">
        <f t="shared" si="20"/>
        <v>4</v>
      </c>
    </row>
    <row r="136" spans="1:18" s="111" customFormat="1">
      <c r="A136" s="14" t="s">
        <v>1218</v>
      </c>
      <c r="B136" s="856">
        <v>70</v>
      </c>
      <c r="C136" s="204">
        <f t="shared" si="14"/>
        <v>3.7533512064343162</v>
      </c>
      <c r="D136" s="856"/>
      <c r="E136" s="856">
        <v>17</v>
      </c>
      <c r="F136" s="204">
        <f t="shared" si="16"/>
        <v>3.3596837944664033</v>
      </c>
      <c r="G136" s="856"/>
      <c r="H136" s="856"/>
      <c r="I136" s="204">
        <f t="shared" si="17"/>
        <v>0</v>
      </c>
      <c r="J136" s="856"/>
      <c r="K136" s="856">
        <v>14</v>
      </c>
      <c r="L136" s="204">
        <f t="shared" si="23"/>
        <v>2.9723991507431</v>
      </c>
      <c r="M136" s="856"/>
      <c r="N136" s="856">
        <v>27</v>
      </c>
      <c r="O136" s="204">
        <f t="shared" si="18"/>
        <v>4.485049833887043</v>
      </c>
      <c r="P136" s="856"/>
      <c r="Q136" s="856"/>
      <c r="R136" s="204">
        <f t="shared" si="20"/>
        <v>0</v>
      </c>
    </row>
    <row r="137" spans="1:18" s="111" customFormat="1">
      <c r="A137" s="14" t="s">
        <v>1225</v>
      </c>
      <c r="B137" s="856">
        <v>12</v>
      </c>
      <c r="C137" s="204">
        <f t="shared" si="14"/>
        <v>0.64343163538873993</v>
      </c>
      <c r="D137" s="856"/>
      <c r="E137" s="856">
        <v>3</v>
      </c>
      <c r="F137" s="204">
        <f t="shared" si="16"/>
        <v>0.59288537549407105</v>
      </c>
      <c r="G137" s="856"/>
      <c r="H137" s="856"/>
      <c r="I137" s="204">
        <f t="shared" si="17"/>
        <v>0</v>
      </c>
      <c r="J137" s="856"/>
      <c r="K137" s="856">
        <v>3</v>
      </c>
      <c r="L137" s="204">
        <f t="shared" si="23"/>
        <v>0.63694267515923575</v>
      </c>
      <c r="M137" s="856"/>
      <c r="N137" s="856">
        <v>1</v>
      </c>
      <c r="O137" s="204">
        <f t="shared" si="18"/>
        <v>0.16611295681063123</v>
      </c>
      <c r="P137" s="856"/>
      <c r="Q137" s="856"/>
      <c r="R137" s="204">
        <f t="shared" si="20"/>
        <v>0</v>
      </c>
    </row>
    <row r="138" spans="1:18" s="111" customFormat="1">
      <c r="A138" s="14" t="s">
        <v>1226</v>
      </c>
      <c r="B138" s="856">
        <v>10</v>
      </c>
      <c r="C138" s="204">
        <f t="shared" si="14"/>
        <v>0.53619302949061665</v>
      </c>
      <c r="D138" s="856"/>
      <c r="E138" s="856">
        <v>2</v>
      </c>
      <c r="F138" s="204">
        <f t="shared" si="16"/>
        <v>0.39525691699604742</v>
      </c>
      <c r="G138" s="856"/>
      <c r="H138" s="856"/>
      <c r="I138" s="204">
        <f t="shared" si="17"/>
        <v>0</v>
      </c>
      <c r="J138" s="856"/>
      <c r="K138" s="856">
        <v>1</v>
      </c>
      <c r="L138" s="204">
        <f t="shared" si="23"/>
        <v>0.21231422505307856</v>
      </c>
      <c r="M138" s="856"/>
      <c r="N138" s="856">
        <v>3</v>
      </c>
      <c r="O138" s="204">
        <f t="shared" si="18"/>
        <v>0.49833887043189368</v>
      </c>
      <c r="P138" s="856"/>
      <c r="Q138" s="856"/>
      <c r="R138" s="204">
        <f t="shared" si="20"/>
        <v>0</v>
      </c>
    </row>
    <row r="139" spans="1:18" s="111" customFormat="1">
      <c r="A139" s="14" t="s">
        <v>1228</v>
      </c>
      <c r="B139" s="856">
        <v>37</v>
      </c>
      <c r="C139" s="204">
        <f t="shared" si="14"/>
        <v>1.9839142091152815</v>
      </c>
      <c r="D139" s="856"/>
      <c r="E139" s="856">
        <v>10</v>
      </c>
      <c r="F139" s="204">
        <f t="shared" si="16"/>
        <v>1.9762845849802373</v>
      </c>
      <c r="G139" s="856"/>
      <c r="H139" s="856"/>
      <c r="I139" s="204">
        <f t="shared" si="17"/>
        <v>0</v>
      </c>
      <c r="J139" s="856"/>
      <c r="K139" s="856">
        <v>7</v>
      </c>
      <c r="L139" s="204">
        <f t="shared" si="23"/>
        <v>1.48619957537155</v>
      </c>
      <c r="M139" s="856"/>
      <c r="N139" s="856">
        <v>11</v>
      </c>
      <c r="O139" s="204">
        <f t="shared" si="18"/>
        <v>1.8272425249169437</v>
      </c>
      <c r="P139" s="856"/>
      <c r="Q139" s="856"/>
      <c r="R139" s="204">
        <f t="shared" si="20"/>
        <v>0</v>
      </c>
    </row>
    <row r="140" spans="1:18" s="111" customFormat="1">
      <c r="A140" s="14" t="s">
        <v>1227</v>
      </c>
      <c r="B140" s="856">
        <v>10</v>
      </c>
      <c r="C140" s="204">
        <f t="shared" si="14"/>
        <v>0.53619302949061665</v>
      </c>
      <c r="D140" s="856"/>
      <c r="E140" s="856">
        <v>3</v>
      </c>
      <c r="F140" s="204">
        <f t="shared" si="16"/>
        <v>0.59288537549407105</v>
      </c>
      <c r="G140" s="856"/>
      <c r="H140" s="856"/>
      <c r="I140" s="204">
        <f t="shared" si="17"/>
        <v>0</v>
      </c>
      <c r="J140" s="856"/>
      <c r="K140" s="856">
        <v>3</v>
      </c>
      <c r="L140" s="204">
        <f t="shared" si="23"/>
        <v>0.63694267515923575</v>
      </c>
      <c r="M140" s="856"/>
      <c r="N140" s="856">
        <v>2</v>
      </c>
      <c r="O140" s="204">
        <f t="shared" si="18"/>
        <v>0.33222591362126247</v>
      </c>
      <c r="P140" s="856"/>
      <c r="Q140" s="856"/>
      <c r="R140" s="204">
        <f t="shared" si="20"/>
        <v>0</v>
      </c>
    </row>
    <row r="141" spans="1:18" s="111" customFormat="1">
      <c r="A141" s="14" t="s">
        <v>1219</v>
      </c>
      <c r="B141" s="856">
        <v>35</v>
      </c>
      <c r="C141" s="204">
        <f t="shared" si="14"/>
        <v>1.8766756032171581</v>
      </c>
      <c r="D141" s="856"/>
      <c r="E141" s="856">
        <v>11</v>
      </c>
      <c r="F141" s="204">
        <f t="shared" si="16"/>
        <v>2.1739130434782608</v>
      </c>
      <c r="G141" s="856"/>
      <c r="H141" s="856"/>
      <c r="I141" s="204">
        <f t="shared" si="17"/>
        <v>0</v>
      </c>
      <c r="J141" s="856"/>
      <c r="K141" s="856">
        <v>12</v>
      </c>
      <c r="L141" s="204">
        <f t="shared" si="23"/>
        <v>2.547770700636943</v>
      </c>
      <c r="M141" s="856"/>
      <c r="N141" s="856">
        <v>8</v>
      </c>
      <c r="O141" s="204">
        <f t="shared" si="18"/>
        <v>1.3289036544850499</v>
      </c>
      <c r="P141" s="856"/>
      <c r="Q141" s="856"/>
      <c r="R141" s="204">
        <f t="shared" si="20"/>
        <v>0</v>
      </c>
    </row>
    <row r="142" spans="1:18" s="111" customFormat="1">
      <c r="A142" s="14" t="s">
        <v>1220</v>
      </c>
      <c r="B142" s="856">
        <v>11</v>
      </c>
      <c r="C142" s="204">
        <f t="shared" si="14"/>
        <v>0.58981233243967823</v>
      </c>
      <c r="D142" s="856"/>
      <c r="E142" s="856">
        <v>3</v>
      </c>
      <c r="F142" s="204">
        <f t="shared" si="16"/>
        <v>0.59288537549407105</v>
      </c>
      <c r="G142" s="856"/>
      <c r="H142" s="856">
        <v>1</v>
      </c>
      <c r="I142" s="204">
        <f t="shared" si="17"/>
        <v>2.9411764705882351</v>
      </c>
      <c r="J142" s="856"/>
      <c r="K142" s="856">
        <v>3</v>
      </c>
      <c r="L142" s="204">
        <f t="shared" si="23"/>
        <v>0.63694267515923575</v>
      </c>
      <c r="M142" s="856"/>
      <c r="N142" s="856">
        <v>4</v>
      </c>
      <c r="O142" s="204">
        <f t="shared" si="18"/>
        <v>0.66445182724252494</v>
      </c>
      <c r="P142" s="856"/>
      <c r="Q142" s="856"/>
      <c r="R142" s="204">
        <f t="shared" si="20"/>
        <v>0</v>
      </c>
    </row>
    <row r="143" spans="1:18" s="111" customFormat="1">
      <c r="A143" s="14" t="s">
        <v>1221</v>
      </c>
      <c r="B143" s="856">
        <v>15</v>
      </c>
      <c r="C143" s="204">
        <f t="shared" si="14"/>
        <v>0.80428954423592491</v>
      </c>
      <c r="D143" s="856"/>
      <c r="E143" s="856">
        <v>3</v>
      </c>
      <c r="F143" s="204">
        <f t="shared" si="16"/>
        <v>0.59288537549407105</v>
      </c>
      <c r="G143" s="856"/>
      <c r="H143" s="856">
        <v>2</v>
      </c>
      <c r="I143" s="204">
        <f t="shared" si="17"/>
        <v>5.8823529411764701</v>
      </c>
      <c r="J143" s="856"/>
      <c r="K143" s="856">
        <v>3</v>
      </c>
      <c r="L143" s="204">
        <f t="shared" si="23"/>
        <v>0.63694267515923575</v>
      </c>
      <c r="M143" s="856"/>
      <c r="N143" s="856">
        <v>3</v>
      </c>
      <c r="O143" s="204">
        <f t="shared" si="18"/>
        <v>0.49833887043189368</v>
      </c>
      <c r="P143" s="856"/>
      <c r="Q143" s="856"/>
      <c r="R143" s="204">
        <f t="shared" si="20"/>
        <v>0</v>
      </c>
    </row>
    <row r="144" spans="1:18" s="111" customFormat="1">
      <c r="A144" s="14" t="s">
        <v>1222</v>
      </c>
      <c r="B144" s="856">
        <v>25</v>
      </c>
      <c r="C144" s="204">
        <f t="shared" si="14"/>
        <v>1.3404825737265416</v>
      </c>
      <c r="D144" s="856"/>
      <c r="E144" s="856">
        <v>3</v>
      </c>
      <c r="F144" s="204">
        <f t="shared" si="16"/>
        <v>0.59288537549407105</v>
      </c>
      <c r="G144" s="856"/>
      <c r="H144" s="856"/>
      <c r="I144" s="204">
        <f t="shared" si="17"/>
        <v>0</v>
      </c>
      <c r="J144" s="856"/>
      <c r="K144" s="856">
        <v>6</v>
      </c>
      <c r="L144" s="204">
        <f t="shared" si="23"/>
        <v>1.2738853503184715</v>
      </c>
      <c r="M144" s="856"/>
      <c r="N144" s="856">
        <v>8</v>
      </c>
      <c r="O144" s="204">
        <f t="shared" si="18"/>
        <v>1.3289036544850499</v>
      </c>
      <c r="P144" s="856"/>
      <c r="Q144" s="856"/>
      <c r="R144" s="204">
        <f t="shared" si="20"/>
        <v>0</v>
      </c>
    </row>
    <row r="145" spans="1:18" s="111" customFormat="1">
      <c r="A145" s="14" t="s">
        <v>1223</v>
      </c>
      <c r="B145" s="856">
        <v>48</v>
      </c>
      <c r="C145" s="204">
        <f t="shared" si="14"/>
        <v>2.5737265415549597</v>
      </c>
      <c r="D145" s="856"/>
      <c r="E145" s="856">
        <v>11</v>
      </c>
      <c r="F145" s="204">
        <f t="shared" si="16"/>
        <v>2.1739130434782608</v>
      </c>
      <c r="G145" s="856"/>
      <c r="H145" s="856"/>
      <c r="I145" s="204">
        <f t="shared" si="17"/>
        <v>0</v>
      </c>
      <c r="J145" s="856"/>
      <c r="K145" s="856">
        <v>9</v>
      </c>
      <c r="L145" s="204">
        <f t="shared" si="23"/>
        <v>1.910828025477707</v>
      </c>
      <c r="M145" s="856"/>
      <c r="N145" s="856">
        <v>18</v>
      </c>
      <c r="O145" s="204">
        <f t="shared" si="18"/>
        <v>2.9900332225913622</v>
      </c>
      <c r="P145" s="856"/>
      <c r="Q145" s="856">
        <v>4</v>
      </c>
      <c r="R145" s="204">
        <f t="shared" si="20"/>
        <v>16</v>
      </c>
    </row>
    <row r="146" spans="1:18" s="111" customFormat="1">
      <c r="A146" s="14" t="s">
        <v>1224</v>
      </c>
      <c r="B146" s="856">
        <v>14</v>
      </c>
      <c r="C146" s="204">
        <f t="shared" si="14"/>
        <v>0.75067024128686333</v>
      </c>
      <c r="D146" s="856"/>
      <c r="E146" s="856">
        <v>4</v>
      </c>
      <c r="F146" s="204">
        <f t="shared" si="16"/>
        <v>0.79051383399209485</v>
      </c>
      <c r="G146" s="856"/>
      <c r="H146" s="856"/>
      <c r="I146" s="204">
        <f t="shared" si="17"/>
        <v>0</v>
      </c>
      <c r="J146" s="856"/>
      <c r="K146" s="856">
        <v>4</v>
      </c>
      <c r="L146" s="204">
        <f t="shared" si="23"/>
        <v>0.84925690021231426</v>
      </c>
      <c r="M146" s="856"/>
      <c r="N146" s="856">
        <v>4</v>
      </c>
      <c r="O146" s="204">
        <f t="shared" si="18"/>
        <v>0.66445182724252494</v>
      </c>
      <c r="P146" s="856"/>
      <c r="Q146" s="856">
        <v>1</v>
      </c>
      <c r="R146" s="204">
        <f t="shared" si="20"/>
        <v>4</v>
      </c>
    </row>
    <row r="147" spans="1:18" s="111" customFormat="1">
      <c r="A147" s="14" t="s">
        <v>1242</v>
      </c>
      <c r="B147" s="856">
        <v>4</v>
      </c>
      <c r="C147" s="204">
        <f t="shared" si="14"/>
        <v>0.21447721179624668</v>
      </c>
      <c r="D147" s="856"/>
      <c r="E147" s="856">
        <v>3</v>
      </c>
      <c r="F147" s="204">
        <f t="shared" si="16"/>
        <v>0.59288537549407105</v>
      </c>
      <c r="G147" s="856"/>
      <c r="H147" s="856"/>
      <c r="I147" s="204">
        <f t="shared" si="17"/>
        <v>0</v>
      </c>
      <c r="J147" s="856"/>
      <c r="K147" s="856">
        <v>1</v>
      </c>
      <c r="L147" s="204">
        <f t="shared" si="23"/>
        <v>0.21231422505307856</v>
      </c>
      <c r="M147" s="856"/>
      <c r="N147" s="856">
        <v>0</v>
      </c>
      <c r="O147" s="204">
        <f t="shared" si="18"/>
        <v>0</v>
      </c>
      <c r="P147" s="856"/>
      <c r="Q147" s="856"/>
      <c r="R147" s="204">
        <f t="shared" si="20"/>
        <v>0</v>
      </c>
    </row>
    <row r="148" spans="1:18" s="111" customFormat="1">
      <c r="A148" s="14" t="s">
        <v>1229</v>
      </c>
      <c r="B148" s="856">
        <v>23</v>
      </c>
      <c r="C148" s="204">
        <f t="shared" si="14"/>
        <v>1.2332439678284184</v>
      </c>
      <c r="D148" s="856"/>
      <c r="E148" s="856">
        <v>3</v>
      </c>
      <c r="F148" s="204">
        <f t="shared" si="16"/>
        <v>0.59288537549407105</v>
      </c>
      <c r="G148" s="856"/>
      <c r="H148" s="856"/>
      <c r="I148" s="204">
        <f t="shared" si="17"/>
        <v>0</v>
      </c>
      <c r="J148" s="856"/>
      <c r="K148" s="856">
        <v>9</v>
      </c>
      <c r="L148" s="204">
        <f t="shared" si="23"/>
        <v>1.910828025477707</v>
      </c>
      <c r="M148" s="856"/>
      <c r="N148" s="856">
        <v>6</v>
      </c>
      <c r="O148" s="204">
        <f t="shared" si="18"/>
        <v>0.99667774086378735</v>
      </c>
      <c r="P148" s="856"/>
      <c r="Q148" s="856"/>
      <c r="R148" s="204">
        <f t="shared" si="20"/>
        <v>0</v>
      </c>
    </row>
    <row r="149" spans="1:18" s="111" customFormat="1">
      <c r="A149" s="14" t="s">
        <v>1979</v>
      </c>
      <c r="B149" s="856">
        <v>1</v>
      </c>
      <c r="C149" s="204">
        <f t="shared" si="14"/>
        <v>5.361930294906167E-2</v>
      </c>
      <c r="D149" s="856"/>
      <c r="E149" s="856">
        <v>1</v>
      </c>
      <c r="F149" s="204">
        <f t="shared" si="16"/>
        <v>0.19762845849802371</v>
      </c>
      <c r="G149" s="856"/>
      <c r="H149" s="856"/>
      <c r="I149" s="204">
        <f t="shared" si="17"/>
        <v>0</v>
      </c>
      <c r="J149" s="856"/>
      <c r="K149" s="856">
        <v>1</v>
      </c>
      <c r="L149" s="204">
        <f t="shared" si="23"/>
        <v>0.21231422505307856</v>
      </c>
      <c r="M149" s="856"/>
      <c r="N149" s="856">
        <v>0</v>
      </c>
      <c r="O149" s="204">
        <f t="shared" si="18"/>
        <v>0</v>
      </c>
      <c r="P149" s="856"/>
      <c r="Q149" s="856"/>
      <c r="R149" s="204">
        <f t="shared" si="20"/>
        <v>0</v>
      </c>
    </row>
    <row r="150" spans="1:18" s="111" customFormat="1">
      <c r="A150" s="14" t="s">
        <v>1230</v>
      </c>
      <c r="B150" s="856">
        <v>17</v>
      </c>
      <c r="C150" s="204">
        <f t="shared" si="14"/>
        <v>0.9115281501340482</v>
      </c>
      <c r="D150" s="856"/>
      <c r="E150" s="856">
        <v>3</v>
      </c>
      <c r="F150" s="204">
        <f t="shared" si="16"/>
        <v>0.59288537549407105</v>
      </c>
      <c r="G150" s="856"/>
      <c r="H150" s="856"/>
      <c r="I150" s="204">
        <f t="shared" si="17"/>
        <v>0</v>
      </c>
      <c r="J150" s="856"/>
      <c r="K150" s="856">
        <v>8</v>
      </c>
      <c r="L150" s="204">
        <f t="shared" si="23"/>
        <v>1.6985138004246285</v>
      </c>
      <c r="M150" s="856"/>
      <c r="N150" s="856">
        <v>5</v>
      </c>
      <c r="O150" s="204">
        <f t="shared" si="18"/>
        <v>0.83056478405315626</v>
      </c>
      <c r="P150" s="856"/>
      <c r="Q150" s="856">
        <v>2</v>
      </c>
      <c r="R150" s="204">
        <f t="shared" si="20"/>
        <v>8</v>
      </c>
    </row>
    <row r="151" spans="1:18" s="111" customFormat="1">
      <c r="A151" s="14" t="s">
        <v>1231</v>
      </c>
      <c r="B151" s="856">
        <v>17</v>
      </c>
      <c r="C151" s="204">
        <f t="shared" si="14"/>
        <v>0.9115281501340482</v>
      </c>
      <c r="D151" s="856"/>
      <c r="E151" s="856">
        <v>4</v>
      </c>
      <c r="F151" s="204">
        <f t="shared" si="16"/>
        <v>0.79051383399209485</v>
      </c>
      <c r="G151" s="856"/>
      <c r="H151" s="856">
        <v>1</v>
      </c>
      <c r="I151" s="204">
        <f t="shared" si="17"/>
        <v>2.9411764705882351</v>
      </c>
      <c r="J151" s="856"/>
      <c r="K151" s="856">
        <v>8</v>
      </c>
      <c r="L151" s="204">
        <f t="shared" si="23"/>
        <v>1.6985138004246285</v>
      </c>
      <c r="M151" s="856"/>
      <c r="N151" s="856">
        <v>7</v>
      </c>
      <c r="O151" s="204">
        <f t="shared" si="18"/>
        <v>1.1627906976744187</v>
      </c>
      <c r="P151" s="856"/>
      <c r="Q151" s="856"/>
      <c r="R151" s="204">
        <f t="shared" si="20"/>
        <v>0</v>
      </c>
    </row>
    <row r="152" spans="1:18" s="111" customFormat="1">
      <c r="A152" s="14" t="s">
        <v>1232</v>
      </c>
      <c r="B152" s="856">
        <v>32</v>
      </c>
      <c r="C152" s="204">
        <f t="shared" si="14"/>
        <v>1.7158176943699734</v>
      </c>
      <c r="D152" s="856"/>
      <c r="E152" s="856">
        <v>6</v>
      </c>
      <c r="F152" s="204">
        <f t="shared" si="16"/>
        <v>1.1857707509881421</v>
      </c>
      <c r="G152" s="856"/>
      <c r="H152" s="856"/>
      <c r="I152" s="204">
        <f t="shared" si="17"/>
        <v>0</v>
      </c>
      <c r="J152" s="856"/>
      <c r="K152" s="856">
        <v>3</v>
      </c>
      <c r="L152" s="204">
        <f t="shared" si="23"/>
        <v>0.63694267515923575</v>
      </c>
      <c r="M152" s="856"/>
      <c r="N152" s="856">
        <v>9</v>
      </c>
      <c r="O152" s="204">
        <f t="shared" si="18"/>
        <v>1.4950166112956811</v>
      </c>
      <c r="P152" s="856"/>
      <c r="Q152" s="856">
        <v>1</v>
      </c>
      <c r="R152" s="204">
        <f t="shared" si="20"/>
        <v>4</v>
      </c>
    </row>
    <row r="153" spans="1:18" s="111" customFormat="1">
      <c r="A153" s="14" t="s">
        <v>1233</v>
      </c>
      <c r="B153" s="856">
        <v>41</v>
      </c>
      <c r="C153" s="204">
        <f t="shared" si="14"/>
        <v>2.1983914209115283</v>
      </c>
      <c r="D153" s="856"/>
      <c r="E153" s="856">
        <v>13</v>
      </c>
      <c r="F153" s="204">
        <f t="shared" si="16"/>
        <v>2.5691699604743086</v>
      </c>
      <c r="G153" s="856"/>
      <c r="H153" s="856"/>
      <c r="I153" s="204">
        <f t="shared" si="17"/>
        <v>0</v>
      </c>
      <c r="J153" s="856"/>
      <c r="K153" s="856">
        <v>17</v>
      </c>
      <c r="L153" s="204">
        <f t="shared" si="23"/>
        <v>3.6093418259023355</v>
      </c>
      <c r="M153" s="856"/>
      <c r="N153" s="856">
        <v>11</v>
      </c>
      <c r="O153" s="204">
        <f t="shared" si="18"/>
        <v>1.8272425249169437</v>
      </c>
      <c r="P153" s="856"/>
      <c r="Q153" s="856"/>
      <c r="R153" s="204">
        <f t="shared" si="20"/>
        <v>0</v>
      </c>
    </row>
    <row r="154" spans="1:18" s="111" customFormat="1">
      <c r="A154" s="14" t="s">
        <v>1234</v>
      </c>
      <c r="B154" s="856">
        <v>37</v>
      </c>
      <c r="C154" s="204">
        <f t="shared" si="14"/>
        <v>1.9839142091152815</v>
      </c>
      <c r="D154" s="856"/>
      <c r="E154" s="856">
        <v>15</v>
      </c>
      <c r="F154" s="204">
        <f t="shared" si="16"/>
        <v>2.9644268774703555</v>
      </c>
      <c r="G154" s="856"/>
      <c r="H154" s="856"/>
      <c r="I154" s="204">
        <f t="shared" si="17"/>
        <v>0</v>
      </c>
      <c r="J154" s="856"/>
      <c r="K154" s="856">
        <v>19</v>
      </c>
      <c r="L154" s="204">
        <f t="shared" si="23"/>
        <v>4.0339702760084926</v>
      </c>
      <c r="M154" s="856"/>
      <c r="N154" s="856">
        <v>17</v>
      </c>
      <c r="O154" s="204">
        <f t="shared" si="18"/>
        <v>2.823920265780731</v>
      </c>
      <c r="P154" s="856"/>
      <c r="Q154" s="856">
        <v>2</v>
      </c>
      <c r="R154" s="204">
        <f t="shared" si="20"/>
        <v>8</v>
      </c>
    </row>
    <row r="155" spans="1:18" s="111" customFormat="1">
      <c r="A155" s="14" t="s">
        <v>1236</v>
      </c>
      <c r="B155" s="856">
        <v>56</v>
      </c>
      <c r="C155" s="204">
        <f t="shared" ref="C155:C174" si="24">IF($A155&lt;&gt;0,B155/B$10*100,"")</f>
        <v>3.0026809651474533</v>
      </c>
      <c r="D155" s="856"/>
      <c r="E155" s="856">
        <v>13</v>
      </c>
      <c r="F155" s="204">
        <f t="shared" ref="F155:F174" si="25">IF($A155&lt;&gt;0,E155/E$10*100,"")</f>
        <v>2.5691699604743086</v>
      </c>
      <c r="G155" s="856"/>
      <c r="H155" s="856">
        <v>1</v>
      </c>
      <c r="I155" s="204">
        <f t="shared" ref="I155:I174" si="26">IF($A155&lt;&gt;0,H155/H$10*100,"")</f>
        <v>2.9411764705882351</v>
      </c>
      <c r="J155" s="856"/>
      <c r="K155" s="856">
        <v>21</v>
      </c>
      <c r="L155" s="204">
        <f t="shared" si="23"/>
        <v>4.4585987261146496</v>
      </c>
      <c r="M155" s="856"/>
      <c r="N155" s="856">
        <v>13</v>
      </c>
      <c r="O155" s="204">
        <f t="shared" ref="O155:O174" si="27">IF($A155&lt;&gt;0,N155/N$10*100,"")</f>
        <v>2.1594684385382057</v>
      </c>
      <c r="P155" s="856"/>
      <c r="Q155" s="856"/>
      <c r="R155" s="204">
        <f t="shared" ref="R155:R164" si="28">IF(A155&lt;&gt;0,Q155/$Q$10*100,"")</f>
        <v>0</v>
      </c>
    </row>
    <row r="156" spans="1:18" s="111" customFormat="1">
      <c r="A156" s="14" t="s">
        <v>1235</v>
      </c>
      <c r="B156" s="856">
        <v>15</v>
      </c>
      <c r="C156" s="204">
        <f t="shared" si="24"/>
        <v>0.80428954423592491</v>
      </c>
      <c r="D156" s="856"/>
      <c r="E156" s="856">
        <v>2</v>
      </c>
      <c r="F156" s="204">
        <f t="shared" si="25"/>
        <v>0.39525691699604742</v>
      </c>
      <c r="G156" s="856"/>
      <c r="H156" s="856">
        <v>2</v>
      </c>
      <c r="I156" s="204">
        <f t="shared" si="26"/>
        <v>5.8823529411764701</v>
      </c>
      <c r="J156" s="856"/>
      <c r="K156" s="856">
        <v>8</v>
      </c>
      <c r="L156" s="204">
        <f t="shared" si="23"/>
        <v>1.6985138004246285</v>
      </c>
      <c r="M156" s="856"/>
      <c r="N156" s="856">
        <v>3</v>
      </c>
      <c r="O156" s="204">
        <f t="shared" si="27"/>
        <v>0.49833887043189368</v>
      </c>
      <c r="P156" s="856"/>
      <c r="Q156" s="856"/>
      <c r="R156" s="204">
        <f t="shared" si="28"/>
        <v>0</v>
      </c>
    </row>
    <row r="157" spans="1:18" s="111" customFormat="1">
      <c r="A157" s="14" t="s">
        <v>1239</v>
      </c>
      <c r="B157" s="856">
        <v>18</v>
      </c>
      <c r="C157" s="204">
        <f t="shared" si="24"/>
        <v>0.96514745308311001</v>
      </c>
      <c r="D157" s="856"/>
      <c r="E157" s="856">
        <v>6</v>
      </c>
      <c r="F157" s="204">
        <f t="shared" si="25"/>
        <v>1.1857707509881421</v>
      </c>
      <c r="G157" s="856"/>
      <c r="H157" s="856">
        <v>1</v>
      </c>
      <c r="I157" s="204">
        <f t="shared" si="26"/>
        <v>2.9411764705882351</v>
      </c>
      <c r="J157" s="856"/>
      <c r="K157" s="856">
        <v>7</v>
      </c>
      <c r="L157" s="204">
        <f t="shared" si="23"/>
        <v>1.48619957537155</v>
      </c>
      <c r="M157" s="856"/>
      <c r="N157" s="856">
        <v>7</v>
      </c>
      <c r="O157" s="204">
        <f t="shared" si="27"/>
        <v>1.1627906976744187</v>
      </c>
      <c r="P157" s="856"/>
      <c r="Q157" s="856"/>
      <c r="R157" s="204">
        <f t="shared" si="28"/>
        <v>0</v>
      </c>
    </row>
    <row r="158" spans="1:18" s="111" customFormat="1">
      <c r="A158" s="14" t="s">
        <v>1237</v>
      </c>
      <c r="B158" s="856">
        <v>40</v>
      </c>
      <c r="C158" s="204">
        <f t="shared" si="24"/>
        <v>2.1447721179624666</v>
      </c>
      <c r="D158" s="856"/>
      <c r="E158" s="856">
        <v>8</v>
      </c>
      <c r="F158" s="204">
        <f t="shared" si="25"/>
        <v>1.5810276679841897</v>
      </c>
      <c r="G158" s="856"/>
      <c r="H158" s="856"/>
      <c r="I158" s="204">
        <f t="shared" si="26"/>
        <v>0</v>
      </c>
      <c r="J158" s="856"/>
      <c r="K158" s="856">
        <v>5</v>
      </c>
      <c r="L158" s="204">
        <f t="shared" si="23"/>
        <v>1.0615711252653928</v>
      </c>
      <c r="M158" s="856"/>
      <c r="N158" s="856">
        <v>14</v>
      </c>
      <c r="O158" s="204">
        <f t="shared" si="27"/>
        <v>2.3255813953488373</v>
      </c>
      <c r="P158" s="856"/>
      <c r="Q158" s="856"/>
      <c r="R158" s="204">
        <f t="shared" si="28"/>
        <v>0</v>
      </c>
    </row>
    <row r="159" spans="1:18" s="111" customFormat="1">
      <c r="A159" s="14" t="s">
        <v>1240</v>
      </c>
      <c r="B159" s="856">
        <v>26</v>
      </c>
      <c r="C159" s="204">
        <f t="shared" si="24"/>
        <v>1.394101876675603</v>
      </c>
      <c r="D159" s="856"/>
      <c r="E159" s="856">
        <v>7</v>
      </c>
      <c r="F159" s="204">
        <f t="shared" si="25"/>
        <v>1.383399209486166</v>
      </c>
      <c r="G159" s="856"/>
      <c r="H159" s="856"/>
      <c r="I159" s="204">
        <f t="shared" si="26"/>
        <v>0</v>
      </c>
      <c r="J159" s="856"/>
      <c r="K159" s="856">
        <v>5</v>
      </c>
      <c r="L159" s="204">
        <f t="shared" si="23"/>
        <v>1.0615711252653928</v>
      </c>
      <c r="M159" s="856"/>
      <c r="N159" s="856">
        <v>4</v>
      </c>
      <c r="O159" s="204">
        <f t="shared" si="27"/>
        <v>0.66445182724252494</v>
      </c>
      <c r="P159" s="856"/>
      <c r="Q159" s="856">
        <v>1</v>
      </c>
      <c r="R159" s="204">
        <f t="shared" si="28"/>
        <v>4</v>
      </c>
    </row>
    <row r="160" spans="1:18" s="111" customFormat="1">
      <c r="A160" s="14" t="s">
        <v>1238</v>
      </c>
      <c r="B160" s="856">
        <v>28</v>
      </c>
      <c r="C160" s="204">
        <f t="shared" si="24"/>
        <v>1.5013404825737267</v>
      </c>
      <c r="D160" s="856"/>
      <c r="E160" s="856">
        <v>3</v>
      </c>
      <c r="F160" s="204">
        <f t="shared" si="25"/>
        <v>0.59288537549407105</v>
      </c>
      <c r="G160" s="856"/>
      <c r="H160" s="856">
        <v>2</v>
      </c>
      <c r="I160" s="204">
        <f t="shared" si="26"/>
        <v>5.8823529411764701</v>
      </c>
      <c r="J160" s="856"/>
      <c r="K160" s="856">
        <v>9</v>
      </c>
      <c r="L160" s="204">
        <f t="shared" si="23"/>
        <v>1.910828025477707</v>
      </c>
      <c r="M160" s="856"/>
      <c r="N160" s="856">
        <v>10</v>
      </c>
      <c r="O160" s="204">
        <f t="shared" si="27"/>
        <v>1.6611295681063125</v>
      </c>
      <c r="P160" s="856"/>
      <c r="Q160" s="856">
        <v>1</v>
      </c>
      <c r="R160" s="204">
        <f t="shared" si="28"/>
        <v>4</v>
      </c>
    </row>
    <row r="161" spans="1:18" s="111" customFormat="1">
      <c r="A161" s="14" t="s">
        <v>1241</v>
      </c>
      <c r="B161" s="856">
        <v>13</v>
      </c>
      <c r="C161" s="204">
        <f t="shared" si="24"/>
        <v>0.69705093833780152</v>
      </c>
      <c r="D161" s="856"/>
      <c r="E161" s="856">
        <v>7</v>
      </c>
      <c r="F161" s="204">
        <f t="shared" si="25"/>
        <v>1.383399209486166</v>
      </c>
      <c r="G161" s="856"/>
      <c r="H161" s="856"/>
      <c r="I161" s="204">
        <f t="shared" si="26"/>
        <v>0</v>
      </c>
      <c r="J161" s="856"/>
      <c r="K161" s="856">
        <v>5</v>
      </c>
      <c r="L161" s="204">
        <f t="shared" si="23"/>
        <v>1.0615711252653928</v>
      </c>
      <c r="M161" s="856"/>
      <c r="N161" s="856">
        <v>3</v>
      </c>
      <c r="O161" s="204">
        <f t="shared" si="27"/>
        <v>0.49833887043189368</v>
      </c>
      <c r="P161" s="856"/>
      <c r="Q161" s="856"/>
      <c r="R161" s="204">
        <f t="shared" si="28"/>
        <v>0</v>
      </c>
    </row>
    <row r="162" spans="1:18" s="111" customFormat="1" hidden="1">
      <c r="A162" s="14" t="s">
        <v>1243</v>
      </c>
      <c r="B162" s="456"/>
      <c r="C162" s="204">
        <f t="shared" si="24"/>
        <v>0</v>
      </c>
      <c r="D162" s="14"/>
      <c r="E162" s="242">
        <f>SUM(E163:E163)</f>
        <v>0</v>
      </c>
      <c r="F162" s="204">
        <f t="shared" si="25"/>
        <v>0</v>
      </c>
      <c r="G162" s="204"/>
      <c r="H162" s="242">
        <f>SUM(H163:H163)</f>
        <v>0</v>
      </c>
      <c r="I162" s="204">
        <f t="shared" si="26"/>
        <v>0</v>
      </c>
      <c r="J162" s="14"/>
      <c r="K162" s="242">
        <f>SUM(K163:K163)</f>
        <v>0</v>
      </c>
      <c r="L162" s="204">
        <f t="shared" si="23"/>
        <v>0</v>
      </c>
      <c r="M162" s="14"/>
      <c r="N162" s="242">
        <f>SUM(N163:N163)</f>
        <v>0</v>
      </c>
      <c r="O162" s="204">
        <f t="shared" si="27"/>
        <v>0</v>
      </c>
      <c r="P162" s="14"/>
      <c r="Q162" s="242">
        <f>SUM(Q163:Q163)</f>
        <v>0</v>
      </c>
      <c r="R162" s="204">
        <f t="shared" si="28"/>
        <v>0</v>
      </c>
    </row>
    <row r="163" spans="1:18" s="111" customFormat="1" hidden="1">
      <c r="A163" s="14" t="s">
        <v>1244</v>
      </c>
      <c r="B163" s="456"/>
      <c r="C163" s="204">
        <f t="shared" si="24"/>
        <v>0</v>
      </c>
      <c r="D163" s="14"/>
      <c r="E163" s="242"/>
      <c r="F163" s="204">
        <f t="shared" si="25"/>
        <v>0</v>
      </c>
      <c r="G163" s="204"/>
      <c r="H163" s="14"/>
      <c r="I163" s="204">
        <f t="shared" si="26"/>
        <v>0</v>
      </c>
      <c r="J163" s="14"/>
      <c r="K163" s="14"/>
      <c r="L163" s="204">
        <f t="shared" si="23"/>
        <v>0</v>
      </c>
      <c r="M163" s="14"/>
      <c r="O163" s="204">
        <f t="shared" si="27"/>
        <v>0</v>
      </c>
      <c r="P163" s="14"/>
      <c r="R163" s="204">
        <f t="shared" si="28"/>
        <v>0</v>
      </c>
    </row>
    <row r="164" spans="1:18" s="111" customFormat="1" hidden="1">
      <c r="A164" s="14"/>
      <c r="B164" s="456"/>
      <c r="C164" s="204" t="str">
        <f t="shared" si="24"/>
        <v/>
      </c>
      <c r="D164" s="14"/>
      <c r="E164" s="242"/>
      <c r="F164" s="204" t="str">
        <f t="shared" si="25"/>
        <v/>
      </c>
      <c r="G164" s="204"/>
      <c r="H164" s="14"/>
      <c r="I164" s="204" t="str">
        <f t="shared" si="26"/>
        <v/>
      </c>
      <c r="J164" s="14"/>
      <c r="K164" s="14"/>
      <c r="L164" s="204" t="str">
        <f t="shared" si="23"/>
        <v/>
      </c>
      <c r="M164" s="14"/>
      <c r="O164" s="204" t="str">
        <f t="shared" si="27"/>
        <v/>
      </c>
      <c r="P164" s="14"/>
      <c r="R164" s="204" t="str">
        <f t="shared" si="28"/>
        <v/>
      </c>
    </row>
    <row r="165" spans="1:18" s="111" customFormat="1">
      <c r="A165" s="75"/>
      <c r="B165" s="761"/>
      <c r="C165" s="75"/>
      <c r="D165" s="75"/>
      <c r="E165" s="243"/>
      <c r="F165" s="204"/>
      <c r="G165" s="223"/>
      <c r="H165" s="75"/>
      <c r="I165" s="204"/>
      <c r="J165" s="75"/>
      <c r="K165" s="75"/>
      <c r="L165" s="223"/>
      <c r="M165" s="75"/>
      <c r="N165" s="121"/>
      <c r="O165" s="223"/>
      <c r="P165" s="75"/>
      <c r="Q165" s="121"/>
      <c r="R165" s="223"/>
    </row>
    <row r="166" spans="1:18" s="111" customFormat="1">
      <c r="A166" s="17" t="s">
        <v>1245</v>
      </c>
      <c r="B166" s="453">
        <f>SUM(B167:B167)</f>
        <v>14</v>
      </c>
      <c r="C166" s="204">
        <f t="shared" si="24"/>
        <v>0.75067024128686333</v>
      </c>
      <c r="D166" s="17"/>
      <c r="E166" s="343">
        <f>SUM(E167:E167)</f>
        <v>2</v>
      </c>
      <c r="F166" s="204">
        <f t="shared" si="25"/>
        <v>0.39525691699604742</v>
      </c>
      <c r="G166" s="204"/>
      <c r="H166" s="343">
        <f>SUM(H167:H167)</f>
        <v>0</v>
      </c>
      <c r="I166" s="204">
        <f t="shared" si="26"/>
        <v>0</v>
      </c>
      <c r="J166" s="14"/>
      <c r="K166" s="343">
        <f>SUM(K167:K167)</f>
        <v>3</v>
      </c>
      <c r="L166" s="204">
        <f>IF(A166&lt;&gt;0,K166/$K$10*100,"")</f>
        <v>0.63694267515923575</v>
      </c>
      <c r="M166" s="14"/>
      <c r="N166" s="343">
        <f>SUM(N167:N167)</f>
        <v>12</v>
      </c>
      <c r="O166" s="204">
        <f t="shared" si="27"/>
        <v>1.9933554817275747</v>
      </c>
      <c r="P166" s="14"/>
      <c r="Q166" s="343">
        <f>SUM(Q167:Q167)</f>
        <v>0</v>
      </c>
      <c r="R166" s="204">
        <f>IF(A166&lt;&gt;0,Q166/$Q$10*100,"")</f>
        <v>0</v>
      </c>
    </row>
    <row r="167" spans="1:18" s="111" customFormat="1">
      <c r="A167" s="75" t="s">
        <v>1246</v>
      </c>
      <c r="B167" s="856">
        <v>14</v>
      </c>
      <c r="C167" s="204">
        <f t="shared" si="24"/>
        <v>0.75067024128686333</v>
      </c>
      <c r="D167" s="856"/>
      <c r="E167" s="856">
        <v>2</v>
      </c>
      <c r="F167" s="204">
        <f t="shared" si="25"/>
        <v>0.39525691699604742</v>
      </c>
      <c r="G167" s="856"/>
      <c r="H167" s="856"/>
      <c r="I167" s="204">
        <f t="shared" si="26"/>
        <v>0</v>
      </c>
      <c r="J167" s="856"/>
      <c r="K167" s="856">
        <v>3</v>
      </c>
      <c r="L167" s="204">
        <f t="shared" ref="L167:L174" si="29">IF(A167&lt;&gt;0,K167/$K$10*100,"")</f>
        <v>0.63694267515923575</v>
      </c>
      <c r="M167" s="856"/>
      <c r="N167" s="856">
        <v>12</v>
      </c>
      <c r="O167" s="204">
        <f t="shared" si="27"/>
        <v>1.9933554817275747</v>
      </c>
      <c r="P167" s="454"/>
      <c r="Q167" s="454">
        <v>0</v>
      </c>
      <c r="R167" s="204">
        <f>IF(A167&lt;&gt;0,Q167/$Q$10*100,"")</f>
        <v>0</v>
      </c>
    </row>
    <row r="168" spans="1:18" s="111" customFormat="1">
      <c r="A168" s="75" t="s">
        <v>1247</v>
      </c>
      <c r="B168" s="453"/>
      <c r="C168" s="204">
        <f t="shared" si="24"/>
        <v>0</v>
      </c>
      <c r="D168" s="75"/>
      <c r="E168" s="242"/>
      <c r="F168" s="204">
        <f t="shared" si="25"/>
        <v>0</v>
      </c>
      <c r="G168" s="204"/>
      <c r="H168" s="14"/>
      <c r="I168" s="204">
        <f t="shared" si="26"/>
        <v>0</v>
      </c>
      <c r="J168" s="14"/>
      <c r="K168" s="14"/>
      <c r="L168" s="204">
        <f t="shared" si="29"/>
        <v>0</v>
      </c>
      <c r="M168" s="14"/>
      <c r="O168" s="204"/>
      <c r="P168" s="14"/>
      <c r="R168" s="204"/>
    </row>
    <row r="169" spans="1:18" s="111" customFormat="1">
      <c r="A169" s="17" t="s">
        <v>1013</v>
      </c>
      <c r="B169" s="453">
        <f>SUM(B170:B174)</f>
        <v>106</v>
      </c>
      <c r="C169" s="204">
        <f t="shared" si="24"/>
        <v>5.6836461126005364</v>
      </c>
      <c r="D169" s="17"/>
      <c r="E169" s="242">
        <f>SUM(E170:E174)</f>
        <v>39</v>
      </c>
      <c r="F169" s="204">
        <f t="shared" si="25"/>
        <v>7.7075098814229248</v>
      </c>
      <c r="G169" s="204"/>
      <c r="H169" s="14">
        <f>SUM(H170:H174)</f>
        <v>1</v>
      </c>
      <c r="I169" s="204">
        <f t="shared" si="26"/>
        <v>2.9411764705882351</v>
      </c>
      <c r="J169" s="204"/>
      <c r="K169" s="14">
        <f>SUM(K170:K174)</f>
        <v>33</v>
      </c>
      <c r="L169" s="204">
        <f t="shared" si="29"/>
        <v>7.0063694267515926</v>
      </c>
      <c r="M169" s="204"/>
      <c r="N169" s="14">
        <f>SUM(N170:N174)</f>
        <v>24</v>
      </c>
      <c r="O169" s="204">
        <f t="shared" si="27"/>
        <v>3.9867109634551494</v>
      </c>
      <c r="P169" s="204"/>
      <c r="Q169" s="14">
        <f>SUM(Q170:Q174)</f>
        <v>0</v>
      </c>
      <c r="R169" s="204">
        <f t="shared" ref="R169:R174" si="30">IF(A169&lt;&gt;0,Q169/$Q$10*100,"")</f>
        <v>0</v>
      </c>
    </row>
    <row r="170" spans="1:18" s="111" customFormat="1">
      <c r="A170" s="14" t="s">
        <v>424</v>
      </c>
      <c r="B170" s="856">
        <v>48</v>
      </c>
      <c r="C170" s="204">
        <f t="shared" si="24"/>
        <v>2.5737265415549597</v>
      </c>
      <c r="D170" s="856"/>
      <c r="E170" s="856">
        <v>15</v>
      </c>
      <c r="F170" s="204">
        <f t="shared" si="25"/>
        <v>2.9644268774703555</v>
      </c>
      <c r="G170" s="856"/>
      <c r="H170" s="856"/>
      <c r="I170" s="204">
        <f t="shared" si="26"/>
        <v>0</v>
      </c>
      <c r="J170" s="856"/>
      <c r="K170" s="856">
        <v>16</v>
      </c>
      <c r="L170" s="204">
        <f t="shared" si="29"/>
        <v>3.397027600849257</v>
      </c>
      <c r="M170" s="856"/>
      <c r="N170" s="856">
        <v>12</v>
      </c>
      <c r="O170" s="204">
        <f t="shared" si="27"/>
        <v>1.9933554817275747</v>
      </c>
      <c r="P170" s="454"/>
      <c r="Q170" s="454">
        <v>0</v>
      </c>
      <c r="R170" s="204">
        <f t="shared" si="30"/>
        <v>0</v>
      </c>
    </row>
    <row r="171" spans="1:18" s="111" customFormat="1">
      <c r="A171" s="14" t="s">
        <v>425</v>
      </c>
      <c r="B171" s="856">
        <v>9</v>
      </c>
      <c r="C171" s="204">
        <f t="shared" si="24"/>
        <v>0.482573726541555</v>
      </c>
      <c r="D171" s="856"/>
      <c r="E171" s="856">
        <v>4</v>
      </c>
      <c r="F171" s="204">
        <f t="shared" si="25"/>
        <v>0.79051383399209485</v>
      </c>
      <c r="G171" s="856"/>
      <c r="H171" s="856">
        <v>1</v>
      </c>
      <c r="I171" s="204">
        <f t="shared" si="26"/>
        <v>2.9411764705882351</v>
      </c>
      <c r="J171" s="856"/>
      <c r="K171" s="856">
        <v>4</v>
      </c>
      <c r="L171" s="204">
        <f t="shared" si="29"/>
        <v>0.84925690021231426</v>
      </c>
      <c r="M171" s="856"/>
      <c r="N171" s="856">
        <v>4</v>
      </c>
      <c r="O171" s="204">
        <f t="shared" si="27"/>
        <v>0.66445182724252494</v>
      </c>
      <c r="P171" s="454"/>
      <c r="Q171" s="454">
        <v>0</v>
      </c>
      <c r="R171" s="204">
        <f t="shared" si="30"/>
        <v>0</v>
      </c>
    </row>
    <row r="172" spans="1:18" s="111" customFormat="1">
      <c r="A172" s="14" t="s">
        <v>426</v>
      </c>
      <c r="B172" s="856">
        <v>28</v>
      </c>
      <c r="C172" s="204">
        <f t="shared" si="24"/>
        <v>1.5013404825737267</v>
      </c>
      <c r="D172" s="856"/>
      <c r="E172" s="856">
        <v>10</v>
      </c>
      <c r="F172" s="204">
        <f t="shared" si="25"/>
        <v>1.9762845849802373</v>
      </c>
      <c r="G172" s="856"/>
      <c r="H172" s="856"/>
      <c r="I172" s="204">
        <f t="shared" si="26"/>
        <v>0</v>
      </c>
      <c r="J172" s="856"/>
      <c r="K172" s="856">
        <v>8</v>
      </c>
      <c r="L172" s="204">
        <f t="shared" si="29"/>
        <v>1.6985138004246285</v>
      </c>
      <c r="M172" s="856"/>
      <c r="N172" s="856">
        <v>7</v>
      </c>
      <c r="O172" s="204">
        <f t="shared" si="27"/>
        <v>1.1627906976744187</v>
      </c>
      <c r="P172" s="454"/>
      <c r="Q172" s="454">
        <v>0</v>
      </c>
      <c r="R172" s="204">
        <f t="shared" si="30"/>
        <v>0</v>
      </c>
    </row>
    <row r="173" spans="1:18" s="111" customFormat="1">
      <c r="A173" s="14" t="s">
        <v>427</v>
      </c>
      <c r="B173" s="856">
        <v>14</v>
      </c>
      <c r="C173" s="204">
        <f t="shared" si="24"/>
        <v>0.75067024128686333</v>
      </c>
      <c r="D173" s="856"/>
      <c r="E173" s="856">
        <v>7</v>
      </c>
      <c r="F173" s="204">
        <f t="shared" si="25"/>
        <v>1.383399209486166</v>
      </c>
      <c r="G173" s="856"/>
      <c r="H173" s="856"/>
      <c r="I173" s="204">
        <f t="shared" si="26"/>
        <v>0</v>
      </c>
      <c r="J173" s="856"/>
      <c r="K173" s="856">
        <v>3</v>
      </c>
      <c r="L173" s="204">
        <f t="shared" si="29"/>
        <v>0.63694267515923575</v>
      </c>
      <c r="M173" s="856"/>
      <c r="N173" s="856">
        <v>1</v>
      </c>
      <c r="O173" s="204">
        <f t="shared" si="27"/>
        <v>0.16611295681063123</v>
      </c>
      <c r="P173" s="454"/>
      <c r="Q173" s="454">
        <v>0</v>
      </c>
      <c r="R173" s="204">
        <f t="shared" si="30"/>
        <v>0</v>
      </c>
    </row>
    <row r="174" spans="1:18" s="111" customFormat="1">
      <c r="A174" s="14" t="s">
        <v>587</v>
      </c>
      <c r="B174" s="856">
        <v>7</v>
      </c>
      <c r="C174" s="204">
        <f t="shared" si="24"/>
        <v>0.37533512064343166</v>
      </c>
      <c r="D174" s="856"/>
      <c r="E174" s="856">
        <v>3</v>
      </c>
      <c r="F174" s="204">
        <f t="shared" si="25"/>
        <v>0.59288537549407105</v>
      </c>
      <c r="G174" s="856"/>
      <c r="H174" s="856"/>
      <c r="I174" s="204">
        <f t="shared" si="26"/>
        <v>0</v>
      </c>
      <c r="J174" s="856"/>
      <c r="K174" s="856">
        <v>2</v>
      </c>
      <c r="L174" s="204">
        <f t="shared" si="29"/>
        <v>0.42462845010615713</v>
      </c>
      <c r="M174" s="856"/>
      <c r="N174" s="856"/>
      <c r="O174" s="204">
        <f t="shared" si="27"/>
        <v>0</v>
      </c>
      <c r="P174" s="454"/>
      <c r="Q174" s="454"/>
      <c r="R174" s="204">
        <f t="shared" si="30"/>
        <v>0</v>
      </c>
    </row>
    <row r="175" spans="1:18" s="111" customFormat="1" ht="14" thickBot="1">
      <c r="A175" s="14"/>
      <c r="B175" s="14"/>
      <c r="C175" s="14"/>
      <c r="D175" s="14"/>
      <c r="E175" s="14"/>
      <c r="F175" s="14"/>
      <c r="G175" s="14"/>
      <c r="H175" s="14"/>
      <c r="I175" s="14"/>
      <c r="J175" s="14"/>
      <c r="K175" s="14"/>
      <c r="L175" s="14"/>
      <c r="M175" s="14"/>
      <c r="N175" s="124"/>
      <c r="O175" s="124"/>
      <c r="P175" s="14"/>
      <c r="Q175" s="124"/>
      <c r="R175" s="124"/>
    </row>
    <row r="176" spans="1:18" s="111" customFormat="1">
      <c r="A176" s="376"/>
      <c r="B176" s="376"/>
      <c r="C176" s="376"/>
      <c r="D176" s="376"/>
      <c r="E176" s="376"/>
      <c r="F176" s="376"/>
      <c r="G176" s="376"/>
      <c r="H176" s="376"/>
      <c r="I176" s="376"/>
      <c r="J176" s="376"/>
      <c r="K176" s="376"/>
      <c r="L176" s="376"/>
      <c r="M176" s="376"/>
      <c r="P176" s="376"/>
    </row>
    <row r="177" spans="1:16" s="111" customFormat="1" ht="15">
      <c r="A177" s="75" t="s">
        <v>1248</v>
      </c>
      <c r="B177" s="75"/>
      <c r="C177" s="75"/>
      <c r="D177" s="75"/>
      <c r="E177" s="75"/>
      <c r="F177" s="75"/>
      <c r="G177" s="75"/>
      <c r="H177" s="75"/>
      <c r="I177" s="75"/>
      <c r="J177" s="75"/>
      <c r="K177" s="75"/>
      <c r="L177" s="75"/>
      <c r="M177" s="75"/>
      <c r="P177" s="75"/>
    </row>
    <row r="178" spans="1:16" s="111" customFormat="1" ht="15">
      <c r="A178" s="27" t="s">
        <v>1249</v>
      </c>
      <c r="B178" s="27"/>
      <c r="C178" s="27"/>
      <c r="D178" s="27"/>
      <c r="E178" s="75"/>
      <c r="F178" s="75"/>
      <c r="G178" s="75"/>
      <c r="H178" s="75"/>
      <c r="I178" s="75"/>
      <c r="J178" s="75"/>
      <c r="K178" s="75"/>
      <c r="L178" s="75"/>
      <c r="M178" s="75"/>
      <c r="P178" s="75"/>
    </row>
    <row r="179" spans="1:16" s="111" customFormat="1" ht="13.5" hidden="1" customHeight="1">
      <c r="A179" s="27" t="s">
        <v>1250</v>
      </c>
      <c r="B179" s="27"/>
      <c r="C179" s="27"/>
      <c r="D179" s="27"/>
      <c r="E179" s="75"/>
      <c r="F179" s="75"/>
      <c r="G179" s="75"/>
      <c r="H179" s="75"/>
      <c r="I179" s="75"/>
      <c r="J179" s="75"/>
      <c r="K179" s="75"/>
      <c r="L179" s="75"/>
      <c r="M179" s="75"/>
      <c r="P179" s="75"/>
    </row>
    <row r="180" spans="1:16" s="111" customFormat="1" ht="15">
      <c r="A180" s="27" t="s">
        <v>1251</v>
      </c>
      <c r="B180" s="27"/>
      <c r="C180" s="27"/>
      <c r="D180" s="27"/>
      <c r="E180" s="75"/>
      <c r="F180" s="75"/>
      <c r="G180" s="75"/>
      <c r="H180" s="75"/>
      <c r="I180" s="75"/>
      <c r="J180" s="75"/>
      <c r="K180" s="75"/>
      <c r="L180" s="75"/>
      <c r="M180" s="75"/>
      <c r="P180" s="75"/>
    </row>
    <row r="181" spans="1:16" s="111" customFormat="1" ht="15">
      <c r="A181" s="27" t="s">
        <v>1980</v>
      </c>
      <c r="B181" s="27"/>
      <c r="C181" s="27"/>
      <c r="D181" s="27"/>
      <c r="E181" s="75"/>
      <c r="F181" s="75"/>
      <c r="G181" s="75"/>
      <c r="H181" s="75"/>
      <c r="I181" s="75"/>
      <c r="J181" s="75"/>
      <c r="K181" s="75"/>
      <c r="L181" s="75"/>
      <c r="M181" s="75"/>
      <c r="P181" s="75"/>
    </row>
    <row r="182" spans="1:16" s="111" customFormat="1">
      <c r="A182" s="14" t="s">
        <v>1981</v>
      </c>
      <c r="B182" s="14"/>
      <c r="C182" s="14"/>
      <c r="D182" s="14"/>
      <c r="E182" s="75"/>
      <c r="F182" s="75"/>
      <c r="G182" s="75"/>
      <c r="H182" s="461"/>
      <c r="I182" s="223"/>
      <c r="J182" s="75"/>
      <c r="K182" s="75"/>
      <c r="L182" s="75"/>
      <c r="M182" s="75"/>
      <c r="N182" s="75"/>
      <c r="O182" s="75"/>
      <c r="P182" s="75"/>
    </row>
    <row r="183" spans="1:16" s="111" customFormat="1" ht="15">
      <c r="A183" s="27" t="s">
        <v>1252</v>
      </c>
      <c r="B183" s="27"/>
      <c r="C183" s="27"/>
      <c r="D183" s="27"/>
      <c r="E183" s="75"/>
      <c r="F183" s="75"/>
      <c r="G183" s="75"/>
      <c r="H183" s="461"/>
      <c r="I183" s="223"/>
      <c r="J183" s="75"/>
      <c r="K183" s="75"/>
      <c r="L183" s="75"/>
      <c r="M183" s="75"/>
      <c r="N183" s="75"/>
      <c r="O183" s="75"/>
      <c r="P183" s="75"/>
    </row>
    <row r="184" spans="1:16" s="111" customFormat="1" ht="15">
      <c r="A184" s="27" t="s">
        <v>1253</v>
      </c>
      <c r="B184" s="27"/>
      <c r="C184" s="27"/>
      <c r="D184" s="27"/>
      <c r="E184" s="27"/>
      <c r="F184" s="27"/>
      <c r="G184" s="27"/>
      <c r="H184" s="343"/>
      <c r="I184" s="204"/>
      <c r="J184" s="14"/>
      <c r="K184" s="14"/>
      <c r="L184" s="14"/>
      <c r="M184" s="14"/>
      <c r="N184" s="14"/>
      <c r="O184" s="14"/>
      <c r="P184" s="14"/>
    </row>
    <row r="185" spans="1:16" s="111" customFormat="1" ht="15">
      <c r="A185" s="14"/>
      <c r="B185" s="14"/>
      <c r="C185" s="14"/>
      <c r="D185" s="14"/>
      <c r="E185" s="27"/>
      <c r="F185" s="27"/>
      <c r="G185" s="27"/>
      <c r="H185" s="343"/>
      <c r="I185" s="204"/>
      <c r="J185" s="14"/>
      <c r="K185" s="14"/>
      <c r="L185" s="14"/>
      <c r="M185" s="14"/>
      <c r="N185" s="14"/>
      <c r="O185" s="14"/>
      <c r="P185" s="14"/>
    </row>
    <row r="186" spans="1:16" s="111" customFormat="1">
      <c r="A186" s="14" t="s">
        <v>1254</v>
      </c>
      <c r="B186" s="14"/>
      <c r="C186" s="14"/>
      <c r="D186" s="14"/>
      <c r="E186" s="14"/>
      <c r="F186" s="14"/>
      <c r="G186" s="14"/>
      <c r="H186" s="343"/>
      <c r="I186" s="204"/>
      <c r="J186" s="14"/>
      <c r="K186" s="14"/>
      <c r="L186" s="14"/>
      <c r="M186" s="14"/>
      <c r="N186" s="14"/>
      <c r="O186" s="14"/>
      <c r="P186" s="14"/>
    </row>
    <row r="187" spans="1:16">
      <c r="A187" s="14" t="s">
        <v>452</v>
      </c>
    </row>
    <row r="189" spans="1:16" ht="15">
      <c r="A189" s="27"/>
      <c r="B189" s="27"/>
      <c r="C189" s="27"/>
      <c r="D189" s="27"/>
      <c r="E189" s="27"/>
      <c r="F189" s="27"/>
      <c r="G189" s="27"/>
    </row>
  </sheetData>
  <mergeCells count="6">
    <mergeCell ref="Q6:R6"/>
    <mergeCell ref="B6:C6"/>
    <mergeCell ref="E6:F6"/>
    <mergeCell ref="H6:I6"/>
    <mergeCell ref="K6:L6"/>
    <mergeCell ref="N6:O6"/>
  </mergeCells>
  <conditionalFormatting sqref="A121:A159 A90:S91 A165:S166 T10:XFD1048576">
    <cfRule type="cellIs" dxfId="53" priority="1" operator="equal">
      <formula>0</formula>
    </cfRule>
  </conditionalFormatting>
  <conditionalFormatting sqref="S76:S89 A77:B80 A10:S15 A19:B22 A18 R18:S18 R113:S161 A168:B169 A167 O167:S167 A170:A174 O170:S174 A111:B112 A106:A110 O106:S110 A101:B105 A99:A100 O99:S100 A81:A89 O87:R89 A67:A75 R67:S75 A62:B66 A56:A61 R56:S61 A54:B55 A51:A53 R51:S53 A48:B50 A45:A47 R45:S47 A43:B44 A38:A42 R38:S42 A34:B37 A29:A33 R29:S33 A26:B28 A23:A25 R23:S25 A1:XFD9 A175:S1048576 D26:E28 D34:E37 D43:E44 D48:E50 D54:E55 D64:H65 D19:E22 A17:B17 D17:E17 D77:E80 C17:C89 D101:E105 D112:S112 A92:B98 D92:E98 C92:C161 D168:E169 C167:C174 G168:H169 F167:F174 J168:K169 I167:I174 M168:S169 L167:L174 F113:F161 I113:I161 A162:K164 M162:S164 L113:L164 O113:O161 G92:H98 G101:H105 F92:F110 J103:S105 J92:S93 I92:I109 J94:K98 M94:S98 J101:K102 M101:S102 L94:L102 D111:K111 M111:S111 L106:L111 G77:H80 D66:E66 G66:H66 F66:F89 J77:K80 M77:N80 M66:N66 P66:S66 P77:R86 O66:O86 G19:H22 D62:E63 G62:H63 G54:H55 G48:H50 G43:H44 G34:H37 G26:H28 A16:E16 G16:S16 F16:F63 G17:H17 J17:K17 J26:K28 J34:K37 J43:K44 J48:K50 J54:K55 J19:K22 J62:K66 I17:I89 M19:N22 M26:N28 M17:N17 M64:S65 M54:N55 M48:N50 M43:N44 M34:N37 L17:L89 P34:S37 P43:S44 P48:S50 P54:S55 M62:N63 P62:S63 P17:S17 P26:S28 P19:S22 O17:O63">
    <cfRule type="cellIs" dxfId="52" priority="12" operator="equal">
      <formula>0</formula>
    </cfRule>
  </conditionalFormatting>
  <conditionalFormatting sqref="A114">
    <cfRule type="cellIs" dxfId="51" priority="10" operator="equal">
      <formula>0</formula>
    </cfRule>
  </conditionalFormatting>
  <conditionalFormatting sqref="A113">
    <cfRule type="cellIs" dxfId="50" priority="9" operator="equal">
      <formula>0</formula>
    </cfRule>
  </conditionalFormatting>
  <conditionalFormatting sqref="A115">
    <cfRule type="cellIs" dxfId="49" priority="8" operator="equal">
      <formula>0</formula>
    </cfRule>
  </conditionalFormatting>
  <conditionalFormatting sqref="A116">
    <cfRule type="cellIs" dxfId="48" priority="7" operator="equal">
      <formula>0</formula>
    </cfRule>
  </conditionalFormatting>
  <conditionalFormatting sqref="A117">
    <cfRule type="cellIs" dxfId="47" priority="6" operator="equal">
      <formula>0</formula>
    </cfRule>
  </conditionalFormatting>
  <conditionalFormatting sqref="A118:A119">
    <cfRule type="cellIs" dxfId="46" priority="5" operator="equal">
      <formula>0</formula>
    </cfRule>
  </conditionalFormatting>
  <conditionalFormatting sqref="A120">
    <cfRule type="cellIs" dxfId="45" priority="4" operator="equal">
      <formula>0</formula>
    </cfRule>
  </conditionalFormatting>
  <conditionalFormatting sqref="A160">
    <cfRule type="cellIs" dxfId="44" priority="3" operator="equal">
      <formula>0</formula>
    </cfRule>
  </conditionalFormatting>
  <conditionalFormatting sqref="A161">
    <cfRule type="cellIs" dxfId="43" priority="2" operator="equal">
      <formula>0</formula>
    </cfRule>
  </conditionalFormatting>
  <printOptions horizontalCentered="1" verticalCentered="1"/>
  <pageMargins left="0" right="0" top="0" bottom="0" header="0.31496062992125984" footer="0.31496062992125984"/>
  <pageSetup scale="7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5" tint="-0.249977111117893"/>
  </sheetPr>
  <dimension ref="B2:K4"/>
  <sheetViews>
    <sheetView workbookViewId="0">
      <selection activeCell="J7" sqref="J7"/>
    </sheetView>
  </sheetViews>
  <sheetFormatPr baseColWidth="10" defaultRowHeight="15"/>
  <sheetData>
    <row r="2" spans="2:11" ht="23">
      <c r="J2" s="431"/>
    </row>
    <row r="3" spans="2:11">
      <c r="B3" s="33"/>
      <c r="C3" s="33"/>
      <c r="D3" s="33"/>
      <c r="E3" s="33"/>
      <c r="F3" s="33"/>
      <c r="H3" s="33"/>
    </row>
    <row r="4" spans="2:11" ht="23">
      <c r="B4" s="436"/>
      <c r="C4" s="436"/>
      <c r="D4" s="436"/>
      <c r="E4" s="436"/>
      <c r="F4" s="436"/>
      <c r="H4" s="70"/>
      <c r="K4" s="32"/>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I36"/>
  <sheetViews>
    <sheetView workbookViewId="0">
      <selection activeCell="J7" sqref="J7"/>
    </sheetView>
  </sheetViews>
  <sheetFormatPr baseColWidth="10" defaultColWidth="8.83203125" defaultRowHeight="16"/>
  <cols>
    <col min="1" max="1" width="27.5" style="387" customWidth="1"/>
    <col min="2" max="2" width="2.5" customWidth="1"/>
    <col min="3" max="3" width="0" style="3" hidden="1" customWidth="1"/>
    <col min="4" max="4" width="2.5" style="3" hidden="1" customWidth="1"/>
    <col min="5" max="5" width="0" hidden="1" customWidth="1"/>
    <col min="6" max="6" width="2.6640625" hidden="1" customWidth="1"/>
    <col min="7" max="7" width="0" hidden="1" customWidth="1"/>
    <col min="8" max="8" width="2.83203125" hidden="1" customWidth="1"/>
    <col min="10" max="10" width="3.33203125" customWidth="1"/>
    <col min="12" max="12" width="3.33203125" customWidth="1"/>
    <col min="14" max="14" width="3.33203125" customWidth="1"/>
    <col min="16" max="16" width="3.1640625" customWidth="1"/>
    <col min="17" max="17" width="10" customWidth="1"/>
    <col min="18" max="18" width="3" customWidth="1"/>
    <col min="257" max="257" width="27.5" customWidth="1"/>
    <col min="258" max="258" width="2.5" customWidth="1"/>
    <col min="259" max="264" width="0" hidden="1" customWidth="1"/>
    <col min="266" max="266" width="3.33203125" customWidth="1"/>
    <col min="268" max="268" width="3.33203125" customWidth="1"/>
    <col min="270" max="270" width="3.33203125" customWidth="1"/>
    <col min="272" max="272" width="3.1640625" customWidth="1"/>
    <col min="273" max="273" width="10" customWidth="1"/>
    <col min="274" max="274" width="3" customWidth="1"/>
    <col min="513" max="513" width="27.5" customWidth="1"/>
    <col min="514" max="514" width="2.5" customWidth="1"/>
    <col min="515" max="520" width="0" hidden="1" customWidth="1"/>
    <col min="522" max="522" width="3.33203125" customWidth="1"/>
    <col min="524" max="524" width="3.33203125" customWidth="1"/>
    <col min="526" max="526" width="3.33203125" customWidth="1"/>
    <col min="528" max="528" width="3.1640625" customWidth="1"/>
    <col min="529" max="529" width="10" customWidth="1"/>
    <col min="530" max="530" width="3" customWidth="1"/>
    <col min="769" max="769" width="27.5" customWidth="1"/>
    <col min="770" max="770" width="2.5" customWidth="1"/>
    <col min="771" max="776" width="0" hidden="1" customWidth="1"/>
    <col min="778" max="778" width="3.33203125" customWidth="1"/>
    <col min="780" max="780" width="3.33203125" customWidth="1"/>
    <col min="782" max="782" width="3.33203125" customWidth="1"/>
    <col min="784" max="784" width="3.1640625" customWidth="1"/>
    <col min="785" max="785" width="10" customWidth="1"/>
    <col min="786" max="786" width="3" customWidth="1"/>
    <col min="1025" max="1025" width="27.5" customWidth="1"/>
    <col min="1026" max="1026" width="2.5" customWidth="1"/>
    <col min="1027" max="1032" width="0" hidden="1" customWidth="1"/>
    <col min="1034" max="1034" width="3.33203125" customWidth="1"/>
    <col min="1036" max="1036" width="3.33203125" customWidth="1"/>
    <col min="1038" max="1038" width="3.33203125" customWidth="1"/>
    <col min="1040" max="1040" width="3.1640625" customWidth="1"/>
    <col min="1041" max="1041" width="10" customWidth="1"/>
    <col min="1042" max="1042" width="3" customWidth="1"/>
    <col min="1281" max="1281" width="27.5" customWidth="1"/>
    <col min="1282" max="1282" width="2.5" customWidth="1"/>
    <col min="1283" max="1288" width="0" hidden="1" customWidth="1"/>
    <col min="1290" max="1290" width="3.33203125" customWidth="1"/>
    <col min="1292" max="1292" width="3.33203125" customWidth="1"/>
    <col min="1294" max="1294" width="3.33203125" customWidth="1"/>
    <col min="1296" max="1296" width="3.1640625" customWidth="1"/>
    <col min="1297" max="1297" width="10" customWidth="1"/>
    <col min="1298" max="1298" width="3" customWidth="1"/>
    <col min="1537" max="1537" width="27.5" customWidth="1"/>
    <col min="1538" max="1538" width="2.5" customWidth="1"/>
    <col min="1539" max="1544" width="0" hidden="1" customWidth="1"/>
    <col min="1546" max="1546" width="3.33203125" customWidth="1"/>
    <col min="1548" max="1548" width="3.33203125" customWidth="1"/>
    <col min="1550" max="1550" width="3.33203125" customWidth="1"/>
    <col min="1552" max="1552" width="3.1640625" customWidth="1"/>
    <col min="1553" max="1553" width="10" customWidth="1"/>
    <col min="1554" max="1554" width="3" customWidth="1"/>
    <col min="1793" max="1793" width="27.5" customWidth="1"/>
    <col min="1794" max="1794" width="2.5" customWidth="1"/>
    <col min="1795" max="1800" width="0" hidden="1" customWidth="1"/>
    <col min="1802" max="1802" width="3.33203125" customWidth="1"/>
    <col min="1804" max="1804" width="3.33203125" customWidth="1"/>
    <col min="1806" max="1806" width="3.33203125" customWidth="1"/>
    <col min="1808" max="1808" width="3.1640625" customWidth="1"/>
    <col min="1809" max="1809" width="10" customWidth="1"/>
    <col min="1810" max="1810" width="3" customWidth="1"/>
    <col min="2049" max="2049" width="27.5" customWidth="1"/>
    <col min="2050" max="2050" width="2.5" customWidth="1"/>
    <col min="2051" max="2056" width="0" hidden="1" customWidth="1"/>
    <col min="2058" max="2058" width="3.33203125" customWidth="1"/>
    <col min="2060" max="2060" width="3.33203125" customWidth="1"/>
    <col min="2062" max="2062" width="3.33203125" customWidth="1"/>
    <col min="2064" max="2064" width="3.1640625" customWidth="1"/>
    <col min="2065" max="2065" width="10" customWidth="1"/>
    <col min="2066" max="2066" width="3" customWidth="1"/>
    <col min="2305" max="2305" width="27.5" customWidth="1"/>
    <col min="2306" max="2306" width="2.5" customWidth="1"/>
    <col min="2307" max="2312" width="0" hidden="1" customWidth="1"/>
    <col min="2314" max="2314" width="3.33203125" customWidth="1"/>
    <col min="2316" max="2316" width="3.33203125" customWidth="1"/>
    <col min="2318" max="2318" width="3.33203125" customWidth="1"/>
    <col min="2320" max="2320" width="3.1640625" customWidth="1"/>
    <col min="2321" max="2321" width="10" customWidth="1"/>
    <col min="2322" max="2322" width="3" customWidth="1"/>
    <col min="2561" max="2561" width="27.5" customWidth="1"/>
    <col min="2562" max="2562" width="2.5" customWidth="1"/>
    <col min="2563" max="2568" width="0" hidden="1" customWidth="1"/>
    <col min="2570" max="2570" width="3.33203125" customWidth="1"/>
    <col min="2572" max="2572" width="3.33203125" customWidth="1"/>
    <col min="2574" max="2574" width="3.33203125" customWidth="1"/>
    <col min="2576" max="2576" width="3.1640625" customWidth="1"/>
    <col min="2577" max="2577" width="10" customWidth="1"/>
    <col min="2578" max="2578" width="3" customWidth="1"/>
    <col min="2817" max="2817" width="27.5" customWidth="1"/>
    <col min="2818" max="2818" width="2.5" customWidth="1"/>
    <col min="2819" max="2824" width="0" hidden="1" customWidth="1"/>
    <col min="2826" max="2826" width="3.33203125" customWidth="1"/>
    <col min="2828" max="2828" width="3.33203125" customWidth="1"/>
    <col min="2830" max="2830" width="3.33203125" customWidth="1"/>
    <col min="2832" max="2832" width="3.1640625" customWidth="1"/>
    <col min="2833" max="2833" width="10" customWidth="1"/>
    <col min="2834" max="2834" width="3" customWidth="1"/>
    <col min="3073" max="3073" width="27.5" customWidth="1"/>
    <col min="3074" max="3074" width="2.5" customWidth="1"/>
    <col min="3075" max="3080" width="0" hidden="1" customWidth="1"/>
    <col min="3082" max="3082" width="3.33203125" customWidth="1"/>
    <col min="3084" max="3084" width="3.33203125" customWidth="1"/>
    <col min="3086" max="3086" width="3.33203125" customWidth="1"/>
    <col min="3088" max="3088" width="3.1640625" customWidth="1"/>
    <col min="3089" max="3089" width="10" customWidth="1"/>
    <col min="3090" max="3090" width="3" customWidth="1"/>
    <col min="3329" max="3329" width="27.5" customWidth="1"/>
    <col min="3330" max="3330" width="2.5" customWidth="1"/>
    <col min="3331" max="3336" width="0" hidden="1" customWidth="1"/>
    <col min="3338" max="3338" width="3.33203125" customWidth="1"/>
    <col min="3340" max="3340" width="3.33203125" customWidth="1"/>
    <col min="3342" max="3342" width="3.33203125" customWidth="1"/>
    <col min="3344" max="3344" width="3.1640625" customWidth="1"/>
    <col min="3345" max="3345" width="10" customWidth="1"/>
    <col min="3346" max="3346" width="3" customWidth="1"/>
    <col min="3585" max="3585" width="27.5" customWidth="1"/>
    <col min="3586" max="3586" width="2.5" customWidth="1"/>
    <col min="3587" max="3592" width="0" hidden="1" customWidth="1"/>
    <col min="3594" max="3594" width="3.33203125" customWidth="1"/>
    <col min="3596" max="3596" width="3.33203125" customWidth="1"/>
    <col min="3598" max="3598" width="3.33203125" customWidth="1"/>
    <col min="3600" max="3600" width="3.1640625" customWidth="1"/>
    <col min="3601" max="3601" width="10" customWidth="1"/>
    <col min="3602" max="3602" width="3" customWidth="1"/>
    <col min="3841" max="3841" width="27.5" customWidth="1"/>
    <col min="3842" max="3842" width="2.5" customWidth="1"/>
    <col min="3843" max="3848" width="0" hidden="1" customWidth="1"/>
    <col min="3850" max="3850" width="3.33203125" customWidth="1"/>
    <col min="3852" max="3852" width="3.33203125" customWidth="1"/>
    <col min="3854" max="3854" width="3.33203125" customWidth="1"/>
    <col min="3856" max="3856" width="3.1640625" customWidth="1"/>
    <col min="3857" max="3857" width="10" customWidth="1"/>
    <col min="3858" max="3858" width="3" customWidth="1"/>
    <col min="4097" max="4097" width="27.5" customWidth="1"/>
    <col min="4098" max="4098" width="2.5" customWidth="1"/>
    <col min="4099" max="4104" width="0" hidden="1" customWidth="1"/>
    <col min="4106" max="4106" width="3.33203125" customWidth="1"/>
    <col min="4108" max="4108" width="3.33203125" customWidth="1"/>
    <col min="4110" max="4110" width="3.33203125" customWidth="1"/>
    <col min="4112" max="4112" width="3.1640625" customWidth="1"/>
    <col min="4113" max="4113" width="10" customWidth="1"/>
    <col min="4114" max="4114" width="3" customWidth="1"/>
    <col min="4353" max="4353" width="27.5" customWidth="1"/>
    <col min="4354" max="4354" width="2.5" customWidth="1"/>
    <col min="4355" max="4360" width="0" hidden="1" customWidth="1"/>
    <col min="4362" max="4362" width="3.33203125" customWidth="1"/>
    <col min="4364" max="4364" width="3.33203125" customWidth="1"/>
    <col min="4366" max="4366" width="3.33203125" customWidth="1"/>
    <col min="4368" max="4368" width="3.1640625" customWidth="1"/>
    <col min="4369" max="4369" width="10" customWidth="1"/>
    <col min="4370" max="4370" width="3" customWidth="1"/>
    <col min="4609" max="4609" width="27.5" customWidth="1"/>
    <col min="4610" max="4610" width="2.5" customWidth="1"/>
    <col min="4611" max="4616" width="0" hidden="1" customWidth="1"/>
    <col min="4618" max="4618" width="3.33203125" customWidth="1"/>
    <col min="4620" max="4620" width="3.33203125" customWidth="1"/>
    <col min="4622" max="4622" width="3.33203125" customWidth="1"/>
    <col min="4624" max="4624" width="3.1640625" customWidth="1"/>
    <col min="4625" max="4625" width="10" customWidth="1"/>
    <col min="4626" max="4626" width="3" customWidth="1"/>
    <col min="4865" max="4865" width="27.5" customWidth="1"/>
    <col min="4866" max="4866" width="2.5" customWidth="1"/>
    <col min="4867" max="4872" width="0" hidden="1" customWidth="1"/>
    <col min="4874" max="4874" width="3.33203125" customWidth="1"/>
    <col min="4876" max="4876" width="3.33203125" customWidth="1"/>
    <col min="4878" max="4878" width="3.33203125" customWidth="1"/>
    <col min="4880" max="4880" width="3.1640625" customWidth="1"/>
    <col min="4881" max="4881" width="10" customWidth="1"/>
    <col min="4882" max="4882" width="3" customWidth="1"/>
    <col min="5121" max="5121" width="27.5" customWidth="1"/>
    <col min="5122" max="5122" width="2.5" customWidth="1"/>
    <col min="5123" max="5128" width="0" hidden="1" customWidth="1"/>
    <col min="5130" max="5130" width="3.33203125" customWidth="1"/>
    <col min="5132" max="5132" width="3.33203125" customWidth="1"/>
    <col min="5134" max="5134" width="3.33203125" customWidth="1"/>
    <col min="5136" max="5136" width="3.1640625" customWidth="1"/>
    <col min="5137" max="5137" width="10" customWidth="1"/>
    <col min="5138" max="5138" width="3" customWidth="1"/>
    <col min="5377" max="5377" width="27.5" customWidth="1"/>
    <col min="5378" max="5378" width="2.5" customWidth="1"/>
    <col min="5379" max="5384" width="0" hidden="1" customWidth="1"/>
    <col min="5386" max="5386" width="3.33203125" customWidth="1"/>
    <col min="5388" max="5388" width="3.33203125" customWidth="1"/>
    <col min="5390" max="5390" width="3.33203125" customWidth="1"/>
    <col min="5392" max="5392" width="3.1640625" customWidth="1"/>
    <col min="5393" max="5393" width="10" customWidth="1"/>
    <col min="5394" max="5394" width="3" customWidth="1"/>
    <col min="5633" max="5633" width="27.5" customWidth="1"/>
    <col min="5634" max="5634" width="2.5" customWidth="1"/>
    <col min="5635" max="5640" width="0" hidden="1" customWidth="1"/>
    <col min="5642" max="5642" width="3.33203125" customWidth="1"/>
    <col min="5644" max="5644" width="3.33203125" customWidth="1"/>
    <col min="5646" max="5646" width="3.33203125" customWidth="1"/>
    <col min="5648" max="5648" width="3.1640625" customWidth="1"/>
    <col min="5649" max="5649" width="10" customWidth="1"/>
    <col min="5650" max="5650" width="3" customWidth="1"/>
    <col min="5889" max="5889" width="27.5" customWidth="1"/>
    <col min="5890" max="5890" width="2.5" customWidth="1"/>
    <col min="5891" max="5896" width="0" hidden="1" customWidth="1"/>
    <col min="5898" max="5898" width="3.33203125" customWidth="1"/>
    <col min="5900" max="5900" width="3.33203125" customWidth="1"/>
    <col min="5902" max="5902" width="3.33203125" customWidth="1"/>
    <col min="5904" max="5904" width="3.1640625" customWidth="1"/>
    <col min="5905" max="5905" width="10" customWidth="1"/>
    <col min="5906" max="5906" width="3" customWidth="1"/>
    <col min="6145" max="6145" width="27.5" customWidth="1"/>
    <col min="6146" max="6146" width="2.5" customWidth="1"/>
    <col min="6147" max="6152" width="0" hidden="1" customWidth="1"/>
    <col min="6154" max="6154" width="3.33203125" customWidth="1"/>
    <col min="6156" max="6156" width="3.33203125" customWidth="1"/>
    <col min="6158" max="6158" width="3.33203125" customWidth="1"/>
    <col min="6160" max="6160" width="3.1640625" customWidth="1"/>
    <col min="6161" max="6161" width="10" customWidth="1"/>
    <col min="6162" max="6162" width="3" customWidth="1"/>
    <col min="6401" max="6401" width="27.5" customWidth="1"/>
    <col min="6402" max="6402" width="2.5" customWidth="1"/>
    <col min="6403" max="6408" width="0" hidden="1" customWidth="1"/>
    <col min="6410" max="6410" width="3.33203125" customWidth="1"/>
    <col min="6412" max="6412" width="3.33203125" customWidth="1"/>
    <col min="6414" max="6414" width="3.33203125" customWidth="1"/>
    <col min="6416" max="6416" width="3.1640625" customWidth="1"/>
    <col min="6417" max="6417" width="10" customWidth="1"/>
    <col min="6418" max="6418" width="3" customWidth="1"/>
    <col min="6657" max="6657" width="27.5" customWidth="1"/>
    <col min="6658" max="6658" width="2.5" customWidth="1"/>
    <col min="6659" max="6664" width="0" hidden="1" customWidth="1"/>
    <col min="6666" max="6666" width="3.33203125" customWidth="1"/>
    <col min="6668" max="6668" width="3.33203125" customWidth="1"/>
    <col min="6670" max="6670" width="3.33203125" customWidth="1"/>
    <col min="6672" max="6672" width="3.1640625" customWidth="1"/>
    <col min="6673" max="6673" width="10" customWidth="1"/>
    <col min="6674" max="6674" width="3" customWidth="1"/>
    <col min="6913" max="6913" width="27.5" customWidth="1"/>
    <col min="6914" max="6914" width="2.5" customWidth="1"/>
    <col min="6915" max="6920" width="0" hidden="1" customWidth="1"/>
    <col min="6922" max="6922" width="3.33203125" customWidth="1"/>
    <col min="6924" max="6924" width="3.33203125" customWidth="1"/>
    <col min="6926" max="6926" width="3.33203125" customWidth="1"/>
    <col min="6928" max="6928" width="3.1640625" customWidth="1"/>
    <col min="6929" max="6929" width="10" customWidth="1"/>
    <col min="6930" max="6930" width="3" customWidth="1"/>
    <col min="7169" max="7169" width="27.5" customWidth="1"/>
    <col min="7170" max="7170" width="2.5" customWidth="1"/>
    <col min="7171" max="7176" width="0" hidden="1" customWidth="1"/>
    <col min="7178" max="7178" width="3.33203125" customWidth="1"/>
    <col min="7180" max="7180" width="3.33203125" customWidth="1"/>
    <col min="7182" max="7182" width="3.33203125" customWidth="1"/>
    <col min="7184" max="7184" width="3.1640625" customWidth="1"/>
    <col min="7185" max="7185" width="10" customWidth="1"/>
    <col min="7186" max="7186" width="3" customWidth="1"/>
    <col min="7425" max="7425" width="27.5" customWidth="1"/>
    <col min="7426" max="7426" width="2.5" customWidth="1"/>
    <col min="7427" max="7432" width="0" hidden="1" customWidth="1"/>
    <col min="7434" max="7434" width="3.33203125" customWidth="1"/>
    <col min="7436" max="7436" width="3.33203125" customWidth="1"/>
    <col min="7438" max="7438" width="3.33203125" customWidth="1"/>
    <col min="7440" max="7440" width="3.1640625" customWidth="1"/>
    <col min="7441" max="7441" width="10" customWidth="1"/>
    <col min="7442" max="7442" width="3" customWidth="1"/>
    <col min="7681" max="7681" width="27.5" customWidth="1"/>
    <col min="7682" max="7682" width="2.5" customWidth="1"/>
    <col min="7683" max="7688" width="0" hidden="1" customWidth="1"/>
    <col min="7690" max="7690" width="3.33203125" customWidth="1"/>
    <col min="7692" max="7692" width="3.33203125" customWidth="1"/>
    <col min="7694" max="7694" width="3.33203125" customWidth="1"/>
    <col min="7696" max="7696" width="3.1640625" customWidth="1"/>
    <col min="7697" max="7697" width="10" customWidth="1"/>
    <col min="7698" max="7698" width="3" customWidth="1"/>
    <col min="7937" max="7937" width="27.5" customWidth="1"/>
    <col min="7938" max="7938" width="2.5" customWidth="1"/>
    <col min="7939" max="7944" width="0" hidden="1" customWidth="1"/>
    <col min="7946" max="7946" width="3.33203125" customWidth="1"/>
    <col min="7948" max="7948" width="3.33203125" customWidth="1"/>
    <col min="7950" max="7950" width="3.33203125" customWidth="1"/>
    <col min="7952" max="7952" width="3.1640625" customWidth="1"/>
    <col min="7953" max="7953" width="10" customWidth="1"/>
    <col min="7954" max="7954" width="3" customWidth="1"/>
    <col min="8193" max="8193" width="27.5" customWidth="1"/>
    <col min="8194" max="8194" width="2.5" customWidth="1"/>
    <col min="8195" max="8200" width="0" hidden="1" customWidth="1"/>
    <col min="8202" max="8202" width="3.33203125" customWidth="1"/>
    <col min="8204" max="8204" width="3.33203125" customWidth="1"/>
    <col min="8206" max="8206" width="3.33203125" customWidth="1"/>
    <col min="8208" max="8208" width="3.1640625" customWidth="1"/>
    <col min="8209" max="8209" width="10" customWidth="1"/>
    <col min="8210" max="8210" width="3" customWidth="1"/>
    <col min="8449" max="8449" width="27.5" customWidth="1"/>
    <col min="8450" max="8450" width="2.5" customWidth="1"/>
    <col min="8451" max="8456" width="0" hidden="1" customWidth="1"/>
    <col min="8458" max="8458" width="3.33203125" customWidth="1"/>
    <col min="8460" max="8460" width="3.33203125" customWidth="1"/>
    <col min="8462" max="8462" width="3.33203125" customWidth="1"/>
    <col min="8464" max="8464" width="3.1640625" customWidth="1"/>
    <col min="8465" max="8465" width="10" customWidth="1"/>
    <col min="8466" max="8466" width="3" customWidth="1"/>
    <col min="8705" max="8705" width="27.5" customWidth="1"/>
    <col min="8706" max="8706" width="2.5" customWidth="1"/>
    <col min="8707" max="8712" width="0" hidden="1" customWidth="1"/>
    <col min="8714" max="8714" width="3.33203125" customWidth="1"/>
    <col min="8716" max="8716" width="3.33203125" customWidth="1"/>
    <col min="8718" max="8718" width="3.33203125" customWidth="1"/>
    <col min="8720" max="8720" width="3.1640625" customWidth="1"/>
    <col min="8721" max="8721" width="10" customWidth="1"/>
    <col min="8722" max="8722" width="3" customWidth="1"/>
    <col min="8961" max="8961" width="27.5" customWidth="1"/>
    <col min="8962" max="8962" width="2.5" customWidth="1"/>
    <col min="8963" max="8968" width="0" hidden="1" customWidth="1"/>
    <col min="8970" max="8970" width="3.33203125" customWidth="1"/>
    <col min="8972" max="8972" width="3.33203125" customWidth="1"/>
    <col min="8974" max="8974" width="3.33203125" customWidth="1"/>
    <col min="8976" max="8976" width="3.1640625" customWidth="1"/>
    <col min="8977" max="8977" width="10" customWidth="1"/>
    <col min="8978" max="8978" width="3" customWidth="1"/>
    <col min="9217" max="9217" width="27.5" customWidth="1"/>
    <col min="9218" max="9218" width="2.5" customWidth="1"/>
    <col min="9219" max="9224" width="0" hidden="1" customWidth="1"/>
    <col min="9226" max="9226" width="3.33203125" customWidth="1"/>
    <col min="9228" max="9228" width="3.33203125" customWidth="1"/>
    <col min="9230" max="9230" width="3.33203125" customWidth="1"/>
    <col min="9232" max="9232" width="3.1640625" customWidth="1"/>
    <col min="9233" max="9233" width="10" customWidth="1"/>
    <col min="9234" max="9234" width="3" customWidth="1"/>
    <col min="9473" max="9473" width="27.5" customWidth="1"/>
    <col min="9474" max="9474" width="2.5" customWidth="1"/>
    <col min="9475" max="9480" width="0" hidden="1" customWidth="1"/>
    <col min="9482" max="9482" width="3.33203125" customWidth="1"/>
    <col min="9484" max="9484" width="3.33203125" customWidth="1"/>
    <col min="9486" max="9486" width="3.33203125" customWidth="1"/>
    <col min="9488" max="9488" width="3.1640625" customWidth="1"/>
    <col min="9489" max="9489" width="10" customWidth="1"/>
    <col min="9490" max="9490" width="3" customWidth="1"/>
    <col min="9729" max="9729" width="27.5" customWidth="1"/>
    <col min="9730" max="9730" width="2.5" customWidth="1"/>
    <col min="9731" max="9736" width="0" hidden="1" customWidth="1"/>
    <col min="9738" max="9738" width="3.33203125" customWidth="1"/>
    <col min="9740" max="9740" width="3.33203125" customWidth="1"/>
    <col min="9742" max="9742" width="3.33203125" customWidth="1"/>
    <col min="9744" max="9744" width="3.1640625" customWidth="1"/>
    <col min="9745" max="9745" width="10" customWidth="1"/>
    <col min="9746" max="9746" width="3" customWidth="1"/>
    <col min="9985" max="9985" width="27.5" customWidth="1"/>
    <col min="9986" max="9986" width="2.5" customWidth="1"/>
    <col min="9987" max="9992" width="0" hidden="1" customWidth="1"/>
    <col min="9994" max="9994" width="3.33203125" customWidth="1"/>
    <col min="9996" max="9996" width="3.33203125" customWidth="1"/>
    <col min="9998" max="9998" width="3.33203125" customWidth="1"/>
    <col min="10000" max="10000" width="3.1640625" customWidth="1"/>
    <col min="10001" max="10001" width="10" customWidth="1"/>
    <col min="10002" max="10002" width="3" customWidth="1"/>
    <col min="10241" max="10241" width="27.5" customWidth="1"/>
    <col min="10242" max="10242" width="2.5" customWidth="1"/>
    <col min="10243" max="10248" width="0" hidden="1" customWidth="1"/>
    <col min="10250" max="10250" width="3.33203125" customWidth="1"/>
    <col min="10252" max="10252" width="3.33203125" customWidth="1"/>
    <col min="10254" max="10254" width="3.33203125" customWidth="1"/>
    <col min="10256" max="10256" width="3.1640625" customWidth="1"/>
    <col min="10257" max="10257" width="10" customWidth="1"/>
    <col min="10258" max="10258" width="3" customWidth="1"/>
    <col min="10497" max="10497" width="27.5" customWidth="1"/>
    <col min="10498" max="10498" width="2.5" customWidth="1"/>
    <col min="10499" max="10504" width="0" hidden="1" customWidth="1"/>
    <col min="10506" max="10506" width="3.33203125" customWidth="1"/>
    <col min="10508" max="10508" width="3.33203125" customWidth="1"/>
    <col min="10510" max="10510" width="3.33203125" customWidth="1"/>
    <col min="10512" max="10512" width="3.1640625" customWidth="1"/>
    <col min="10513" max="10513" width="10" customWidth="1"/>
    <col min="10514" max="10514" width="3" customWidth="1"/>
    <col min="10753" max="10753" width="27.5" customWidth="1"/>
    <col min="10754" max="10754" width="2.5" customWidth="1"/>
    <col min="10755" max="10760" width="0" hidden="1" customWidth="1"/>
    <col min="10762" max="10762" width="3.33203125" customWidth="1"/>
    <col min="10764" max="10764" width="3.33203125" customWidth="1"/>
    <col min="10766" max="10766" width="3.33203125" customWidth="1"/>
    <col min="10768" max="10768" width="3.1640625" customWidth="1"/>
    <col min="10769" max="10769" width="10" customWidth="1"/>
    <col min="10770" max="10770" width="3" customWidth="1"/>
    <col min="11009" max="11009" width="27.5" customWidth="1"/>
    <col min="11010" max="11010" width="2.5" customWidth="1"/>
    <col min="11011" max="11016" width="0" hidden="1" customWidth="1"/>
    <col min="11018" max="11018" width="3.33203125" customWidth="1"/>
    <col min="11020" max="11020" width="3.33203125" customWidth="1"/>
    <col min="11022" max="11022" width="3.33203125" customWidth="1"/>
    <col min="11024" max="11024" width="3.1640625" customWidth="1"/>
    <col min="11025" max="11025" width="10" customWidth="1"/>
    <col min="11026" max="11026" width="3" customWidth="1"/>
    <col min="11265" max="11265" width="27.5" customWidth="1"/>
    <col min="11266" max="11266" width="2.5" customWidth="1"/>
    <col min="11267" max="11272" width="0" hidden="1" customWidth="1"/>
    <col min="11274" max="11274" width="3.33203125" customWidth="1"/>
    <col min="11276" max="11276" width="3.33203125" customWidth="1"/>
    <col min="11278" max="11278" width="3.33203125" customWidth="1"/>
    <col min="11280" max="11280" width="3.1640625" customWidth="1"/>
    <col min="11281" max="11281" width="10" customWidth="1"/>
    <col min="11282" max="11282" width="3" customWidth="1"/>
    <col min="11521" max="11521" width="27.5" customWidth="1"/>
    <col min="11522" max="11522" width="2.5" customWidth="1"/>
    <col min="11523" max="11528" width="0" hidden="1" customWidth="1"/>
    <col min="11530" max="11530" width="3.33203125" customWidth="1"/>
    <col min="11532" max="11532" width="3.33203125" customWidth="1"/>
    <col min="11534" max="11534" width="3.33203125" customWidth="1"/>
    <col min="11536" max="11536" width="3.1640625" customWidth="1"/>
    <col min="11537" max="11537" width="10" customWidth="1"/>
    <col min="11538" max="11538" width="3" customWidth="1"/>
    <col min="11777" max="11777" width="27.5" customWidth="1"/>
    <col min="11778" max="11778" width="2.5" customWidth="1"/>
    <col min="11779" max="11784" width="0" hidden="1" customWidth="1"/>
    <col min="11786" max="11786" width="3.33203125" customWidth="1"/>
    <col min="11788" max="11788" width="3.33203125" customWidth="1"/>
    <col min="11790" max="11790" width="3.33203125" customWidth="1"/>
    <col min="11792" max="11792" width="3.1640625" customWidth="1"/>
    <col min="11793" max="11793" width="10" customWidth="1"/>
    <col min="11794" max="11794" width="3" customWidth="1"/>
    <col min="12033" max="12033" width="27.5" customWidth="1"/>
    <col min="12034" max="12034" width="2.5" customWidth="1"/>
    <col min="12035" max="12040" width="0" hidden="1" customWidth="1"/>
    <col min="12042" max="12042" width="3.33203125" customWidth="1"/>
    <col min="12044" max="12044" width="3.33203125" customWidth="1"/>
    <col min="12046" max="12046" width="3.33203125" customWidth="1"/>
    <col min="12048" max="12048" width="3.1640625" customWidth="1"/>
    <col min="12049" max="12049" width="10" customWidth="1"/>
    <col min="12050" max="12050" width="3" customWidth="1"/>
    <col min="12289" max="12289" width="27.5" customWidth="1"/>
    <col min="12290" max="12290" width="2.5" customWidth="1"/>
    <col min="12291" max="12296" width="0" hidden="1" customWidth="1"/>
    <col min="12298" max="12298" width="3.33203125" customWidth="1"/>
    <col min="12300" max="12300" width="3.33203125" customWidth="1"/>
    <col min="12302" max="12302" width="3.33203125" customWidth="1"/>
    <col min="12304" max="12304" width="3.1640625" customWidth="1"/>
    <col min="12305" max="12305" width="10" customWidth="1"/>
    <col min="12306" max="12306" width="3" customWidth="1"/>
    <col min="12545" max="12545" width="27.5" customWidth="1"/>
    <col min="12546" max="12546" width="2.5" customWidth="1"/>
    <col min="12547" max="12552" width="0" hidden="1" customWidth="1"/>
    <col min="12554" max="12554" width="3.33203125" customWidth="1"/>
    <col min="12556" max="12556" width="3.33203125" customWidth="1"/>
    <col min="12558" max="12558" width="3.33203125" customWidth="1"/>
    <col min="12560" max="12560" width="3.1640625" customWidth="1"/>
    <col min="12561" max="12561" width="10" customWidth="1"/>
    <col min="12562" max="12562" width="3" customWidth="1"/>
    <col min="12801" max="12801" width="27.5" customWidth="1"/>
    <col min="12802" max="12802" width="2.5" customWidth="1"/>
    <col min="12803" max="12808" width="0" hidden="1" customWidth="1"/>
    <col min="12810" max="12810" width="3.33203125" customWidth="1"/>
    <col min="12812" max="12812" width="3.33203125" customWidth="1"/>
    <col min="12814" max="12814" width="3.33203125" customWidth="1"/>
    <col min="12816" max="12816" width="3.1640625" customWidth="1"/>
    <col min="12817" max="12817" width="10" customWidth="1"/>
    <col min="12818" max="12818" width="3" customWidth="1"/>
    <col min="13057" max="13057" width="27.5" customWidth="1"/>
    <col min="13058" max="13058" width="2.5" customWidth="1"/>
    <col min="13059" max="13064" width="0" hidden="1" customWidth="1"/>
    <col min="13066" max="13066" width="3.33203125" customWidth="1"/>
    <col min="13068" max="13068" width="3.33203125" customWidth="1"/>
    <col min="13070" max="13070" width="3.33203125" customWidth="1"/>
    <col min="13072" max="13072" width="3.1640625" customWidth="1"/>
    <col min="13073" max="13073" width="10" customWidth="1"/>
    <col min="13074" max="13074" width="3" customWidth="1"/>
    <col min="13313" max="13313" width="27.5" customWidth="1"/>
    <col min="13314" max="13314" width="2.5" customWidth="1"/>
    <col min="13315" max="13320" width="0" hidden="1" customWidth="1"/>
    <col min="13322" max="13322" width="3.33203125" customWidth="1"/>
    <col min="13324" max="13324" width="3.33203125" customWidth="1"/>
    <col min="13326" max="13326" width="3.33203125" customWidth="1"/>
    <col min="13328" max="13328" width="3.1640625" customWidth="1"/>
    <col min="13329" max="13329" width="10" customWidth="1"/>
    <col min="13330" max="13330" width="3" customWidth="1"/>
    <col min="13569" max="13569" width="27.5" customWidth="1"/>
    <col min="13570" max="13570" width="2.5" customWidth="1"/>
    <col min="13571" max="13576" width="0" hidden="1" customWidth="1"/>
    <col min="13578" max="13578" width="3.33203125" customWidth="1"/>
    <col min="13580" max="13580" width="3.33203125" customWidth="1"/>
    <col min="13582" max="13582" width="3.33203125" customWidth="1"/>
    <col min="13584" max="13584" width="3.1640625" customWidth="1"/>
    <col min="13585" max="13585" width="10" customWidth="1"/>
    <col min="13586" max="13586" width="3" customWidth="1"/>
    <col min="13825" max="13825" width="27.5" customWidth="1"/>
    <col min="13826" max="13826" width="2.5" customWidth="1"/>
    <col min="13827" max="13832" width="0" hidden="1" customWidth="1"/>
    <col min="13834" max="13834" width="3.33203125" customWidth="1"/>
    <col min="13836" max="13836" width="3.33203125" customWidth="1"/>
    <col min="13838" max="13838" width="3.33203125" customWidth="1"/>
    <col min="13840" max="13840" width="3.1640625" customWidth="1"/>
    <col min="13841" max="13841" width="10" customWidth="1"/>
    <col min="13842" max="13842" width="3" customWidth="1"/>
    <col min="14081" max="14081" width="27.5" customWidth="1"/>
    <col min="14082" max="14082" width="2.5" customWidth="1"/>
    <col min="14083" max="14088" width="0" hidden="1" customWidth="1"/>
    <col min="14090" max="14090" width="3.33203125" customWidth="1"/>
    <col min="14092" max="14092" width="3.33203125" customWidth="1"/>
    <col min="14094" max="14094" width="3.33203125" customWidth="1"/>
    <col min="14096" max="14096" width="3.1640625" customWidth="1"/>
    <col min="14097" max="14097" width="10" customWidth="1"/>
    <col min="14098" max="14098" width="3" customWidth="1"/>
    <col min="14337" max="14337" width="27.5" customWidth="1"/>
    <col min="14338" max="14338" width="2.5" customWidth="1"/>
    <col min="14339" max="14344" width="0" hidden="1" customWidth="1"/>
    <col min="14346" max="14346" width="3.33203125" customWidth="1"/>
    <col min="14348" max="14348" width="3.33203125" customWidth="1"/>
    <col min="14350" max="14350" width="3.33203125" customWidth="1"/>
    <col min="14352" max="14352" width="3.1640625" customWidth="1"/>
    <col min="14353" max="14353" width="10" customWidth="1"/>
    <col min="14354" max="14354" width="3" customWidth="1"/>
    <col min="14593" max="14593" width="27.5" customWidth="1"/>
    <col min="14594" max="14594" width="2.5" customWidth="1"/>
    <col min="14595" max="14600" width="0" hidden="1" customWidth="1"/>
    <col min="14602" max="14602" width="3.33203125" customWidth="1"/>
    <col min="14604" max="14604" width="3.33203125" customWidth="1"/>
    <col min="14606" max="14606" width="3.33203125" customWidth="1"/>
    <col min="14608" max="14608" width="3.1640625" customWidth="1"/>
    <col min="14609" max="14609" width="10" customWidth="1"/>
    <col min="14610" max="14610" width="3" customWidth="1"/>
    <col min="14849" max="14849" width="27.5" customWidth="1"/>
    <col min="14850" max="14850" width="2.5" customWidth="1"/>
    <col min="14851" max="14856" width="0" hidden="1" customWidth="1"/>
    <col min="14858" max="14858" width="3.33203125" customWidth="1"/>
    <col min="14860" max="14860" width="3.33203125" customWidth="1"/>
    <col min="14862" max="14862" width="3.33203125" customWidth="1"/>
    <col min="14864" max="14864" width="3.1640625" customWidth="1"/>
    <col min="14865" max="14865" width="10" customWidth="1"/>
    <col min="14866" max="14866" width="3" customWidth="1"/>
    <col min="15105" max="15105" width="27.5" customWidth="1"/>
    <col min="15106" max="15106" width="2.5" customWidth="1"/>
    <col min="15107" max="15112" width="0" hidden="1" customWidth="1"/>
    <col min="15114" max="15114" width="3.33203125" customWidth="1"/>
    <col min="15116" max="15116" width="3.33203125" customWidth="1"/>
    <col min="15118" max="15118" width="3.33203125" customWidth="1"/>
    <col min="15120" max="15120" width="3.1640625" customWidth="1"/>
    <col min="15121" max="15121" width="10" customWidth="1"/>
    <col min="15122" max="15122" width="3" customWidth="1"/>
    <col min="15361" max="15361" width="27.5" customWidth="1"/>
    <col min="15362" max="15362" width="2.5" customWidth="1"/>
    <col min="15363" max="15368" width="0" hidden="1" customWidth="1"/>
    <col min="15370" max="15370" width="3.33203125" customWidth="1"/>
    <col min="15372" max="15372" width="3.33203125" customWidth="1"/>
    <col min="15374" max="15374" width="3.33203125" customWidth="1"/>
    <col min="15376" max="15376" width="3.1640625" customWidth="1"/>
    <col min="15377" max="15377" width="10" customWidth="1"/>
    <col min="15378" max="15378" width="3" customWidth="1"/>
    <col min="15617" max="15617" width="27.5" customWidth="1"/>
    <col min="15618" max="15618" width="2.5" customWidth="1"/>
    <col min="15619" max="15624" width="0" hidden="1" customWidth="1"/>
    <col min="15626" max="15626" width="3.33203125" customWidth="1"/>
    <col min="15628" max="15628" width="3.33203125" customWidth="1"/>
    <col min="15630" max="15630" width="3.33203125" customWidth="1"/>
    <col min="15632" max="15632" width="3.1640625" customWidth="1"/>
    <col min="15633" max="15633" width="10" customWidth="1"/>
    <col min="15634" max="15634" width="3" customWidth="1"/>
    <col min="15873" max="15873" width="27.5" customWidth="1"/>
    <col min="15874" max="15874" width="2.5" customWidth="1"/>
    <col min="15875" max="15880" width="0" hidden="1" customWidth="1"/>
    <col min="15882" max="15882" width="3.33203125" customWidth="1"/>
    <col min="15884" max="15884" width="3.33203125" customWidth="1"/>
    <col min="15886" max="15886" width="3.33203125" customWidth="1"/>
    <col min="15888" max="15888" width="3.1640625" customWidth="1"/>
    <col min="15889" max="15889" width="10" customWidth="1"/>
    <col min="15890" max="15890" width="3" customWidth="1"/>
    <col min="16129" max="16129" width="27.5" customWidth="1"/>
    <col min="16130" max="16130" width="2.5" customWidth="1"/>
    <col min="16131" max="16136" width="0" hidden="1" customWidth="1"/>
    <col min="16138" max="16138" width="3.33203125" customWidth="1"/>
    <col min="16140" max="16140" width="3.33203125" customWidth="1"/>
    <col min="16142" max="16142" width="3.33203125" customWidth="1"/>
    <col min="16144" max="16144" width="3.1640625" customWidth="1"/>
    <col min="16145" max="16145" width="10" customWidth="1"/>
    <col min="16146" max="16146" width="3" customWidth="1"/>
  </cols>
  <sheetData>
    <row r="1" spans="1:35">
      <c r="A1" s="462" t="s">
        <v>144</v>
      </c>
    </row>
    <row r="2" spans="1:35">
      <c r="A2" s="387" t="s">
        <v>145</v>
      </c>
    </row>
    <row r="4" spans="1:35">
      <c r="A4" s="387" t="s">
        <v>1824</v>
      </c>
    </row>
    <row r="5" spans="1:35">
      <c r="A5" s="503" t="s">
        <v>1982</v>
      </c>
    </row>
    <row r="6" spans="1:35" ht="17" thickBot="1">
      <c r="B6" s="463"/>
      <c r="E6" s="3"/>
      <c r="F6" s="3"/>
      <c r="G6" s="3"/>
      <c r="H6" s="3"/>
      <c r="I6" s="3"/>
      <c r="J6" s="3"/>
      <c r="K6" s="3"/>
      <c r="L6" s="3"/>
      <c r="M6" s="3"/>
      <c r="N6" s="3"/>
      <c r="O6" s="3"/>
      <c r="P6" s="3"/>
      <c r="Q6" s="3"/>
      <c r="R6" s="3"/>
    </row>
    <row r="7" spans="1:35" ht="20" customHeight="1">
      <c r="A7" s="464"/>
      <c r="C7" s="465"/>
      <c r="D7" s="465"/>
      <c r="E7" s="465"/>
      <c r="F7" s="465"/>
      <c r="G7" s="465"/>
      <c r="H7" s="465"/>
      <c r="I7" s="465"/>
      <c r="J7" s="465"/>
      <c r="K7" s="465"/>
      <c r="L7" s="465"/>
      <c r="M7" s="465"/>
      <c r="N7" s="465"/>
      <c r="O7" s="465"/>
      <c r="P7" s="465"/>
      <c r="Q7" s="465"/>
      <c r="R7" s="465"/>
      <c r="S7" s="453"/>
      <c r="T7" s="204"/>
      <c r="U7" s="17"/>
      <c r="V7" s="242"/>
      <c r="W7" s="204"/>
      <c r="X7" s="204"/>
      <c r="Y7" s="242"/>
      <c r="Z7" s="204"/>
      <c r="AA7" s="14"/>
      <c r="AB7" s="242"/>
      <c r="AC7" s="204"/>
      <c r="AD7" s="14"/>
      <c r="AE7" s="242"/>
      <c r="AF7" s="204"/>
      <c r="AG7" s="14"/>
      <c r="AH7" s="242"/>
      <c r="AI7" s="204"/>
    </row>
    <row r="8" spans="1:35" ht="20" customHeight="1">
      <c r="A8" s="466" t="s">
        <v>1255</v>
      </c>
      <c r="B8" s="371"/>
      <c r="C8" s="467" t="s">
        <v>798</v>
      </c>
      <c r="D8" s="468"/>
      <c r="E8" s="467" t="s">
        <v>799</v>
      </c>
      <c r="G8" s="467" t="s">
        <v>618</v>
      </c>
      <c r="I8" s="467" t="s">
        <v>619</v>
      </c>
      <c r="K8" s="467" t="s">
        <v>620</v>
      </c>
      <c r="M8" s="467" t="s">
        <v>621</v>
      </c>
      <c r="O8" s="467" t="s">
        <v>622</v>
      </c>
      <c r="Q8" s="467" t="s">
        <v>1872</v>
      </c>
      <c r="S8" s="453"/>
      <c r="T8" s="204"/>
      <c r="U8" s="17"/>
      <c r="V8" s="242"/>
      <c r="W8" s="204"/>
      <c r="X8" s="204"/>
      <c r="Y8" s="242"/>
      <c r="Z8" s="204"/>
      <c r="AA8" s="14"/>
      <c r="AB8" s="242"/>
      <c r="AC8" s="204"/>
      <c r="AD8" s="14"/>
      <c r="AE8" s="242"/>
      <c r="AF8" s="204"/>
      <c r="AG8" s="14"/>
      <c r="AH8" s="242">
        <f>SUM(AH10+AH196)</f>
        <v>0</v>
      </c>
      <c r="AI8" s="204">
        <f>SUM(AI10+AI196)</f>
        <v>0</v>
      </c>
    </row>
    <row r="9" spans="1:35" ht="20" customHeight="1" thickBot="1">
      <c r="A9" s="463"/>
      <c r="B9" s="23"/>
      <c r="C9" s="469"/>
      <c r="D9" s="469"/>
      <c r="E9" s="469"/>
      <c r="G9" s="469"/>
      <c r="I9" s="469"/>
      <c r="K9" s="469"/>
      <c r="M9" s="469"/>
      <c r="O9" s="469"/>
      <c r="Q9" s="469"/>
    </row>
    <row r="10" spans="1:35" ht="20" customHeight="1">
      <c r="A10" s="388"/>
      <c r="E10" s="3"/>
      <c r="F10" s="465"/>
      <c r="G10" s="3"/>
      <c r="H10" s="465"/>
      <c r="I10" s="3"/>
      <c r="J10" s="465"/>
      <c r="K10" s="3"/>
      <c r="L10" s="465"/>
      <c r="M10" s="3"/>
      <c r="N10" s="465"/>
      <c r="O10" s="3"/>
      <c r="P10" s="465"/>
      <c r="Q10" s="3"/>
      <c r="R10" s="465"/>
    </row>
    <row r="11" spans="1:35" ht="20" customHeight="1">
      <c r="A11" s="387" t="s">
        <v>1256</v>
      </c>
      <c r="B11" s="387"/>
      <c r="C11" s="470">
        <v>1264</v>
      </c>
      <c r="D11" s="471"/>
      <c r="E11" s="470">
        <v>1723</v>
      </c>
      <c r="F11" s="70"/>
      <c r="G11" s="470">
        <v>1802</v>
      </c>
      <c r="I11" s="470">
        <v>1830</v>
      </c>
      <c r="K11" s="470">
        <v>1859</v>
      </c>
      <c r="M11" s="470">
        <v>1924</v>
      </c>
      <c r="O11" s="470">
        <v>1839</v>
      </c>
      <c r="Q11" s="470">
        <v>1865</v>
      </c>
    </row>
    <row r="12" spans="1:35" ht="20" customHeight="1">
      <c r="B12" s="387"/>
      <c r="C12" s="470"/>
      <c r="D12" s="471"/>
      <c r="E12" s="470"/>
      <c r="F12" s="70"/>
      <c r="G12" s="470"/>
      <c r="I12" s="470"/>
      <c r="K12" s="470"/>
      <c r="M12" s="470"/>
      <c r="O12" s="470"/>
      <c r="Q12" s="470"/>
    </row>
    <row r="13" spans="1:35" ht="20" customHeight="1">
      <c r="A13" s="387" t="s">
        <v>1257</v>
      </c>
      <c r="B13" s="387"/>
      <c r="C13" s="470">
        <v>545</v>
      </c>
      <c r="D13" s="471"/>
      <c r="E13" s="470">
        <v>500</v>
      </c>
      <c r="F13" s="70"/>
      <c r="G13" s="470">
        <v>527</v>
      </c>
      <c r="I13" s="470">
        <v>580</v>
      </c>
      <c r="K13" s="470">
        <v>546</v>
      </c>
      <c r="M13" s="470">
        <v>578</v>
      </c>
      <c r="O13" s="470">
        <v>555</v>
      </c>
      <c r="Q13" s="470">
        <v>506</v>
      </c>
    </row>
    <row r="14" spans="1:35" ht="19.5" customHeight="1">
      <c r="B14" s="387"/>
      <c r="C14" s="470"/>
      <c r="D14" s="471"/>
      <c r="E14" s="470"/>
      <c r="F14" s="70"/>
      <c r="G14" s="470"/>
      <c r="I14" s="470"/>
      <c r="K14" s="470"/>
      <c r="M14" s="470"/>
      <c r="O14" s="470"/>
      <c r="Q14" s="470"/>
    </row>
    <row r="15" spans="1:35" ht="19.5" customHeight="1">
      <c r="A15" s="387" t="s">
        <v>1258</v>
      </c>
      <c r="B15" s="387"/>
      <c r="C15" s="470">
        <v>384</v>
      </c>
      <c r="D15" s="471"/>
      <c r="E15" s="470">
        <v>441</v>
      </c>
      <c r="F15" s="70"/>
      <c r="G15" s="470">
        <v>447</v>
      </c>
      <c r="I15" s="470">
        <v>419</v>
      </c>
      <c r="K15" s="470">
        <v>480</v>
      </c>
      <c r="M15" s="470">
        <v>519</v>
      </c>
      <c r="O15" s="470">
        <v>542</v>
      </c>
      <c r="Q15" s="470">
        <v>471</v>
      </c>
    </row>
    <row r="16" spans="1:35" ht="20" customHeight="1">
      <c r="B16" s="387"/>
      <c r="C16" s="470"/>
      <c r="D16" s="471"/>
      <c r="E16" s="470"/>
      <c r="F16" s="70"/>
      <c r="G16" s="470"/>
      <c r="I16" s="470"/>
      <c r="K16" s="470"/>
      <c r="M16" s="470"/>
      <c r="O16" s="470"/>
      <c r="Q16" s="470"/>
    </row>
    <row r="17" spans="1:18" ht="20" customHeight="1">
      <c r="A17" s="387" t="s">
        <v>1259</v>
      </c>
      <c r="B17" s="387"/>
      <c r="C17" s="470">
        <v>8</v>
      </c>
      <c r="D17" s="471"/>
      <c r="E17" s="470">
        <v>14</v>
      </c>
      <c r="F17" s="70"/>
      <c r="G17" s="470">
        <v>8</v>
      </c>
      <c r="I17" s="470">
        <v>26</v>
      </c>
      <c r="K17" s="470">
        <v>29</v>
      </c>
      <c r="M17" s="470">
        <v>28</v>
      </c>
      <c r="O17" s="470">
        <v>37</v>
      </c>
      <c r="Q17" s="470">
        <v>34</v>
      </c>
    </row>
    <row r="18" spans="1:18" ht="20" customHeight="1">
      <c r="B18" s="387"/>
      <c r="C18" s="470"/>
      <c r="D18" s="471"/>
      <c r="E18" s="470"/>
      <c r="F18" s="70"/>
      <c r="G18" s="470"/>
      <c r="I18" s="470"/>
      <c r="K18" s="470"/>
      <c r="M18" s="470"/>
      <c r="O18" s="470"/>
      <c r="Q18" s="470"/>
    </row>
    <row r="19" spans="1:18" ht="20" customHeight="1">
      <c r="A19" s="387" t="s">
        <v>1260</v>
      </c>
      <c r="B19" s="387"/>
      <c r="C19" s="470">
        <v>4</v>
      </c>
      <c r="D19" s="471"/>
      <c r="E19" s="470">
        <v>1</v>
      </c>
      <c r="F19" s="70"/>
      <c r="G19" s="470">
        <v>0</v>
      </c>
      <c r="I19" s="470">
        <v>0</v>
      </c>
      <c r="K19" s="470">
        <v>1</v>
      </c>
      <c r="M19" s="470">
        <v>2</v>
      </c>
      <c r="O19" s="470"/>
      <c r="Q19" s="470"/>
    </row>
    <row r="20" spans="1:18" ht="20" customHeight="1">
      <c r="B20" s="387"/>
      <c r="C20" s="470"/>
      <c r="D20" s="471"/>
      <c r="E20" s="470"/>
      <c r="F20" s="70"/>
      <c r="G20" s="470"/>
      <c r="I20" s="470"/>
      <c r="K20" s="470"/>
      <c r="M20" s="470"/>
      <c r="O20" s="470"/>
      <c r="Q20" s="470"/>
    </row>
    <row r="21" spans="1:18" ht="20" customHeight="1">
      <c r="A21" s="387" t="s">
        <v>1261</v>
      </c>
      <c r="B21" s="387"/>
      <c r="C21" s="470">
        <v>562</v>
      </c>
      <c r="D21" s="471"/>
      <c r="E21" s="470">
        <v>556</v>
      </c>
      <c r="F21" s="70"/>
      <c r="G21" s="470">
        <v>615</v>
      </c>
      <c r="I21" s="470">
        <v>352</v>
      </c>
      <c r="K21" s="470">
        <v>601</v>
      </c>
      <c r="M21" s="470">
        <v>636</v>
      </c>
      <c r="O21" s="470">
        <v>611</v>
      </c>
      <c r="Q21" s="470">
        <v>602</v>
      </c>
    </row>
    <row r="22" spans="1:18" ht="20" customHeight="1">
      <c r="B22" s="387"/>
      <c r="C22" s="470"/>
      <c r="D22" s="471"/>
      <c r="E22" s="470"/>
      <c r="F22" s="70"/>
      <c r="G22" s="470"/>
      <c r="I22" s="470"/>
      <c r="K22" s="470"/>
      <c r="M22" s="470"/>
      <c r="O22" s="470"/>
      <c r="Q22" s="470"/>
    </row>
    <row r="23" spans="1:18" ht="20" customHeight="1">
      <c r="A23" s="387" t="s">
        <v>1262</v>
      </c>
      <c r="B23" s="387"/>
      <c r="C23" s="470">
        <v>17</v>
      </c>
      <c r="D23" s="471"/>
      <c r="E23" s="470">
        <v>11</v>
      </c>
      <c r="F23" s="70"/>
      <c r="G23" s="470">
        <v>17</v>
      </c>
      <c r="I23" s="470">
        <v>10</v>
      </c>
      <c r="K23" s="470">
        <v>13</v>
      </c>
      <c r="M23" s="470">
        <v>21</v>
      </c>
      <c r="O23" s="470">
        <v>20</v>
      </c>
      <c r="Q23" s="470">
        <v>25</v>
      </c>
    </row>
    <row r="24" spans="1:18" ht="20" customHeight="1" thickBot="1">
      <c r="A24"/>
      <c r="B24" s="23"/>
      <c r="C24" s="469"/>
      <c r="D24" s="469"/>
      <c r="E24" s="469"/>
      <c r="G24" s="469"/>
      <c r="I24" s="469"/>
      <c r="K24" s="469"/>
      <c r="M24" s="469"/>
      <c r="O24" s="469"/>
      <c r="Q24" s="469"/>
    </row>
    <row r="25" spans="1:18" ht="11.25" customHeight="1">
      <c r="A25" s="464"/>
      <c r="E25" s="3"/>
      <c r="F25" s="465"/>
      <c r="G25" s="3"/>
      <c r="H25" s="465"/>
      <c r="I25" s="3"/>
      <c r="J25" s="465"/>
      <c r="K25" s="3"/>
      <c r="L25" s="465"/>
      <c r="M25" s="3"/>
      <c r="N25" s="465"/>
      <c r="O25" s="3"/>
      <c r="P25" s="465"/>
      <c r="Q25" s="3"/>
      <c r="R25" s="465"/>
    </row>
    <row r="26" spans="1:18" s="33" customFormat="1" ht="17" customHeight="1">
      <c r="A26" s="472" t="s">
        <v>1263</v>
      </c>
      <c r="B26" s="473"/>
      <c r="C26" s="61"/>
      <c r="D26" s="61"/>
    </row>
    <row r="27" spans="1:18" s="33" customFormat="1" ht="17" customHeight="1">
      <c r="A27" s="472" t="s">
        <v>1264</v>
      </c>
      <c r="B27" s="177"/>
      <c r="C27" s="61"/>
      <c r="D27" s="61"/>
    </row>
    <row r="28" spans="1:18" s="33" customFormat="1" ht="57.75" customHeight="1">
      <c r="A28" s="1045" t="s">
        <v>1821</v>
      </c>
      <c r="B28" s="1045"/>
      <c r="C28" s="1045"/>
      <c r="D28" s="1045"/>
      <c r="E28" s="1045"/>
      <c r="F28" s="1045"/>
      <c r="G28" s="1045"/>
      <c r="H28" s="1045"/>
      <c r="I28" s="1045"/>
      <c r="J28" s="1045"/>
      <c r="K28" s="1045"/>
      <c r="L28" s="1045"/>
      <c r="M28" s="1045"/>
      <c r="N28" s="1045"/>
      <c r="O28" s="1045"/>
      <c r="P28" s="1045"/>
    </row>
    <row r="29" spans="1:18" s="33" customFormat="1" ht="17" customHeight="1">
      <c r="A29" s="1046" t="s">
        <v>1265</v>
      </c>
      <c r="B29" s="1046"/>
      <c r="C29" s="1046"/>
      <c r="D29" s="1046"/>
      <c r="E29" s="1046"/>
      <c r="F29" s="1046"/>
      <c r="G29" s="1046"/>
      <c r="H29" s="1046"/>
      <c r="I29" s="1046"/>
      <c r="J29" s="1046"/>
      <c r="K29" s="1046"/>
      <c r="L29" s="1046"/>
      <c r="M29" s="1046"/>
      <c r="N29" s="1046"/>
      <c r="O29" s="1046"/>
      <c r="P29" s="1046"/>
    </row>
    <row r="30" spans="1:18" s="33" customFormat="1" ht="17" customHeight="1">
      <c r="A30" s="1047" t="s">
        <v>1822</v>
      </c>
      <c r="B30" s="1047"/>
      <c r="C30" s="1047"/>
      <c r="D30" s="1047"/>
      <c r="E30" s="1047"/>
      <c r="F30" s="1047"/>
      <c r="G30" s="1047"/>
      <c r="H30" s="1047"/>
      <c r="I30" s="1047"/>
      <c r="J30" s="1047"/>
      <c r="K30" s="1047"/>
      <c r="L30" s="1047"/>
      <c r="M30" s="1047"/>
      <c r="N30" s="1047"/>
      <c r="O30" s="1047"/>
      <c r="P30" s="1047"/>
    </row>
    <row r="31" spans="1:18" s="33" customFormat="1" ht="17" customHeight="1">
      <c r="A31" s="474" t="s">
        <v>1266</v>
      </c>
      <c r="B31" s="177"/>
      <c r="C31" s="61"/>
      <c r="D31" s="61"/>
    </row>
    <row r="32" spans="1:18" s="33" customFormat="1" ht="17" customHeight="1">
      <c r="A32" s="474" t="s">
        <v>1267</v>
      </c>
      <c r="B32" s="177"/>
      <c r="C32" s="61"/>
      <c r="D32" s="61"/>
    </row>
    <row r="33" spans="1:4" s="33" customFormat="1" ht="12.75" customHeight="1">
      <c r="A33" s="177"/>
      <c r="B33" s="177"/>
      <c r="C33" s="61"/>
      <c r="D33" s="61"/>
    </row>
    <row r="34" spans="1:4" s="33" customFormat="1" ht="17" customHeight="1">
      <c r="A34" s="177" t="s">
        <v>1254</v>
      </c>
      <c r="B34" s="475"/>
      <c r="C34" s="61"/>
      <c r="D34" s="61"/>
    </row>
    <row r="35" spans="1:4" s="33" customFormat="1" ht="17" customHeight="1">
      <c r="A35" s="177" t="s">
        <v>452</v>
      </c>
      <c r="B35" s="475"/>
      <c r="C35" s="61"/>
      <c r="D35" s="61"/>
    </row>
    <row r="36" spans="1:4" s="33" customFormat="1" ht="17" customHeight="1">
      <c r="A36" s="177"/>
      <c r="B36" s="177"/>
      <c r="C36" s="61"/>
      <c r="D36" s="61"/>
    </row>
  </sheetData>
  <mergeCells count="3">
    <mergeCell ref="A28:P28"/>
    <mergeCell ref="A29:P29"/>
    <mergeCell ref="A30:P30"/>
  </mergeCells>
  <conditionalFormatting sqref="A65537:XFD1048576 IW1:XFD65536">
    <cfRule type="cellIs" dxfId="42" priority="5" operator="equal">
      <formula>0</formula>
    </cfRule>
  </conditionalFormatting>
  <conditionalFormatting sqref="A4:Q5">
    <cfRule type="cellIs" dxfId="41" priority="4" operator="equal">
      <formula>0</formula>
    </cfRule>
  </conditionalFormatting>
  <conditionalFormatting sqref="A26:P35">
    <cfRule type="cellIs" dxfId="40" priority="3" operator="equal">
      <formula>0</formula>
    </cfRule>
  </conditionalFormatting>
  <conditionalFormatting sqref="S7:AI7">
    <cfRule type="cellIs" dxfId="39" priority="2" operator="equal">
      <formula>0</formula>
    </cfRule>
  </conditionalFormatting>
  <conditionalFormatting sqref="S8:AI8">
    <cfRule type="cellIs" dxfId="38" priority="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0"/>
  <sheetViews>
    <sheetView workbookViewId="0">
      <selection activeCell="B4" sqref="B4"/>
    </sheetView>
  </sheetViews>
  <sheetFormatPr baseColWidth="10" defaultColWidth="9.1640625" defaultRowHeight="13"/>
  <cols>
    <col min="1" max="1" width="21.33203125" style="95" customWidth="1"/>
    <col min="2" max="2" width="4.5" style="95" customWidth="1"/>
    <col min="3" max="3" width="10.6640625" style="140" customWidth="1"/>
    <col min="4" max="4" width="10.6640625" style="104" customWidth="1"/>
    <col min="5" max="5" width="3.33203125" style="95" customWidth="1"/>
    <col min="6" max="6" width="10.6640625" style="140" customWidth="1"/>
    <col min="7" max="7" width="10.6640625" style="105" customWidth="1"/>
    <col min="8" max="8" width="3.33203125" style="95" customWidth="1"/>
    <col min="9" max="9" width="10.6640625" style="140" customWidth="1"/>
    <col min="10" max="10" width="9.1640625" style="105" customWidth="1"/>
    <col min="11" max="11" width="3.5" style="95" customWidth="1"/>
    <col min="12" max="256" width="9.1640625" style="95"/>
    <col min="257" max="257" width="21.33203125" style="95" customWidth="1"/>
    <col min="258" max="258" width="4.5" style="95" customWidth="1"/>
    <col min="259" max="260" width="10.6640625" style="95" customWidth="1"/>
    <col min="261" max="261" width="3.33203125" style="95" customWidth="1"/>
    <col min="262" max="263" width="10.6640625" style="95" customWidth="1"/>
    <col min="264" max="264" width="3.33203125" style="95" customWidth="1"/>
    <col min="265" max="265" width="10.6640625" style="95" customWidth="1"/>
    <col min="266" max="266" width="9.1640625" style="95" customWidth="1"/>
    <col min="267" max="267" width="3.5" style="95" customWidth="1"/>
    <col min="268" max="512" width="9.1640625" style="95"/>
    <col min="513" max="513" width="21.33203125" style="95" customWidth="1"/>
    <col min="514" max="514" width="4.5" style="95" customWidth="1"/>
    <col min="515" max="516" width="10.6640625" style="95" customWidth="1"/>
    <col min="517" max="517" width="3.33203125" style="95" customWidth="1"/>
    <col min="518" max="519" width="10.6640625" style="95" customWidth="1"/>
    <col min="520" max="520" width="3.33203125" style="95" customWidth="1"/>
    <col min="521" max="521" width="10.6640625" style="95" customWidth="1"/>
    <col min="522" max="522" width="9.1640625" style="95" customWidth="1"/>
    <col min="523" max="523" width="3.5" style="95" customWidth="1"/>
    <col min="524" max="768" width="9.1640625" style="95"/>
    <col min="769" max="769" width="21.33203125" style="95" customWidth="1"/>
    <col min="770" max="770" width="4.5" style="95" customWidth="1"/>
    <col min="771" max="772" width="10.6640625" style="95" customWidth="1"/>
    <col min="773" max="773" width="3.33203125" style="95" customWidth="1"/>
    <col min="774" max="775" width="10.6640625" style="95" customWidth="1"/>
    <col min="776" max="776" width="3.33203125" style="95" customWidth="1"/>
    <col min="777" max="777" width="10.6640625" style="95" customWidth="1"/>
    <col min="778" max="778" width="9.1640625" style="95" customWidth="1"/>
    <col min="779" max="779" width="3.5" style="95" customWidth="1"/>
    <col min="780" max="1024" width="9.1640625" style="95"/>
    <col min="1025" max="1025" width="21.33203125" style="95" customWidth="1"/>
    <col min="1026" max="1026" width="4.5" style="95" customWidth="1"/>
    <col min="1027" max="1028" width="10.6640625" style="95" customWidth="1"/>
    <col min="1029" max="1029" width="3.33203125" style="95" customWidth="1"/>
    <col min="1030" max="1031" width="10.6640625" style="95" customWidth="1"/>
    <col min="1032" max="1032" width="3.33203125" style="95" customWidth="1"/>
    <col min="1033" max="1033" width="10.6640625" style="95" customWidth="1"/>
    <col min="1034" max="1034" width="9.1640625" style="95" customWidth="1"/>
    <col min="1035" max="1035" width="3.5" style="95" customWidth="1"/>
    <col min="1036" max="1280" width="9.1640625" style="95"/>
    <col min="1281" max="1281" width="21.33203125" style="95" customWidth="1"/>
    <col min="1282" max="1282" width="4.5" style="95" customWidth="1"/>
    <col min="1283" max="1284" width="10.6640625" style="95" customWidth="1"/>
    <col min="1285" max="1285" width="3.33203125" style="95" customWidth="1"/>
    <col min="1286" max="1287" width="10.6640625" style="95" customWidth="1"/>
    <col min="1288" max="1288" width="3.33203125" style="95" customWidth="1"/>
    <col min="1289" max="1289" width="10.6640625" style="95" customWidth="1"/>
    <col min="1290" max="1290" width="9.1640625" style="95" customWidth="1"/>
    <col min="1291" max="1291" width="3.5" style="95" customWidth="1"/>
    <col min="1292" max="1536" width="9.1640625" style="95"/>
    <col min="1537" max="1537" width="21.33203125" style="95" customWidth="1"/>
    <col min="1538" max="1538" width="4.5" style="95" customWidth="1"/>
    <col min="1539" max="1540" width="10.6640625" style="95" customWidth="1"/>
    <col min="1541" max="1541" width="3.33203125" style="95" customWidth="1"/>
    <col min="1542" max="1543" width="10.6640625" style="95" customWidth="1"/>
    <col min="1544" max="1544" width="3.33203125" style="95" customWidth="1"/>
    <col min="1545" max="1545" width="10.6640625" style="95" customWidth="1"/>
    <col min="1546" max="1546" width="9.1640625" style="95" customWidth="1"/>
    <col min="1547" max="1547" width="3.5" style="95" customWidth="1"/>
    <col min="1548" max="1792" width="9.1640625" style="95"/>
    <col min="1793" max="1793" width="21.33203125" style="95" customWidth="1"/>
    <col min="1794" max="1794" width="4.5" style="95" customWidth="1"/>
    <col min="1795" max="1796" width="10.6640625" style="95" customWidth="1"/>
    <col min="1797" max="1797" width="3.33203125" style="95" customWidth="1"/>
    <col min="1798" max="1799" width="10.6640625" style="95" customWidth="1"/>
    <col min="1800" max="1800" width="3.33203125" style="95" customWidth="1"/>
    <col min="1801" max="1801" width="10.6640625" style="95" customWidth="1"/>
    <col min="1802" max="1802" width="9.1640625" style="95" customWidth="1"/>
    <col min="1803" max="1803" width="3.5" style="95" customWidth="1"/>
    <col min="1804" max="2048" width="9.1640625" style="95"/>
    <col min="2049" max="2049" width="21.33203125" style="95" customWidth="1"/>
    <col min="2050" max="2050" width="4.5" style="95" customWidth="1"/>
    <col min="2051" max="2052" width="10.6640625" style="95" customWidth="1"/>
    <col min="2053" max="2053" width="3.33203125" style="95" customWidth="1"/>
    <col min="2054" max="2055" width="10.6640625" style="95" customWidth="1"/>
    <col min="2056" max="2056" width="3.33203125" style="95" customWidth="1"/>
    <col min="2057" max="2057" width="10.6640625" style="95" customWidth="1"/>
    <col min="2058" max="2058" width="9.1640625" style="95" customWidth="1"/>
    <col min="2059" max="2059" width="3.5" style="95" customWidth="1"/>
    <col min="2060" max="2304" width="9.1640625" style="95"/>
    <col min="2305" max="2305" width="21.33203125" style="95" customWidth="1"/>
    <col min="2306" max="2306" width="4.5" style="95" customWidth="1"/>
    <col min="2307" max="2308" width="10.6640625" style="95" customWidth="1"/>
    <col min="2309" max="2309" width="3.33203125" style="95" customWidth="1"/>
    <col min="2310" max="2311" width="10.6640625" style="95" customWidth="1"/>
    <col min="2312" max="2312" width="3.33203125" style="95" customWidth="1"/>
    <col min="2313" max="2313" width="10.6640625" style="95" customWidth="1"/>
    <col min="2314" max="2314" width="9.1640625" style="95" customWidth="1"/>
    <col min="2315" max="2315" width="3.5" style="95" customWidth="1"/>
    <col min="2316" max="2560" width="9.1640625" style="95"/>
    <col min="2561" max="2561" width="21.33203125" style="95" customWidth="1"/>
    <col min="2562" max="2562" width="4.5" style="95" customWidth="1"/>
    <col min="2563" max="2564" width="10.6640625" style="95" customWidth="1"/>
    <col min="2565" max="2565" width="3.33203125" style="95" customWidth="1"/>
    <col min="2566" max="2567" width="10.6640625" style="95" customWidth="1"/>
    <col min="2568" max="2568" width="3.33203125" style="95" customWidth="1"/>
    <col min="2569" max="2569" width="10.6640625" style="95" customWidth="1"/>
    <col min="2570" max="2570" width="9.1640625" style="95" customWidth="1"/>
    <col min="2571" max="2571" width="3.5" style="95" customWidth="1"/>
    <col min="2572" max="2816" width="9.1640625" style="95"/>
    <col min="2817" max="2817" width="21.33203125" style="95" customWidth="1"/>
    <col min="2818" max="2818" width="4.5" style="95" customWidth="1"/>
    <col min="2819" max="2820" width="10.6640625" style="95" customWidth="1"/>
    <col min="2821" max="2821" width="3.33203125" style="95" customWidth="1"/>
    <col min="2822" max="2823" width="10.6640625" style="95" customWidth="1"/>
    <col min="2824" max="2824" width="3.33203125" style="95" customWidth="1"/>
    <col min="2825" max="2825" width="10.6640625" style="95" customWidth="1"/>
    <col min="2826" max="2826" width="9.1640625" style="95" customWidth="1"/>
    <col min="2827" max="2827" width="3.5" style="95" customWidth="1"/>
    <col min="2828" max="3072" width="9.1640625" style="95"/>
    <col min="3073" max="3073" width="21.33203125" style="95" customWidth="1"/>
    <col min="3074" max="3074" width="4.5" style="95" customWidth="1"/>
    <col min="3075" max="3076" width="10.6640625" style="95" customWidth="1"/>
    <col min="3077" max="3077" width="3.33203125" style="95" customWidth="1"/>
    <col min="3078" max="3079" width="10.6640625" style="95" customWidth="1"/>
    <col min="3080" max="3080" width="3.33203125" style="95" customWidth="1"/>
    <col min="3081" max="3081" width="10.6640625" style="95" customWidth="1"/>
    <col min="3082" max="3082" width="9.1640625" style="95" customWidth="1"/>
    <col min="3083" max="3083" width="3.5" style="95" customWidth="1"/>
    <col min="3084" max="3328" width="9.1640625" style="95"/>
    <col min="3329" max="3329" width="21.33203125" style="95" customWidth="1"/>
    <col min="3330" max="3330" width="4.5" style="95" customWidth="1"/>
    <col min="3331" max="3332" width="10.6640625" style="95" customWidth="1"/>
    <col min="3333" max="3333" width="3.33203125" style="95" customWidth="1"/>
    <col min="3334" max="3335" width="10.6640625" style="95" customWidth="1"/>
    <col min="3336" max="3336" width="3.33203125" style="95" customWidth="1"/>
    <col min="3337" max="3337" width="10.6640625" style="95" customWidth="1"/>
    <col min="3338" max="3338" width="9.1640625" style="95" customWidth="1"/>
    <col min="3339" max="3339" width="3.5" style="95" customWidth="1"/>
    <col min="3340" max="3584" width="9.1640625" style="95"/>
    <col min="3585" max="3585" width="21.33203125" style="95" customWidth="1"/>
    <col min="3586" max="3586" width="4.5" style="95" customWidth="1"/>
    <col min="3587" max="3588" width="10.6640625" style="95" customWidth="1"/>
    <col min="3589" max="3589" width="3.33203125" style="95" customWidth="1"/>
    <col min="3590" max="3591" width="10.6640625" style="95" customWidth="1"/>
    <col min="3592" max="3592" width="3.33203125" style="95" customWidth="1"/>
    <col min="3593" max="3593" width="10.6640625" style="95" customWidth="1"/>
    <col min="3594" max="3594" width="9.1640625" style="95" customWidth="1"/>
    <col min="3595" max="3595" width="3.5" style="95" customWidth="1"/>
    <col min="3596" max="3840" width="9.1640625" style="95"/>
    <col min="3841" max="3841" width="21.33203125" style="95" customWidth="1"/>
    <col min="3842" max="3842" width="4.5" style="95" customWidth="1"/>
    <col min="3843" max="3844" width="10.6640625" style="95" customWidth="1"/>
    <col min="3845" max="3845" width="3.33203125" style="95" customWidth="1"/>
    <col min="3846" max="3847" width="10.6640625" style="95" customWidth="1"/>
    <col min="3848" max="3848" width="3.33203125" style="95" customWidth="1"/>
    <col min="3849" max="3849" width="10.6640625" style="95" customWidth="1"/>
    <col min="3850" max="3850" width="9.1640625" style="95" customWidth="1"/>
    <col min="3851" max="3851" width="3.5" style="95" customWidth="1"/>
    <col min="3852" max="4096" width="9.1640625" style="95"/>
    <col min="4097" max="4097" width="21.33203125" style="95" customWidth="1"/>
    <col min="4098" max="4098" width="4.5" style="95" customWidth="1"/>
    <col min="4099" max="4100" width="10.6640625" style="95" customWidth="1"/>
    <col min="4101" max="4101" width="3.33203125" style="95" customWidth="1"/>
    <col min="4102" max="4103" width="10.6640625" style="95" customWidth="1"/>
    <col min="4104" max="4104" width="3.33203125" style="95" customWidth="1"/>
    <col min="4105" max="4105" width="10.6640625" style="95" customWidth="1"/>
    <col min="4106" max="4106" width="9.1640625" style="95" customWidth="1"/>
    <col min="4107" max="4107" width="3.5" style="95" customWidth="1"/>
    <col min="4108" max="4352" width="9.1640625" style="95"/>
    <col min="4353" max="4353" width="21.33203125" style="95" customWidth="1"/>
    <col min="4354" max="4354" width="4.5" style="95" customWidth="1"/>
    <col min="4355" max="4356" width="10.6640625" style="95" customWidth="1"/>
    <col min="4357" max="4357" width="3.33203125" style="95" customWidth="1"/>
    <col min="4358" max="4359" width="10.6640625" style="95" customWidth="1"/>
    <col min="4360" max="4360" width="3.33203125" style="95" customWidth="1"/>
    <col min="4361" max="4361" width="10.6640625" style="95" customWidth="1"/>
    <col min="4362" max="4362" width="9.1640625" style="95" customWidth="1"/>
    <col min="4363" max="4363" width="3.5" style="95" customWidth="1"/>
    <col min="4364" max="4608" width="9.1640625" style="95"/>
    <col min="4609" max="4609" width="21.33203125" style="95" customWidth="1"/>
    <col min="4610" max="4610" width="4.5" style="95" customWidth="1"/>
    <col min="4611" max="4612" width="10.6640625" style="95" customWidth="1"/>
    <col min="4613" max="4613" width="3.33203125" style="95" customWidth="1"/>
    <col min="4614" max="4615" width="10.6640625" style="95" customWidth="1"/>
    <col min="4616" max="4616" width="3.33203125" style="95" customWidth="1"/>
    <col min="4617" max="4617" width="10.6640625" style="95" customWidth="1"/>
    <col min="4618" max="4618" width="9.1640625" style="95" customWidth="1"/>
    <col min="4619" max="4619" width="3.5" style="95" customWidth="1"/>
    <col min="4620" max="4864" width="9.1640625" style="95"/>
    <col min="4865" max="4865" width="21.33203125" style="95" customWidth="1"/>
    <col min="4866" max="4866" width="4.5" style="95" customWidth="1"/>
    <col min="4867" max="4868" width="10.6640625" style="95" customWidth="1"/>
    <col min="4869" max="4869" width="3.33203125" style="95" customWidth="1"/>
    <col min="4870" max="4871" width="10.6640625" style="95" customWidth="1"/>
    <col min="4872" max="4872" width="3.33203125" style="95" customWidth="1"/>
    <col min="4873" max="4873" width="10.6640625" style="95" customWidth="1"/>
    <col min="4874" max="4874" width="9.1640625" style="95" customWidth="1"/>
    <col min="4875" max="4875" width="3.5" style="95" customWidth="1"/>
    <col min="4876" max="5120" width="9.1640625" style="95"/>
    <col min="5121" max="5121" width="21.33203125" style="95" customWidth="1"/>
    <col min="5122" max="5122" width="4.5" style="95" customWidth="1"/>
    <col min="5123" max="5124" width="10.6640625" style="95" customWidth="1"/>
    <col min="5125" max="5125" width="3.33203125" style="95" customWidth="1"/>
    <col min="5126" max="5127" width="10.6640625" style="95" customWidth="1"/>
    <col min="5128" max="5128" width="3.33203125" style="95" customWidth="1"/>
    <col min="5129" max="5129" width="10.6640625" style="95" customWidth="1"/>
    <col min="5130" max="5130" width="9.1640625" style="95" customWidth="1"/>
    <col min="5131" max="5131" width="3.5" style="95" customWidth="1"/>
    <col min="5132" max="5376" width="9.1640625" style="95"/>
    <col min="5377" max="5377" width="21.33203125" style="95" customWidth="1"/>
    <col min="5378" max="5378" width="4.5" style="95" customWidth="1"/>
    <col min="5379" max="5380" width="10.6640625" style="95" customWidth="1"/>
    <col min="5381" max="5381" width="3.33203125" style="95" customWidth="1"/>
    <col min="5382" max="5383" width="10.6640625" style="95" customWidth="1"/>
    <col min="5384" max="5384" width="3.33203125" style="95" customWidth="1"/>
    <col min="5385" max="5385" width="10.6640625" style="95" customWidth="1"/>
    <col min="5386" max="5386" width="9.1640625" style="95" customWidth="1"/>
    <col min="5387" max="5387" width="3.5" style="95" customWidth="1"/>
    <col min="5388" max="5632" width="9.1640625" style="95"/>
    <col min="5633" max="5633" width="21.33203125" style="95" customWidth="1"/>
    <col min="5634" max="5634" width="4.5" style="95" customWidth="1"/>
    <col min="5635" max="5636" width="10.6640625" style="95" customWidth="1"/>
    <col min="5637" max="5637" width="3.33203125" style="95" customWidth="1"/>
    <col min="5638" max="5639" width="10.6640625" style="95" customWidth="1"/>
    <col min="5640" max="5640" width="3.33203125" style="95" customWidth="1"/>
    <col min="5641" max="5641" width="10.6640625" style="95" customWidth="1"/>
    <col min="5642" max="5642" width="9.1640625" style="95" customWidth="1"/>
    <col min="5643" max="5643" width="3.5" style="95" customWidth="1"/>
    <col min="5644" max="5888" width="9.1640625" style="95"/>
    <col min="5889" max="5889" width="21.33203125" style="95" customWidth="1"/>
    <col min="5890" max="5890" width="4.5" style="95" customWidth="1"/>
    <col min="5891" max="5892" width="10.6640625" style="95" customWidth="1"/>
    <col min="5893" max="5893" width="3.33203125" style="95" customWidth="1"/>
    <col min="5894" max="5895" width="10.6640625" style="95" customWidth="1"/>
    <col min="5896" max="5896" width="3.33203125" style="95" customWidth="1"/>
    <col min="5897" max="5897" width="10.6640625" style="95" customWidth="1"/>
    <col min="5898" max="5898" width="9.1640625" style="95" customWidth="1"/>
    <col min="5899" max="5899" width="3.5" style="95" customWidth="1"/>
    <col min="5900" max="6144" width="9.1640625" style="95"/>
    <col min="6145" max="6145" width="21.33203125" style="95" customWidth="1"/>
    <col min="6146" max="6146" width="4.5" style="95" customWidth="1"/>
    <col min="6147" max="6148" width="10.6640625" style="95" customWidth="1"/>
    <col min="6149" max="6149" width="3.33203125" style="95" customWidth="1"/>
    <col min="6150" max="6151" width="10.6640625" style="95" customWidth="1"/>
    <col min="6152" max="6152" width="3.33203125" style="95" customWidth="1"/>
    <col min="6153" max="6153" width="10.6640625" style="95" customWidth="1"/>
    <col min="6154" max="6154" width="9.1640625" style="95" customWidth="1"/>
    <col min="6155" max="6155" width="3.5" style="95" customWidth="1"/>
    <col min="6156" max="6400" width="9.1640625" style="95"/>
    <col min="6401" max="6401" width="21.33203125" style="95" customWidth="1"/>
    <col min="6402" max="6402" width="4.5" style="95" customWidth="1"/>
    <col min="6403" max="6404" width="10.6640625" style="95" customWidth="1"/>
    <col min="6405" max="6405" width="3.33203125" style="95" customWidth="1"/>
    <col min="6406" max="6407" width="10.6640625" style="95" customWidth="1"/>
    <col min="6408" max="6408" width="3.33203125" style="95" customWidth="1"/>
    <col min="6409" max="6409" width="10.6640625" style="95" customWidth="1"/>
    <col min="6410" max="6410" width="9.1640625" style="95" customWidth="1"/>
    <col min="6411" max="6411" width="3.5" style="95" customWidth="1"/>
    <col min="6412" max="6656" width="9.1640625" style="95"/>
    <col min="6657" max="6657" width="21.33203125" style="95" customWidth="1"/>
    <col min="6658" max="6658" width="4.5" style="95" customWidth="1"/>
    <col min="6659" max="6660" width="10.6640625" style="95" customWidth="1"/>
    <col min="6661" max="6661" width="3.33203125" style="95" customWidth="1"/>
    <col min="6662" max="6663" width="10.6640625" style="95" customWidth="1"/>
    <col min="6664" max="6664" width="3.33203125" style="95" customWidth="1"/>
    <col min="6665" max="6665" width="10.6640625" style="95" customWidth="1"/>
    <col min="6666" max="6666" width="9.1640625" style="95" customWidth="1"/>
    <col min="6667" max="6667" width="3.5" style="95" customWidth="1"/>
    <col min="6668" max="6912" width="9.1640625" style="95"/>
    <col min="6913" max="6913" width="21.33203125" style="95" customWidth="1"/>
    <col min="6914" max="6914" width="4.5" style="95" customWidth="1"/>
    <col min="6915" max="6916" width="10.6640625" style="95" customWidth="1"/>
    <col min="6917" max="6917" width="3.33203125" style="95" customWidth="1"/>
    <col min="6918" max="6919" width="10.6640625" style="95" customWidth="1"/>
    <col min="6920" max="6920" width="3.33203125" style="95" customWidth="1"/>
    <col min="6921" max="6921" width="10.6640625" style="95" customWidth="1"/>
    <col min="6922" max="6922" width="9.1640625" style="95" customWidth="1"/>
    <col min="6923" max="6923" width="3.5" style="95" customWidth="1"/>
    <col min="6924" max="7168" width="9.1640625" style="95"/>
    <col min="7169" max="7169" width="21.33203125" style="95" customWidth="1"/>
    <col min="7170" max="7170" width="4.5" style="95" customWidth="1"/>
    <col min="7171" max="7172" width="10.6640625" style="95" customWidth="1"/>
    <col min="7173" max="7173" width="3.33203125" style="95" customWidth="1"/>
    <col min="7174" max="7175" width="10.6640625" style="95" customWidth="1"/>
    <col min="7176" max="7176" width="3.33203125" style="95" customWidth="1"/>
    <col min="7177" max="7177" width="10.6640625" style="95" customWidth="1"/>
    <col min="7178" max="7178" width="9.1640625" style="95" customWidth="1"/>
    <col min="7179" max="7179" width="3.5" style="95" customWidth="1"/>
    <col min="7180" max="7424" width="9.1640625" style="95"/>
    <col min="7425" max="7425" width="21.33203125" style="95" customWidth="1"/>
    <col min="7426" max="7426" width="4.5" style="95" customWidth="1"/>
    <col min="7427" max="7428" width="10.6640625" style="95" customWidth="1"/>
    <col min="7429" max="7429" width="3.33203125" style="95" customWidth="1"/>
    <col min="7430" max="7431" width="10.6640625" style="95" customWidth="1"/>
    <col min="7432" max="7432" width="3.33203125" style="95" customWidth="1"/>
    <col min="7433" max="7433" width="10.6640625" style="95" customWidth="1"/>
    <col min="7434" max="7434" width="9.1640625" style="95" customWidth="1"/>
    <col min="7435" max="7435" width="3.5" style="95" customWidth="1"/>
    <col min="7436" max="7680" width="9.1640625" style="95"/>
    <col min="7681" max="7681" width="21.33203125" style="95" customWidth="1"/>
    <col min="7682" max="7682" width="4.5" style="95" customWidth="1"/>
    <col min="7683" max="7684" width="10.6640625" style="95" customWidth="1"/>
    <col min="7685" max="7685" width="3.33203125" style="95" customWidth="1"/>
    <col min="7686" max="7687" width="10.6640625" style="95" customWidth="1"/>
    <col min="7688" max="7688" width="3.33203125" style="95" customWidth="1"/>
    <col min="7689" max="7689" width="10.6640625" style="95" customWidth="1"/>
    <col min="7690" max="7690" width="9.1640625" style="95" customWidth="1"/>
    <col min="7691" max="7691" width="3.5" style="95" customWidth="1"/>
    <col min="7692" max="7936" width="9.1640625" style="95"/>
    <col min="7937" max="7937" width="21.33203125" style="95" customWidth="1"/>
    <col min="7938" max="7938" width="4.5" style="95" customWidth="1"/>
    <col min="7939" max="7940" width="10.6640625" style="95" customWidth="1"/>
    <col min="7941" max="7941" width="3.33203125" style="95" customWidth="1"/>
    <col min="7942" max="7943" width="10.6640625" style="95" customWidth="1"/>
    <col min="7944" max="7944" width="3.33203125" style="95" customWidth="1"/>
    <col min="7945" max="7945" width="10.6640625" style="95" customWidth="1"/>
    <col min="7946" max="7946" width="9.1640625" style="95" customWidth="1"/>
    <col min="7947" max="7947" width="3.5" style="95" customWidth="1"/>
    <col min="7948" max="8192" width="9.1640625" style="95"/>
    <col min="8193" max="8193" width="21.33203125" style="95" customWidth="1"/>
    <col min="8194" max="8194" width="4.5" style="95" customWidth="1"/>
    <col min="8195" max="8196" width="10.6640625" style="95" customWidth="1"/>
    <col min="8197" max="8197" width="3.33203125" style="95" customWidth="1"/>
    <col min="8198" max="8199" width="10.6640625" style="95" customWidth="1"/>
    <col min="8200" max="8200" width="3.33203125" style="95" customWidth="1"/>
    <col min="8201" max="8201" width="10.6640625" style="95" customWidth="1"/>
    <col min="8202" max="8202" width="9.1640625" style="95" customWidth="1"/>
    <col min="8203" max="8203" width="3.5" style="95" customWidth="1"/>
    <col min="8204" max="8448" width="9.1640625" style="95"/>
    <col min="8449" max="8449" width="21.33203125" style="95" customWidth="1"/>
    <col min="8450" max="8450" width="4.5" style="95" customWidth="1"/>
    <col min="8451" max="8452" width="10.6640625" style="95" customWidth="1"/>
    <col min="8453" max="8453" width="3.33203125" style="95" customWidth="1"/>
    <col min="8454" max="8455" width="10.6640625" style="95" customWidth="1"/>
    <col min="8456" max="8456" width="3.33203125" style="95" customWidth="1"/>
    <col min="8457" max="8457" width="10.6640625" style="95" customWidth="1"/>
    <col min="8458" max="8458" width="9.1640625" style="95" customWidth="1"/>
    <col min="8459" max="8459" width="3.5" style="95" customWidth="1"/>
    <col min="8460" max="8704" width="9.1640625" style="95"/>
    <col min="8705" max="8705" width="21.33203125" style="95" customWidth="1"/>
    <col min="8706" max="8706" width="4.5" style="95" customWidth="1"/>
    <col min="8707" max="8708" width="10.6640625" style="95" customWidth="1"/>
    <col min="8709" max="8709" width="3.33203125" style="95" customWidth="1"/>
    <col min="8710" max="8711" width="10.6640625" style="95" customWidth="1"/>
    <col min="8712" max="8712" width="3.33203125" style="95" customWidth="1"/>
    <col min="8713" max="8713" width="10.6640625" style="95" customWidth="1"/>
    <col min="8714" max="8714" width="9.1640625" style="95" customWidth="1"/>
    <col min="8715" max="8715" width="3.5" style="95" customWidth="1"/>
    <col min="8716" max="8960" width="9.1640625" style="95"/>
    <col min="8961" max="8961" width="21.33203125" style="95" customWidth="1"/>
    <col min="8962" max="8962" width="4.5" style="95" customWidth="1"/>
    <col min="8963" max="8964" width="10.6640625" style="95" customWidth="1"/>
    <col min="8965" max="8965" width="3.33203125" style="95" customWidth="1"/>
    <col min="8966" max="8967" width="10.6640625" style="95" customWidth="1"/>
    <col min="8968" max="8968" width="3.33203125" style="95" customWidth="1"/>
    <col min="8969" max="8969" width="10.6640625" style="95" customWidth="1"/>
    <col min="8970" max="8970" width="9.1640625" style="95" customWidth="1"/>
    <col min="8971" max="8971" width="3.5" style="95" customWidth="1"/>
    <col min="8972" max="9216" width="9.1640625" style="95"/>
    <col min="9217" max="9217" width="21.33203125" style="95" customWidth="1"/>
    <col min="9218" max="9218" width="4.5" style="95" customWidth="1"/>
    <col min="9219" max="9220" width="10.6640625" style="95" customWidth="1"/>
    <col min="9221" max="9221" width="3.33203125" style="95" customWidth="1"/>
    <col min="9222" max="9223" width="10.6640625" style="95" customWidth="1"/>
    <col min="9224" max="9224" width="3.33203125" style="95" customWidth="1"/>
    <col min="9225" max="9225" width="10.6640625" style="95" customWidth="1"/>
    <col min="9226" max="9226" width="9.1640625" style="95" customWidth="1"/>
    <col min="9227" max="9227" width="3.5" style="95" customWidth="1"/>
    <col min="9228" max="9472" width="9.1640625" style="95"/>
    <col min="9473" max="9473" width="21.33203125" style="95" customWidth="1"/>
    <col min="9474" max="9474" width="4.5" style="95" customWidth="1"/>
    <col min="9475" max="9476" width="10.6640625" style="95" customWidth="1"/>
    <col min="9477" max="9477" width="3.33203125" style="95" customWidth="1"/>
    <col min="9478" max="9479" width="10.6640625" style="95" customWidth="1"/>
    <col min="9480" max="9480" width="3.33203125" style="95" customWidth="1"/>
    <col min="9481" max="9481" width="10.6640625" style="95" customWidth="1"/>
    <col min="9482" max="9482" width="9.1640625" style="95" customWidth="1"/>
    <col min="9483" max="9483" width="3.5" style="95" customWidth="1"/>
    <col min="9484" max="9728" width="9.1640625" style="95"/>
    <col min="9729" max="9729" width="21.33203125" style="95" customWidth="1"/>
    <col min="9730" max="9730" width="4.5" style="95" customWidth="1"/>
    <col min="9731" max="9732" width="10.6640625" style="95" customWidth="1"/>
    <col min="9733" max="9733" width="3.33203125" style="95" customWidth="1"/>
    <col min="9734" max="9735" width="10.6640625" style="95" customWidth="1"/>
    <col min="9736" max="9736" width="3.33203125" style="95" customWidth="1"/>
    <col min="9737" max="9737" width="10.6640625" style="95" customWidth="1"/>
    <col min="9738" max="9738" width="9.1640625" style="95" customWidth="1"/>
    <col min="9739" max="9739" width="3.5" style="95" customWidth="1"/>
    <col min="9740" max="9984" width="9.1640625" style="95"/>
    <col min="9985" max="9985" width="21.33203125" style="95" customWidth="1"/>
    <col min="9986" max="9986" width="4.5" style="95" customWidth="1"/>
    <col min="9987" max="9988" width="10.6640625" style="95" customWidth="1"/>
    <col min="9989" max="9989" width="3.33203125" style="95" customWidth="1"/>
    <col min="9990" max="9991" width="10.6640625" style="95" customWidth="1"/>
    <col min="9992" max="9992" width="3.33203125" style="95" customWidth="1"/>
    <col min="9993" max="9993" width="10.6640625" style="95" customWidth="1"/>
    <col min="9994" max="9994" width="9.1640625" style="95" customWidth="1"/>
    <col min="9995" max="9995" width="3.5" style="95" customWidth="1"/>
    <col min="9996" max="10240" width="9.1640625" style="95"/>
    <col min="10241" max="10241" width="21.33203125" style="95" customWidth="1"/>
    <col min="10242" max="10242" width="4.5" style="95" customWidth="1"/>
    <col min="10243" max="10244" width="10.6640625" style="95" customWidth="1"/>
    <col min="10245" max="10245" width="3.33203125" style="95" customWidth="1"/>
    <col min="10246" max="10247" width="10.6640625" style="95" customWidth="1"/>
    <col min="10248" max="10248" width="3.33203125" style="95" customWidth="1"/>
    <col min="10249" max="10249" width="10.6640625" style="95" customWidth="1"/>
    <col min="10250" max="10250" width="9.1640625" style="95" customWidth="1"/>
    <col min="10251" max="10251" width="3.5" style="95" customWidth="1"/>
    <col min="10252" max="10496" width="9.1640625" style="95"/>
    <col min="10497" max="10497" width="21.33203125" style="95" customWidth="1"/>
    <col min="10498" max="10498" width="4.5" style="95" customWidth="1"/>
    <col min="10499" max="10500" width="10.6640625" style="95" customWidth="1"/>
    <col min="10501" max="10501" width="3.33203125" style="95" customWidth="1"/>
    <col min="10502" max="10503" width="10.6640625" style="95" customWidth="1"/>
    <col min="10504" max="10504" width="3.33203125" style="95" customWidth="1"/>
    <col min="10505" max="10505" width="10.6640625" style="95" customWidth="1"/>
    <col min="10506" max="10506" width="9.1640625" style="95" customWidth="1"/>
    <col min="10507" max="10507" width="3.5" style="95" customWidth="1"/>
    <col min="10508" max="10752" width="9.1640625" style="95"/>
    <col min="10753" max="10753" width="21.33203125" style="95" customWidth="1"/>
    <col min="10754" max="10754" width="4.5" style="95" customWidth="1"/>
    <col min="10755" max="10756" width="10.6640625" style="95" customWidth="1"/>
    <col min="10757" max="10757" width="3.33203125" style="95" customWidth="1"/>
    <col min="10758" max="10759" width="10.6640625" style="95" customWidth="1"/>
    <col min="10760" max="10760" width="3.33203125" style="95" customWidth="1"/>
    <col min="10761" max="10761" width="10.6640625" style="95" customWidth="1"/>
    <col min="10762" max="10762" width="9.1640625" style="95" customWidth="1"/>
    <col min="10763" max="10763" width="3.5" style="95" customWidth="1"/>
    <col min="10764" max="11008" width="9.1640625" style="95"/>
    <col min="11009" max="11009" width="21.33203125" style="95" customWidth="1"/>
    <col min="11010" max="11010" width="4.5" style="95" customWidth="1"/>
    <col min="11011" max="11012" width="10.6640625" style="95" customWidth="1"/>
    <col min="11013" max="11013" width="3.33203125" style="95" customWidth="1"/>
    <col min="11014" max="11015" width="10.6640625" style="95" customWidth="1"/>
    <col min="11016" max="11016" width="3.33203125" style="95" customWidth="1"/>
    <col min="11017" max="11017" width="10.6640625" style="95" customWidth="1"/>
    <col min="11018" max="11018" width="9.1640625" style="95" customWidth="1"/>
    <col min="11019" max="11019" width="3.5" style="95" customWidth="1"/>
    <col min="11020" max="11264" width="9.1640625" style="95"/>
    <col min="11265" max="11265" width="21.33203125" style="95" customWidth="1"/>
    <col min="11266" max="11266" width="4.5" style="95" customWidth="1"/>
    <col min="11267" max="11268" width="10.6640625" style="95" customWidth="1"/>
    <col min="11269" max="11269" width="3.33203125" style="95" customWidth="1"/>
    <col min="11270" max="11271" width="10.6640625" style="95" customWidth="1"/>
    <col min="11272" max="11272" width="3.33203125" style="95" customWidth="1"/>
    <col min="11273" max="11273" width="10.6640625" style="95" customWidth="1"/>
    <col min="11274" max="11274" width="9.1640625" style="95" customWidth="1"/>
    <col min="11275" max="11275" width="3.5" style="95" customWidth="1"/>
    <col min="11276" max="11520" width="9.1640625" style="95"/>
    <col min="11521" max="11521" width="21.33203125" style="95" customWidth="1"/>
    <col min="11522" max="11522" width="4.5" style="95" customWidth="1"/>
    <col min="11523" max="11524" width="10.6640625" style="95" customWidth="1"/>
    <col min="11525" max="11525" width="3.33203125" style="95" customWidth="1"/>
    <col min="11526" max="11527" width="10.6640625" style="95" customWidth="1"/>
    <col min="11528" max="11528" width="3.33203125" style="95" customWidth="1"/>
    <col min="11529" max="11529" width="10.6640625" style="95" customWidth="1"/>
    <col min="11530" max="11530" width="9.1640625" style="95" customWidth="1"/>
    <col min="11531" max="11531" width="3.5" style="95" customWidth="1"/>
    <col min="11532" max="11776" width="9.1640625" style="95"/>
    <col min="11777" max="11777" width="21.33203125" style="95" customWidth="1"/>
    <col min="11778" max="11778" width="4.5" style="95" customWidth="1"/>
    <col min="11779" max="11780" width="10.6640625" style="95" customWidth="1"/>
    <col min="11781" max="11781" width="3.33203125" style="95" customWidth="1"/>
    <col min="11782" max="11783" width="10.6640625" style="95" customWidth="1"/>
    <col min="11784" max="11784" width="3.33203125" style="95" customWidth="1"/>
    <col min="11785" max="11785" width="10.6640625" style="95" customWidth="1"/>
    <col min="11786" max="11786" width="9.1640625" style="95" customWidth="1"/>
    <col min="11787" max="11787" width="3.5" style="95" customWidth="1"/>
    <col min="11788" max="12032" width="9.1640625" style="95"/>
    <col min="12033" max="12033" width="21.33203125" style="95" customWidth="1"/>
    <col min="12034" max="12034" width="4.5" style="95" customWidth="1"/>
    <col min="12035" max="12036" width="10.6640625" style="95" customWidth="1"/>
    <col min="12037" max="12037" width="3.33203125" style="95" customWidth="1"/>
    <col min="12038" max="12039" width="10.6640625" style="95" customWidth="1"/>
    <col min="12040" max="12040" width="3.33203125" style="95" customWidth="1"/>
    <col min="12041" max="12041" width="10.6640625" style="95" customWidth="1"/>
    <col min="12042" max="12042" width="9.1640625" style="95" customWidth="1"/>
    <col min="12043" max="12043" width="3.5" style="95" customWidth="1"/>
    <col min="12044" max="12288" width="9.1640625" style="95"/>
    <col min="12289" max="12289" width="21.33203125" style="95" customWidth="1"/>
    <col min="12290" max="12290" width="4.5" style="95" customWidth="1"/>
    <col min="12291" max="12292" width="10.6640625" style="95" customWidth="1"/>
    <col min="12293" max="12293" width="3.33203125" style="95" customWidth="1"/>
    <col min="12294" max="12295" width="10.6640625" style="95" customWidth="1"/>
    <col min="12296" max="12296" width="3.33203125" style="95" customWidth="1"/>
    <col min="12297" max="12297" width="10.6640625" style="95" customWidth="1"/>
    <col min="12298" max="12298" width="9.1640625" style="95" customWidth="1"/>
    <col min="12299" max="12299" width="3.5" style="95" customWidth="1"/>
    <col min="12300" max="12544" width="9.1640625" style="95"/>
    <col min="12545" max="12545" width="21.33203125" style="95" customWidth="1"/>
    <col min="12546" max="12546" width="4.5" style="95" customWidth="1"/>
    <col min="12547" max="12548" width="10.6640625" style="95" customWidth="1"/>
    <col min="12549" max="12549" width="3.33203125" style="95" customWidth="1"/>
    <col min="12550" max="12551" width="10.6640625" style="95" customWidth="1"/>
    <col min="12552" max="12552" width="3.33203125" style="95" customWidth="1"/>
    <col min="12553" max="12553" width="10.6640625" style="95" customWidth="1"/>
    <col min="12554" max="12554" width="9.1640625" style="95" customWidth="1"/>
    <col min="12555" max="12555" width="3.5" style="95" customWidth="1"/>
    <col min="12556" max="12800" width="9.1640625" style="95"/>
    <col min="12801" max="12801" width="21.33203125" style="95" customWidth="1"/>
    <col min="12802" max="12802" width="4.5" style="95" customWidth="1"/>
    <col min="12803" max="12804" width="10.6640625" style="95" customWidth="1"/>
    <col min="12805" max="12805" width="3.33203125" style="95" customWidth="1"/>
    <col min="12806" max="12807" width="10.6640625" style="95" customWidth="1"/>
    <col min="12808" max="12808" width="3.33203125" style="95" customWidth="1"/>
    <col min="12809" max="12809" width="10.6640625" style="95" customWidth="1"/>
    <col min="12810" max="12810" width="9.1640625" style="95" customWidth="1"/>
    <col min="12811" max="12811" width="3.5" style="95" customWidth="1"/>
    <col min="12812" max="13056" width="9.1640625" style="95"/>
    <col min="13057" max="13057" width="21.33203125" style="95" customWidth="1"/>
    <col min="13058" max="13058" width="4.5" style="95" customWidth="1"/>
    <col min="13059" max="13060" width="10.6640625" style="95" customWidth="1"/>
    <col min="13061" max="13061" width="3.33203125" style="95" customWidth="1"/>
    <col min="13062" max="13063" width="10.6640625" style="95" customWidth="1"/>
    <col min="13064" max="13064" width="3.33203125" style="95" customWidth="1"/>
    <col min="13065" max="13065" width="10.6640625" style="95" customWidth="1"/>
    <col min="13066" max="13066" width="9.1640625" style="95" customWidth="1"/>
    <col min="13067" max="13067" width="3.5" style="95" customWidth="1"/>
    <col min="13068" max="13312" width="9.1640625" style="95"/>
    <col min="13313" max="13313" width="21.33203125" style="95" customWidth="1"/>
    <col min="13314" max="13314" width="4.5" style="95" customWidth="1"/>
    <col min="13315" max="13316" width="10.6640625" style="95" customWidth="1"/>
    <col min="13317" max="13317" width="3.33203125" style="95" customWidth="1"/>
    <col min="13318" max="13319" width="10.6640625" style="95" customWidth="1"/>
    <col min="13320" max="13320" width="3.33203125" style="95" customWidth="1"/>
    <col min="13321" max="13321" width="10.6640625" style="95" customWidth="1"/>
    <col min="13322" max="13322" width="9.1640625" style="95" customWidth="1"/>
    <col min="13323" max="13323" width="3.5" style="95" customWidth="1"/>
    <col min="13324" max="13568" width="9.1640625" style="95"/>
    <col min="13569" max="13569" width="21.33203125" style="95" customWidth="1"/>
    <col min="13570" max="13570" width="4.5" style="95" customWidth="1"/>
    <col min="13571" max="13572" width="10.6640625" style="95" customWidth="1"/>
    <col min="13573" max="13573" width="3.33203125" style="95" customWidth="1"/>
    <col min="13574" max="13575" width="10.6640625" style="95" customWidth="1"/>
    <col min="13576" max="13576" width="3.33203125" style="95" customWidth="1"/>
    <col min="13577" max="13577" width="10.6640625" style="95" customWidth="1"/>
    <col min="13578" max="13578" width="9.1640625" style="95" customWidth="1"/>
    <col min="13579" max="13579" width="3.5" style="95" customWidth="1"/>
    <col min="13580" max="13824" width="9.1640625" style="95"/>
    <col min="13825" max="13825" width="21.33203125" style="95" customWidth="1"/>
    <col min="13826" max="13826" width="4.5" style="95" customWidth="1"/>
    <col min="13827" max="13828" width="10.6640625" style="95" customWidth="1"/>
    <col min="13829" max="13829" width="3.33203125" style="95" customWidth="1"/>
    <col min="13830" max="13831" width="10.6640625" style="95" customWidth="1"/>
    <col min="13832" max="13832" width="3.33203125" style="95" customWidth="1"/>
    <col min="13833" max="13833" width="10.6640625" style="95" customWidth="1"/>
    <col min="13834" max="13834" width="9.1640625" style="95" customWidth="1"/>
    <col min="13835" max="13835" width="3.5" style="95" customWidth="1"/>
    <col min="13836" max="14080" width="9.1640625" style="95"/>
    <col min="14081" max="14081" width="21.33203125" style="95" customWidth="1"/>
    <col min="14082" max="14082" width="4.5" style="95" customWidth="1"/>
    <col min="14083" max="14084" width="10.6640625" style="95" customWidth="1"/>
    <col min="14085" max="14085" width="3.33203125" style="95" customWidth="1"/>
    <col min="14086" max="14087" width="10.6640625" style="95" customWidth="1"/>
    <col min="14088" max="14088" width="3.33203125" style="95" customWidth="1"/>
    <col min="14089" max="14089" width="10.6640625" style="95" customWidth="1"/>
    <col min="14090" max="14090" width="9.1640625" style="95" customWidth="1"/>
    <col min="14091" max="14091" width="3.5" style="95" customWidth="1"/>
    <col min="14092" max="14336" width="9.1640625" style="95"/>
    <col min="14337" max="14337" width="21.33203125" style="95" customWidth="1"/>
    <col min="14338" max="14338" width="4.5" style="95" customWidth="1"/>
    <col min="14339" max="14340" width="10.6640625" style="95" customWidth="1"/>
    <col min="14341" max="14341" width="3.33203125" style="95" customWidth="1"/>
    <col min="14342" max="14343" width="10.6640625" style="95" customWidth="1"/>
    <col min="14344" max="14344" width="3.33203125" style="95" customWidth="1"/>
    <col min="14345" max="14345" width="10.6640625" style="95" customWidth="1"/>
    <col min="14346" max="14346" width="9.1640625" style="95" customWidth="1"/>
    <col min="14347" max="14347" width="3.5" style="95" customWidth="1"/>
    <col min="14348" max="14592" width="9.1640625" style="95"/>
    <col min="14593" max="14593" width="21.33203125" style="95" customWidth="1"/>
    <col min="14594" max="14594" width="4.5" style="95" customWidth="1"/>
    <col min="14595" max="14596" width="10.6640625" style="95" customWidth="1"/>
    <col min="14597" max="14597" width="3.33203125" style="95" customWidth="1"/>
    <col min="14598" max="14599" width="10.6640625" style="95" customWidth="1"/>
    <col min="14600" max="14600" width="3.33203125" style="95" customWidth="1"/>
    <col min="14601" max="14601" width="10.6640625" style="95" customWidth="1"/>
    <col min="14602" max="14602" width="9.1640625" style="95" customWidth="1"/>
    <col min="14603" max="14603" width="3.5" style="95" customWidth="1"/>
    <col min="14604" max="14848" width="9.1640625" style="95"/>
    <col min="14849" max="14849" width="21.33203125" style="95" customWidth="1"/>
    <col min="14850" max="14850" width="4.5" style="95" customWidth="1"/>
    <col min="14851" max="14852" width="10.6640625" style="95" customWidth="1"/>
    <col min="14853" max="14853" width="3.33203125" style="95" customWidth="1"/>
    <col min="14854" max="14855" width="10.6640625" style="95" customWidth="1"/>
    <col min="14856" max="14856" width="3.33203125" style="95" customWidth="1"/>
    <col min="14857" max="14857" width="10.6640625" style="95" customWidth="1"/>
    <col min="14858" max="14858" width="9.1640625" style="95" customWidth="1"/>
    <col min="14859" max="14859" width="3.5" style="95" customWidth="1"/>
    <col min="14860" max="15104" width="9.1640625" style="95"/>
    <col min="15105" max="15105" width="21.33203125" style="95" customWidth="1"/>
    <col min="15106" max="15106" width="4.5" style="95" customWidth="1"/>
    <col min="15107" max="15108" width="10.6640625" style="95" customWidth="1"/>
    <col min="15109" max="15109" width="3.33203125" style="95" customWidth="1"/>
    <col min="15110" max="15111" width="10.6640625" style="95" customWidth="1"/>
    <col min="15112" max="15112" width="3.33203125" style="95" customWidth="1"/>
    <col min="15113" max="15113" width="10.6640625" style="95" customWidth="1"/>
    <col min="15114" max="15114" width="9.1640625" style="95" customWidth="1"/>
    <col min="15115" max="15115" width="3.5" style="95" customWidth="1"/>
    <col min="15116" max="15360" width="9.1640625" style="95"/>
    <col min="15361" max="15361" width="21.33203125" style="95" customWidth="1"/>
    <col min="15362" max="15362" width="4.5" style="95" customWidth="1"/>
    <col min="15363" max="15364" width="10.6640625" style="95" customWidth="1"/>
    <col min="15365" max="15365" width="3.33203125" style="95" customWidth="1"/>
    <col min="15366" max="15367" width="10.6640625" style="95" customWidth="1"/>
    <col min="15368" max="15368" width="3.33203125" style="95" customWidth="1"/>
    <col min="15369" max="15369" width="10.6640625" style="95" customWidth="1"/>
    <col min="15370" max="15370" width="9.1640625" style="95" customWidth="1"/>
    <col min="15371" max="15371" width="3.5" style="95" customWidth="1"/>
    <col min="15372" max="15616" width="9.1640625" style="95"/>
    <col min="15617" max="15617" width="21.33203125" style="95" customWidth="1"/>
    <col min="15618" max="15618" width="4.5" style="95" customWidth="1"/>
    <col min="15619" max="15620" width="10.6640625" style="95" customWidth="1"/>
    <col min="15621" max="15621" width="3.33203125" style="95" customWidth="1"/>
    <col min="15622" max="15623" width="10.6640625" style="95" customWidth="1"/>
    <col min="15624" max="15624" width="3.33203125" style="95" customWidth="1"/>
    <col min="15625" max="15625" width="10.6640625" style="95" customWidth="1"/>
    <col min="15626" max="15626" width="9.1640625" style="95" customWidth="1"/>
    <col min="15627" max="15627" width="3.5" style="95" customWidth="1"/>
    <col min="15628" max="15872" width="9.1640625" style="95"/>
    <col min="15873" max="15873" width="21.33203125" style="95" customWidth="1"/>
    <col min="15874" max="15874" width="4.5" style="95" customWidth="1"/>
    <col min="15875" max="15876" width="10.6640625" style="95" customWidth="1"/>
    <col min="15877" max="15877" width="3.33203125" style="95" customWidth="1"/>
    <col min="15878" max="15879" width="10.6640625" style="95" customWidth="1"/>
    <col min="15880" max="15880" width="3.33203125" style="95" customWidth="1"/>
    <col min="15881" max="15881" width="10.6640625" style="95" customWidth="1"/>
    <col min="15882" max="15882" width="9.1640625" style="95" customWidth="1"/>
    <col min="15883" max="15883" width="3.5" style="95" customWidth="1"/>
    <col min="15884" max="16128" width="9.1640625" style="95"/>
    <col min="16129" max="16129" width="21.33203125" style="95" customWidth="1"/>
    <col min="16130" max="16130" width="4.5" style="95" customWidth="1"/>
    <col min="16131" max="16132" width="10.6640625" style="95" customWidth="1"/>
    <col min="16133" max="16133" width="3.33203125" style="95" customWidth="1"/>
    <col min="16134" max="16135" width="10.6640625" style="95" customWidth="1"/>
    <col min="16136" max="16136" width="3.33203125" style="95" customWidth="1"/>
    <col min="16137" max="16137" width="10.6640625" style="95" customWidth="1"/>
    <col min="16138" max="16138" width="9.1640625" style="95" customWidth="1"/>
    <col min="16139" max="16139" width="3.5" style="95" customWidth="1"/>
    <col min="16140" max="16384" width="9.1640625" style="95"/>
  </cols>
  <sheetData>
    <row r="1" spans="1:11">
      <c r="A1" s="95" t="s">
        <v>388</v>
      </c>
    </row>
    <row r="2" spans="1:11">
      <c r="A2" s="95" t="s">
        <v>389</v>
      </c>
    </row>
    <row r="4" spans="1:11">
      <c r="A4" s="14" t="s">
        <v>1843</v>
      </c>
    </row>
    <row r="5" spans="1:11" ht="4.5" customHeight="1">
      <c r="A5" s="95" t="s">
        <v>433</v>
      </c>
    </row>
    <row r="6" spans="1:11" ht="9.75" customHeight="1" thickBot="1">
      <c r="K6" s="105"/>
    </row>
    <row r="7" spans="1:11" ht="15" customHeight="1">
      <c r="A7" s="97"/>
      <c r="B7" s="97"/>
      <c r="C7" s="144"/>
      <c r="D7" s="98"/>
      <c r="E7" s="97"/>
      <c r="F7" s="144"/>
      <c r="G7" s="99"/>
      <c r="H7" s="97"/>
      <c r="I7" s="144"/>
      <c r="J7" s="99"/>
      <c r="K7" s="99"/>
    </row>
    <row r="8" spans="1:11" ht="15" customHeight="1">
      <c r="A8" s="116" t="s">
        <v>434</v>
      </c>
      <c r="B8" s="116"/>
      <c r="C8" s="1016" t="s">
        <v>148</v>
      </c>
      <c r="D8" s="1016"/>
      <c r="E8" s="117"/>
      <c r="F8" s="759" t="s">
        <v>435</v>
      </c>
      <c r="G8" s="158"/>
      <c r="H8" s="117"/>
      <c r="I8" s="759" t="s">
        <v>436</v>
      </c>
      <c r="J8" s="159"/>
    </row>
    <row r="9" spans="1:11" ht="15" customHeight="1">
      <c r="A9" s="116"/>
      <c r="B9" s="116"/>
      <c r="C9" s="160" t="s">
        <v>437</v>
      </c>
      <c r="D9" s="161" t="s">
        <v>153</v>
      </c>
      <c r="E9" s="117"/>
      <c r="F9" s="760" t="s">
        <v>437</v>
      </c>
      <c r="G9" s="150" t="s">
        <v>153</v>
      </c>
      <c r="H9" s="117"/>
      <c r="I9" s="760" t="s">
        <v>437</v>
      </c>
      <c r="J9" s="162" t="s">
        <v>153</v>
      </c>
    </row>
    <row r="10" spans="1:11" ht="15" customHeight="1" thickBot="1">
      <c r="A10" s="102"/>
      <c r="B10" s="102"/>
      <c r="C10" s="153"/>
      <c r="D10" s="103"/>
      <c r="E10" s="102"/>
      <c r="F10" s="153"/>
      <c r="G10" s="96"/>
      <c r="H10" s="102"/>
      <c r="I10" s="153"/>
      <c r="J10" s="96"/>
    </row>
    <row r="11" spans="1:11" ht="15" customHeight="1">
      <c r="A11" s="116"/>
      <c r="B11" s="116"/>
      <c r="C11" s="154"/>
      <c r="D11" s="134"/>
      <c r="E11" s="116"/>
      <c r="F11" s="154"/>
      <c r="G11" s="135"/>
      <c r="H11" s="116"/>
      <c r="I11" s="154"/>
      <c r="K11" s="99"/>
    </row>
    <row r="12" spans="1:11" ht="14" hidden="1" customHeight="1">
      <c r="A12" s="61" t="s">
        <v>438</v>
      </c>
      <c r="B12" s="107"/>
      <c r="C12" s="163">
        <f>F12+I12</f>
        <v>5936</v>
      </c>
      <c r="D12" s="164">
        <f>G12+J12</f>
        <v>100</v>
      </c>
      <c r="E12" s="107"/>
      <c r="F12" s="163">
        <v>1644</v>
      </c>
      <c r="G12" s="162">
        <f>IF(A12&lt;&gt;0,F12/C12*100,"")</f>
        <v>27.695417789757414</v>
      </c>
      <c r="H12" s="107"/>
      <c r="I12" s="163">
        <v>4292</v>
      </c>
      <c r="J12" s="105">
        <f>IF(A12&lt;&gt;0,I12/C12*100,"")</f>
        <v>72.304582210242586</v>
      </c>
    </row>
    <row r="13" spans="1:11" ht="14" hidden="1" customHeight="1">
      <c r="A13" s="107"/>
      <c r="B13" s="107"/>
      <c r="C13" s="163"/>
      <c r="D13" s="164"/>
      <c r="E13" s="107"/>
      <c r="F13" s="163"/>
      <c r="G13" s="162" t="str">
        <f>IF(A13&lt;&gt;0,F13/C13*100,"")</f>
        <v/>
      </c>
      <c r="H13" s="107"/>
      <c r="I13" s="163"/>
      <c r="J13" s="105" t="str">
        <f>IF(A13&lt;&gt;0,I13/C13*100,"")</f>
        <v/>
      </c>
    </row>
    <row r="14" spans="1:11" ht="14" hidden="1" customHeight="1">
      <c r="A14" s="61" t="s">
        <v>439</v>
      </c>
      <c r="B14" s="107"/>
      <c r="C14" s="163">
        <f>F14+I14</f>
        <v>6231</v>
      </c>
      <c r="D14" s="164">
        <f>G14+J14</f>
        <v>100</v>
      </c>
      <c r="E14" s="107"/>
      <c r="F14" s="163">
        <v>1624</v>
      </c>
      <c r="G14" s="162">
        <f>IF(A14&lt;&gt;0,F14/C14*100,"")</f>
        <v>26.063232225966935</v>
      </c>
      <c r="H14" s="107"/>
      <c r="I14" s="163">
        <v>4607</v>
      </c>
      <c r="J14" s="105">
        <f>IF(A14&lt;&gt;0,I14/C14*100,"")</f>
        <v>73.936767774033058</v>
      </c>
    </row>
    <row r="15" spans="1:11" ht="14" hidden="1" customHeight="1">
      <c r="A15" s="61"/>
      <c r="B15" s="107"/>
      <c r="C15" s="163"/>
      <c r="D15" s="164"/>
      <c r="E15" s="107"/>
      <c r="F15" s="163"/>
      <c r="G15" s="162"/>
      <c r="H15" s="107"/>
      <c r="I15" s="163"/>
    </row>
    <row r="16" spans="1:11" ht="14" hidden="1" customHeight="1">
      <c r="A16" s="61" t="s">
        <v>440</v>
      </c>
      <c r="B16" s="107"/>
      <c r="C16" s="163">
        <f>F16+I16</f>
        <v>6067</v>
      </c>
      <c r="D16" s="164">
        <f>G16+J16</f>
        <v>99.999999999999986</v>
      </c>
      <c r="E16" s="107"/>
      <c r="F16" s="163">
        <v>1687</v>
      </c>
      <c r="G16" s="162">
        <f>IF(A16&lt;&gt;0,F16/C16*100,"")</f>
        <v>27.806164496456237</v>
      </c>
      <c r="H16" s="107"/>
      <c r="I16" s="163">
        <v>4380</v>
      </c>
      <c r="J16" s="105">
        <f>IF(A16&lt;&gt;0,I16/C16*100,"")</f>
        <v>72.193835503543752</v>
      </c>
    </row>
    <row r="17" spans="1:10" ht="14" hidden="1" customHeight="1">
      <c r="A17" s="107"/>
      <c r="B17" s="107"/>
      <c r="C17" s="163"/>
      <c r="D17" s="164"/>
      <c r="E17" s="107"/>
      <c r="F17" s="163"/>
      <c r="G17" s="162" t="str">
        <f>IF(A17&lt;&gt;0,F17/C17*100,"")</f>
        <v/>
      </c>
      <c r="H17" s="107"/>
      <c r="I17" s="163"/>
      <c r="J17" s="105" t="str">
        <f>IF(A17&lt;&gt;0,I17/C17*100,"")</f>
        <v/>
      </c>
    </row>
    <row r="18" spans="1:10" ht="15" hidden="1" customHeight="1">
      <c r="A18" s="61" t="s">
        <v>441</v>
      </c>
      <c r="B18" s="107"/>
      <c r="C18" s="163">
        <f>F18+I18</f>
        <v>6038</v>
      </c>
      <c r="D18" s="164">
        <f>G18+J18</f>
        <v>100</v>
      </c>
      <c r="E18" s="107"/>
      <c r="F18" s="163">
        <v>1677</v>
      </c>
      <c r="G18" s="162">
        <f>IF(A18&lt;&gt;0,F18/C18*100,"")</f>
        <v>27.774097383239482</v>
      </c>
      <c r="H18" s="107"/>
      <c r="I18" s="163">
        <v>4361</v>
      </c>
      <c r="J18" s="105">
        <f>IF(A18&lt;&gt;0,I18/C18*100,"")</f>
        <v>72.225902616760521</v>
      </c>
    </row>
    <row r="19" spans="1:10" ht="15" hidden="1" customHeight="1">
      <c r="A19" s="61"/>
      <c r="B19" s="107"/>
      <c r="C19" s="163"/>
      <c r="D19" s="164"/>
      <c r="E19" s="107"/>
      <c r="F19" s="163"/>
      <c r="G19" s="162"/>
      <c r="H19" s="107"/>
      <c r="I19" s="163"/>
    </row>
    <row r="20" spans="1:10" ht="15" hidden="1" customHeight="1">
      <c r="A20" s="61" t="s">
        <v>442</v>
      </c>
      <c r="B20" s="107"/>
      <c r="C20" s="163">
        <f>F20+I20</f>
        <v>6074</v>
      </c>
      <c r="D20" s="164">
        <f>G20+J20</f>
        <v>100</v>
      </c>
      <c r="E20" s="107"/>
      <c r="F20" s="163">
        <v>1749</v>
      </c>
      <c r="G20" s="162">
        <f>IF(A20&lt;&gt;0,F20/C20*100,"")</f>
        <v>28.794863351992095</v>
      </c>
      <c r="H20" s="107"/>
      <c r="I20" s="163">
        <v>4325</v>
      </c>
      <c r="J20" s="105">
        <f>IF(A20&lt;&gt;0,I20/C20*100,"")</f>
        <v>71.205136648007908</v>
      </c>
    </row>
    <row r="21" spans="1:10" ht="15" hidden="1" customHeight="1">
      <c r="A21" s="107"/>
      <c r="B21" s="107"/>
      <c r="C21" s="163"/>
      <c r="D21" s="164"/>
      <c r="E21" s="107"/>
      <c r="F21" s="163"/>
      <c r="G21" s="162" t="str">
        <f>IF(A21&lt;&gt;0,F21/C21*100,"")</f>
        <v/>
      </c>
      <c r="H21" s="107"/>
      <c r="I21" s="163"/>
      <c r="J21" s="105" t="str">
        <f>IF(A21&lt;&gt;0,I21/C21*100,"")</f>
        <v/>
      </c>
    </row>
    <row r="22" spans="1:10" ht="15" hidden="1" customHeight="1">
      <c r="A22" s="61" t="s">
        <v>443</v>
      </c>
      <c r="B22" s="107"/>
      <c r="C22" s="163">
        <f>F22+I22</f>
        <v>6278</v>
      </c>
      <c r="D22" s="164">
        <f>G22+J22</f>
        <v>100</v>
      </c>
      <c r="E22" s="107"/>
      <c r="F22" s="163">
        <v>1730</v>
      </c>
      <c r="G22" s="162">
        <f>IF(A22&lt;&gt;0,F22/C22*100,"")</f>
        <v>27.556546670914305</v>
      </c>
      <c r="H22" s="107"/>
      <c r="I22" s="163">
        <v>4548</v>
      </c>
      <c r="J22" s="105">
        <f>IF(A22&lt;&gt;0,I22/C22*100,"")</f>
        <v>72.443453329085699</v>
      </c>
    </row>
    <row r="23" spans="1:10" ht="15" hidden="1" customHeight="1">
      <c r="A23" s="61"/>
      <c r="B23" s="107"/>
      <c r="C23" s="163"/>
      <c r="D23" s="164"/>
      <c r="E23" s="107"/>
      <c r="F23" s="163"/>
      <c r="G23" s="162"/>
      <c r="H23" s="107"/>
      <c r="I23" s="163"/>
    </row>
    <row r="24" spans="1:10" ht="15" customHeight="1">
      <c r="A24" s="64" t="s">
        <v>444</v>
      </c>
      <c r="B24" s="165"/>
      <c r="C24" s="166">
        <f>F24+I24</f>
        <v>6052</v>
      </c>
      <c r="D24" s="167">
        <f>G24+J24</f>
        <v>100</v>
      </c>
      <c r="E24" s="165"/>
      <c r="F24" s="166">
        <v>1920</v>
      </c>
      <c r="G24" s="168">
        <f>IF(A24&lt;&gt;0,F24/C24*100,"")</f>
        <v>31.725049570389952</v>
      </c>
      <c r="H24" s="165"/>
      <c r="I24" s="166">
        <v>4132</v>
      </c>
      <c r="J24" s="139">
        <f>IF(A24&lt;&gt;0,I24/C24*100,"")</f>
        <v>68.274950429610044</v>
      </c>
    </row>
    <row r="25" spans="1:10" ht="15" customHeight="1">
      <c r="A25" s="165"/>
      <c r="B25" s="165"/>
      <c r="C25" s="166"/>
      <c r="D25" s="167"/>
      <c r="E25" s="165"/>
      <c r="F25" s="166"/>
      <c r="G25" s="168" t="str">
        <f>IF(A25&lt;&gt;0,F25/C25*100,"")</f>
        <v/>
      </c>
      <c r="H25" s="165"/>
      <c r="I25" s="166"/>
      <c r="J25" s="139" t="str">
        <f>IF(A25&lt;&gt;0,I25/C25*100,"")</f>
        <v/>
      </c>
    </row>
    <row r="26" spans="1:10" ht="15" customHeight="1">
      <c r="A26" s="64" t="s">
        <v>445</v>
      </c>
      <c r="B26" s="165"/>
      <c r="C26" s="166">
        <f>F26+I26</f>
        <v>6019</v>
      </c>
      <c r="D26" s="167">
        <f>G26+J26</f>
        <v>100</v>
      </c>
      <c r="E26" s="165"/>
      <c r="F26" s="166">
        <v>1867</v>
      </c>
      <c r="G26" s="168">
        <f>IF(A26&lt;&gt;0,F26/C26*100,"")</f>
        <v>31.018441601594947</v>
      </c>
      <c r="H26" s="165"/>
      <c r="I26" s="166">
        <v>4152</v>
      </c>
      <c r="J26" s="139">
        <f>IF(A26&lt;&gt;0,I26/C26*100,"")</f>
        <v>68.981558398405056</v>
      </c>
    </row>
    <row r="27" spans="1:10" ht="15" customHeight="1">
      <c r="A27" s="64"/>
      <c r="B27" s="165"/>
      <c r="C27" s="166"/>
      <c r="D27" s="167"/>
      <c r="E27" s="165"/>
      <c r="F27" s="166"/>
      <c r="G27" s="168"/>
      <c r="H27" s="165"/>
      <c r="I27" s="166"/>
      <c r="J27" s="139"/>
    </row>
    <row r="28" spans="1:10" ht="15" customHeight="1">
      <c r="A28" s="64" t="s">
        <v>446</v>
      </c>
      <c r="B28" s="165"/>
      <c r="C28" s="166">
        <f>F28+I28</f>
        <v>6100</v>
      </c>
      <c r="D28" s="167">
        <f>G28+J28</f>
        <v>100.00000000000001</v>
      </c>
      <c r="E28" s="165"/>
      <c r="F28" s="166">
        <v>1875</v>
      </c>
      <c r="G28" s="168">
        <f>IF(A28&lt;&gt;0,F28/C28*100,"")</f>
        <v>30.737704918032787</v>
      </c>
      <c r="H28" s="165"/>
      <c r="I28" s="166">
        <v>4225</v>
      </c>
      <c r="J28" s="139">
        <f>IF(A28&lt;&gt;0,I28/C28*100,"")</f>
        <v>69.262295081967224</v>
      </c>
    </row>
    <row r="29" spans="1:10" ht="15" customHeight="1">
      <c r="A29" s="165"/>
      <c r="B29" s="165"/>
      <c r="C29" s="166"/>
      <c r="D29" s="167"/>
      <c r="E29" s="165"/>
      <c r="F29" s="166"/>
      <c r="G29" s="168" t="str">
        <f>IF(A29&lt;&gt;0,F29/C29*100,"")</f>
        <v/>
      </c>
      <c r="H29" s="165"/>
      <c r="I29" s="166"/>
      <c r="J29" s="139" t="str">
        <f>IF(A29&lt;&gt;0,I29/C29*100,"")</f>
        <v/>
      </c>
    </row>
    <row r="30" spans="1:10" ht="15" customHeight="1">
      <c r="A30" s="64" t="s">
        <v>447</v>
      </c>
      <c r="B30" s="165"/>
      <c r="C30" s="166">
        <f>F30+I30</f>
        <v>6133</v>
      </c>
      <c r="D30" s="167">
        <f>G30+J30</f>
        <v>100</v>
      </c>
      <c r="E30" s="165"/>
      <c r="F30" s="166">
        <v>1877</v>
      </c>
      <c r="G30" s="168">
        <f>IF(A30&lt;&gt;0,F30/C30*100,"")</f>
        <v>30.604924180661992</v>
      </c>
      <c r="H30" s="165"/>
      <c r="I30" s="166">
        <v>4256</v>
      </c>
      <c r="J30" s="139">
        <f>IF(A30&lt;&gt;0,I30/C30*100,"")</f>
        <v>69.395075819338004</v>
      </c>
    </row>
    <row r="31" spans="1:10" ht="15" customHeight="1">
      <c r="A31" s="64"/>
      <c r="B31" s="165"/>
      <c r="C31" s="166"/>
      <c r="D31" s="167"/>
      <c r="E31" s="165"/>
      <c r="F31" s="166"/>
      <c r="G31" s="168"/>
      <c r="H31" s="165"/>
      <c r="I31" s="166"/>
      <c r="J31" s="139"/>
    </row>
    <row r="32" spans="1:10" ht="15" customHeight="1">
      <c r="A32" s="64" t="s">
        <v>448</v>
      </c>
      <c r="B32" s="165"/>
      <c r="C32" s="166">
        <f>F32+I32</f>
        <v>6300</v>
      </c>
      <c r="D32" s="167">
        <f>G32+J32</f>
        <v>100</v>
      </c>
      <c r="E32" s="165"/>
      <c r="F32" s="166">
        <v>1950</v>
      </c>
      <c r="G32" s="168">
        <f>IF(A32&lt;&gt;0,F32/C32*100,"")</f>
        <v>30.952380952380953</v>
      </c>
      <c r="H32" s="165"/>
      <c r="I32" s="166">
        <v>4350</v>
      </c>
      <c r="J32" s="139">
        <f>IF(A32&lt;&gt;0,I32/C32*100,"")</f>
        <v>69.047619047619051</v>
      </c>
    </row>
    <row r="33" spans="1:11" ht="15" customHeight="1">
      <c r="A33" s="165"/>
      <c r="B33" s="165"/>
      <c r="C33" s="166"/>
      <c r="D33" s="167"/>
      <c r="E33" s="165"/>
      <c r="F33" s="166"/>
      <c r="G33" s="168" t="str">
        <f>IF(A33&lt;&gt;0,F33/C33*100,"")</f>
        <v/>
      </c>
      <c r="H33" s="165"/>
      <c r="I33" s="166"/>
      <c r="J33" s="139" t="str">
        <f>IF(A33&lt;&gt;0,I33/C33*100,"")</f>
        <v/>
      </c>
    </row>
    <row r="34" spans="1:11" ht="15" customHeight="1">
      <c r="A34" s="64" t="s">
        <v>449</v>
      </c>
      <c r="B34" s="165"/>
      <c r="C34" s="166">
        <f>F34+I34</f>
        <v>5960</v>
      </c>
      <c r="D34" s="167">
        <f>G34+J34</f>
        <v>100</v>
      </c>
      <c r="E34" s="165"/>
      <c r="F34" s="166">
        <v>1867</v>
      </c>
      <c r="G34" s="168">
        <f>IF(A34&lt;&gt;0,F34/C34*100,"")</f>
        <v>31.325503355704697</v>
      </c>
      <c r="H34" s="165"/>
      <c r="I34" s="166">
        <v>4093</v>
      </c>
      <c r="J34" s="139">
        <f>IF(A34&lt;&gt;0,I34/C34*100,"")</f>
        <v>68.674496644295303</v>
      </c>
    </row>
    <row r="35" spans="1:11" ht="15" customHeight="1">
      <c r="A35" s="64"/>
      <c r="B35" s="165"/>
      <c r="C35" s="166"/>
      <c r="D35" s="167"/>
      <c r="E35" s="165"/>
      <c r="F35" s="166"/>
      <c r="G35" s="168"/>
      <c r="H35" s="165"/>
      <c r="I35" s="166"/>
      <c r="J35" s="139"/>
    </row>
    <row r="36" spans="1:11" ht="15" customHeight="1">
      <c r="A36" s="64" t="s">
        <v>450</v>
      </c>
      <c r="B36" s="165"/>
      <c r="C36" s="166">
        <f>F36+I36</f>
        <v>6197</v>
      </c>
      <c r="D36" s="167">
        <f>G36+J36</f>
        <v>100.00000000000001</v>
      </c>
      <c r="E36" s="165"/>
      <c r="F36" s="166">
        <v>1871</v>
      </c>
      <c r="G36" s="168">
        <f>IF(A36&lt;&gt;0,F36/C36*100,"")</f>
        <v>30.192028400839117</v>
      </c>
      <c r="H36" s="165"/>
      <c r="I36" s="166">
        <v>4326</v>
      </c>
      <c r="J36" s="139">
        <f>IF(A36&lt;&gt;0,I36/C36*100,"")</f>
        <v>69.807971599160894</v>
      </c>
    </row>
    <row r="37" spans="1:11" ht="15" customHeight="1">
      <c r="A37" s="165"/>
      <c r="B37" s="165"/>
      <c r="C37" s="166"/>
      <c r="D37" s="167"/>
      <c r="E37" s="165"/>
      <c r="F37" s="166"/>
      <c r="G37" s="168" t="str">
        <f>IF(A37&lt;&gt;0,F37/C37*100,"")</f>
        <v/>
      </c>
      <c r="H37" s="165"/>
      <c r="I37" s="166"/>
      <c r="J37" s="139" t="str">
        <f>IF(A37&lt;&gt;0,I37/C37*100,"")</f>
        <v/>
      </c>
    </row>
    <row r="38" spans="1:11" ht="15" customHeight="1">
      <c r="A38" s="64" t="s">
        <v>451</v>
      </c>
      <c r="B38" s="165"/>
      <c r="C38" s="166">
        <f>F38+I38</f>
        <v>6289</v>
      </c>
      <c r="D38" s="167">
        <f>G38+J38</f>
        <v>100</v>
      </c>
      <c r="E38" s="165"/>
      <c r="F38" s="166">
        <v>1890</v>
      </c>
      <c r="G38" s="168">
        <f>IF(A38&lt;&gt;0,F38/C38*100,"")</f>
        <v>30.052472571155985</v>
      </c>
      <c r="H38" s="165"/>
      <c r="I38" s="166">
        <v>4399</v>
      </c>
      <c r="J38" s="139">
        <f>IF(A38&lt;&gt;0,I38/C38*100,"")</f>
        <v>69.947527428844012</v>
      </c>
    </row>
    <row r="39" spans="1:11" ht="15" customHeight="1">
      <c r="A39" s="64"/>
      <c r="B39" s="165"/>
      <c r="C39" s="166"/>
      <c r="D39" s="167"/>
      <c r="E39" s="165"/>
      <c r="F39" s="166"/>
      <c r="G39" s="168"/>
      <c r="H39" s="165"/>
      <c r="I39" s="166"/>
      <c r="J39" s="139"/>
    </row>
    <row r="40" spans="1:11" ht="13.25" customHeight="1">
      <c r="A40" s="64" t="s">
        <v>1844</v>
      </c>
      <c r="B40" s="165"/>
      <c r="C40" s="166">
        <f>F40+I40</f>
        <v>6161</v>
      </c>
      <c r="D40" s="167">
        <f>G40+J40</f>
        <v>100</v>
      </c>
      <c r="E40" s="165"/>
      <c r="F40" s="166">
        <v>1878</v>
      </c>
      <c r="G40" s="168">
        <f>IF(A40&lt;&gt;0,F40/C40*100,"")</f>
        <v>30.482064599902614</v>
      </c>
      <c r="H40" s="165"/>
      <c r="I40" s="166">
        <v>4283</v>
      </c>
      <c r="J40" s="139">
        <f>IF(A40&lt;&gt;0,I40/C40*100,"")</f>
        <v>69.517935400097386</v>
      </c>
    </row>
    <row r="41" spans="1:11" ht="13.25" customHeight="1">
      <c r="A41" s="165"/>
      <c r="B41" s="165"/>
      <c r="C41" s="166"/>
      <c r="D41" s="167"/>
      <c r="E41" s="165"/>
      <c r="F41" s="166"/>
      <c r="G41" s="168" t="str">
        <f>IF(A41&lt;&gt;0,F41/C41*100,"")</f>
        <v/>
      </c>
      <c r="H41" s="165"/>
      <c r="I41" s="166"/>
      <c r="J41" s="139" t="str">
        <f>IF(A41&lt;&gt;0,I41/C41*100,"")</f>
        <v/>
      </c>
    </row>
    <row r="42" spans="1:11" ht="13.25" customHeight="1">
      <c r="A42" s="64" t="s">
        <v>1845</v>
      </c>
      <c r="B42" s="165"/>
      <c r="C42" s="166">
        <f>F42+I42</f>
        <v>6289</v>
      </c>
      <c r="D42" s="167">
        <f>G42+J42</f>
        <v>100</v>
      </c>
      <c r="E42" s="165"/>
      <c r="F42" s="166">
        <v>1890</v>
      </c>
      <c r="G42" s="168">
        <f>IF(A42&lt;&gt;0,F42/C42*100,"")</f>
        <v>30.052472571155985</v>
      </c>
      <c r="H42" s="165"/>
      <c r="I42" s="166">
        <v>4399</v>
      </c>
      <c r="J42" s="139">
        <f>IF(A42&lt;&gt;0,I42/C42*100,"")</f>
        <v>69.947527428844012</v>
      </c>
    </row>
    <row r="43" spans="1:11" ht="14" thickBot="1">
      <c r="A43" s="61"/>
      <c r="B43" s="107"/>
      <c r="C43" s="163"/>
      <c r="D43" s="164"/>
      <c r="E43" s="107"/>
      <c r="F43" s="163"/>
      <c r="G43" s="162"/>
      <c r="H43" s="107"/>
      <c r="I43" s="163"/>
    </row>
    <row r="44" spans="1:11">
      <c r="A44" s="97"/>
      <c r="B44" s="97"/>
      <c r="C44" s="144"/>
      <c r="D44" s="98"/>
      <c r="E44" s="97"/>
      <c r="F44" s="144"/>
      <c r="G44" s="99"/>
      <c r="H44" s="97"/>
      <c r="I44" s="144"/>
      <c r="J44" s="99"/>
      <c r="K44" s="99"/>
    </row>
    <row r="45" spans="1:11">
      <c r="A45" s="116" t="s">
        <v>1846</v>
      </c>
      <c r="B45" s="116"/>
      <c r="C45" s="154"/>
      <c r="D45" s="134"/>
      <c r="E45" s="116"/>
      <c r="F45" s="154"/>
      <c r="G45" s="135"/>
      <c r="H45" s="116"/>
      <c r="I45" s="154"/>
    </row>
    <row r="46" spans="1:11">
      <c r="A46" s="116" t="s">
        <v>1847</v>
      </c>
      <c r="B46" s="116"/>
      <c r="C46" s="154"/>
      <c r="D46" s="134"/>
      <c r="E46" s="116"/>
      <c r="F46" s="154"/>
      <c r="G46" s="135"/>
      <c r="H46" s="116"/>
      <c r="I46" s="154"/>
    </row>
    <row r="47" spans="1:11">
      <c r="A47" s="116"/>
      <c r="B47" s="116"/>
      <c r="C47" s="154"/>
      <c r="D47" s="134"/>
      <c r="E47" s="116"/>
      <c r="F47" s="154"/>
      <c r="G47" s="135"/>
      <c r="H47" s="116"/>
      <c r="I47" s="154"/>
    </row>
    <row r="48" spans="1:11">
      <c r="A48" s="95" t="s">
        <v>431</v>
      </c>
    </row>
    <row r="49" spans="1:7">
      <c r="A49" s="95" t="s">
        <v>452</v>
      </c>
    </row>
    <row r="50" spans="1:7">
      <c r="G50" s="140"/>
    </row>
  </sheetData>
  <mergeCells count="1">
    <mergeCell ref="C8:D8"/>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P213"/>
  <sheetViews>
    <sheetView workbookViewId="0">
      <selection activeCell="J7" sqref="J7"/>
    </sheetView>
  </sheetViews>
  <sheetFormatPr baseColWidth="10" defaultColWidth="8.83203125" defaultRowHeight="15"/>
  <cols>
    <col min="1" max="1" width="34.5" style="33" customWidth="1"/>
    <col min="2" max="2" width="8.83203125" style="242" customWidth="1"/>
    <col min="3" max="3" width="8.83203125" style="12" customWidth="1"/>
    <col min="4" max="4" width="2.33203125" style="14" customWidth="1"/>
    <col min="5" max="5" width="8.33203125" style="242" customWidth="1"/>
    <col min="6" max="6" width="8.83203125" style="204" customWidth="1"/>
    <col min="7" max="7" width="2.33203125" style="14" customWidth="1"/>
    <col min="8" max="8" width="9" style="343" customWidth="1"/>
    <col min="9" max="9" width="10.1640625" style="204" customWidth="1"/>
    <col min="10" max="10" width="2.33203125" style="14" customWidth="1"/>
    <col min="11" max="11" width="8" style="14" customWidth="1"/>
    <col min="12" max="12" width="8.6640625" style="14" customWidth="1"/>
    <col min="13" max="13" width="2.33203125" style="14" customWidth="1"/>
    <col min="14" max="16" width="8.83203125" style="12"/>
    <col min="257" max="257" width="34.5" customWidth="1"/>
    <col min="258" max="259" width="8.83203125" customWidth="1"/>
    <col min="260" max="260" width="2.33203125" customWidth="1"/>
    <col min="261" max="261" width="8.33203125" customWidth="1"/>
    <col min="262" max="262" width="8.83203125" customWidth="1"/>
    <col min="263" max="263" width="2.33203125" customWidth="1"/>
    <col min="264" max="264" width="9" customWidth="1"/>
    <col min="265" max="265" width="10.1640625" customWidth="1"/>
    <col min="266" max="266" width="2.33203125" customWidth="1"/>
    <col min="267" max="267" width="8" customWidth="1"/>
    <col min="268" max="268" width="8.6640625" customWidth="1"/>
    <col min="269" max="269" width="2.33203125" customWidth="1"/>
    <col min="513" max="513" width="34.5" customWidth="1"/>
    <col min="514" max="515" width="8.83203125" customWidth="1"/>
    <col min="516" max="516" width="2.33203125" customWidth="1"/>
    <col min="517" max="517" width="8.33203125" customWidth="1"/>
    <col min="518" max="518" width="8.83203125" customWidth="1"/>
    <col min="519" max="519" width="2.33203125" customWidth="1"/>
    <col min="520" max="520" width="9" customWidth="1"/>
    <col min="521" max="521" width="10.1640625" customWidth="1"/>
    <col min="522" max="522" width="2.33203125" customWidth="1"/>
    <col min="523" max="523" width="8" customWidth="1"/>
    <col min="524" max="524" width="8.6640625" customWidth="1"/>
    <col min="525" max="525" width="2.33203125" customWidth="1"/>
    <col min="769" max="769" width="34.5" customWidth="1"/>
    <col min="770" max="771" width="8.83203125" customWidth="1"/>
    <col min="772" max="772" width="2.33203125" customWidth="1"/>
    <col min="773" max="773" width="8.33203125" customWidth="1"/>
    <col min="774" max="774" width="8.83203125" customWidth="1"/>
    <col min="775" max="775" width="2.33203125" customWidth="1"/>
    <col min="776" max="776" width="9" customWidth="1"/>
    <col min="777" max="777" width="10.1640625" customWidth="1"/>
    <col min="778" max="778" width="2.33203125" customWidth="1"/>
    <col min="779" max="779" width="8" customWidth="1"/>
    <col min="780" max="780" width="8.6640625" customWidth="1"/>
    <col min="781" max="781" width="2.33203125" customWidth="1"/>
    <col min="1025" max="1025" width="34.5" customWidth="1"/>
    <col min="1026" max="1027" width="8.83203125" customWidth="1"/>
    <col min="1028" max="1028" width="2.33203125" customWidth="1"/>
    <col min="1029" max="1029" width="8.33203125" customWidth="1"/>
    <col min="1030" max="1030" width="8.83203125" customWidth="1"/>
    <col min="1031" max="1031" width="2.33203125" customWidth="1"/>
    <col min="1032" max="1032" width="9" customWidth="1"/>
    <col min="1033" max="1033" width="10.1640625" customWidth="1"/>
    <col min="1034" max="1034" width="2.33203125" customWidth="1"/>
    <col min="1035" max="1035" width="8" customWidth="1"/>
    <col min="1036" max="1036" width="8.6640625" customWidth="1"/>
    <col min="1037" max="1037" width="2.33203125" customWidth="1"/>
    <col min="1281" max="1281" width="34.5" customWidth="1"/>
    <col min="1282" max="1283" width="8.83203125" customWidth="1"/>
    <col min="1284" max="1284" width="2.33203125" customWidth="1"/>
    <col min="1285" max="1285" width="8.33203125" customWidth="1"/>
    <col min="1286" max="1286" width="8.83203125" customWidth="1"/>
    <col min="1287" max="1287" width="2.33203125" customWidth="1"/>
    <col min="1288" max="1288" width="9" customWidth="1"/>
    <col min="1289" max="1289" width="10.1640625" customWidth="1"/>
    <col min="1290" max="1290" width="2.33203125" customWidth="1"/>
    <col min="1291" max="1291" width="8" customWidth="1"/>
    <col min="1292" max="1292" width="8.6640625" customWidth="1"/>
    <col min="1293" max="1293" width="2.33203125" customWidth="1"/>
    <col min="1537" max="1537" width="34.5" customWidth="1"/>
    <col min="1538" max="1539" width="8.83203125" customWidth="1"/>
    <col min="1540" max="1540" width="2.33203125" customWidth="1"/>
    <col min="1541" max="1541" width="8.33203125" customWidth="1"/>
    <col min="1542" max="1542" width="8.83203125" customWidth="1"/>
    <col min="1543" max="1543" width="2.33203125" customWidth="1"/>
    <col min="1544" max="1544" width="9" customWidth="1"/>
    <col min="1545" max="1545" width="10.1640625" customWidth="1"/>
    <col min="1546" max="1546" width="2.33203125" customWidth="1"/>
    <col min="1547" max="1547" width="8" customWidth="1"/>
    <col min="1548" max="1548" width="8.6640625" customWidth="1"/>
    <col min="1549" max="1549" width="2.33203125" customWidth="1"/>
    <col min="1793" max="1793" width="34.5" customWidth="1"/>
    <col min="1794" max="1795" width="8.83203125" customWidth="1"/>
    <col min="1796" max="1796" width="2.33203125" customWidth="1"/>
    <col min="1797" max="1797" width="8.33203125" customWidth="1"/>
    <col min="1798" max="1798" width="8.83203125" customWidth="1"/>
    <col min="1799" max="1799" width="2.33203125" customWidth="1"/>
    <col min="1800" max="1800" width="9" customWidth="1"/>
    <col min="1801" max="1801" width="10.1640625" customWidth="1"/>
    <col min="1802" max="1802" width="2.33203125" customWidth="1"/>
    <col min="1803" max="1803" width="8" customWidth="1"/>
    <col min="1804" max="1804" width="8.6640625" customWidth="1"/>
    <col min="1805" max="1805" width="2.33203125" customWidth="1"/>
    <col min="2049" max="2049" width="34.5" customWidth="1"/>
    <col min="2050" max="2051" width="8.83203125" customWidth="1"/>
    <col min="2052" max="2052" width="2.33203125" customWidth="1"/>
    <col min="2053" max="2053" width="8.33203125" customWidth="1"/>
    <col min="2054" max="2054" width="8.83203125" customWidth="1"/>
    <col min="2055" max="2055" width="2.33203125" customWidth="1"/>
    <col min="2056" max="2056" width="9" customWidth="1"/>
    <col min="2057" max="2057" width="10.1640625" customWidth="1"/>
    <col min="2058" max="2058" width="2.33203125" customWidth="1"/>
    <col min="2059" max="2059" width="8" customWidth="1"/>
    <col min="2060" max="2060" width="8.6640625" customWidth="1"/>
    <col min="2061" max="2061" width="2.33203125" customWidth="1"/>
    <col min="2305" max="2305" width="34.5" customWidth="1"/>
    <col min="2306" max="2307" width="8.83203125" customWidth="1"/>
    <col min="2308" max="2308" width="2.33203125" customWidth="1"/>
    <col min="2309" max="2309" width="8.33203125" customWidth="1"/>
    <col min="2310" max="2310" width="8.83203125" customWidth="1"/>
    <col min="2311" max="2311" width="2.33203125" customWidth="1"/>
    <col min="2312" max="2312" width="9" customWidth="1"/>
    <col min="2313" max="2313" width="10.1640625" customWidth="1"/>
    <col min="2314" max="2314" width="2.33203125" customWidth="1"/>
    <col min="2315" max="2315" width="8" customWidth="1"/>
    <col min="2316" max="2316" width="8.6640625" customWidth="1"/>
    <col min="2317" max="2317" width="2.33203125" customWidth="1"/>
    <col min="2561" max="2561" width="34.5" customWidth="1"/>
    <col min="2562" max="2563" width="8.83203125" customWidth="1"/>
    <col min="2564" max="2564" width="2.33203125" customWidth="1"/>
    <col min="2565" max="2565" width="8.33203125" customWidth="1"/>
    <col min="2566" max="2566" width="8.83203125" customWidth="1"/>
    <col min="2567" max="2567" width="2.33203125" customWidth="1"/>
    <col min="2568" max="2568" width="9" customWidth="1"/>
    <col min="2569" max="2569" width="10.1640625" customWidth="1"/>
    <col min="2570" max="2570" width="2.33203125" customWidth="1"/>
    <col min="2571" max="2571" width="8" customWidth="1"/>
    <col min="2572" max="2572" width="8.6640625" customWidth="1"/>
    <col min="2573" max="2573" width="2.33203125" customWidth="1"/>
    <col min="2817" max="2817" width="34.5" customWidth="1"/>
    <col min="2818" max="2819" width="8.83203125" customWidth="1"/>
    <col min="2820" max="2820" width="2.33203125" customWidth="1"/>
    <col min="2821" max="2821" width="8.33203125" customWidth="1"/>
    <col min="2822" max="2822" width="8.83203125" customWidth="1"/>
    <col min="2823" max="2823" width="2.33203125" customWidth="1"/>
    <col min="2824" max="2824" width="9" customWidth="1"/>
    <col min="2825" max="2825" width="10.1640625" customWidth="1"/>
    <col min="2826" max="2826" width="2.33203125" customWidth="1"/>
    <col min="2827" max="2827" width="8" customWidth="1"/>
    <col min="2828" max="2828" width="8.6640625" customWidth="1"/>
    <col min="2829" max="2829" width="2.33203125" customWidth="1"/>
    <col min="3073" max="3073" width="34.5" customWidth="1"/>
    <col min="3074" max="3075" width="8.83203125" customWidth="1"/>
    <col min="3076" max="3076" width="2.33203125" customWidth="1"/>
    <col min="3077" max="3077" width="8.33203125" customWidth="1"/>
    <col min="3078" max="3078" width="8.83203125" customWidth="1"/>
    <col min="3079" max="3079" width="2.33203125" customWidth="1"/>
    <col min="3080" max="3080" width="9" customWidth="1"/>
    <col min="3081" max="3081" width="10.1640625" customWidth="1"/>
    <col min="3082" max="3082" width="2.33203125" customWidth="1"/>
    <col min="3083" max="3083" width="8" customWidth="1"/>
    <col min="3084" max="3084" width="8.6640625" customWidth="1"/>
    <col min="3085" max="3085" width="2.33203125" customWidth="1"/>
    <col min="3329" max="3329" width="34.5" customWidth="1"/>
    <col min="3330" max="3331" width="8.83203125" customWidth="1"/>
    <col min="3332" max="3332" width="2.33203125" customWidth="1"/>
    <col min="3333" max="3333" width="8.33203125" customWidth="1"/>
    <col min="3334" max="3334" width="8.83203125" customWidth="1"/>
    <col min="3335" max="3335" width="2.33203125" customWidth="1"/>
    <col min="3336" max="3336" width="9" customWidth="1"/>
    <col min="3337" max="3337" width="10.1640625" customWidth="1"/>
    <col min="3338" max="3338" width="2.33203125" customWidth="1"/>
    <col min="3339" max="3339" width="8" customWidth="1"/>
    <col min="3340" max="3340" width="8.6640625" customWidth="1"/>
    <col min="3341" max="3341" width="2.33203125" customWidth="1"/>
    <col min="3585" max="3585" width="34.5" customWidth="1"/>
    <col min="3586" max="3587" width="8.83203125" customWidth="1"/>
    <col min="3588" max="3588" width="2.33203125" customWidth="1"/>
    <col min="3589" max="3589" width="8.33203125" customWidth="1"/>
    <col min="3590" max="3590" width="8.83203125" customWidth="1"/>
    <col min="3591" max="3591" width="2.33203125" customWidth="1"/>
    <col min="3592" max="3592" width="9" customWidth="1"/>
    <col min="3593" max="3593" width="10.1640625" customWidth="1"/>
    <col min="3594" max="3594" width="2.33203125" customWidth="1"/>
    <col min="3595" max="3595" width="8" customWidth="1"/>
    <col min="3596" max="3596" width="8.6640625" customWidth="1"/>
    <col min="3597" max="3597" width="2.33203125" customWidth="1"/>
    <col min="3841" max="3841" width="34.5" customWidth="1"/>
    <col min="3842" max="3843" width="8.83203125" customWidth="1"/>
    <col min="3844" max="3844" width="2.33203125" customWidth="1"/>
    <col min="3845" max="3845" width="8.33203125" customWidth="1"/>
    <col min="3846" max="3846" width="8.83203125" customWidth="1"/>
    <col min="3847" max="3847" width="2.33203125" customWidth="1"/>
    <col min="3848" max="3848" width="9" customWidth="1"/>
    <col min="3849" max="3849" width="10.1640625" customWidth="1"/>
    <col min="3850" max="3850" width="2.33203125" customWidth="1"/>
    <col min="3851" max="3851" width="8" customWidth="1"/>
    <col min="3852" max="3852" width="8.6640625" customWidth="1"/>
    <col min="3853" max="3853" width="2.33203125" customWidth="1"/>
    <col min="4097" max="4097" width="34.5" customWidth="1"/>
    <col min="4098" max="4099" width="8.83203125" customWidth="1"/>
    <col min="4100" max="4100" width="2.33203125" customWidth="1"/>
    <col min="4101" max="4101" width="8.33203125" customWidth="1"/>
    <col min="4102" max="4102" width="8.83203125" customWidth="1"/>
    <col min="4103" max="4103" width="2.33203125" customWidth="1"/>
    <col min="4104" max="4104" width="9" customWidth="1"/>
    <col min="4105" max="4105" width="10.1640625" customWidth="1"/>
    <col min="4106" max="4106" width="2.33203125" customWidth="1"/>
    <col min="4107" max="4107" width="8" customWidth="1"/>
    <col min="4108" max="4108" width="8.6640625" customWidth="1"/>
    <col min="4109" max="4109" width="2.33203125" customWidth="1"/>
    <col min="4353" max="4353" width="34.5" customWidth="1"/>
    <col min="4354" max="4355" width="8.83203125" customWidth="1"/>
    <col min="4356" max="4356" width="2.33203125" customWidth="1"/>
    <col min="4357" max="4357" width="8.33203125" customWidth="1"/>
    <col min="4358" max="4358" width="8.83203125" customWidth="1"/>
    <col min="4359" max="4359" width="2.33203125" customWidth="1"/>
    <col min="4360" max="4360" width="9" customWidth="1"/>
    <col min="4361" max="4361" width="10.1640625" customWidth="1"/>
    <col min="4362" max="4362" width="2.33203125" customWidth="1"/>
    <col min="4363" max="4363" width="8" customWidth="1"/>
    <col min="4364" max="4364" width="8.6640625" customWidth="1"/>
    <col min="4365" max="4365" width="2.33203125" customWidth="1"/>
    <col min="4609" max="4609" width="34.5" customWidth="1"/>
    <col min="4610" max="4611" width="8.83203125" customWidth="1"/>
    <col min="4612" max="4612" width="2.33203125" customWidth="1"/>
    <col min="4613" max="4613" width="8.33203125" customWidth="1"/>
    <col min="4614" max="4614" width="8.83203125" customWidth="1"/>
    <col min="4615" max="4615" width="2.33203125" customWidth="1"/>
    <col min="4616" max="4616" width="9" customWidth="1"/>
    <col min="4617" max="4617" width="10.1640625" customWidth="1"/>
    <col min="4618" max="4618" width="2.33203125" customWidth="1"/>
    <col min="4619" max="4619" width="8" customWidth="1"/>
    <col min="4620" max="4620" width="8.6640625" customWidth="1"/>
    <col min="4621" max="4621" width="2.33203125" customWidth="1"/>
    <col min="4865" max="4865" width="34.5" customWidth="1"/>
    <col min="4866" max="4867" width="8.83203125" customWidth="1"/>
    <col min="4868" max="4868" width="2.33203125" customWidth="1"/>
    <col min="4869" max="4869" width="8.33203125" customWidth="1"/>
    <col min="4870" max="4870" width="8.83203125" customWidth="1"/>
    <col min="4871" max="4871" width="2.33203125" customWidth="1"/>
    <col min="4872" max="4872" width="9" customWidth="1"/>
    <col min="4873" max="4873" width="10.1640625" customWidth="1"/>
    <col min="4874" max="4874" width="2.33203125" customWidth="1"/>
    <col min="4875" max="4875" width="8" customWidth="1"/>
    <col min="4876" max="4876" width="8.6640625" customWidth="1"/>
    <col min="4877" max="4877" width="2.33203125" customWidth="1"/>
    <col min="5121" max="5121" width="34.5" customWidth="1"/>
    <col min="5122" max="5123" width="8.83203125" customWidth="1"/>
    <col min="5124" max="5124" width="2.33203125" customWidth="1"/>
    <col min="5125" max="5125" width="8.33203125" customWidth="1"/>
    <col min="5126" max="5126" width="8.83203125" customWidth="1"/>
    <col min="5127" max="5127" width="2.33203125" customWidth="1"/>
    <col min="5128" max="5128" width="9" customWidth="1"/>
    <col min="5129" max="5129" width="10.1640625" customWidth="1"/>
    <col min="5130" max="5130" width="2.33203125" customWidth="1"/>
    <col min="5131" max="5131" width="8" customWidth="1"/>
    <col min="5132" max="5132" width="8.6640625" customWidth="1"/>
    <col min="5133" max="5133" width="2.33203125" customWidth="1"/>
    <col min="5377" max="5377" width="34.5" customWidth="1"/>
    <col min="5378" max="5379" width="8.83203125" customWidth="1"/>
    <col min="5380" max="5380" width="2.33203125" customWidth="1"/>
    <col min="5381" max="5381" width="8.33203125" customWidth="1"/>
    <col min="5382" max="5382" width="8.83203125" customWidth="1"/>
    <col min="5383" max="5383" width="2.33203125" customWidth="1"/>
    <col min="5384" max="5384" width="9" customWidth="1"/>
    <col min="5385" max="5385" width="10.1640625" customWidth="1"/>
    <col min="5386" max="5386" width="2.33203125" customWidth="1"/>
    <col min="5387" max="5387" width="8" customWidth="1"/>
    <col min="5388" max="5388" width="8.6640625" customWidth="1"/>
    <col min="5389" max="5389" width="2.33203125" customWidth="1"/>
    <col min="5633" max="5633" width="34.5" customWidth="1"/>
    <col min="5634" max="5635" width="8.83203125" customWidth="1"/>
    <col min="5636" max="5636" width="2.33203125" customWidth="1"/>
    <col min="5637" max="5637" width="8.33203125" customWidth="1"/>
    <col min="5638" max="5638" width="8.83203125" customWidth="1"/>
    <col min="5639" max="5639" width="2.33203125" customWidth="1"/>
    <col min="5640" max="5640" width="9" customWidth="1"/>
    <col min="5641" max="5641" width="10.1640625" customWidth="1"/>
    <col min="5642" max="5642" width="2.33203125" customWidth="1"/>
    <col min="5643" max="5643" width="8" customWidth="1"/>
    <col min="5644" max="5644" width="8.6640625" customWidth="1"/>
    <col min="5645" max="5645" width="2.33203125" customWidth="1"/>
    <col min="5889" max="5889" width="34.5" customWidth="1"/>
    <col min="5890" max="5891" width="8.83203125" customWidth="1"/>
    <col min="5892" max="5892" width="2.33203125" customWidth="1"/>
    <col min="5893" max="5893" width="8.33203125" customWidth="1"/>
    <col min="5894" max="5894" width="8.83203125" customWidth="1"/>
    <col min="5895" max="5895" width="2.33203125" customWidth="1"/>
    <col min="5896" max="5896" width="9" customWidth="1"/>
    <col min="5897" max="5897" width="10.1640625" customWidth="1"/>
    <col min="5898" max="5898" width="2.33203125" customWidth="1"/>
    <col min="5899" max="5899" width="8" customWidth="1"/>
    <col min="5900" max="5900" width="8.6640625" customWidth="1"/>
    <col min="5901" max="5901" width="2.33203125" customWidth="1"/>
    <col min="6145" max="6145" width="34.5" customWidth="1"/>
    <col min="6146" max="6147" width="8.83203125" customWidth="1"/>
    <col min="6148" max="6148" width="2.33203125" customWidth="1"/>
    <col min="6149" max="6149" width="8.33203125" customWidth="1"/>
    <col min="6150" max="6150" width="8.83203125" customWidth="1"/>
    <col min="6151" max="6151" width="2.33203125" customWidth="1"/>
    <col min="6152" max="6152" width="9" customWidth="1"/>
    <col min="6153" max="6153" width="10.1640625" customWidth="1"/>
    <col min="6154" max="6154" width="2.33203125" customWidth="1"/>
    <col min="6155" max="6155" width="8" customWidth="1"/>
    <col min="6156" max="6156" width="8.6640625" customWidth="1"/>
    <col min="6157" max="6157" width="2.33203125" customWidth="1"/>
    <col min="6401" max="6401" width="34.5" customWidth="1"/>
    <col min="6402" max="6403" width="8.83203125" customWidth="1"/>
    <col min="6404" max="6404" width="2.33203125" customWidth="1"/>
    <col min="6405" max="6405" width="8.33203125" customWidth="1"/>
    <col min="6406" max="6406" width="8.83203125" customWidth="1"/>
    <col min="6407" max="6407" width="2.33203125" customWidth="1"/>
    <col min="6408" max="6408" width="9" customWidth="1"/>
    <col min="6409" max="6409" width="10.1640625" customWidth="1"/>
    <col min="6410" max="6410" width="2.33203125" customWidth="1"/>
    <col min="6411" max="6411" width="8" customWidth="1"/>
    <col min="6412" max="6412" width="8.6640625" customWidth="1"/>
    <col min="6413" max="6413" width="2.33203125" customWidth="1"/>
    <col min="6657" max="6657" width="34.5" customWidth="1"/>
    <col min="6658" max="6659" width="8.83203125" customWidth="1"/>
    <col min="6660" max="6660" width="2.33203125" customWidth="1"/>
    <col min="6661" max="6661" width="8.33203125" customWidth="1"/>
    <col min="6662" max="6662" width="8.83203125" customWidth="1"/>
    <col min="6663" max="6663" width="2.33203125" customWidth="1"/>
    <col min="6664" max="6664" width="9" customWidth="1"/>
    <col min="6665" max="6665" width="10.1640625" customWidth="1"/>
    <col min="6666" max="6666" width="2.33203125" customWidth="1"/>
    <col min="6667" max="6667" width="8" customWidth="1"/>
    <col min="6668" max="6668" width="8.6640625" customWidth="1"/>
    <col min="6669" max="6669" width="2.33203125" customWidth="1"/>
    <col min="6913" max="6913" width="34.5" customWidth="1"/>
    <col min="6914" max="6915" width="8.83203125" customWidth="1"/>
    <col min="6916" max="6916" width="2.33203125" customWidth="1"/>
    <col min="6917" max="6917" width="8.33203125" customWidth="1"/>
    <col min="6918" max="6918" width="8.83203125" customWidth="1"/>
    <col min="6919" max="6919" width="2.33203125" customWidth="1"/>
    <col min="6920" max="6920" width="9" customWidth="1"/>
    <col min="6921" max="6921" width="10.1640625" customWidth="1"/>
    <col min="6922" max="6922" width="2.33203125" customWidth="1"/>
    <col min="6923" max="6923" width="8" customWidth="1"/>
    <col min="6924" max="6924" width="8.6640625" customWidth="1"/>
    <col min="6925" max="6925" width="2.33203125" customWidth="1"/>
    <col min="7169" max="7169" width="34.5" customWidth="1"/>
    <col min="7170" max="7171" width="8.83203125" customWidth="1"/>
    <col min="7172" max="7172" width="2.33203125" customWidth="1"/>
    <col min="7173" max="7173" width="8.33203125" customWidth="1"/>
    <col min="7174" max="7174" width="8.83203125" customWidth="1"/>
    <col min="7175" max="7175" width="2.33203125" customWidth="1"/>
    <col min="7176" max="7176" width="9" customWidth="1"/>
    <col min="7177" max="7177" width="10.1640625" customWidth="1"/>
    <col min="7178" max="7178" width="2.33203125" customWidth="1"/>
    <col min="7179" max="7179" width="8" customWidth="1"/>
    <col min="7180" max="7180" width="8.6640625" customWidth="1"/>
    <col min="7181" max="7181" width="2.33203125" customWidth="1"/>
    <col min="7425" max="7425" width="34.5" customWidth="1"/>
    <col min="7426" max="7427" width="8.83203125" customWidth="1"/>
    <col min="7428" max="7428" width="2.33203125" customWidth="1"/>
    <col min="7429" max="7429" width="8.33203125" customWidth="1"/>
    <col min="7430" max="7430" width="8.83203125" customWidth="1"/>
    <col min="7431" max="7431" width="2.33203125" customWidth="1"/>
    <col min="7432" max="7432" width="9" customWidth="1"/>
    <col min="7433" max="7433" width="10.1640625" customWidth="1"/>
    <col min="7434" max="7434" width="2.33203125" customWidth="1"/>
    <col min="7435" max="7435" width="8" customWidth="1"/>
    <col min="7436" max="7436" width="8.6640625" customWidth="1"/>
    <col min="7437" max="7437" width="2.33203125" customWidth="1"/>
    <col min="7681" max="7681" width="34.5" customWidth="1"/>
    <col min="7682" max="7683" width="8.83203125" customWidth="1"/>
    <col min="7684" max="7684" width="2.33203125" customWidth="1"/>
    <col min="7685" max="7685" width="8.33203125" customWidth="1"/>
    <col min="7686" max="7686" width="8.83203125" customWidth="1"/>
    <col min="7687" max="7687" width="2.33203125" customWidth="1"/>
    <col min="7688" max="7688" width="9" customWidth="1"/>
    <col min="7689" max="7689" width="10.1640625" customWidth="1"/>
    <col min="7690" max="7690" width="2.33203125" customWidth="1"/>
    <col min="7691" max="7691" width="8" customWidth="1"/>
    <col min="7692" max="7692" width="8.6640625" customWidth="1"/>
    <col min="7693" max="7693" width="2.33203125" customWidth="1"/>
    <col min="7937" max="7937" width="34.5" customWidth="1"/>
    <col min="7938" max="7939" width="8.83203125" customWidth="1"/>
    <col min="7940" max="7940" width="2.33203125" customWidth="1"/>
    <col min="7941" max="7941" width="8.33203125" customWidth="1"/>
    <col min="7942" max="7942" width="8.83203125" customWidth="1"/>
    <col min="7943" max="7943" width="2.33203125" customWidth="1"/>
    <col min="7944" max="7944" width="9" customWidth="1"/>
    <col min="7945" max="7945" width="10.1640625" customWidth="1"/>
    <col min="7946" max="7946" width="2.33203125" customWidth="1"/>
    <col min="7947" max="7947" width="8" customWidth="1"/>
    <col min="7948" max="7948" width="8.6640625" customWidth="1"/>
    <col min="7949" max="7949" width="2.33203125" customWidth="1"/>
    <col min="8193" max="8193" width="34.5" customWidth="1"/>
    <col min="8194" max="8195" width="8.83203125" customWidth="1"/>
    <col min="8196" max="8196" width="2.33203125" customWidth="1"/>
    <col min="8197" max="8197" width="8.33203125" customWidth="1"/>
    <col min="8198" max="8198" width="8.83203125" customWidth="1"/>
    <col min="8199" max="8199" width="2.33203125" customWidth="1"/>
    <col min="8200" max="8200" width="9" customWidth="1"/>
    <col min="8201" max="8201" width="10.1640625" customWidth="1"/>
    <col min="8202" max="8202" width="2.33203125" customWidth="1"/>
    <col min="8203" max="8203" width="8" customWidth="1"/>
    <col min="8204" max="8204" width="8.6640625" customWidth="1"/>
    <col min="8205" max="8205" width="2.33203125" customWidth="1"/>
    <col min="8449" max="8449" width="34.5" customWidth="1"/>
    <col min="8450" max="8451" width="8.83203125" customWidth="1"/>
    <col min="8452" max="8452" width="2.33203125" customWidth="1"/>
    <col min="8453" max="8453" width="8.33203125" customWidth="1"/>
    <col min="8454" max="8454" width="8.83203125" customWidth="1"/>
    <col min="8455" max="8455" width="2.33203125" customWidth="1"/>
    <col min="8456" max="8456" width="9" customWidth="1"/>
    <col min="8457" max="8457" width="10.1640625" customWidth="1"/>
    <col min="8458" max="8458" width="2.33203125" customWidth="1"/>
    <col min="8459" max="8459" width="8" customWidth="1"/>
    <col min="8460" max="8460" width="8.6640625" customWidth="1"/>
    <col min="8461" max="8461" width="2.33203125" customWidth="1"/>
    <col min="8705" max="8705" width="34.5" customWidth="1"/>
    <col min="8706" max="8707" width="8.83203125" customWidth="1"/>
    <col min="8708" max="8708" width="2.33203125" customWidth="1"/>
    <col min="8709" max="8709" width="8.33203125" customWidth="1"/>
    <col min="8710" max="8710" width="8.83203125" customWidth="1"/>
    <col min="8711" max="8711" width="2.33203125" customWidth="1"/>
    <col min="8712" max="8712" width="9" customWidth="1"/>
    <col min="8713" max="8713" width="10.1640625" customWidth="1"/>
    <col min="8714" max="8714" width="2.33203125" customWidth="1"/>
    <col min="8715" max="8715" width="8" customWidth="1"/>
    <col min="8716" max="8716" width="8.6640625" customWidth="1"/>
    <col min="8717" max="8717" width="2.33203125" customWidth="1"/>
    <col min="8961" max="8961" width="34.5" customWidth="1"/>
    <col min="8962" max="8963" width="8.83203125" customWidth="1"/>
    <col min="8964" max="8964" width="2.33203125" customWidth="1"/>
    <col min="8965" max="8965" width="8.33203125" customWidth="1"/>
    <col min="8966" max="8966" width="8.83203125" customWidth="1"/>
    <col min="8967" max="8967" width="2.33203125" customWidth="1"/>
    <col min="8968" max="8968" width="9" customWidth="1"/>
    <col min="8969" max="8969" width="10.1640625" customWidth="1"/>
    <col min="8970" max="8970" width="2.33203125" customWidth="1"/>
    <col min="8971" max="8971" width="8" customWidth="1"/>
    <col min="8972" max="8972" width="8.6640625" customWidth="1"/>
    <col min="8973" max="8973" width="2.33203125" customWidth="1"/>
    <col min="9217" max="9217" width="34.5" customWidth="1"/>
    <col min="9218" max="9219" width="8.83203125" customWidth="1"/>
    <col min="9220" max="9220" width="2.33203125" customWidth="1"/>
    <col min="9221" max="9221" width="8.33203125" customWidth="1"/>
    <col min="9222" max="9222" width="8.83203125" customWidth="1"/>
    <col min="9223" max="9223" width="2.33203125" customWidth="1"/>
    <col min="9224" max="9224" width="9" customWidth="1"/>
    <col min="9225" max="9225" width="10.1640625" customWidth="1"/>
    <col min="9226" max="9226" width="2.33203125" customWidth="1"/>
    <col min="9227" max="9227" width="8" customWidth="1"/>
    <col min="9228" max="9228" width="8.6640625" customWidth="1"/>
    <col min="9229" max="9229" width="2.33203125" customWidth="1"/>
    <col min="9473" max="9473" width="34.5" customWidth="1"/>
    <col min="9474" max="9475" width="8.83203125" customWidth="1"/>
    <col min="9476" max="9476" width="2.33203125" customWidth="1"/>
    <col min="9477" max="9477" width="8.33203125" customWidth="1"/>
    <col min="9478" max="9478" width="8.83203125" customWidth="1"/>
    <col min="9479" max="9479" width="2.33203125" customWidth="1"/>
    <col min="9480" max="9480" width="9" customWidth="1"/>
    <col min="9481" max="9481" width="10.1640625" customWidth="1"/>
    <col min="9482" max="9482" width="2.33203125" customWidth="1"/>
    <col min="9483" max="9483" width="8" customWidth="1"/>
    <col min="9484" max="9484" width="8.6640625" customWidth="1"/>
    <col min="9485" max="9485" width="2.33203125" customWidth="1"/>
    <col min="9729" max="9729" width="34.5" customWidth="1"/>
    <col min="9730" max="9731" width="8.83203125" customWidth="1"/>
    <col min="9732" max="9732" width="2.33203125" customWidth="1"/>
    <col min="9733" max="9733" width="8.33203125" customWidth="1"/>
    <col min="9734" max="9734" width="8.83203125" customWidth="1"/>
    <col min="9735" max="9735" width="2.33203125" customWidth="1"/>
    <col min="9736" max="9736" width="9" customWidth="1"/>
    <col min="9737" max="9737" width="10.1640625" customWidth="1"/>
    <col min="9738" max="9738" width="2.33203125" customWidth="1"/>
    <col min="9739" max="9739" width="8" customWidth="1"/>
    <col min="9740" max="9740" width="8.6640625" customWidth="1"/>
    <col min="9741" max="9741" width="2.33203125" customWidth="1"/>
    <col min="9985" max="9985" width="34.5" customWidth="1"/>
    <col min="9986" max="9987" width="8.83203125" customWidth="1"/>
    <col min="9988" max="9988" width="2.33203125" customWidth="1"/>
    <col min="9989" max="9989" width="8.33203125" customWidth="1"/>
    <col min="9990" max="9990" width="8.83203125" customWidth="1"/>
    <col min="9991" max="9991" width="2.33203125" customWidth="1"/>
    <col min="9992" max="9992" width="9" customWidth="1"/>
    <col min="9993" max="9993" width="10.1640625" customWidth="1"/>
    <col min="9994" max="9994" width="2.33203125" customWidth="1"/>
    <col min="9995" max="9995" width="8" customWidth="1"/>
    <col min="9996" max="9996" width="8.6640625" customWidth="1"/>
    <col min="9997" max="9997" width="2.33203125" customWidth="1"/>
    <col min="10241" max="10241" width="34.5" customWidth="1"/>
    <col min="10242" max="10243" width="8.83203125" customWidth="1"/>
    <col min="10244" max="10244" width="2.33203125" customWidth="1"/>
    <col min="10245" max="10245" width="8.33203125" customWidth="1"/>
    <col min="10246" max="10246" width="8.83203125" customWidth="1"/>
    <col min="10247" max="10247" width="2.33203125" customWidth="1"/>
    <col min="10248" max="10248" width="9" customWidth="1"/>
    <col min="10249" max="10249" width="10.1640625" customWidth="1"/>
    <col min="10250" max="10250" width="2.33203125" customWidth="1"/>
    <col min="10251" max="10251" width="8" customWidth="1"/>
    <col min="10252" max="10252" width="8.6640625" customWidth="1"/>
    <col min="10253" max="10253" width="2.33203125" customWidth="1"/>
    <col min="10497" max="10497" width="34.5" customWidth="1"/>
    <col min="10498" max="10499" width="8.83203125" customWidth="1"/>
    <col min="10500" max="10500" width="2.33203125" customWidth="1"/>
    <col min="10501" max="10501" width="8.33203125" customWidth="1"/>
    <col min="10502" max="10502" width="8.83203125" customWidth="1"/>
    <col min="10503" max="10503" width="2.33203125" customWidth="1"/>
    <col min="10504" max="10504" width="9" customWidth="1"/>
    <col min="10505" max="10505" width="10.1640625" customWidth="1"/>
    <col min="10506" max="10506" width="2.33203125" customWidth="1"/>
    <col min="10507" max="10507" width="8" customWidth="1"/>
    <col min="10508" max="10508" width="8.6640625" customWidth="1"/>
    <col min="10509" max="10509" width="2.33203125" customWidth="1"/>
    <col min="10753" max="10753" width="34.5" customWidth="1"/>
    <col min="10754" max="10755" width="8.83203125" customWidth="1"/>
    <col min="10756" max="10756" width="2.33203125" customWidth="1"/>
    <col min="10757" max="10757" width="8.33203125" customWidth="1"/>
    <col min="10758" max="10758" width="8.83203125" customWidth="1"/>
    <col min="10759" max="10759" width="2.33203125" customWidth="1"/>
    <col min="10760" max="10760" width="9" customWidth="1"/>
    <col min="10761" max="10761" width="10.1640625" customWidth="1"/>
    <col min="10762" max="10762" width="2.33203125" customWidth="1"/>
    <col min="10763" max="10763" width="8" customWidth="1"/>
    <col min="10764" max="10764" width="8.6640625" customWidth="1"/>
    <col min="10765" max="10765" width="2.33203125" customWidth="1"/>
    <col min="11009" max="11009" width="34.5" customWidth="1"/>
    <col min="11010" max="11011" width="8.83203125" customWidth="1"/>
    <col min="11012" max="11012" width="2.33203125" customWidth="1"/>
    <col min="11013" max="11013" width="8.33203125" customWidth="1"/>
    <col min="11014" max="11014" width="8.83203125" customWidth="1"/>
    <col min="11015" max="11015" width="2.33203125" customWidth="1"/>
    <col min="11016" max="11016" width="9" customWidth="1"/>
    <col min="11017" max="11017" width="10.1640625" customWidth="1"/>
    <col min="11018" max="11018" width="2.33203125" customWidth="1"/>
    <col min="11019" max="11019" width="8" customWidth="1"/>
    <col min="11020" max="11020" width="8.6640625" customWidth="1"/>
    <col min="11021" max="11021" width="2.33203125" customWidth="1"/>
    <col min="11265" max="11265" width="34.5" customWidth="1"/>
    <col min="11266" max="11267" width="8.83203125" customWidth="1"/>
    <col min="11268" max="11268" width="2.33203125" customWidth="1"/>
    <col min="11269" max="11269" width="8.33203125" customWidth="1"/>
    <col min="11270" max="11270" width="8.83203125" customWidth="1"/>
    <col min="11271" max="11271" width="2.33203125" customWidth="1"/>
    <col min="11272" max="11272" width="9" customWidth="1"/>
    <col min="11273" max="11273" width="10.1640625" customWidth="1"/>
    <col min="11274" max="11274" width="2.33203125" customWidth="1"/>
    <col min="11275" max="11275" width="8" customWidth="1"/>
    <col min="11276" max="11276" width="8.6640625" customWidth="1"/>
    <col min="11277" max="11277" width="2.33203125" customWidth="1"/>
    <col min="11521" max="11521" width="34.5" customWidth="1"/>
    <col min="11522" max="11523" width="8.83203125" customWidth="1"/>
    <col min="11524" max="11524" width="2.33203125" customWidth="1"/>
    <col min="11525" max="11525" width="8.33203125" customWidth="1"/>
    <col min="11526" max="11526" width="8.83203125" customWidth="1"/>
    <col min="11527" max="11527" width="2.33203125" customWidth="1"/>
    <col min="11528" max="11528" width="9" customWidth="1"/>
    <col min="11529" max="11529" width="10.1640625" customWidth="1"/>
    <col min="11530" max="11530" width="2.33203125" customWidth="1"/>
    <col min="11531" max="11531" width="8" customWidth="1"/>
    <col min="11532" max="11532" width="8.6640625" customWidth="1"/>
    <col min="11533" max="11533" width="2.33203125" customWidth="1"/>
    <col min="11777" max="11777" width="34.5" customWidth="1"/>
    <col min="11778" max="11779" width="8.83203125" customWidth="1"/>
    <col min="11780" max="11780" width="2.33203125" customWidth="1"/>
    <col min="11781" max="11781" width="8.33203125" customWidth="1"/>
    <col min="11782" max="11782" width="8.83203125" customWidth="1"/>
    <col min="11783" max="11783" width="2.33203125" customWidth="1"/>
    <col min="11784" max="11784" width="9" customWidth="1"/>
    <col min="11785" max="11785" width="10.1640625" customWidth="1"/>
    <col min="11786" max="11786" width="2.33203125" customWidth="1"/>
    <col min="11787" max="11787" width="8" customWidth="1"/>
    <col min="11788" max="11788" width="8.6640625" customWidth="1"/>
    <col min="11789" max="11789" width="2.33203125" customWidth="1"/>
    <col min="12033" max="12033" width="34.5" customWidth="1"/>
    <col min="12034" max="12035" width="8.83203125" customWidth="1"/>
    <col min="12036" max="12036" width="2.33203125" customWidth="1"/>
    <col min="12037" max="12037" width="8.33203125" customWidth="1"/>
    <col min="12038" max="12038" width="8.83203125" customWidth="1"/>
    <col min="12039" max="12039" width="2.33203125" customWidth="1"/>
    <col min="12040" max="12040" width="9" customWidth="1"/>
    <col min="12041" max="12041" width="10.1640625" customWidth="1"/>
    <col min="12042" max="12042" width="2.33203125" customWidth="1"/>
    <col min="12043" max="12043" width="8" customWidth="1"/>
    <col min="12044" max="12044" width="8.6640625" customWidth="1"/>
    <col min="12045" max="12045" width="2.33203125" customWidth="1"/>
    <col min="12289" max="12289" width="34.5" customWidth="1"/>
    <col min="12290" max="12291" width="8.83203125" customWidth="1"/>
    <col min="12292" max="12292" width="2.33203125" customWidth="1"/>
    <col min="12293" max="12293" width="8.33203125" customWidth="1"/>
    <col min="12294" max="12294" width="8.83203125" customWidth="1"/>
    <col min="12295" max="12295" width="2.33203125" customWidth="1"/>
    <col min="12296" max="12296" width="9" customWidth="1"/>
    <col min="12297" max="12297" width="10.1640625" customWidth="1"/>
    <col min="12298" max="12298" width="2.33203125" customWidth="1"/>
    <col min="12299" max="12299" width="8" customWidth="1"/>
    <col min="12300" max="12300" width="8.6640625" customWidth="1"/>
    <col min="12301" max="12301" width="2.33203125" customWidth="1"/>
    <col min="12545" max="12545" width="34.5" customWidth="1"/>
    <col min="12546" max="12547" width="8.83203125" customWidth="1"/>
    <col min="12548" max="12548" width="2.33203125" customWidth="1"/>
    <col min="12549" max="12549" width="8.33203125" customWidth="1"/>
    <col min="12550" max="12550" width="8.83203125" customWidth="1"/>
    <col min="12551" max="12551" width="2.33203125" customWidth="1"/>
    <col min="12552" max="12552" width="9" customWidth="1"/>
    <col min="12553" max="12553" width="10.1640625" customWidth="1"/>
    <col min="12554" max="12554" width="2.33203125" customWidth="1"/>
    <col min="12555" max="12555" width="8" customWidth="1"/>
    <col min="12556" max="12556" width="8.6640625" customWidth="1"/>
    <col min="12557" max="12557" width="2.33203125" customWidth="1"/>
    <col min="12801" max="12801" width="34.5" customWidth="1"/>
    <col min="12802" max="12803" width="8.83203125" customWidth="1"/>
    <col min="12804" max="12804" width="2.33203125" customWidth="1"/>
    <col min="12805" max="12805" width="8.33203125" customWidth="1"/>
    <col min="12806" max="12806" width="8.83203125" customWidth="1"/>
    <col min="12807" max="12807" width="2.33203125" customWidth="1"/>
    <col min="12808" max="12808" width="9" customWidth="1"/>
    <col min="12809" max="12809" width="10.1640625" customWidth="1"/>
    <col min="12810" max="12810" width="2.33203125" customWidth="1"/>
    <col min="12811" max="12811" width="8" customWidth="1"/>
    <col min="12812" max="12812" width="8.6640625" customWidth="1"/>
    <col min="12813" max="12813" width="2.33203125" customWidth="1"/>
    <col min="13057" max="13057" width="34.5" customWidth="1"/>
    <col min="13058" max="13059" width="8.83203125" customWidth="1"/>
    <col min="13060" max="13060" width="2.33203125" customWidth="1"/>
    <col min="13061" max="13061" width="8.33203125" customWidth="1"/>
    <col min="13062" max="13062" width="8.83203125" customWidth="1"/>
    <col min="13063" max="13063" width="2.33203125" customWidth="1"/>
    <col min="13064" max="13064" width="9" customWidth="1"/>
    <col min="13065" max="13065" width="10.1640625" customWidth="1"/>
    <col min="13066" max="13066" width="2.33203125" customWidth="1"/>
    <col min="13067" max="13067" width="8" customWidth="1"/>
    <col min="13068" max="13068" width="8.6640625" customWidth="1"/>
    <col min="13069" max="13069" width="2.33203125" customWidth="1"/>
    <col min="13313" max="13313" width="34.5" customWidth="1"/>
    <col min="13314" max="13315" width="8.83203125" customWidth="1"/>
    <col min="13316" max="13316" width="2.33203125" customWidth="1"/>
    <col min="13317" max="13317" width="8.33203125" customWidth="1"/>
    <col min="13318" max="13318" width="8.83203125" customWidth="1"/>
    <col min="13319" max="13319" width="2.33203125" customWidth="1"/>
    <col min="13320" max="13320" width="9" customWidth="1"/>
    <col min="13321" max="13321" width="10.1640625" customWidth="1"/>
    <col min="13322" max="13322" width="2.33203125" customWidth="1"/>
    <col min="13323" max="13323" width="8" customWidth="1"/>
    <col min="13324" max="13324" width="8.6640625" customWidth="1"/>
    <col min="13325" max="13325" width="2.33203125" customWidth="1"/>
    <col min="13569" max="13569" width="34.5" customWidth="1"/>
    <col min="13570" max="13571" width="8.83203125" customWidth="1"/>
    <col min="13572" max="13572" width="2.33203125" customWidth="1"/>
    <col min="13573" max="13573" width="8.33203125" customWidth="1"/>
    <col min="13574" max="13574" width="8.83203125" customWidth="1"/>
    <col min="13575" max="13575" width="2.33203125" customWidth="1"/>
    <col min="13576" max="13576" width="9" customWidth="1"/>
    <col min="13577" max="13577" width="10.1640625" customWidth="1"/>
    <col min="13578" max="13578" width="2.33203125" customWidth="1"/>
    <col min="13579" max="13579" width="8" customWidth="1"/>
    <col min="13580" max="13580" width="8.6640625" customWidth="1"/>
    <col min="13581" max="13581" width="2.33203125" customWidth="1"/>
    <col min="13825" max="13825" width="34.5" customWidth="1"/>
    <col min="13826" max="13827" width="8.83203125" customWidth="1"/>
    <col min="13828" max="13828" width="2.33203125" customWidth="1"/>
    <col min="13829" max="13829" width="8.33203125" customWidth="1"/>
    <col min="13830" max="13830" width="8.83203125" customWidth="1"/>
    <col min="13831" max="13831" width="2.33203125" customWidth="1"/>
    <col min="13832" max="13832" width="9" customWidth="1"/>
    <col min="13833" max="13833" width="10.1640625" customWidth="1"/>
    <col min="13834" max="13834" width="2.33203125" customWidth="1"/>
    <col min="13835" max="13835" width="8" customWidth="1"/>
    <col min="13836" max="13836" width="8.6640625" customWidth="1"/>
    <col min="13837" max="13837" width="2.33203125" customWidth="1"/>
    <col min="14081" max="14081" width="34.5" customWidth="1"/>
    <col min="14082" max="14083" width="8.83203125" customWidth="1"/>
    <col min="14084" max="14084" width="2.33203125" customWidth="1"/>
    <col min="14085" max="14085" width="8.33203125" customWidth="1"/>
    <col min="14086" max="14086" width="8.83203125" customWidth="1"/>
    <col min="14087" max="14087" width="2.33203125" customWidth="1"/>
    <col min="14088" max="14088" width="9" customWidth="1"/>
    <col min="14089" max="14089" width="10.1640625" customWidth="1"/>
    <col min="14090" max="14090" width="2.33203125" customWidth="1"/>
    <col min="14091" max="14091" width="8" customWidth="1"/>
    <col min="14092" max="14092" width="8.6640625" customWidth="1"/>
    <col min="14093" max="14093" width="2.33203125" customWidth="1"/>
    <col min="14337" max="14337" width="34.5" customWidth="1"/>
    <col min="14338" max="14339" width="8.83203125" customWidth="1"/>
    <col min="14340" max="14340" width="2.33203125" customWidth="1"/>
    <col min="14341" max="14341" width="8.33203125" customWidth="1"/>
    <col min="14342" max="14342" width="8.83203125" customWidth="1"/>
    <col min="14343" max="14343" width="2.33203125" customWidth="1"/>
    <col min="14344" max="14344" width="9" customWidth="1"/>
    <col min="14345" max="14345" width="10.1640625" customWidth="1"/>
    <col min="14346" max="14346" width="2.33203125" customWidth="1"/>
    <col min="14347" max="14347" width="8" customWidth="1"/>
    <col min="14348" max="14348" width="8.6640625" customWidth="1"/>
    <col min="14349" max="14349" width="2.33203125" customWidth="1"/>
    <col min="14593" max="14593" width="34.5" customWidth="1"/>
    <col min="14594" max="14595" width="8.83203125" customWidth="1"/>
    <col min="14596" max="14596" width="2.33203125" customWidth="1"/>
    <col min="14597" max="14597" width="8.33203125" customWidth="1"/>
    <col min="14598" max="14598" width="8.83203125" customWidth="1"/>
    <col min="14599" max="14599" width="2.33203125" customWidth="1"/>
    <col min="14600" max="14600" width="9" customWidth="1"/>
    <col min="14601" max="14601" width="10.1640625" customWidth="1"/>
    <col min="14602" max="14602" width="2.33203125" customWidth="1"/>
    <col min="14603" max="14603" width="8" customWidth="1"/>
    <col min="14604" max="14604" width="8.6640625" customWidth="1"/>
    <col min="14605" max="14605" width="2.33203125" customWidth="1"/>
    <col min="14849" max="14849" width="34.5" customWidth="1"/>
    <col min="14850" max="14851" width="8.83203125" customWidth="1"/>
    <col min="14852" max="14852" width="2.33203125" customWidth="1"/>
    <col min="14853" max="14853" width="8.33203125" customWidth="1"/>
    <col min="14854" max="14854" width="8.83203125" customWidth="1"/>
    <col min="14855" max="14855" width="2.33203125" customWidth="1"/>
    <col min="14856" max="14856" width="9" customWidth="1"/>
    <col min="14857" max="14857" width="10.1640625" customWidth="1"/>
    <col min="14858" max="14858" width="2.33203125" customWidth="1"/>
    <col min="14859" max="14859" width="8" customWidth="1"/>
    <col min="14860" max="14860" width="8.6640625" customWidth="1"/>
    <col min="14861" max="14861" width="2.33203125" customWidth="1"/>
    <col min="15105" max="15105" width="34.5" customWidth="1"/>
    <col min="15106" max="15107" width="8.83203125" customWidth="1"/>
    <col min="15108" max="15108" width="2.33203125" customWidth="1"/>
    <col min="15109" max="15109" width="8.33203125" customWidth="1"/>
    <col min="15110" max="15110" width="8.83203125" customWidth="1"/>
    <col min="15111" max="15111" width="2.33203125" customWidth="1"/>
    <col min="15112" max="15112" width="9" customWidth="1"/>
    <col min="15113" max="15113" width="10.1640625" customWidth="1"/>
    <col min="15114" max="15114" width="2.33203125" customWidth="1"/>
    <col min="15115" max="15115" width="8" customWidth="1"/>
    <col min="15116" max="15116" width="8.6640625" customWidth="1"/>
    <col min="15117" max="15117" width="2.33203125" customWidth="1"/>
    <col min="15361" max="15361" width="34.5" customWidth="1"/>
    <col min="15362" max="15363" width="8.83203125" customWidth="1"/>
    <col min="15364" max="15364" width="2.33203125" customWidth="1"/>
    <col min="15365" max="15365" width="8.33203125" customWidth="1"/>
    <col min="15366" max="15366" width="8.83203125" customWidth="1"/>
    <col min="15367" max="15367" width="2.33203125" customWidth="1"/>
    <col min="15368" max="15368" width="9" customWidth="1"/>
    <col min="15369" max="15369" width="10.1640625" customWidth="1"/>
    <col min="15370" max="15370" width="2.33203125" customWidth="1"/>
    <col min="15371" max="15371" width="8" customWidth="1"/>
    <col min="15372" max="15372" width="8.6640625" customWidth="1"/>
    <col min="15373" max="15373" width="2.33203125" customWidth="1"/>
    <col min="15617" max="15617" width="34.5" customWidth="1"/>
    <col min="15618" max="15619" width="8.83203125" customWidth="1"/>
    <col min="15620" max="15620" width="2.33203125" customWidth="1"/>
    <col min="15621" max="15621" width="8.33203125" customWidth="1"/>
    <col min="15622" max="15622" width="8.83203125" customWidth="1"/>
    <col min="15623" max="15623" width="2.33203125" customWidth="1"/>
    <col min="15624" max="15624" width="9" customWidth="1"/>
    <col min="15625" max="15625" width="10.1640625" customWidth="1"/>
    <col min="15626" max="15626" width="2.33203125" customWidth="1"/>
    <col min="15627" max="15627" width="8" customWidth="1"/>
    <col min="15628" max="15628" width="8.6640625" customWidth="1"/>
    <col min="15629" max="15629" width="2.33203125" customWidth="1"/>
    <col min="15873" max="15873" width="34.5" customWidth="1"/>
    <col min="15874" max="15875" width="8.83203125" customWidth="1"/>
    <col min="15876" max="15876" width="2.33203125" customWidth="1"/>
    <col min="15877" max="15877" width="8.33203125" customWidth="1"/>
    <col min="15878" max="15878" width="8.83203125" customWidth="1"/>
    <col min="15879" max="15879" width="2.33203125" customWidth="1"/>
    <col min="15880" max="15880" width="9" customWidth="1"/>
    <col min="15881" max="15881" width="10.1640625" customWidth="1"/>
    <col min="15882" max="15882" width="2.33203125" customWidth="1"/>
    <col min="15883" max="15883" width="8" customWidth="1"/>
    <col min="15884" max="15884" width="8.6640625" customWidth="1"/>
    <col min="15885" max="15885" width="2.33203125" customWidth="1"/>
    <col min="16129" max="16129" width="34.5" customWidth="1"/>
    <col min="16130" max="16131" width="8.83203125" customWidth="1"/>
    <col min="16132" max="16132" width="2.33203125" customWidth="1"/>
    <col min="16133" max="16133" width="8.33203125" customWidth="1"/>
    <col min="16134" max="16134" width="8.83203125" customWidth="1"/>
    <col min="16135" max="16135" width="2.33203125" customWidth="1"/>
    <col min="16136" max="16136" width="9" customWidth="1"/>
    <col min="16137" max="16137" width="10.1640625" customWidth="1"/>
    <col min="16138" max="16138" width="2.33203125" customWidth="1"/>
    <col min="16139" max="16139" width="8" customWidth="1"/>
    <col min="16140" max="16140" width="8.6640625" customWidth="1"/>
    <col min="16141" max="16141" width="2.33203125" customWidth="1"/>
  </cols>
  <sheetData>
    <row r="1" spans="1:13">
      <c r="A1" s="33" t="s">
        <v>674</v>
      </c>
    </row>
    <row r="2" spans="1:13">
      <c r="A2" s="33" t="s">
        <v>1268</v>
      </c>
    </row>
    <row r="3" spans="1:13" ht="6.75" customHeight="1"/>
    <row r="4" spans="1:13">
      <c r="A4" s="14" t="s">
        <v>1983</v>
      </c>
    </row>
    <row r="5" spans="1:13" ht="8.25" customHeight="1" thickBot="1">
      <c r="B5" s="476"/>
      <c r="C5" s="477"/>
      <c r="D5" s="477"/>
      <c r="E5" s="476"/>
      <c r="F5" s="478"/>
      <c r="G5" s="477"/>
      <c r="H5" s="479"/>
      <c r="I5" s="478"/>
      <c r="J5" s="477"/>
      <c r="K5" s="477"/>
      <c r="L5" s="477"/>
      <c r="M5" s="477"/>
    </row>
    <row r="6" spans="1:13" ht="9" customHeight="1">
      <c r="A6" s="188"/>
      <c r="B6" s="441"/>
      <c r="C6" s="376"/>
      <c r="D6" s="376"/>
      <c r="E6" s="441"/>
      <c r="F6" s="222"/>
      <c r="G6" s="376"/>
      <c r="H6" s="480"/>
      <c r="I6" s="222"/>
      <c r="J6" s="376"/>
      <c r="K6" s="376"/>
      <c r="L6" s="376"/>
      <c r="M6" s="376"/>
    </row>
    <row r="7" spans="1:13" ht="12" customHeight="1">
      <c r="A7" s="33" t="s">
        <v>147</v>
      </c>
      <c r="B7" s="1034" t="s">
        <v>1269</v>
      </c>
      <c r="C7" s="1034"/>
      <c r="D7" s="75"/>
      <c r="E7" s="1034" t="s">
        <v>1159</v>
      </c>
      <c r="F7" s="1034"/>
      <c r="G7" s="75"/>
      <c r="H7" s="1048" t="s">
        <v>1270</v>
      </c>
      <c r="I7" s="1048"/>
      <c r="J7" s="75"/>
      <c r="K7" s="1033" t="s">
        <v>1160</v>
      </c>
      <c r="L7" s="1033"/>
      <c r="M7" s="75"/>
    </row>
    <row r="8" spans="1:13" ht="11" customHeight="1">
      <c r="A8" s="57" t="s">
        <v>1271</v>
      </c>
      <c r="B8" s="443" t="s">
        <v>1172</v>
      </c>
      <c r="C8" s="446" t="s">
        <v>401</v>
      </c>
      <c r="D8" s="249"/>
      <c r="E8" s="443" t="s">
        <v>1172</v>
      </c>
      <c r="F8" s="224" t="s">
        <v>401</v>
      </c>
      <c r="G8" s="249"/>
      <c r="H8" s="481" t="s">
        <v>1172</v>
      </c>
      <c r="I8" s="224" t="s">
        <v>401</v>
      </c>
      <c r="J8" s="249"/>
      <c r="K8" s="445" t="s">
        <v>1172</v>
      </c>
      <c r="L8" s="446" t="s">
        <v>401</v>
      </c>
      <c r="M8" s="249"/>
    </row>
    <row r="9" spans="1:13" ht="11" customHeight="1" thickBot="1">
      <c r="A9" s="199"/>
      <c r="B9" s="457"/>
      <c r="C9" s="449"/>
      <c r="D9" s="449"/>
      <c r="E9" s="457"/>
      <c r="F9" s="448"/>
      <c r="G9" s="449"/>
      <c r="H9" s="483"/>
      <c r="I9" s="448"/>
      <c r="J9" s="449"/>
      <c r="K9" s="460"/>
      <c r="L9" s="449"/>
      <c r="M9" s="449"/>
    </row>
    <row r="10" spans="1:13" ht="8.25" customHeight="1">
      <c r="H10" s="461"/>
      <c r="I10" s="53"/>
    </row>
    <row r="11" spans="1:13" ht="13" customHeight="1">
      <c r="A11" s="17" t="s">
        <v>402</v>
      </c>
      <c r="B11" s="488">
        <f>IF(A11&lt;&gt;"",E11+H11+K11,"")</f>
        <v>1396</v>
      </c>
      <c r="C11" s="337">
        <f>IF(B11&lt;&gt;"",F11+I11+L11,"")</f>
        <v>100</v>
      </c>
      <c r="D11" s="17"/>
      <c r="E11" s="488">
        <f>SUM(E13+E171)</f>
        <v>1335</v>
      </c>
      <c r="F11" s="451">
        <f>IF($A11&lt;&gt;"",E11/$B11*100,"")</f>
        <v>95.630372492836685</v>
      </c>
      <c r="G11" s="17"/>
      <c r="H11" s="437">
        <f>SUM(H13+H171)</f>
        <v>49</v>
      </c>
      <c r="I11" s="451">
        <f>IF($A11&lt;&gt;"",H11/$B11*100,"")</f>
        <v>3.5100286532951288</v>
      </c>
      <c r="J11" s="17"/>
      <c r="K11" s="437">
        <f>SUM(K13+K171)</f>
        <v>12</v>
      </c>
      <c r="L11" s="451">
        <f>IF($A11&lt;&gt;"",K11/$B11*100,"")</f>
        <v>0.8595988538681949</v>
      </c>
    </row>
    <row r="12" spans="1:13" ht="13.5" customHeight="1">
      <c r="A12" s="14"/>
      <c r="B12" s="453" t="str">
        <f t="shared" ref="B12:B75" si="0">IF(A12&lt;&gt;"",E12+H12+K12,"")</f>
        <v/>
      </c>
      <c r="C12" s="204"/>
      <c r="H12" s="242"/>
      <c r="K12" s="242"/>
      <c r="L12" s="204" t="str">
        <f t="shared" ref="L12:L75" si="1">IF($A12&lt;&gt;"",K12/$B12*100,"")</f>
        <v/>
      </c>
    </row>
    <row r="13" spans="1:13" ht="13" customHeight="1">
      <c r="A13" s="17" t="s">
        <v>403</v>
      </c>
      <c r="B13" s="488">
        <f t="shared" si="0"/>
        <v>1307</v>
      </c>
      <c r="C13" s="451">
        <f t="shared" ref="C13:C77" si="2">IF(A13&lt;&gt;0,B13/$B$11*100,"")</f>
        <v>93.624641833810884</v>
      </c>
      <c r="D13" s="17"/>
      <c r="E13" s="437">
        <f>SUM(E15+E101+E165)</f>
        <v>1250</v>
      </c>
      <c r="F13" s="451">
        <f t="shared" ref="F13:F76" si="3">IF($A13&lt;&gt;"",E13/$B13*100,"")</f>
        <v>95.638867635807188</v>
      </c>
      <c r="G13" s="17"/>
      <c r="H13" s="437">
        <f>SUM(H15+H101+H165)</f>
        <v>48</v>
      </c>
      <c r="I13" s="451">
        <f t="shared" ref="I13:I76" si="4">IF($A13&lt;&gt;"",H13/$B13*100,"")</f>
        <v>3.6725325172149965</v>
      </c>
      <c r="J13" s="17"/>
      <c r="K13" s="437">
        <f>SUM(K15+K101+K165)</f>
        <v>9</v>
      </c>
      <c r="L13" s="451">
        <f t="shared" si="1"/>
        <v>0.68859984697781174</v>
      </c>
    </row>
    <row r="14" spans="1:13" ht="7.5" customHeight="1">
      <c r="A14" s="14"/>
      <c r="B14" s="453" t="str">
        <f t="shared" si="0"/>
        <v/>
      </c>
      <c r="C14" s="204" t="str">
        <f t="shared" si="2"/>
        <v/>
      </c>
      <c r="F14" s="204" t="str">
        <f t="shared" si="3"/>
        <v/>
      </c>
      <c r="I14" s="204" t="str">
        <f t="shared" si="4"/>
        <v/>
      </c>
      <c r="L14" s="204" t="str">
        <f t="shared" si="1"/>
        <v/>
      </c>
    </row>
    <row r="15" spans="1:13" ht="13" customHeight="1">
      <c r="A15" s="17" t="s">
        <v>1173</v>
      </c>
      <c r="B15" s="488">
        <f t="shared" si="0"/>
        <v>341</v>
      </c>
      <c r="C15" s="451">
        <f t="shared" si="2"/>
        <v>24.426934097421203</v>
      </c>
      <c r="D15" s="17"/>
      <c r="E15" s="336">
        <f>SUM(E17+E28+E36+E64+E77+E90+E97+E98+E99)</f>
        <v>329</v>
      </c>
      <c r="F15" s="451">
        <f t="shared" si="3"/>
        <v>96.480938416422291</v>
      </c>
      <c r="G15" s="17"/>
      <c r="H15" s="336">
        <f>SUM(H17+H28+H36+H64+H77+H90+H97+H98+H99)</f>
        <v>9</v>
      </c>
      <c r="I15" s="451">
        <f t="shared" si="4"/>
        <v>2.6392961876832843</v>
      </c>
      <c r="J15" s="17"/>
      <c r="K15" s="336">
        <f>SUM(K17+K28+K36+K64+K77+K90+K97+K98+K99)</f>
        <v>3</v>
      </c>
      <c r="L15" s="451">
        <f t="shared" si="1"/>
        <v>0.87976539589442826</v>
      </c>
    </row>
    <row r="16" spans="1:13" ht="7.5" customHeight="1">
      <c r="A16" s="14"/>
      <c r="B16" s="453" t="str">
        <f t="shared" si="0"/>
        <v/>
      </c>
      <c r="C16" s="204" t="str">
        <f t="shared" si="2"/>
        <v/>
      </c>
      <c r="F16" s="204" t="str">
        <f t="shared" si="3"/>
        <v/>
      </c>
      <c r="I16" s="204" t="str">
        <f t="shared" si="4"/>
        <v/>
      </c>
      <c r="L16" s="204" t="str">
        <f t="shared" si="1"/>
        <v/>
      </c>
    </row>
    <row r="17" spans="1:12" ht="13" customHeight="1">
      <c r="A17" s="17" t="s">
        <v>404</v>
      </c>
      <c r="B17" s="488">
        <f t="shared" si="0"/>
        <v>19</v>
      </c>
      <c r="C17" s="451">
        <f t="shared" si="2"/>
        <v>1.361031518624642</v>
      </c>
      <c r="D17" s="17"/>
      <c r="E17" s="437">
        <f>SUM(E18+E24)</f>
        <v>19</v>
      </c>
      <c r="F17" s="451">
        <f t="shared" si="3"/>
        <v>100</v>
      </c>
      <c r="G17" s="17"/>
      <c r="H17" s="336">
        <f>SUM(H18+H24)</f>
        <v>0</v>
      </c>
      <c r="I17" s="451">
        <f t="shared" si="4"/>
        <v>0</v>
      </c>
      <c r="J17" s="17"/>
      <c r="K17" s="17">
        <f>SUM(K18+K24)</f>
        <v>0</v>
      </c>
      <c r="L17" s="451">
        <f t="shared" si="1"/>
        <v>0</v>
      </c>
    </row>
    <row r="18" spans="1:12" ht="13" customHeight="1">
      <c r="A18" s="14" t="s">
        <v>162</v>
      </c>
      <c r="B18" s="453">
        <f t="shared" si="0"/>
        <v>1</v>
      </c>
      <c r="C18" s="204">
        <f t="shared" si="2"/>
        <v>7.1633237822349566E-2</v>
      </c>
      <c r="E18" s="242">
        <f>SUM(E19:E22)</f>
        <v>1</v>
      </c>
      <c r="F18" s="204">
        <f t="shared" si="3"/>
        <v>100</v>
      </c>
      <c r="H18" s="242">
        <f>SUM(H19:H22)</f>
        <v>0</v>
      </c>
      <c r="I18" s="204">
        <f t="shared" si="4"/>
        <v>0</v>
      </c>
      <c r="K18" s="242">
        <f>SUM(K19:K22)</f>
        <v>0</v>
      </c>
      <c r="L18" s="204">
        <f t="shared" si="1"/>
        <v>0</v>
      </c>
    </row>
    <row r="19" spans="1:12" ht="13" hidden="1" customHeight="1">
      <c r="A19" s="14" t="s">
        <v>1272</v>
      </c>
      <c r="B19" s="453">
        <f t="shared" si="0"/>
        <v>0</v>
      </c>
      <c r="C19" s="204">
        <f t="shared" si="2"/>
        <v>0</v>
      </c>
      <c r="F19" s="204" t="e">
        <f t="shared" si="3"/>
        <v>#DIV/0!</v>
      </c>
      <c r="I19" s="204" t="e">
        <f t="shared" si="4"/>
        <v>#DIV/0!</v>
      </c>
      <c r="L19" s="204" t="e">
        <f t="shared" si="1"/>
        <v>#DIV/0!</v>
      </c>
    </row>
    <row r="20" spans="1:12" ht="13" customHeight="1">
      <c r="A20" s="14" t="s">
        <v>164</v>
      </c>
      <c r="B20" s="453">
        <f t="shared" si="0"/>
        <v>1</v>
      </c>
      <c r="C20" s="204">
        <f t="shared" si="2"/>
        <v>7.1633237822349566E-2</v>
      </c>
      <c r="E20" s="484">
        <v>1</v>
      </c>
      <c r="F20" s="204">
        <f t="shared" si="3"/>
        <v>100</v>
      </c>
      <c r="G20" s="484"/>
      <c r="H20" s="484">
        <v>0</v>
      </c>
      <c r="I20" s="204">
        <f t="shared" si="4"/>
        <v>0</v>
      </c>
      <c r="J20" s="484"/>
      <c r="K20" s="484">
        <v>0</v>
      </c>
      <c r="L20" s="204">
        <f t="shared" si="1"/>
        <v>0</v>
      </c>
    </row>
    <row r="21" spans="1:12" ht="13" hidden="1" customHeight="1">
      <c r="A21" s="14" t="s">
        <v>163</v>
      </c>
      <c r="B21" s="453">
        <f t="shared" si="0"/>
        <v>0</v>
      </c>
      <c r="C21" s="204">
        <f t="shared" si="2"/>
        <v>0</v>
      </c>
      <c r="E21" s="75"/>
      <c r="F21" s="204" t="e">
        <f t="shared" si="3"/>
        <v>#DIV/0!</v>
      </c>
      <c r="G21" s="75"/>
      <c r="H21" s="75"/>
      <c r="I21" s="204" t="e">
        <f t="shared" si="4"/>
        <v>#DIV/0!</v>
      </c>
      <c r="J21" s="75"/>
      <c r="K21" s="75"/>
      <c r="L21" s="204" t="e">
        <f t="shared" si="1"/>
        <v>#DIV/0!</v>
      </c>
    </row>
    <row r="22" spans="1:12" ht="13" hidden="1" customHeight="1">
      <c r="A22" s="14" t="s">
        <v>165</v>
      </c>
      <c r="B22" s="453">
        <f t="shared" si="0"/>
        <v>0</v>
      </c>
      <c r="C22" s="204">
        <f t="shared" si="2"/>
        <v>0</v>
      </c>
      <c r="E22" s="121"/>
      <c r="F22" s="204" t="e">
        <f t="shared" si="3"/>
        <v>#DIV/0!</v>
      </c>
      <c r="G22" s="121"/>
      <c r="H22" s="121">
        <v>0</v>
      </c>
      <c r="I22" s="204" t="e">
        <f t="shared" si="4"/>
        <v>#DIV/0!</v>
      </c>
      <c r="J22" s="121"/>
      <c r="K22" s="121">
        <v>0</v>
      </c>
      <c r="L22" s="204" t="e">
        <f t="shared" si="1"/>
        <v>#DIV/0!</v>
      </c>
    </row>
    <row r="23" spans="1:12" ht="6.75" customHeight="1">
      <c r="A23" s="14"/>
      <c r="B23" s="453" t="str">
        <f t="shared" si="0"/>
        <v/>
      </c>
      <c r="C23" s="204" t="str">
        <f t="shared" si="2"/>
        <v/>
      </c>
      <c r="F23" s="204" t="str">
        <f t="shared" si="3"/>
        <v/>
      </c>
      <c r="I23" s="204" t="str">
        <f t="shared" si="4"/>
        <v/>
      </c>
      <c r="L23" s="204" t="str">
        <f t="shared" si="1"/>
        <v/>
      </c>
    </row>
    <row r="24" spans="1:12" ht="13" customHeight="1">
      <c r="A24" s="14" t="s">
        <v>166</v>
      </c>
      <c r="B24" s="453">
        <f t="shared" si="0"/>
        <v>18</v>
      </c>
      <c r="C24" s="204">
        <f t="shared" si="2"/>
        <v>1.2893982808022924</v>
      </c>
      <c r="E24" s="484">
        <f>SUM(E25:E26)</f>
        <v>18</v>
      </c>
      <c r="F24" s="204">
        <f t="shared" si="3"/>
        <v>100</v>
      </c>
      <c r="G24" s="484"/>
      <c r="H24" s="484">
        <f>SUM(H25:H26)</f>
        <v>0</v>
      </c>
      <c r="I24" s="204">
        <f t="shared" si="4"/>
        <v>0</v>
      </c>
      <c r="J24" s="484"/>
      <c r="K24" s="484">
        <f>SUM(K25:K26)</f>
        <v>0</v>
      </c>
      <c r="L24" s="204">
        <f t="shared" si="1"/>
        <v>0</v>
      </c>
    </row>
    <row r="25" spans="1:12" ht="13" customHeight="1">
      <c r="A25" s="14" t="s">
        <v>167</v>
      </c>
      <c r="B25" s="453">
        <f t="shared" si="0"/>
        <v>9</v>
      </c>
      <c r="C25" s="204">
        <f t="shared" si="2"/>
        <v>0.64469914040114618</v>
      </c>
      <c r="E25" s="484">
        <v>9</v>
      </c>
      <c r="F25" s="204">
        <f t="shared" si="3"/>
        <v>100</v>
      </c>
      <c r="G25" s="484"/>
      <c r="H25" s="484">
        <v>0</v>
      </c>
      <c r="I25" s="204">
        <f t="shared" si="4"/>
        <v>0</v>
      </c>
      <c r="J25" s="484"/>
      <c r="K25" s="484">
        <v>0</v>
      </c>
      <c r="L25" s="204">
        <f t="shared" si="1"/>
        <v>0</v>
      </c>
    </row>
    <row r="26" spans="1:12" ht="13" customHeight="1">
      <c r="A26" s="14" t="s">
        <v>169</v>
      </c>
      <c r="B26" s="453">
        <f t="shared" si="0"/>
        <v>9</v>
      </c>
      <c r="C26" s="204">
        <f t="shared" si="2"/>
        <v>0.64469914040114618</v>
      </c>
      <c r="E26" s="484">
        <v>9</v>
      </c>
      <c r="F26" s="204">
        <f t="shared" si="3"/>
        <v>100</v>
      </c>
      <c r="G26" s="484"/>
      <c r="H26" s="484">
        <v>0</v>
      </c>
      <c r="I26" s="204">
        <f t="shared" si="4"/>
        <v>0</v>
      </c>
      <c r="J26" s="484"/>
      <c r="K26" s="484">
        <v>0</v>
      </c>
      <c r="L26" s="204">
        <f t="shared" si="1"/>
        <v>0</v>
      </c>
    </row>
    <row r="27" spans="1:12" ht="7.5" customHeight="1">
      <c r="A27" s="14"/>
      <c r="B27" s="453" t="str">
        <f t="shared" si="0"/>
        <v/>
      </c>
      <c r="C27" s="204" t="str">
        <f t="shared" si="2"/>
        <v/>
      </c>
      <c r="F27" s="204" t="str">
        <f t="shared" si="3"/>
        <v/>
      </c>
      <c r="I27" s="204" t="str">
        <f t="shared" si="4"/>
        <v/>
      </c>
      <c r="L27" s="204" t="str">
        <f t="shared" si="1"/>
        <v/>
      </c>
    </row>
    <row r="28" spans="1:12" ht="13" customHeight="1">
      <c r="A28" s="17" t="s">
        <v>464</v>
      </c>
      <c r="B28" s="488">
        <f t="shared" si="0"/>
        <v>76</v>
      </c>
      <c r="C28" s="451">
        <f t="shared" si="2"/>
        <v>5.444126074498568</v>
      </c>
      <c r="D28" s="17"/>
      <c r="E28" s="17">
        <f>SUM(E29)</f>
        <v>75</v>
      </c>
      <c r="F28" s="451">
        <f t="shared" si="3"/>
        <v>98.68421052631578</v>
      </c>
      <c r="G28" s="17"/>
      <c r="H28" s="858">
        <f>SUM(H29)</f>
        <v>1</v>
      </c>
      <c r="I28" s="451">
        <f t="shared" si="4"/>
        <v>1.3157894736842104</v>
      </c>
      <c r="J28" s="17"/>
      <c r="K28" s="17">
        <f>SUM(K29)</f>
        <v>0</v>
      </c>
      <c r="L28" s="451">
        <f t="shared" si="1"/>
        <v>0</v>
      </c>
    </row>
    <row r="29" spans="1:12" ht="13" customHeight="1">
      <c r="A29" s="14" t="s">
        <v>171</v>
      </c>
      <c r="B29" s="453">
        <f t="shared" si="0"/>
        <v>76</v>
      </c>
      <c r="C29" s="204">
        <f t="shared" si="2"/>
        <v>5.444126074498568</v>
      </c>
      <c r="E29" s="14">
        <f>SUM(E30:E34)</f>
        <v>75</v>
      </c>
      <c r="F29" s="204">
        <f t="shared" si="3"/>
        <v>98.68421052631578</v>
      </c>
      <c r="H29" s="455">
        <f>SUM(H30:H34)</f>
        <v>1</v>
      </c>
      <c r="I29" s="204">
        <f t="shared" si="4"/>
        <v>1.3157894736842104</v>
      </c>
      <c r="K29" s="14">
        <f>SUM(K30:K34)</f>
        <v>0</v>
      </c>
      <c r="L29" s="204">
        <f t="shared" si="1"/>
        <v>0</v>
      </c>
    </row>
    <row r="30" spans="1:12">
      <c r="A30" s="14" t="s">
        <v>172</v>
      </c>
      <c r="B30" s="453">
        <f t="shared" si="0"/>
        <v>50</v>
      </c>
      <c r="C30" s="204">
        <f t="shared" si="2"/>
        <v>3.5816618911174785</v>
      </c>
      <c r="E30" s="859">
        <v>50</v>
      </c>
      <c r="F30" s="204">
        <f t="shared" si="3"/>
        <v>100</v>
      </c>
      <c r="G30" s="484"/>
      <c r="H30" s="484"/>
      <c r="I30" s="204">
        <f t="shared" si="4"/>
        <v>0</v>
      </c>
      <c r="J30" s="484"/>
      <c r="K30" s="484">
        <v>0</v>
      </c>
      <c r="L30" s="204">
        <f t="shared" si="1"/>
        <v>0</v>
      </c>
    </row>
    <row r="31" spans="1:12">
      <c r="A31" s="14" t="s">
        <v>173</v>
      </c>
      <c r="B31" s="453">
        <f t="shared" si="0"/>
        <v>4</v>
      </c>
      <c r="C31" s="204">
        <f t="shared" si="2"/>
        <v>0.28653295128939826</v>
      </c>
      <c r="E31" s="859">
        <v>4</v>
      </c>
      <c r="F31" s="204">
        <f t="shared" si="3"/>
        <v>100</v>
      </c>
      <c r="G31" s="484"/>
      <c r="H31" s="484"/>
      <c r="I31" s="204">
        <f t="shared" si="4"/>
        <v>0</v>
      </c>
      <c r="J31" s="484"/>
      <c r="K31" s="484">
        <v>0</v>
      </c>
      <c r="L31" s="204">
        <f t="shared" si="1"/>
        <v>0</v>
      </c>
    </row>
    <row r="32" spans="1:12">
      <c r="A32" s="14" t="s">
        <v>174</v>
      </c>
      <c r="B32" s="453">
        <f t="shared" si="0"/>
        <v>8</v>
      </c>
      <c r="C32" s="204">
        <f t="shared" si="2"/>
        <v>0.57306590257879653</v>
      </c>
      <c r="E32" s="859">
        <v>8</v>
      </c>
      <c r="F32" s="204">
        <f t="shared" si="3"/>
        <v>100</v>
      </c>
      <c r="G32" s="484"/>
      <c r="H32" s="484"/>
      <c r="I32" s="204">
        <f t="shared" si="4"/>
        <v>0</v>
      </c>
      <c r="J32" s="484"/>
      <c r="K32" s="484">
        <v>0</v>
      </c>
      <c r="L32" s="204">
        <f t="shared" si="1"/>
        <v>0</v>
      </c>
    </row>
    <row r="33" spans="1:12">
      <c r="A33" s="14" t="s">
        <v>175</v>
      </c>
      <c r="B33" s="453">
        <f t="shared" si="0"/>
        <v>1</v>
      </c>
      <c r="C33" s="204">
        <f t="shared" si="2"/>
        <v>7.1633237822349566E-2</v>
      </c>
      <c r="E33" s="859">
        <v>1</v>
      </c>
      <c r="F33" s="204">
        <f t="shared" si="3"/>
        <v>100</v>
      </c>
      <c r="G33" s="484"/>
      <c r="H33" s="484"/>
      <c r="I33" s="204">
        <f t="shared" si="4"/>
        <v>0</v>
      </c>
      <c r="J33" s="484"/>
      <c r="K33" s="484">
        <v>0</v>
      </c>
      <c r="L33" s="204">
        <f t="shared" si="1"/>
        <v>0</v>
      </c>
    </row>
    <row r="34" spans="1:12">
      <c r="A34" s="14" t="s">
        <v>176</v>
      </c>
      <c r="B34" s="453">
        <f t="shared" si="0"/>
        <v>13</v>
      </c>
      <c r="C34" s="204">
        <f t="shared" si="2"/>
        <v>0.93123209169054444</v>
      </c>
      <c r="E34" s="859">
        <v>12</v>
      </c>
      <c r="F34" s="204">
        <f t="shared" si="3"/>
        <v>92.307692307692307</v>
      </c>
      <c r="G34" s="484"/>
      <c r="H34" s="484">
        <v>1</v>
      </c>
      <c r="I34" s="204">
        <f t="shared" si="4"/>
        <v>7.6923076923076925</v>
      </c>
      <c r="J34" s="484"/>
      <c r="K34" s="484">
        <v>0</v>
      </c>
      <c r="L34" s="204">
        <f t="shared" si="1"/>
        <v>0</v>
      </c>
    </row>
    <row r="35" spans="1:12" ht="6" customHeight="1">
      <c r="A35" s="14"/>
      <c r="B35" s="453" t="str">
        <f t="shared" si="0"/>
        <v/>
      </c>
      <c r="C35" s="204" t="str">
        <f t="shared" si="2"/>
        <v/>
      </c>
      <c r="E35" s="14"/>
      <c r="F35" s="204" t="str">
        <f t="shared" si="3"/>
        <v/>
      </c>
      <c r="H35" s="455"/>
      <c r="I35" s="204" t="str">
        <f t="shared" si="4"/>
        <v/>
      </c>
      <c r="L35" s="204" t="str">
        <f t="shared" si="1"/>
        <v/>
      </c>
    </row>
    <row r="36" spans="1:12" ht="13" customHeight="1">
      <c r="A36" s="17" t="s">
        <v>406</v>
      </c>
      <c r="B36" s="488">
        <f t="shared" si="0"/>
        <v>65</v>
      </c>
      <c r="C36" s="451">
        <f t="shared" si="2"/>
        <v>4.6561604584527219</v>
      </c>
      <c r="D36" s="17"/>
      <c r="E36" s="17">
        <f>SUM(E37+E43+E54+E56)</f>
        <v>64</v>
      </c>
      <c r="F36" s="451">
        <f t="shared" si="3"/>
        <v>98.461538461538467</v>
      </c>
      <c r="G36" s="17"/>
      <c r="H36" s="17">
        <f>SUM(H37+H43+H54+H56)</f>
        <v>1</v>
      </c>
      <c r="I36" s="451">
        <f t="shared" si="4"/>
        <v>1.5384615384615385</v>
      </c>
      <c r="J36" s="17"/>
      <c r="K36" s="17">
        <f>SUM(K37+K43+K54+K56)</f>
        <v>0</v>
      </c>
      <c r="L36" s="451">
        <f t="shared" si="1"/>
        <v>0</v>
      </c>
    </row>
    <row r="37" spans="1:12" ht="13" customHeight="1">
      <c r="A37" s="14" t="s">
        <v>178</v>
      </c>
      <c r="B37" s="453">
        <f t="shared" si="0"/>
        <v>21</v>
      </c>
      <c r="C37" s="204">
        <f t="shared" si="2"/>
        <v>1.5042979942693409</v>
      </c>
      <c r="E37" s="14">
        <f>SUM(E38:E41)</f>
        <v>21</v>
      </c>
      <c r="F37" s="204">
        <f t="shared" si="3"/>
        <v>100</v>
      </c>
      <c r="H37" s="14">
        <f>SUM(H38:H41)</f>
        <v>0</v>
      </c>
      <c r="I37" s="204">
        <f t="shared" si="4"/>
        <v>0</v>
      </c>
      <c r="K37" s="14">
        <f>SUM(K38:K41)</f>
        <v>0</v>
      </c>
      <c r="L37" s="204">
        <f t="shared" si="1"/>
        <v>0</v>
      </c>
    </row>
    <row r="38" spans="1:12" ht="13" customHeight="1">
      <c r="A38" s="14" t="s">
        <v>179</v>
      </c>
      <c r="B38" s="453">
        <f t="shared" si="0"/>
        <v>7</v>
      </c>
      <c r="C38" s="204">
        <f t="shared" si="2"/>
        <v>0.50143266475644699</v>
      </c>
      <c r="E38" s="859">
        <v>7</v>
      </c>
      <c r="F38" s="204">
        <f t="shared" si="3"/>
        <v>100</v>
      </c>
      <c r="G38" s="484"/>
      <c r="H38" s="484">
        <v>0</v>
      </c>
      <c r="I38" s="204">
        <f t="shared" si="4"/>
        <v>0</v>
      </c>
      <c r="J38" s="484"/>
      <c r="K38" s="484">
        <v>0</v>
      </c>
      <c r="L38" s="204">
        <f t="shared" si="1"/>
        <v>0</v>
      </c>
    </row>
    <row r="39" spans="1:12" ht="13" customHeight="1">
      <c r="A39" s="14" t="s">
        <v>180</v>
      </c>
      <c r="B39" s="453">
        <f t="shared" si="0"/>
        <v>5</v>
      </c>
      <c r="C39" s="204">
        <f t="shared" si="2"/>
        <v>0.35816618911174786</v>
      </c>
      <c r="E39" s="859">
        <v>5</v>
      </c>
      <c r="F39" s="204">
        <f t="shared" si="3"/>
        <v>100</v>
      </c>
      <c r="G39" s="484"/>
      <c r="H39" s="484">
        <v>0</v>
      </c>
      <c r="I39" s="204">
        <f t="shared" si="4"/>
        <v>0</v>
      </c>
      <c r="J39" s="484"/>
      <c r="K39" s="484">
        <v>0</v>
      </c>
      <c r="L39" s="204">
        <f t="shared" si="1"/>
        <v>0</v>
      </c>
    </row>
    <row r="40" spans="1:12" ht="13" customHeight="1">
      <c r="A40" s="14" t="s">
        <v>181</v>
      </c>
      <c r="B40" s="453">
        <f t="shared" si="0"/>
        <v>8</v>
      </c>
      <c r="C40" s="204">
        <f t="shared" si="2"/>
        <v>0.57306590257879653</v>
      </c>
      <c r="E40" s="859">
        <v>8</v>
      </c>
      <c r="F40" s="204">
        <f t="shared" si="3"/>
        <v>100</v>
      </c>
      <c r="G40" s="484"/>
      <c r="H40" s="484">
        <v>0</v>
      </c>
      <c r="I40" s="204">
        <f t="shared" si="4"/>
        <v>0</v>
      </c>
      <c r="J40" s="484"/>
      <c r="K40" s="484">
        <v>0</v>
      </c>
      <c r="L40" s="204">
        <f t="shared" si="1"/>
        <v>0</v>
      </c>
    </row>
    <row r="41" spans="1:12" ht="13" customHeight="1">
      <c r="A41" s="14" t="s">
        <v>182</v>
      </c>
      <c r="B41" s="453">
        <f t="shared" si="0"/>
        <v>1</v>
      </c>
      <c r="C41" s="204">
        <f t="shared" si="2"/>
        <v>7.1633237822349566E-2</v>
      </c>
      <c r="E41" s="859">
        <v>1</v>
      </c>
      <c r="F41" s="204">
        <f t="shared" si="3"/>
        <v>100</v>
      </c>
      <c r="G41" s="484"/>
      <c r="H41" s="484">
        <v>0</v>
      </c>
      <c r="I41" s="204">
        <f t="shared" si="4"/>
        <v>0</v>
      </c>
      <c r="J41" s="484"/>
      <c r="K41" s="484">
        <v>0</v>
      </c>
      <c r="L41" s="204">
        <f t="shared" si="1"/>
        <v>0</v>
      </c>
    </row>
    <row r="42" spans="1:12" ht="6.75" customHeight="1">
      <c r="A42" s="14"/>
      <c r="B42" s="453" t="str">
        <f t="shared" si="0"/>
        <v/>
      </c>
      <c r="C42" s="204" t="str">
        <f t="shared" si="2"/>
        <v/>
      </c>
      <c r="E42" s="14"/>
      <c r="F42" s="204" t="str">
        <f t="shared" si="3"/>
        <v/>
      </c>
      <c r="H42" s="455"/>
      <c r="I42" s="204" t="str">
        <f t="shared" si="4"/>
        <v/>
      </c>
      <c r="L42" s="204" t="str">
        <f t="shared" si="1"/>
        <v/>
      </c>
    </row>
    <row r="43" spans="1:12" ht="13" customHeight="1">
      <c r="A43" s="14" t="s">
        <v>183</v>
      </c>
      <c r="B43" s="453">
        <f t="shared" si="0"/>
        <v>33</v>
      </c>
      <c r="C43" s="204">
        <f t="shared" si="2"/>
        <v>2.3638968481375358</v>
      </c>
      <c r="E43" s="14">
        <f>SUM(E44:E52)</f>
        <v>32</v>
      </c>
      <c r="F43" s="204">
        <f t="shared" si="3"/>
        <v>96.969696969696969</v>
      </c>
      <c r="H43" s="455">
        <f>SUM(H44:H52)</f>
        <v>1</v>
      </c>
      <c r="I43" s="204">
        <f t="shared" si="4"/>
        <v>3.0303030303030303</v>
      </c>
      <c r="K43" s="14">
        <f>SUM(K44:K52)</f>
        <v>0</v>
      </c>
      <c r="L43" s="204">
        <f t="shared" si="1"/>
        <v>0</v>
      </c>
    </row>
    <row r="44" spans="1:12" ht="13" hidden="1" customHeight="1">
      <c r="A44" s="14" t="s">
        <v>1176</v>
      </c>
      <c r="B44" s="453">
        <f t="shared" si="0"/>
        <v>0</v>
      </c>
      <c r="C44" s="204">
        <f t="shared" si="2"/>
        <v>0</v>
      </c>
      <c r="E44" s="14"/>
      <c r="F44" s="204" t="e">
        <f t="shared" si="3"/>
        <v>#DIV/0!</v>
      </c>
      <c r="H44" s="455"/>
      <c r="I44" s="204" t="e">
        <f t="shared" si="4"/>
        <v>#DIV/0!</v>
      </c>
      <c r="L44" s="204" t="e">
        <f t="shared" si="1"/>
        <v>#DIV/0!</v>
      </c>
    </row>
    <row r="45" spans="1:12" ht="13" customHeight="1">
      <c r="A45" s="14" t="s">
        <v>407</v>
      </c>
      <c r="B45" s="453">
        <f t="shared" si="0"/>
        <v>1</v>
      </c>
      <c r="C45" s="204">
        <f t="shared" si="2"/>
        <v>7.1633237822349566E-2</v>
      </c>
      <c r="E45" s="859">
        <v>1</v>
      </c>
      <c r="F45" s="204">
        <f t="shared" si="3"/>
        <v>100</v>
      </c>
      <c r="G45" s="484"/>
      <c r="H45" s="484">
        <v>0</v>
      </c>
      <c r="I45" s="204">
        <f t="shared" si="4"/>
        <v>0</v>
      </c>
      <c r="J45" s="484"/>
      <c r="K45" s="484">
        <v>0</v>
      </c>
      <c r="L45" s="204">
        <f t="shared" si="1"/>
        <v>0</v>
      </c>
    </row>
    <row r="46" spans="1:12" ht="13" customHeight="1">
      <c r="A46" s="14" t="s">
        <v>184</v>
      </c>
      <c r="B46" s="453">
        <f t="shared" si="0"/>
        <v>4</v>
      </c>
      <c r="C46" s="204">
        <f t="shared" si="2"/>
        <v>0.28653295128939826</v>
      </c>
      <c r="E46" s="859">
        <v>4</v>
      </c>
      <c r="F46" s="204">
        <f t="shared" si="3"/>
        <v>100</v>
      </c>
      <c r="G46" s="484"/>
      <c r="H46" s="484">
        <v>0</v>
      </c>
      <c r="I46" s="204">
        <f t="shared" si="4"/>
        <v>0</v>
      </c>
      <c r="J46" s="484"/>
      <c r="K46" s="484">
        <v>0</v>
      </c>
      <c r="L46" s="204">
        <f t="shared" si="1"/>
        <v>0</v>
      </c>
    </row>
    <row r="47" spans="1:12" ht="13" hidden="1" customHeight="1">
      <c r="A47" s="14" t="s">
        <v>185</v>
      </c>
      <c r="B47" s="453">
        <f t="shared" si="0"/>
        <v>0</v>
      </c>
      <c r="C47" s="204">
        <f t="shared" si="2"/>
        <v>0</v>
      </c>
      <c r="E47" s="559"/>
      <c r="F47" s="204" t="e">
        <f t="shared" si="3"/>
        <v>#DIV/0!</v>
      </c>
      <c r="G47" s="56"/>
      <c r="H47" s="56"/>
      <c r="I47" s="204" t="e">
        <f t="shared" si="4"/>
        <v>#DIV/0!</v>
      </c>
      <c r="J47" s="56"/>
      <c r="K47" s="56"/>
      <c r="L47" s="204" t="e">
        <f t="shared" si="1"/>
        <v>#DIV/0!</v>
      </c>
    </row>
    <row r="48" spans="1:12" ht="13" hidden="1" customHeight="1">
      <c r="A48" s="14" t="s">
        <v>186</v>
      </c>
      <c r="B48" s="453">
        <f t="shared" si="0"/>
        <v>0</v>
      </c>
      <c r="C48" s="204">
        <f t="shared" si="2"/>
        <v>0</v>
      </c>
      <c r="E48" s="559"/>
      <c r="F48" s="204" t="e">
        <f t="shared" si="3"/>
        <v>#DIV/0!</v>
      </c>
      <c r="G48" s="56"/>
      <c r="H48" s="56"/>
      <c r="I48" s="204" t="e">
        <f t="shared" si="4"/>
        <v>#DIV/0!</v>
      </c>
      <c r="J48" s="56"/>
      <c r="K48" s="56"/>
      <c r="L48" s="204" t="e">
        <f t="shared" si="1"/>
        <v>#DIV/0!</v>
      </c>
    </row>
    <row r="49" spans="1:12" ht="13" hidden="1" customHeight="1">
      <c r="A49" s="14" t="s">
        <v>531</v>
      </c>
      <c r="B49" s="453">
        <f t="shared" si="0"/>
        <v>0</v>
      </c>
      <c r="C49" s="204">
        <f t="shared" si="2"/>
        <v>0</v>
      </c>
      <c r="E49" s="860"/>
      <c r="F49" s="204" t="e">
        <f t="shared" si="3"/>
        <v>#DIV/0!</v>
      </c>
      <c r="G49" s="56"/>
      <c r="H49" s="56"/>
      <c r="I49" s="204" t="e">
        <f t="shared" si="4"/>
        <v>#DIV/0!</v>
      </c>
      <c r="J49" s="56"/>
      <c r="K49" s="56"/>
      <c r="L49" s="204" t="e">
        <f t="shared" si="1"/>
        <v>#DIV/0!</v>
      </c>
    </row>
    <row r="50" spans="1:12" ht="13" customHeight="1">
      <c r="A50" s="14" t="s">
        <v>190</v>
      </c>
      <c r="B50" s="453">
        <f t="shared" si="0"/>
        <v>18</v>
      </c>
      <c r="C50" s="204">
        <f t="shared" si="2"/>
        <v>1.2893982808022924</v>
      </c>
      <c r="E50" s="859">
        <v>17</v>
      </c>
      <c r="F50" s="204">
        <f t="shared" si="3"/>
        <v>94.444444444444443</v>
      </c>
      <c r="G50" s="484"/>
      <c r="H50" s="484">
        <v>1</v>
      </c>
      <c r="I50" s="204">
        <f t="shared" si="4"/>
        <v>5.5555555555555554</v>
      </c>
      <c r="J50" s="484"/>
      <c r="K50" s="484">
        <v>0</v>
      </c>
      <c r="L50" s="204">
        <f t="shared" si="1"/>
        <v>0</v>
      </c>
    </row>
    <row r="51" spans="1:12" ht="13" customHeight="1">
      <c r="A51" s="14" t="s">
        <v>189</v>
      </c>
      <c r="B51" s="453">
        <f t="shared" si="0"/>
        <v>5</v>
      </c>
      <c r="C51" s="204">
        <f t="shared" si="2"/>
        <v>0.35816618911174786</v>
      </c>
      <c r="E51" s="859">
        <v>5</v>
      </c>
      <c r="F51" s="204">
        <f t="shared" si="3"/>
        <v>100</v>
      </c>
      <c r="G51" s="484"/>
      <c r="H51" s="484"/>
      <c r="I51" s="204">
        <f t="shared" si="4"/>
        <v>0</v>
      </c>
      <c r="J51" s="484"/>
      <c r="K51" s="484"/>
      <c r="L51" s="204">
        <f t="shared" si="1"/>
        <v>0</v>
      </c>
    </row>
    <row r="52" spans="1:12" ht="13" customHeight="1">
      <c r="A52" s="14" t="s">
        <v>188</v>
      </c>
      <c r="B52" s="453">
        <f t="shared" si="0"/>
        <v>5</v>
      </c>
      <c r="C52" s="204">
        <f t="shared" si="2"/>
        <v>0.35816618911174786</v>
      </c>
      <c r="E52" s="859">
        <v>5</v>
      </c>
      <c r="F52" s="204">
        <f t="shared" si="3"/>
        <v>100</v>
      </c>
      <c r="G52" s="484"/>
      <c r="H52" s="484">
        <v>0</v>
      </c>
      <c r="I52" s="204">
        <f t="shared" si="4"/>
        <v>0</v>
      </c>
      <c r="J52" s="484"/>
      <c r="K52" s="484"/>
      <c r="L52" s="204">
        <f t="shared" si="1"/>
        <v>0</v>
      </c>
    </row>
    <row r="53" spans="1:12" ht="6.75" customHeight="1">
      <c r="A53" s="14"/>
      <c r="B53" s="453" t="str">
        <f t="shared" si="0"/>
        <v/>
      </c>
      <c r="C53" s="204" t="str">
        <f t="shared" si="2"/>
        <v/>
      </c>
      <c r="E53" s="14"/>
      <c r="F53" s="204" t="str">
        <f t="shared" si="3"/>
        <v/>
      </c>
      <c r="H53" s="455"/>
      <c r="I53" s="204" t="str">
        <f t="shared" si="4"/>
        <v/>
      </c>
      <c r="L53" s="204" t="str">
        <f t="shared" si="1"/>
        <v/>
      </c>
    </row>
    <row r="54" spans="1:12" ht="13" hidden="1" customHeight="1">
      <c r="A54" s="14" t="s">
        <v>192</v>
      </c>
      <c r="B54" s="453">
        <f t="shared" si="0"/>
        <v>0</v>
      </c>
      <c r="C54" s="204">
        <f t="shared" si="2"/>
        <v>0</v>
      </c>
      <c r="E54" s="14"/>
      <c r="F54" s="204" t="e">
        <f t="shared" si="3"/>
        <v>#DIV/0!</v>
      </c>
      <c r="H54" s="455"/>
      <c r="I54" s="204" t="e">
        <f t="shared" si="4"/>
        <v>#DIV/0!</v>
      </c>
      <c r="L54" s="204" t="e">
        <f t="shared" si="1"/>
        <v>#DIV/0!</v>
      </c>
    </row>
    <row r="55" spans="1:12" ht="6.75" customHeight="1">
      <c r="A55" s="14"/>
      <c r="B55" s="453" t="str">
        <f t="shared" si="0"/>
        <v/>
      </c>
      <c r="C55" s="204" t="str">
        <f t="shared" si="2"/>
        <v/>
      </c>
      <c r="E55" s="14"/>
      <c r="F55" s="204" t="str">
        <f t="shared" si="3"/>
        <v/>
      </c>
      <c r="H55" s="455"/>
      <c r="I55" s="204" t="str">
        <f t="shared" si="4"/>
        <v/>
      </c>
      <c r="L55" s="204" t="str">
        <f t="shared" si="1"/>
        <v/>
      </c>
    </row>
    <row r="56" spans="1:12" ht="13" customHeight="1">
      <c r="A56" s="14" t="s">
        <v>193</v>
      </c>
      <c r="B56" s="453">
        <f t="shared" si="0"/>
        <v>11</v>
      </c>
      <c r="C56" s="204">
        <f t="shared" si="2"/>
        <v>0.78796561604584525</v>
      </c>
      <c r="E56" s="14">
        <f>SUM(E57:E62)</f>
        <v>11</v>
      </c>
      <c r="F56" s="204">
        <f t="shared" si="3"/>
        <v>100</v>
      </c>
      <c r="H56" s="455">
        <f>SUM(H57:H62)</f>
        <v>0</v>
      </c>
      <c r="I56" s="204">
        <f t="shared" si="4"/>
        <v>0</v>
      </c>
      <c r="K56" s="14">
        <f>SUM(K57:K62)</f>
        <v>0</v>
      </c>
      <c r="L56" s="204">
        <f t="shared" si="1"/>
        <v>0</v>
      </c>
    </row>
    <row r="57" spans="1:12" ht="13" hidden="1" customHeight="1">
      <c r="A57" s="14" t="s">
        <v>1177</v>
      </c>
      <c r="B57" s="453">
        <f t="shared" si="0"/>
        <v>0</v>
      </c>
      <c r="C57" s="204">
        <f t="shared" si="2"/>
        <v>0</v>
      </c>
      <c r="E57" s="14"/>
      <c r="F57" s="204" t="e">
        <f t="shared" si="3"/>
        <v>#DIV/0!</v>
      </c>
      <c r="H57" s="455"/>
      <c r="I57" s="204" t="e">
        <f t="shared" si="4"/>
        <v>#DIV/0!</v>
      </c>
      <c r="L57" s="204" t="e">
        <f t="shared" si="1"/>
        <v>#DIV/0!</v>
      </c>
    </row>
    <row r="58" spans="1:12" ht="13" customHeight="1">
      <c r="A58" s="14" t="s">
        <v>194</v>
      </c>
      <c r="B58" s="453">
        <f t="shared" si="0"/>
        <v>1</v>
      </c>
      <c r="C58" s="204">
        <f t="shared" si="2"/>
        <v>7.1633237822349566E-2</v>
      </c>
      <c r="E58" s="859">
        <v>1</v>
      </c>
      <c r="F58" s="204">
        <f t="shared" si="3"/>
        <v>100</v>
      </c>
      <c r="G58" s="484"/>
      <c r="H58" s="484">
        <v>0</v>
      </c>
      <c r="I58" s="204">
        <f t="shared" si="4"/>
        <v>0</v>
      </c>
      <c r="J58" s="484"/>
      <c r="K58" s="484">
        <v>0</v>
      </c>
      <c r="L58" s="204">
        <f t="shared" si="1"/>
        <v>0</v>
      </c>
    </row>
    <row r="59" spans="1:12" ht="13" customHeight="1">
      <c r="A59" s="14" t="s">
        <v>195</v>
      </c>
      <c r="B59" s="453">
        <f t="shared" si="0"/>
        <v>2</v>
      </c>
      <c r="C59" s="204">
        <f t="shared" si="2"/>
        <v>0.14326647564469913</v>
      </c>
      <c r="E59" s="859">
        <v>2</v>
      </c>
      <c r="F59" s="204">
        <f t="shared" si="3"/>
        <v>100</v>
      </c>
      <c r="G59" s="484"/>
      <c r="H59" s="484">
        <v>0</v>
      </c>
      <c r="I59" s="204">
        <f t="shared" si="4"/>
        <v>0</v>
      </c>
      <c r="J59" s="484"/>
      <c r="K59" s="484">
        <v>0</v>
      </c>
      <c r="L59" s="204">
        <f t="shared" si="1"/>
        <v>0</v>
      </c>
    </row>
    <row r="60" spans="1:12" ht="13" hidden="1" customHeight="1">
      <c r="A60" s="14" t="s">
        <v>1178</v>
      </c>
      <c r="B60" s="453">
        <f t="shared" si="0"/>
        <v>0</v>
      </c>
      <c r="C60" s="204">
        <f t="shared" si="2"/>
        <v>0</v>
      </c>
      <c r="E60" s="559"/>
      <c r="F60" s="204" t="e">
        <f t="shared" si="3"/>
        <v>#DIV/0!</v>
      </c>
      <c r="G60" s="56"/>
      <c r="H60" s="56"/>
      <c r="I60" s="204" t="e">
        <f t="shared" si="4"/>
        <v>#DIV/0!</v>
      </c>
      <c r="J60" s="56"/>
      <c r="K60" s="56"/>
      <c r="L60" s="204" t="e">
        <f t="shared" si="1"/>
        <v>#DIV/0!</v>
      </c>
    </row>
    <row r="61" spans="1:12" ht="13" customHeight="1">
      <c r="A61" s="14" t="s">
        <v>1179</v>
      </c>
      <c r="B61" s="453">
        <f>IF(A61&lt;&gt;"",E61+H61+K61,"")</f>
        <v>7</v>
      </c>
      <c r="C61" s="204">
        <f t="shared" si="2"/>
        <v>0.50143266475644699</v>
      </c>
      <c r="E61" s="859">
        <v>7</v>
      </c>
      <c r="F61" s="204">
        <f t="shared" si="3"/>
        <v>100</v>
      </c>
      <c r="G61" s="484"/>
      <c r="H61" s="484">
        <v>0</v>
      </c>
      <c r="I61" s="204">
        <f t="shared" si="4"/>
        <v>0</v>
      </c>
      <c r="J61" s="484"/>
      <c r="K61" s="484">
        <v>0</v>
      </c>
      <c r="L61" s="204">
        <f t="shared" si="1"/>
        <v>0</v>
      </c>
    </row>
    <row r="62" spans="1:12" ht="13" customHeight="1">
      <c r="A62" s="14" t="s">
        <v>198</v>
      </c>
      <c r="B62" s="453">
        <f t="shared" si="0"/>
        <v>1</v>
      </c>
      <c r="C62" s="204">
        <f t="shared" si="2"/>
        <v>7.1633237822349566E-2</v>
      </c>
      <c r="E62" s="859">
        <v>1</v>
      </c>
      <c r="F62" s="204">
        <f t="shared" si="3"/>
        <v>100</v>
      </c>
      <c r="G62" s="484"/>
      <c r="H62" s="484">
        <v>0</v>
      </c>
      <c r="I62" s="204">
        <f t="shared" si="4"/>
        <v>0</v>
      </c>
      <c r="J62" s="484"/>
      <c r="K62" s="484">
        <v>0</v>
      </c>
      <c r="L62" s="204">
        <f t="shared" si="1"/>
        <v>0</v>
      </c>
    </row>
    <row r="63" spans="1:12" ht="7.5" customHeight="1">
      <c r="A63" s="14"/>
      <c r="B63" s="453" t="str">
        <f t="shared" si="0"/>
        <v/>
      </c>
      <c r="C63" s="204" t="str">
        <f t="shared" si="2"/>
        <v/>
      </c>
      <c r="E63" s="14"/>
      <c r="F63" s="204" t="str">
        <f t="shared" si="3"/>
        <v/>
      </c>
      <c r="H63" s="455"/>
      <c r="I63" s="204" t="str">
        <f t="shared" si="4"/>
        <v/>
      </c>
      <c r="L63" s="204" t="str">
        <f t="shared" si="1"/>
        <v/>
      </c>
    </row>
    <row r="64" spans="1:12" ht="13" customHeight="1">
      <c r="A64" s="17" t="s">
        <v>410</v>
      </c>
      <c r="B64" s="488">
        <f t="shared" si="0"/>
        <v>70</v>
      </c>
      <c r="C64" s="451">
        <f t="shared" si="2"/>
        <v>5.0143266475644692</v>
      </c>
      <c r="D64" s="17"/>
      <c r="E64" s="17">
        <f>SUM(E65+E73+E75)</f>
        <v>68</v>
      </c>
      <c r="F64" s="451">
        <f t="shared" si="3"/>
        <v>97.142857142857139</v>
      </c>
      <c r="G64" s="17"/>
      <c r="H64" s="17">
        <f>SUM(H65+H73+H75)</f>
        <v>2</v>
      </c>
      <c r="I64" s="451">
        <f t="shared" si="4"/>
        <v>2.8571428571428572</v>
      </c>
      <c r="J64" s="17"/>
      <c r="K64" s="17">
        <f>SUM(K65+K73+K75)</f>
        <v>0</v>
      </c>
      <c r="L64" s="451">
        <f t="shared" si="1"/>
        <v>0</v>
      </c>
    </row>
    <row r="65" spans="1:12" ht="13" customHeight="1">
      <c r="A65" s="14" t="s">
        <v>202</v>
      </c>
      <c r="B65" s="453">
        <f t="shared" si="0"/>
        <v>41</v>
      </c>
      <c r="C65" s="204">
        <f t="shared" si="2"/>
        <v>2.9369627507163325</v>
      </c>
      <c r="E65" s="14">
        <f>SUM(E66:E71)</f>
        <v>39</v>
      </c>
      <c r="F65" s="204">
        <f t="shared" si="3"/>
        <v>95.121951219512198</v>
      </c>
      <c r="H65" s="14">
        <f>SUM(H66:H71)</f>
        <v>2</v>
      </c>
      <c r="I65" s="204">
        <f t="shared" si="4"/>
        <v>4.8780487804878048</v>
      </c>
      <c r="K65" s="14">
        <f>SUM(K66:K71)</f>
        <v>0</v>
      </c>
      <c r="L65" s="204">
        <f t="shared" si="1"/>
        <v>0</v>
      </c>
    </row>
    <row r="66" spans="1:12" ht="13" hidden="1" customHeight="1">
      <c r="A66" s="14" t="s">
        <v>1180</v>
      </c>
      <c r="B66" s="453">
        <f t="shared" si="0"/>
        <v>0</v>
      </c>
      <c r="C66" s="204">
        <f t="shared" si="2"/>
        <v>0</v>
      </c>
      <c r="E66" s="14"/>
      <c r="F66" s="204" t="e">
        <f t="shared" si="3"/>
        <v>#DIV/0!</v>
      </c>
      <c r="H66" s="455"/>
      <c r="I66" s="204" t="e">
        <f t="shared" si="4"/>
        <v>#DIV/0!</v>
      </c>
      <c r="L66" s="204" t="e">
        <f t="shared" si="1"/>
        <v>#DIV/0!</v>
      </c>
    </row>
    <row r="67" spans="1:12" ht="13" customHeight="1">
      <c r="A67" s="14" t="s">
        <v>203</v>
      </c>
      <c r="B67" s="453">
        <f t="shared" si="0"/>
        <v>13</v>
      </c>
      <c r="C67" s="204">
        <f t="shared" si="2"/>
        <v>0.93123209169054444</v>
      </c>
      <c r="E67" s="859">
        <v>13</v>
      </c>
      <c r="F67" s="204">
        <f t="shared" si="3"/>
        <v>100</v>
      </c>
      <c r="G67" s="859"/>
      <c r="H67" s="859">
        <v>0</v>
      </c>
      <c r="I67" s="204">
        <f t="shared" si="4"/>
        <v>0</v>
      </c>
      <c r="J67" s="484"/>
      <c r="K67" s="484">
        <v>0</v>
      </c>
      <c r="L67" s="204">
        <f t="shared" si="1"/>
        <v>0</v>
      </c>
    </row>
    <row r="68" spans="1:12" ht="13" customHeight="1">
      <c r="A68" s="14" t="s">
        <v>204</v>
      </c>
      <c r="B68" s="453">
        <f t="shared" si="0"/>
        <v>15</v>
      </c>
      <c r="C68" s="204">
        <f t="shared" si="2"/>
        <v>1.0744985673352434</v>
      </c>
      <c r="E68" s="859">
        <v>14</v>
      </c>
      <c r="F68" s="204">
        <f t="shared" si="3"/>
        <v>93.333333333333329</v>
      </c>
      <c r="G68" s="859"/>
      <c r="H68" s="859">
        <v>1</v>
      </c>
      <c r="I68" s="204">
        <f t="shared" si="4"/>
        <v>6.666666666666667</v>
      </c>
      <c r="J68" s="484"/>
      <c r="K68" s="484">
        <v>0</v>
      </c>
      <c r="L68" s="204">
        <f t="shared" si="1"/>
        <v>0</v>
      </c>
    </row>
    <row r="69" spans="1:12" ht="13" customHeight="1">
      <c r="A69" s="14" t="s">
        <v>206</v>
      </c>
      <c r="B69" s="453">
        <f t="shared" si="0"/>
        <v>4</v>
      </c>
      <c r="C69" s="204">
        <f t="shared" si="2"/>
        <v>0.28653295128939826</v>
      </c>
      <c r="E69" s="859">
        <v>4</v>
      </c>
      <c r="F69" s="204">
        <f t="shared" si="3"/>
        <v>100</v>
      </c>
      <c r="G69" s="859"/>
      <c r="H69" s="859">
        <v>0</v>
      </c>
      <c r="I69" s="204">
        <f t="shared" si="4"/>
        <v>0</v>
      </c>
      <c r="J69" s="484"/>
      <c r="K69" s="484">
        <v>0</v>
      </c>
      <c r="L69" s="204">
        <f t="shared" si="1"/>
        <v>0</v>
      </c>
    </row>
    <row r="70" spans="1:12" ht="13" customHeight="1">
      <c r="A70" s="14" t="s">
        <v>1181</v>
      </c>
      <c r="B70" s="453">
        <f t="shared" si="0"/>
        <v>3</v>
      </c>
      <c r="C70" s="204">
        <f t="shared" si="2"/>
        <v>0.21489971346704873</v>
      </c>
      <c r="E70" s="859">
        <v>2</v>
      </c>
      <c r="F70" s="204">
        <f t="shared" si="3"/>
        <v>66.666666666666657</v>
      </c>
      <c r="G70" s="859"/>
      <c r="H70" s="859">
        <v>1</v>
      </c>
      <c r="I70" s="204">
        <f t="shared" si="4"/>
        <v>33.333333333333329</v>
      </c>
      <c r="J70" s="484"/>
      <c r="K70" s="484">
        <v>0</v>
      </c>
      <c r="L70" s="204">
        <f t="shared" si="1"/>
        <v>0</v>
      </c>
    </row>
    <row r="71" spans="1:12" ht="13" customHeight="1">
      <c r="A71" s="14" t="s">
        <v>205</v>
      </c>
      <c r="B71" s="453">
        <f t="shared" si="0"/>
        <v>6</v>
      </c>
      <c r="C71" s="204">
        <f t="shared" si="2"/>
        <v>0.42979942693409745</v>
      </c>
      <c r="E71" s="859">
        <v>6</v>
      </c>
      <c r="F71" s="204">
        <f t="shared" si="3"/>
        <v>100</v>
      </c>
      <c r="G71" s="859"/>
      <c r="H71" s="859">
        <v>0</v>
      </c>
      <c r="I71" s="204">
        <f t="shared" si="4"/>
        <v>0</v>
      </c>
      <c r="J71" s="484"/>
      <c r="K71" s="484">
        <v>0</v>
      </c>
      <c r="L71" s="204">
        <f t="shared" si="1"/>
        <v>0</v>
      </c>
    </row>
    <row r="72" spans="1:12" ht="9" customHeight="1">
      <c r="A72" s="14"/>
      <c r="B72" s="453" t="str">
        <f t="shared" si="0"/>
        <v/>
      </c>
      <c r="C72" s="204" t="str">
        <f t="shared" si="2"/>
        <v/>
      </c>
      <c r="E72" s="559"/>
      <c r="F72" s="204" t="str">
        <f t="shared" si="3"/>
        <v/>
      </c>
      <c r="G72" s="559"/>
      <c r="H72" s="559"/>
      <c r="I72" s="204" t="str">
        <f t="shared" si="4"/>
        <v/>
      </c>
      <c r="J72" s="56"/>
      <c r="K72" s="56"/>
      <c r="L72" s="204" t="str">
        <f t="shared" si="1"/>
        <v/>
      </c>
    </row>
    <row r="73" spans="1:12" ht="13" customHeight="1">
      <c r="A73" s="14" t="s">
        <v>208</v>
      </c>
      <c r="B73" s="453">
        <f t="shared" si="0"/>
        <v>4</v>
      </c>
      <c r="C73" s="204">
        <f t="shared" si="2"/>
        <v>0.28653295128939826</v>
      </c>
      <c r="E73" s="859">
        <v>4</v>
      </c>
      <c r="F73" s="204">
        <f t="shared" si="3"/>
        <v>100</v>
      </c>
      <c r="G73" s="859"/>
      <c r="H73" s="859">
        <v>0</v>
      </c>
      <c r="I73" s="204">
        <f t="shared" si="4"/>
        <v>0</v>
      </c>
      <c r="J73" s="484"/>
      <c r="K73" s="484">
        <v>0</v>
      </c>
      <c r="L73" s="204">
        <f t="shared" si="1"/>
        <v>0</v>
      </c>
    </row>
    <row r="74" spans="1:12" ht="9" customHeight="1">
      <c r="A74" s="14"/>
      <c r="B74" s="453" t="str">
        <f t="shared" si="0"/>
        <v/>
      </c>
      <c r="C74" s="204" t="str">
        <f t="shared" si="2"/>
        <v/>
      </c>
      <c r="E74" s="559"/>
      <c r="F74" s="204" t="str">
        <f t="shared" si="3"/>
        <v/>
      </c>
      <c r="G74" s="559"/>
      <c r="H74" s="559"/>
      <c r="I74" s="204" t="str">
        <f t="shared" si="4"/>
        <v/>
      </c>
      <c r="J74" s="56"/>
      <c r="K74" s="56"/>
      <c r="L74" s="204" t="str">
        <f t="shared" si="1"/>
        <v/>
      </c>
    </row>
    <row r="75" spans="1:12" ht="13" customHeight="1">
      <c r="A75" s="14" t="s">
        <v>209</v>
      </c>
      <c r="B75" s="453">
        <f t="shared" si="0"/>
        <v>25</v>
      </c>
      <c r="C75" s="204">
        <f t="shared" si="2"/>
        <v>1.7908309455587392</v>
      </c>
      <c r="E75" s="859">
        <v>25</v>
      </c>
      <c r="F75" s="204">
        <f t="shared" si="3"/>
        <v>100</v>
      </c>
      <c r="G75" s="859"/>
      <c r="H75" s="859">
        <v>0</v>
      </c>
      <c r="I75" s="204">
        <f t="shared" si="4"/>
        <v>0</v>
      </c>
      <c r="J75" s="484"/>
      <c r="K75" s="484">
        <v>0</v>
      </c>
      <c r="L75" s="204">
        <f t="shared" si="1"/>
        <v>0</v>
      </c>
    </row>
    <row r="76" spans="1:12" ht="10.5" customHeight="1">
      <c r="B76" s="453" t="str">
        <f t="shared" ref="B76:B99" si="5">IF(A76&lt;&gt;"",E76+H76+K76,"")</f>
        <v/>
      </c>
      <c r="C76" s="14"/>
      <c r="E76" s="14"/>
      <c r="F76" s="204" t="str">
        <f t="shared" si="3"/>
        <v/>
      </c>
      <c r="H76" s="485"/>
      <c r="I76" s="204" t="str">
        <f t="shared" si="4"/>
        <v/>
      </c>
      <c r="L76" s="204" t="str">
        <f t="shared" ref="L76:L125" si="6">IF($A76&lt;&gt;"",K76/$B76*100,"")</f>
        <v/>
      </c>
    </row>
    <row r="77" spans="1:12" ht="13" customHeight="1">
      <c r="A77" s="17" t="s">
        <v>483</v>
      </c>
      <c r="B77" s="488">
        <f t="shared" si="5"/>
        <v>86</v>
      </c>
      <c r="C77" s="451">
        <f t="shared" si="2"/>
        <v>6.1604584527220636</v>
      </c>
      <c r="D77" s="17"/>
      <c r="E77" s="17">
        <f>SUM(E78)</f>
        <v>78</v>
      </c>
      <c r="F77" s="451">
        <f t="shared" ref="F77:F99" si="7">IF($A77&lt;&gt;"",E77/$B77*100,"")</f>
        <v>90.697674418604649</v>
      </c>
      <c r="G77" s="17"/>
      <c r="H77" s="858">
        <f>SUM(H78)</f>
        <v>5</v>
      </c>
      <c r="I77" s="451">
        <f t="shared" ref="I77:I99" si="8">IF($A77&lt;&gt;"",H77/$B77*100,"")</f>
        <v>5.8139534883720927</v>
      </c>
      <c r="J77" s="17"/>
      <c r="K77" s="17">
        <f>SUM(K78)</f>
        <v>3</v>
      </c>
      <c r="L77" s="451">
        <f t="shared" si="6"/>
        <v>3.4883720930232558</v>
      </c>
    </row>
    <row r="78" spans="1:12" ht="13" customHeight="1">
      <c r="A78" s="14" t="s">
        <v>217</v>
      </c>
      <c r="B78" s="453">
        <f t="shared" si="5"/>
        <v>86</v>
      </c>
      <c r="C78" s="204">
        <f t="shared" ref="C78:C98" si="9">IF(A78&lt;&gt;0,B78/$B$11*100,"")</f>
        <v>6.1604584527220636</v>
      </c>
      <c r="E78" s="14">
        <f>SUM(E79:E88)</f>
        <v>78</v>
      </c>
      <c r="F78" s="204">
        <f t="shared" si="7"/>
        <v>90.697674418604649</v>
      </c>
      <c r="H78" s="14">
        <f>SUM(H79:H88)</f>
        <v>5</v>
      </c>
      <c r="I78" s="204">
        <f t="shared" si="8"/>
        <v>5.8139534883720927</v>
      </c>
      <c r="K78" s="14">
        <f>SUM(K79:K88)</f>
        <v>3</v>
      </c>
      <c r="L78" s="204">
        <f t="shared" si="6"/>
        <v>3.4883720930232558</v>
      </c>
    </row>
    <row r="79" spans="1:12" ht="13" hidden="1" customHeight="1">
      <c r="A79" s="14" t="s">
        <v>1182</v>
      </c>
      <c r="B79" s="453">
        <f t="shared" si="5"/>
        <v>0</v>
      </c>
      <c r="C79" s="204">
        <f t="shared" si="9"/>
        <v>0</v>
      </c>
      <c r="E79" s="14"/>
      <c r="F79" s="204" t="e">
        <f t="shared" si="7"/>
        <v>#DIV/0!</v>
      </c>
      <c r="H79" s="455"/>
      <c r="I79" s="204" t="e">
        <f t="shared" si="8"/>
        <v>#DIV/0!</v>
      </c>
      <c r="L79" s="204" t="e">
        <f t="shared" si="6"/>
        <v>#DIV/0!</v>
      </c>
    </row>
    <row r="80" spans="1:12" ht="13" customHeight="1">
      <c r="A80" s="14" t="s">
        <v>218</v>
      </c>
      <c r="B80" s="453">
        <f t="shared" si="5"/>
        <v>22</v>
      </c>
      <c r="C80" s="204">
        <f t="shared" si="9"/>
        <v>1.5759312320916905</v>
      </c>
      <c r="E80" s="859">
        <v>18</v>
      </c>
      <c r="F80" s="204">
        <f t="shared" si="7"/>
        <v>81.818181818181827</v>
      </c>
      <c r="G80" s="859"/>
      <c r="H80" s="859">
        <v>2</v>
      </c>
      <c r="I80" s="204">
        <f t="shared" si="8"/>
        <v>9.0909090909090917</v>
      </c>
      <c r="J80" s="859"/>
      <c r="K80" s="859">
        <v>2</v>
      </c>
      <c r="L80" s="204">
        <f t="shared" si="6"/>
        <v>9.0909090909090917</v>
      </c>
    </row>
    <row r="81" spans="1:12" ht="13" customHeight="1">
      <c r="A81" s="14" t="s">
        <v>220</v>
      </c>
      <c r="B81" s="453">
        <f t="shared" si="5"/>
        <v>15</v>
      </c>
      <c r="C81" s="204">
        <f t="shared" si="9"/>
        <v>1.0744985673352434</v>
      </c>
      <c r="E81" s="859">
        <v>13</v>
      </c>
      <c r="F81" s="204">
        <f t="shared" si="7"/>
        <v>86.666666666666671</v>
      </c>
      <c r="G81" s="859"/>
      <c r="H81" s="859">
        <v>1</v>
      </c>
      <c r="I81" s="204">
        <f t="shared" si="8"/>
        <v>6.666666666666667</v>
      </c>
      <c r="J81" s="859"/>
      <c r="K81" s="859">
        <v>1</v>
      </c>
      <c r="L81" s="204">
        <f t="shared" si="6"/>
        <v>6.666666666666667</v>
      </c>
    </row>
    <row r="82" spans="1:12" ht="13" customHeight="1">
      <c r="A82" s="14" t="s">
        <v>222</v>
      </c>
      <c r="B82" s="453">
        <f t="shared" si="5"/>
        <v>11</v>
      </c>
      <c r="C82" s="204">
        <f t="shared" si="9"/>
        <v>0.78796561604584525</v>
      </c>
      <c r="E82" s="859">
        <v>11</v>
      </c>
      <c r="F82" s="204">
        <f t="shared" si="7"/>
        <v>100</v>
      </c>
      <c r="G82" s="859"/>
      <c r="H82" s="859">
        <v>0</v>
      </c>
      <c r="I82" s="204">
        <f t="shared" si="8"/>
        <v>0</v>
      </c>
      <c r="J82" s="859"/>
      <c r="K82" s="859">
        <v>0</v>
      </c>
      <c r="L82" s="204">
        <f t="shared" si="6"/>
        <v>0</v>
      </c>
    </row>
    <row r="83" spans="1:12" ht="13" customHeight="1">
      <c r="A83" s="14" t="s">
        <v>221</v>
      </c>
      <c r="B83" s="453">
        <f t="shared" si="5"/>
        <v>1</v>
      </c>
      <c r="C83" s="204">
        <f t="shared" si="9"/>
        <v>7.1633237822349566E-2</v>
      </c>
      <c r="E83" s="859">
        <v>1</v>
      </c>
      <c r="F83" s="204">
        <f t="shared" si="7"/>
        <v>100</v>
      </c>
      <c r="G83" s="859"/>
      <c r="H83" s="859">
        <v>0</v>
      </c>
      <c r="I83" s="204">
        <f t="shared" si="8"/>
        <v>0</v>
      </c>
      <c r="J83" s="859"/>
      <c r="K83" s="859">
        <v>0</v>
      </c>
      <c r="L83" s="204">
        <f t="shared" si="6"/>
        <v>0</v>
      </c>
    </row>
    <row r="84" spans="1:12" ht="13" customHeight="1">
      <c r="A84" s="14" t="s">
        <v>219</v>
      </c>
      <c r="B84" s="453">
        <f t="shared" si="5"/>
        <v>7</v>
      </c>
      <c r="C84" s="204">
        <f t="shared" si="9"/>
        <v>0.50143266475644699</v>
      </c>
      <c r="E84" s="859">
        <v>6</v>
      </c>
      <c r="F84" s="204">
        <f t="shared" si="7"/>
        <v>85.714285714285708</v>
      </c>
      <c r="G84" s="859"/>
      <c r="H84" s="859">
        <v>1</v>
      </c>
      <c r="I84" s="204">
        <f t="shared" si="8"/>
        <v>14.285714285714285</v>
      </c>
      <c r="J84" s="859"/>
      <c r="K84" s="859">
        <v>0</v>
      </c>
      <c r="L84" s="204">
        <f t="shared" si="6"/>
        <v>0</v>
      </c>
    </row>
    <row r="85" spans="1:12" ht="13" customHeight="1">
      <c r="A85" s="14" t="s">
        <v>416</v>
      </c>
      <c r="B85" s="453">
        <f t="shared" si="5"/>
        <v>2</v>
      </c>
      <c r="C85" s="204">
        <f t="shared" si="9"/>
        <v>0.14326647564469913</v>
      </c>
      <c r="E85" s="859">
        <v>2</v>
      </c>
      <c r="F85" s="204">
        <f t="shared" si="7"/>
        <v>100</v>
      </c>
      <c r="G85" s="859"/>
      <c r="H85" s="859">
        <v>0</v>
      </c>
      <c r="I85" s="204">
        <f t="shared" si="8"/>
        <v>0</v>
      </c>
      <c r="J85" s="859"/>
      <c r="K85" s="859">
        <v>0</v>
      </c>
      <c r="L85" s="204">
        <f t="shared" si="6"/>
        <v>0</v>
      </c>
    </row>
    <row r="86" spans="1:12" ht="13" customHeight="1">
      <c r="A86" s="14" t="s">
        <v>223</v>
      </c>
      <c r="B86" s="453">
        <f t="shared" si="5"/>
        <v>13</v>
      </c>
      <c r="C86" s="204">
        <f t="shared" si="9"/>
        <v>0.93123209169054444</v>
      </c>
      <c r="E86" s="859">
        <v>13</v>
      </c>
      <c r="F86" s="204">
        <f t="shared" si="7"/>
        <v>100</v>
      </c>
      <c r="G86" s="859"/>
      <c r="H86" s="859">
        <v>0</v>
      </c>
      <c r="I86" s="204">
        <f t="shared" si="8"/>
        <v>0</v>
      </c>
      <c r="J86" s="859"/>
      <c r="K86" s="859">
        <v>0</v>
      </c>
      <c r="L86" s="204">
        <f t="shared" si="6"/>
        <v>0</v>
      </c>
    </row>
    <row r="87" spans="1:12" ht="13" customHeight="1">
      <c r="A87" s="14" t="s">
        <v>1183</v>
      </c>
      <c r="B87" s="453">
        <f t="shared" si="5"/>
        <v>5</v>
      </c>
      <c r="C87" s="204"/>
      <c r="E87" s="859">
        <v>5</v>
      </c>
      <c r="F87" s="204">
        <f t="shared" si="7"/>
        <v>100</v>
      </c>
      <c r="G87" s="859"/>
      <c r="H87" s="859">
        <v>0</v>
      </c>
      <c r="I87" s="204">
        <f t="shared" si="8"/>
        <v>0</v>
      </c>
      <c r="J87" s="859"/>
      <c r="K87" s="859">
        <v>0</v>
      </c>
      <c r="L87" s="204">
        <f t="shared" si="6"/>
        <v>0</v>
      </c>
    </row>
    <row r="88" spans="1:12" ht="13" customHeight="1">
      <c r="A88" s="14" t="s">
        <v>1184</v>
      </c>
      <c r="B88" s="453">
        <f t="shared" si="5"/>
        <v>10</v>
      </c>
      <c r="C88" s="204">
        <f t="shared" si="9"/>
        <v>0.71633237822349571</v>
      </c>
      <c r="E88" s="859">
        <v>9</v>
      </c>
      <c r="F88" s="204">
        <f t="shared" si="7"/>
        <v>90</v>
      </c>
      <c r="G88" s="859"/>
      <c r="H88" s="859">
        <v>1</v>
      </c>
      <c r="I88" s="204">
        <f t="shared" si="8"/>
        <v>10</v>
      </c>
      <c r="J88" s="859"/>
      <c r="K88" s="859">
        <v>0</v>
      </c>
      <c r="L88" s="204">
        <f t="shared" si="6"/>
        <v>0</v>
      </c>
    </row>
    <row r="89" spans="1:12" ht="13" customHeight="1">
      <c r="A89" s="14"/>
      <c r="B89" s="453" t="str">
        <f t="shared" si="5"/>
        <v/>
      </c>
      <c r="C89" s="204" t="str">
        <f t="shared" si="9"/>
        <v/>
      </c>
      <c r="E89" s="861"/>
      <c r="F89" s="204" t="str">
        <f t="shared" si="7"/>
        <v/>
      </c>
      <c r="G89" s="861"/>
      <c r="H89" s="862"/>
      <c r="I89" s="204" t="str">
        <f t="shared" si="8"/>
        <v/>
      </c>
      <c r="J89" s="862"/>
      <c r="K89" s="862"/>
      <c r="L89" s="204" t="str">
        <f t="shared" si="6"/>
        <v/>
      </c>
    </row>
    <row r="90" spans="1:12" ht="13" hidden="1" customHeight="1">
      <c r="A90" s="17" t="s">
        <v>413</v>
      </c>
      <c r="B90" s="453">
        <f t="shared" si="5"/>
        <v>0</v>
      </c>
      <c r="C90" s="204">
        <f t="shared" si="9"/>
        <v>0</v>
      </c>
      <c r="E90" s="14"/>
      <c r="F90" s="204" t="e">
        <f t="shared" si="7"/>
        <v>#DIV/0!</v>
      </c>
      <c r="H90" s="455">
        <f>SUM(H91)</f>
        <v>0</v>
      </c>
      <c r="I90" s="204" t="e">
        <f t="shared" si="8"/>
        <v>#DIV/0!</v>
      </c>
      <c r="K90" s="14">
        <f>SUM(K91)</f>
        <v>0</v>
      </c>
      <c r="L90" s="204" t="e">
        <f t="shared" si="6"/>
        <v>#DIV/0!</v>
      </c>
    </row>
    <row r="91" spans="1:12" ht="13" hidden="1" customHeight="1">
      <c r="A91" s="14" t="s">
        <v>414</v>
      </c>
      <c r="B91" s="453">
        <f t="shared" si="5"/>
        <v>0</v>
      </c>
      <c r="C91" s="204">
        <f t="shared" si="9"/>
        <v>0</v>
      </c>
      <c r="E91" s="14">
        <f>SUM(E92:E95)</f>
        <v>0</v>
      </c>
      <c r="F91" s="204" t="e">
        <f t="shared" si="7"/>
        <v>#DIV/0!</v>
      </c>
      <c r="H91" s="14">
        <f>SUM(H92:H95)</f>
        <v>0</v>
      </c>
      <c r="I91" s="204" t="e">
        <f t="shared" si="8"/>
        <v>#DIV/0!</v>
      </c>
      <c r="K91" s="14">
        <f>SUM(K92:K95)</f>
        <v>0</v>
      </c>
      <c r="L91" s="204" t="e">
        <f t="shared" si="6"/>
        <v>#DIV/0!</v>
      </c>
    </row>
    <row r="92" spans="1:12" ht="13" hidden="1" customHeight="1">
      <c r="A92" s="14" t="s">
        <v>1273</v>
      </c>
      <c r="B92" s="453">
        <f t="shared" si="5"/>
        <v>0</v>
      </c>
      <c r="C92" s="204">
        <f t="shared" si="9"/>
        <v>0</v>
      </c>
      <c r="E92" s="861">
        <v>0</v>
      </c>
      <c r="F92" s="204" t="e">
        <f t="shared" si="7"/>
        <v>#DIV/0!</v>
      </c>
      <c r="G92" s="861"/>
      <c r="H92" s="862"/>
      <c r="I92" s="204" t="e">
        <f t="shared" si="8"/>
        <v>#DIV/0!</v>
      </c>
      <c r="J92" s="862"/>
      <c r="K92" s="862">
        <v>0</v>
      </c>
      <c r="L92" s="204" t="e">
        <f t="shared" si="6"/>
        <v>#DIV/0!</v>
      </c>
    </row>
    <row r="93" spans="1:12" ht="13" hidden="1" customHeight="1">
      <c r="A93" s="14" t="s">
        <v>1274</v>
      </c>
      <c r="B93" s="453">
        <f t="shared" si="5"/>
        <v>0</v>
      </c>
      <c r="C93" s="204">
        <f t="shared" si="9"/>
        <v>0</v>
      </c>
      <c r="E93" s="861"/>
      <c r="F93" s="204" t="e">
        <f t="shared" si="7"/>
        <v>#DIV/0!</v>
      </c>
      <c r="G93" s="861"/>
      <c r="H93" s="862"/>
      <c r="I93" s="204" t="e">
        <f t="shared" si="8"/>
        <v>#DIV/0!</v>
      </c>
      <c r="J93" s="862"/>
      <c r="K93" s="862"/>
      <c r="L93" s="204" t="e">
        <f t="shared" si="6"/>
        <v>#DIV/0!</v>
      </c>
    </row>
    <row r="94" spans="1:12" ht="13" hidden="1" customHeight="1">
      <c r="A94" s="14" t="s">
        <v>1275</v>
      </c>
      <c r="B94" s="453">
        <f t="shared" si="5"/>
        <v>0</v>
      </c>
      <c r="C94" s="204">
        <f t="shared" si="9"/>
        <v>0</v>
      </c>
      <c r="E94" s="14"/>
      <c r="F94" s="204" t="e">
        <f t="shared" si="7"/>
        <v>#DIV/0!</v>
      </c>
      <c r="H94" s="455"/>
      <c r="I94" s="204" t="e">
        <f t="shared" si="8"/>
        <v>#DIV/0!</v>
      </c>
      <c r="L94" s="204" t="e">
        <f t="shared" si="6"/>
        <v>#DIV/0!</v>
      </c>
    </row>
    <row r="95" spans="1:12" ht="13" hidden="1" customHeight="1">
      <c r="A95" s="14" t="s">
        <v>212</v>
      </c>
      <c r="B95" s="453">
        <f t="shared" si="5"/>
        <v>0</v>
      </c>
      <c r="C95" s="204">
        <f t="shared" si="9"/>
        <v>0</v>
      </c>
      <c r="E95" s="14"/>
      <c r="F95" s="204" t="e">
        <f t="shared" si="7"/>
        <v>#DIV/0!</v>
      </c>
      <c r="H95" s="455"/>
      <c r="I95" s="204" t="e">
        <f t="shared" si="8"/>
        <v>#DIV/0!</v>
      </c>
      <c r="L95" s="204" t="e">
        <f t="shared" si="6"/>
        <v>#DIV/0!</v>
      </c>
    </row>
    <row r="96" spans="1:12" ht="13" hidden="1" customHeight="1">
      <c r="A96" s="14"/>
      <c r="B96" s="453" t="str">
        <f t="shared" si="5"/>
        <v/>
      </c>
      <c r="C96" s="204" t="str">
        <f t="shared" si="9"/>
        <v/>
      </c>
      <c r="E96" s="14"/>
      <c r="F96" s="204" t="str">
        <f t="shared" si="7"/>
        <v/>
      </c>
      <c r="H96" s="455"/>
      <c r="I96" s="204" t="str">
        <f t="shared" si="8"/>
        <v/>
      </c>
      <c r="L96" s="204" t="str">
        <f t="shared" si="6"/>
        <v/>
      </c>
    </row>
    <row r="97" spans="1:13" ht="13" customHeight="1">
      <c r="A97" s="14" t="s">
        <v>1188</v>
      </c>
      <c r="B97" s="453">
        <f t="shared" si="5"/>
        <v>12</v>
      </c>
      <c r="C97" s="204">
        <f t="shared" si="9"/>
        <v>0.8595988538681949</v>
      </c>
      <c r="E97" s="859">
        <v>12</v>
      </c>
      <c r="F97" s="204">
        <f t="shared" si="7"/>
        <v>100</v>
      </c>
      <c r="G97" s="484"/>
      <c r="H97" s="484">
        <v>0</v>
      </c>
      <c r="I97" s="204">
        <f t="shared" si="8"/>
        <v>0</v>
      </c>
      <c r="J97" s="484"/>
      <c r="K97" s="484">
        <v>0</v>
      </c>
      <c r="L97" s="204">
        <f t="shared" si="6"/>
        <v>0</v>
      </c>
    </row>
    <row r="98" spans="1:13" ht="13" customHeight="1">
      <c r="A98" s="14" t="s">
        <v>417</v>
      </c>
      <c r="B98" s="453">
        <f t="shared" si="5"/>
        <v>13</v>
      </c>
      <c r="C98" s="204">
        <f t="shared" si="9"/>
        <v>0.93123209169054444</v>
      </c>
      <c r="E98" s="859">
        <v>13</v>
      </c>
      <c r="F98" s="204">
        <f t="shared" si="7"/>
        <v>100</v>
      </c>
      <c r="G98" s="484"/>
      <c r="H98" s="484">
        <v>0</v>
      </c>
      <c r="I98" s="204">
        <f t="shared" si="8"/>
        <v>0</v>
      </c>
      <c r="J98" s="484"/>
      <c r="K98" s="484">
        <v>0</v>
      </c>
      <c r="L98" s="204">
        <f t="shared" si="6"/>
        <v>0</v>
      </c>
    </row>
    <row r="99" spans="1:13" ht="13" hidden="1" customHeight="1">
      <c r="A99" s="14" t="s">
        <v>157</v>
      </c>
      <c r="B99" s="453">
        <f t="shared" si="5"/>
        <v>0</v>
      </c>
      <c r="C99" s="204">
        <f>IF(A99&lt;&gt;0,B99/$B$11*100,"")</f>
        <v>0</v>
      </c>
      <c r="E99" s="861"/>
      <c r="F99" s="204" t="e">
        <f t="shared" si="7"/>
        <v>#DIV/0!</v>
      </c>
      <c r="G99" s="861"/>
      <c r="H99" s="862">
        <v>0</v>
      </c>
      <c r="I99" s="204" t="e">
        <f t="shared" si="8"/>
        <v>#DIV/0!</v>
      </c>
      <c r="J99" s="862"/>
      <c r="K99" s="12"/>
      <c r="L99" s="204" t="e">
        <f t="shared" si="6"/>
        <v>#DIV/0!</v>
      </c>
    </row>
    <row r="100" spans="1:13" ht="13" customHeight="1">
      <c r="B100" s="14"/>
      <c r="C100" s="14"/>
      <c r="E100" s="14"/>
      <c r="H100" s="485"/>
      <c r="I100" s="223"/>
    </row>
    <row r="101" spans="1:13" ht="14" customHeight="1">
      <c r="A101" s="17" t="s">
        <v>1189</v>
      </c>
      <c r="B101" s="488">
        <f t="shared" ref="B101:B167" si="10">IF(A101&lt;&gt;"",E101+H101+K101,"")</f>
        <v>962</v>
      </c>
      <c r="C101" s="451">
        <f t="shared" ref="C101:C167" si="11">IF(A101&lt;&gt;0,B101/$B$11*100,"")</f>
        <v>68.911174785100286</v>
      </c>
      <c r="D101" s="17"/>
      <c r="E101" s="17">
        <f>SUM(E103+E111+E161)</f>
        <v>918</v>
      </c>
      <c r="F101" s="451">
        <f>IF($A101&lt;&gt;"",E101/$B101*100,"")</f>
        <v>95.42619542619542</v>
      </c>
      <c r="G101" s="17"/>
      <c r="H101" s="17">
        <f>SUM(H103+H111+H161)</f>
        <v>38</v>
      </c>
      <c r="I101" s="451">
        <f>IF($A101&lt;&gt;"",H101/$B101*100,"")</f>
        <v>3.9501039501039505</v>
      </c>
      <c r="J101" s="17"/>
      <c r="K101" s="17">
        <f>SUM(K103+K111+K161)</f>
        <v>6</v>
      </c>
      <c r="L101" s="451">
        <f t="shared" si="6"/>
        <v>0.62370062370062374</v>
      </c>
    </row>
    <row r="102" spans="1:13" ht="6.75" customHeight="1">
      <c r="A102" s="14"/>
      <c r="B102" s="453" t="str">
        <f t="shared" si="10"/>
        <v/>
      </c>
      <c r="C102" s="204" t="str">
        <f t="shared" si="11"/>
        <v/>
      </c>
      <c r="E102" s="14"/>
      <c r="F102" s="204" t="str">
        <f t="shared" ref="F102:F165" si="12">IF($A102&lt;&gt;"",E102/$B102*100,"")</f>
        <v/>
      </c>
      <c r="H102" s="455"/>
      <c r="I102" s="204" t="str">
        <f t="shared" ref="I102:I165" si="13">IF($A102&lt;&gt;"",H102/$B102*100,"")</f>
        <v/>
      </c>
      <c r="L102" s="204" t="str">
        <f t="shared" si="6"/>
        <v/>
      </c>
    </row>
    <row r="103" spans="1:13" ht="14" customHeight="1">
      <c r="A103" s="14" t="s">
        <v>1190</v>
      </c>
      <c r="B103" s="453">
        <f t="shared" si="10"/>
        <v>53</v>
      </c>
      <c r="C103" s="204">
        <f t="shared" si="11"/>
        <v>3.7965616045845274</v>
      </c>
      <c r="E103" s="14">
        <f>SUM(E104:E109)</f>
        <v>47</v>
      </c>
      <c r="F103" s="204">
        <f t="shared" si="12"/>
        <v>88.679245283018872</v>
      </c>
      <c r="H103" s="14">
        <f>SUM(H104:H109)</f>
        <v>3</v>
      </c>
      <c r="I103" s="204">
        <f t="shared" si="13"/>
        <v>5.6603773584905666</v>
      </c>
      <c r="K103" s="14">
        <f>SUM(K104:K109)</f>
        <v>3</v>
      </c>
      <c r="L103" s="204">
        <f t="shared" si="6"/>
        <v>5.6603773584905666</v>
      </c>
    </row>
    <row r="104" spans="1:13" ht="14" customHeight="1">
      <c r="A104" s="14" t="s">
        <v>1191</v>
      </c>
      <c r="B104" s="453">
        <f t="shared" si="10"/>
        <v>25</v>
      </c>
      <c r="C104" s="204">
        <f t="shared" si="11"/>
        <v>1.7908309455587392</v>
      </c>
      <c r="E104" s="859">
        <v>21</v>
      </c>
      <c r="F104" s="204">
        <f t="shared" si="12"/>
        <v>84</v>
      </c>
      <c r="G104" s="859"/>
      <c r="H104" s="859">
        <v>2</v>
      </c>
      <c r="I104" s="204">
        <f t="shared" si="13"/>
        <v>8</v>
      </c>
      <c r="J104" s="859"/>
      <c r="K104" s="859">
        <v>2</v>
      </c>
      <c r="L104" s="204">
        <f t="shared" si="6"/>
        <v>8</v>
      </c>
    </row>
    <row r="105" spans="1:13" ht="14" customHeight="1">
      <c r="A105" s="14" t="s">
        <v>1192</v>
      </c>
      <c r="B105" s="453">
        <f t="shared" si="10"/>
        <v>14</v>
      </c>
      <c r="C105" s="204">
        <f t="shared" si="11"/>
        <v>1.002865329512894</v>
      </c>
      <c r="E105" s="859">
        <v>12</v>
      </c>
      <c r="F105" s="204">
        <f t="shared" si="12"/>
        <v>85.714285714285708</v>
      </c>
      <c r="G105" s="859"/>
      <c r="H105" s="859">
        <v>1</v>
      </c>
      <c r="I105" s="204">
        <f t="shared" si="13"/>
        <v>7.1428571428571423</v>
      </c>
      <c r="J105" s="859"/>
      <c r="K105" s="859">
        <v>1</v>
      </c>
      <c r="L105" s="204">
        <f t="shared" si="6"/>
        <v>7.1428571428571423</v>
      </c>
    </row>
    <row r="106" spans="1:13" ht="14" customHeight="1">
      <c r="A106" s="14" t="s">
        <v>1193</v>
      </c>
      <c r="B106" s="453">
        <f t="shared" si="10"/>
        <v>3</v>
      </c>
      <c r="C106" s="204">
        <f t="shared" si="11"/>
        <v>0.21489971346704873</v>
      </c>
      <c r="E106" s="859">
        <v>3</v>
      </c>
      <c r="F106" s="204">
        <f t="shared" si="12"/>
        <v>100</v>
      </c>
      <c r="G106" s="859"/>
      <c r="H106" s="859">
        <v>0</v>
      </c>
      <c r="I106" s="204">
        <f t="shared" si="13"/>
        <v>0</v>
      </c>
      <c r="J106" s="859"/>
      <c r="K106" s="859">
        <v>0</v>
      </c>
      <c r="L106" s="204">
        <f t="shared" si="6"/>
        <v>0</v>
      </c>
    </row>
    <row r="107" spans="1:13" ht="14" customHeight="1">
      <c r="A107" s="14" t="s">
        <v>583</v>
      </c>
      <c r="B107" s="453">
        <f t="shared" si="10"/>
        <v>10</v>
      </c>
      <c r="C107" s="204">
        <f t="shared" si="11"/>
        <v>0.71633237822349571</v>
      </c>
      <c r="E107" s="859">
        <v>10</v>
      </c>
      <c r="F107" s="204">
        <f t="shared" si="12"/>
        <v>100</v>
      </c>
      <c r="G107" s="859"/>
      <c r="H107" s="859">
        <v>0</v>
      </c>
      <c r="I107" s="204">
        <f t="shared" si="13"/>
        <v>0</v>
      </c>
      <c r="J107" s="859"/>
      <c r="K107" s="859">
        <v>0</v>
      </c>
      <c r="L107" s="204">
        <f t="shared" si="6"/>
        <v>0</v>
      </c>
    </row>
    <row r="108" spans="1:13" ht="14" customHeight="1">
      <c r="A108" s="14" t="s">
        <v>1276</v>
      </c>
      <c r="B108" s="453">
        <f t="shared" si="10"/>
        <v>1</v>
      </c>
      <c r="C108" s="204">
        <f t="shared" si="11"/>
        <v>7.1633237822349566E-2</v>
      </c>
      <c r="E108" s="859">
        <v>1</v>
      </c>
      <c r="F108" s="204">
        <f t="shared" si="12"/>
        <v>100</v>
      </c>
      <c r="G108" s="859"/>
      <c r="H108" s="859">
        <v>0</v>
      </c>
      <c r="I108" s="204">
        <f t="shared" si="13"/>
        <v>0</v>
      </c>
      <c r="J108" s="859"/>
      <c r="K108" s="859">
        <v>0</v>
      </c>
      <c r="L108" s="204">
        <f t="shared" si="6"/>
        <v>0</v>
      </c>
      <c r="M108" s="863"/>
    </row>
    <row r="109" spans="1:13" ht="14" customHeight="1">
      <c r="A109" s="14" t="s">
        <v>1277</v>
      </c>
      <c r="B109" s="453">
        <f t="shared" si="10"/>
        <v>0</v>
      </c>
      <c r="C109" s="204">
        <f>IF(A109&lt;&gt;0,B109/$B$11*100,"")</f>
        <v>0</v>
      </c>
      <c r="E109" s="14"/>
      <c r="F109" s="204" t="e">
        <f t="shared" si="12"/>
        <v>#DIV/0!</v>
      </c>
      <c r="H109" s="455"/>
      <c r="I109" s="204" t="e">
        <f t="shared" si="13"/>
        <v>#DIV/0!</v>
      </c>
      <c r="L109" s="204" t="e">
        <f t="shared" si="6"/>
        <v>#DIV/0!</v>
      </c>
    </row>
    <row r="110" spans="1:13" ht="10.5" customHeight="1">
      <c r="A110" s="14"/>
      <c r="B110" s="453" t="str">
        <f t="shared" si="10"/>
        <v/>
      </c>
      <c r="C110" s="204" t="str">
        <f t="shared" si="11"/>
        <v/>
      </c>
      <c r="E110" s="14"/>
      <c r="F110" s="204" t="str">
        <f t="shared" si="12"/>
        <v/>
      </c>
      <c r="H110" s="485"/>
      <c r="I110" s="204" t="str">
        <f t="shared" si="13"/>
        <v/>
      </c>
      <c r="L110" s="204" t="str">
        <f t="shared" si="6"/>
        <v/>
      </c>
    </row>
    <row r="111" spans="1:13" ht="14" customHeight="1">
      <c r="A111" s="14" t="s">
        <v>1195</v>
      </c>
      <c r="B111" s="453">
        <f t="shared" si="10"/>
        <v>909</v>
      </c>
      <c r="C111" s="204">
        <f t="shared" si="11"/>
        <v>65.114613180515761</v>
      </c>
      <c r="E111" s="14">
        <f>SUM(E112:E159)</f>
        <v>871</v>
      </c>
      <c r="F111" s="204">
        <f t="shared" si="12"/>
        <v>95.819581958195826</v>
      </c>
      <c r="H111" s="14">
        <f>SUM(H112:H159)</f>
        <v>35</v>
      </c>
      <c r="I111" s="204">
        <f t="shared" si="13"/>
        <v>3.8503850385038509</v>
      </c>
      <c r="K111" s="14">
        <f>SUM(K112:K159)</f>
        <v>3</v>
      </c>
      <c r="L111" s="204">
        <f t="shared" si="6"/>
        <v>0.33003300330033003</v>
      </c>
    </row>
    <row r="112" spans="1:13" ht="14" customHeight="1">
      <c r="A112" s="14" t="s">
        <v>1196</v>
      </c>
      <c r="B112" s="453">
        <f t="shared" si="10"/>
        <v>8</v>
      </c>
      <c r="C112" s="204">
        <f t="shared" si="11"/>
        <v>0.57306590257879653</v>
      </c>
      <c r="E112" s="859">
        <v>8</v>
      </c>
      <c r="F112" s="204">
        <f t="shared" si="12"/>
        <v>100</v>
      </c>
      <c r="G112" s="859"/>
      <c r="H112" s="859">
        <v>0</v>
      </c>
      <c r="I112" s="204">
        <f t="shared" si="13"/>
        <v>0</v>
      </c>
      <c r="J112" s="859"/>
      <c r="K112" s="859">
        <v>0</v>
      </c>
      <c r="L112" s="204">
        <f t="shared" si="6"/>
        <v>0</v>
      </c>
    </row>
    <row r="113" spans="1:12" ht="11.5" customHeight="1">
      <c r="A113" s="14" t="s">
        <v>1197</v>
      </c>
      <c r="B113" s="453">
        <f t="shared" si="10"/>
        <v>22</v>
      </c>
      <c r="C113" s="204">
        <f t="shared" si="11"/>
        <v>1.5759312320916905</v>
      </c>
      <c r="E113" s="859">
        <v>21</v>
      </c>
      <c r="F113" s="204">
        <f t="shared" si="12"/>
        <v>95.454545454545453</v>
      </c>
      <c r="G113" s="859"/>
      <c r="H113" s="859">
        <v>1</v>
      </c>
      <c r="I113" s="204">
        <f t="shared" si="13"/>
        <v>4.5454545454545459</v>
      </c>
      <c r="J113" s="859"/>
      <c r="K113" s="859">
        <v>0</v>
      </c>
      <c r="L113" s="204">
        <f t="shared" si="6"/>
        <v>0</v>
      </c>
    </row>
    <row r="114" spans="1:12" ht="11.5" customHeight="1">
      <c r="A114" s="14" t="s">
        <v>1198</v>
      </c>
      <c r="B114" s="453">
        <f t="shared" si="10"/>
        <v>24</v>
      </c>
      <c r="C114" s="204">
        <f t="shared" si="11"/>
        <v>1.7191977077363898</v>
      </c>
      <c r="E114" s="859">
        <v>20</v>
      </c>
      <c r="F114" s="204">
        <f t="shared" si="12"/>
        <v>83.333333333333343</v>
      </c>
      <c r="G114" s="859"/>
      <c r="H114" s="859">
        <v>4</v>
      </c>
      <c r="I114" s="204">
        <f t="shared" si="13"/>
        <v>16.666666666666664</v>
      </c>
      <c r="J114" s="859"/>
      <c r="K114" s="859">
        <v>0</v>
      </c>
      <c r="L114" s="204">
        <f t="shared" si="6"/>
        <v>0</v>
      </c>
    </row>
    <row r="115" spans="1:12" ht="11.5" customHeight="1">
      <c r="A115" s="14" t="s">
        <v>1199</v>
      </c>
      <c r="B115" s="453">
        <f t="shared" si="10"/>
        <v>13</v>
      </c>
      <c r="C115" s="204"/>
      <c r="E115" s="859">
        <v>13</v>
      </c>
      <c r="F115" s="204">
        <f t="shared" si="12"/>
        <v>100</v>
      </c>
      <c r="G115" s="859"/>
      <c r="H115" s="859">
        <v>0</v>
      </c>
      <c r="I115" s="204">
        <f t="shared" si="13"/>
        <v>0</v>
      </c>
      <c r="J115" s="859"/>
      <c r="K115" s="859">
        <v>0</v>
      </c>
      <c r="L115" s="204">
        <f t="shared" si="6"/>
        <v>0</v>
      </c>
    </row>
    <row r="116" spans="1:12" ht="11.5" customHeight="1">
      <c r="A116" s="14" t="s">
        <v>1200</v>
      </c>
      <c r="B116" s="453">
        <f t="shared" si="10"/>
        <v>38</v>
      </c>
      <c r="C116" s="204">
        <f t="shared" si="11"/>
        <v>2.722063037249284</v>
      </c>
      <c r="E116" s="859">
        <v>38</v>
      </c>
      <c r="F116" s="204">
        <f t="shared" si="12"/>
        <v>100</v>
      </c>
      <c r="G116" s="859"/>
      <c r="H116" s="859">
        <v>0</v>
      </c>
      <c r="I116" s="204">
        <f t="shared" si="13"/>
        <v>0</v>
      </c>
      <c r="J116" s="859"/>
      <c r="K116" s="859">
        <v>0</v>
      </c>
      <c r="L116" s="204">
        <f t="shared" si="6"/>
        <v>0</v>
      </c>
    </row>
    <row r="117" spans="1:12" ht="11.5" customHeight="1">
      <c r="A117" s="14" t="s">
        <v>1201</v>
      </c>
      <c r="B117" s="453">
        <f t="shared" si="10"/>
        <v>18</v>
      </c>
      <c r="C117" s="204">
        <f t="shared" si="11"/>
        <v>1.2893982808022924</v>
      </c>
      <c r="E117" s="859">
        <v>18</v>
      </c>
      <c r="F117" s="204">
        <f t="shared" si="12"/>
        <v>100</v>
      </c>
      <c r="G117" s="859"/>
      <c r="H117" s="859">
        <v>0</v>
      </c>
      <c r="I117" s="204">
        <f t="shared" si="13"/>
        <v>0</v>
      </c>
      <c r="J117" s="859"/>
      <c r="K117" s="859">
        <v>0</v>
      </c>
      <c r="L117" s="204">
        <f t="shared" si="6"/>
        <v>0</v>
      </c>
    </row>
    <row r="118" spans="1:12" ht="14" customHeight="1">
      <c r="A118" s="14" t="s">
        <v>1202</v>
      </c>
      <c r="B118" s="453">
        <f t="shared" si="10"/>
        <v>14</v>
      </c>
      <c r="C118" s="204">
        <f t="shared" si="11"/>
        <v>1.002865329512894</v>
      </c>
      <c r="E118" s="859">
        <v>14</v>
      </c>
      <c r="F118" s="204">
        <f t="shared" si="12"/>
        <v>100</v>
      </c>
      <c r="G118" s="859"/>
      <c r="H118" s="859">
        <v>0</v>
      </c>
      <c r="I118" s="204">
        <f t="shared" si="13"/>
        <v>0</v>
      </c>
      <c r="J118" s="859"/>
      <c r="K118" s="859">
        <v>0</v>
      </c>
      <c r="L118" s="204">
        <f t="shared" si="6"/>
        <v>0</v>
      </c>
    </row>
    <row r="119" spans="1:12" ht="14" customHeight="1">
      <c r="A119" s="14" t="s">
        <v>1204</v>
      </c>
      <c r="B119" s="453">
        <f t="shared" si="10"/>
        <v>9</v>
      </c>
      <c r="C119" s="204">
        <f t="shared" si="11"/>
        <v>0.64469914040114618</v>
      </c>
      <c r="E119" s="859">
        <v>9</v>
      </c>
      <c r="F119" s="204">
        <f t="shared" si="12"/>
        <v>100</v>
      </c>
      <c r="G119" s="859"/>
      <c r="H119" s="859">
        <v>0</v>
      </c>
      <c r="I119" s="204">
        <f t="shared" si="13"/>
        <v>0</v>
      </c>
      <c r="J119" s="859"/>
      <c r="K119" s="859">
        <v>0</v>
      </c>
      <c r="L119" s="204">
        <f t="shared" si="6"/>
        <v>0</v>
      </c>
    </row>
    <row r="120" spans="1:12" ht="14" customHeight="1">
      <c r="A120" s="14" t="s">
        <v>1978</v>
      </c>
      <c r="B120" s="453">
        <f t="shared" si="10"/>
        <v>11</v>
      </c>
      <c r="C120" s="204">
        <f t="shared" si="11"/>
        <v>0.78796561604584525</v>
      </c>
      <c r="E120" s="859">
        <v>11</v>
      </c>
      <c r="F120" s="204">
        <f t="shared" si="12"/>
        <v>100</v>
      </c>
      <c r="G120" s="859"/>
      <c r="H120" s="859">
        <v>0</v>
      </c>
      <c r="I120" s="204">
        <f t="shared" si="13"/>
        <v>0</v>
      </c>
      <c r="J120" s="859"/>
      <c r="K120" s="859">
        <v>0</v>
      </c>
      <c r="L120" s="204">
        <f t="shared" si="6"/>
        <v>0</v>
      </c>
    </row>
    <row r="121" spans="1:12" ht="14" customHeight="1">
      <c r="A121" s="14" t="s">
        <v>1203</v>
      </c>
      <c r="B121" s="453">
        <f t="shared" si="10"/>
        <v>30</v>
      </c>
      <c r="C121" s="204">
        <f>IF(A121&lt;&gt;0,B121/$B$11*100,"")</f>
        <v>2.1489971346704868</v>
      </c>
      <c r="E121" s="859">
        <v>30</v>
      </c>
      <c r="F121" s="204">
        <f t="shared" si="12"/>
        <v>100</v>
      </c>
      <c r="G121" s="859"/>
      <c r="H121" s="859">
        <v>0</v>
      </c>
      <c r="I121" s="204">
        <f t="shared" si="13"/>
        <v>0</v>
      </c>
      <c r="J121" s="859"/>
      <c r="K121" s="859">
        <v>0</v>
      </c>
      <c r="L121" s="204">
        <f t="shared" si="6"/>
        <v>0</v>
      </c>
    </row>
    <row r="122" spans="1:12" ht="14" customHeight="1">
      <c r="A122" s="14" t="s">
        <v>1205</v>
      </c>
      <c r="B122" s="453">
        <f t="shared" si="10"/>
        <v>26</v>
      </c>
      <c r="C122" s="204"/>
      <c r="E122" s="859">
        <v>26</v>
      </c>
      <c r="F122" s="204">
        <f t="shared" si="12"/>
        <v>100</v>
      </c>
      <c r="G122" s="859"/>
      <c r="H122" s="859">
        <v>0</v>
      </c>
      <c r="I122" s="204">
        <f t="shared" si="13"/>
        <v>0</v>
      </c>
      <c r="J122" s="859"/>
      <c r="K122" s="859">
        <v>0</v>
      </c>
      <c r="L122" s="204">
        <f t="shared" si="6"/>
        <v>0</v>
      </c>
    </row>
    <row r="123" spans="1:12" ht="14" customHeight="1">
      <c r="A123" s="14" t="s">
        <v>1207</v>
      </c>
      <c r="B123" s="453">
        <f t="shared" si="10"/>
        <v>20</v>
      </c>
      <c r="C123" s="204">
        <f t="shared" si="11"/>
        <v>1.4326647564469914</v>
      </c>
      <c r="E123" s="859">
        <v>20</v>
      </c>
      <c r="F123" s="204">
        <f t="shared" si="12"/>
        <v>100</v>
      </c>
      <c r="G123" s="859"/>
      <c r="H123" s="859">
        <v>0</v>
      </c>
      <c r="I123" s="204">
        <f t="shared" si="13"/>
        <v>0</v>
      </c>
      <c r="J123" s="859"/>
      <c r="K123" s="859">
        <v>0</v>
      </c>
      <c r="L123" s="204">
        <f t="shared" si="6"/>
        <v>0</v>
      </c>
    </row>
    <row r="124" spans="1:12" ht="14" customHeight="1">
      <c r="A124" s="14" t="s">
        <v>1206</v>
      </c>
      <c r="B124" s="453">
        <f t="shared" si="10"/>
        <v>12</v>
      </c>
      <c r="C124" s="204">
        <f t="shared" si="11"/>
        <v>0.8595988538681949</v>
      </c>
      <c r="E124" s="859">
        <v>11</v>
      </c>
      <c r="F124" s="204">
        <f t="shared" si="12"/>
        <v>91.666666666666657</v>
      </c>
      <c r="G124" s="859"/>
      <c r="H124" s="859">
        <v>1</v>
      </c>
      <c r="I124" s="204">
        <f t="shared" si="13"/>
        <v>8.3333333333333321</v>
      </c>
      <c r="J124" s="859"/>
      <c r="K124" s="859">
        <v>0</v>
      </c>
      <c r="L124" s="204">
        <f t="shared" si="6"/>
        <v>0</v>
      </c>
    </row>
    <row r="125" spans="1:12" ht="14" customHeight="1">
      <c r="A125" s="14" t="s">
        <v>1208</v>
      </c>
      <c r="B125" s="453">
        <f t="shared" si="10"/>
        <v>5</v>
      </c>
      <c r="C125" s="204">
        <f t="shared" si="11"/>
        <v>0.35816618911174786</v>
      </c>
      <c r="E125" s="859">
        <v>5</v>
      </c>
      <c r="F125" s="204">
        <f t="shared" si="12"/>
        <v>100</v>
      </c>
      <c r="G125" s="859"/>
      <c r="H125" s="859">
        <v>0</v>
      </c>
      <c r="I125" s="204">
        <f t="shared" si="13"/>
        <v>0</v>
      </c>
      <c r="J125" s="859"/>
      <c r="K125" s="859">
        <v>0</v>
      </c>
      <c r="L125" s="204">
        <f t="shared" si="6"/>
        <v>0</v>
      </c>
    </row>
    <row r="126" spans="1:12" ht="14" customHeight="1">
      <c r="A126" s="14" t="s">
        <v>1210</v>
      </c>
      <c r="B126" s="453">
        <f t="shared" si="10"/>
        <v>8</v>
      </c>
      <c r="C126" s="204">
        <f t="shared" si="11"/>
        <v>0.57306590257879653</v>
      </c>
      <c r="E126" s="859">
        <v>8</v>
      </c>
      <c r="F126" s="204">
        <f t="shared" si="12"/>
        <v>100</v>
      </c>
      <c r="G126" s="859"/>
      <c r="H126" s="859">
        <v>0</v>
      </c>
      <c r="I126" s="204">
        <f t="shared" si="13"/>
        <v>0</v>
      </c>
      <c r="J126" s="859"/>
      <c r="K126" s="859">
        <v>0</v>
      </c>
      <c r="L126" s="204">
        <f t="shared" ref="L126:L176" si="14">IF($A126&lt;&gt;"",K126/$B126*100,"")</f>
        <v>0</v>
      </c>
    </row>
    <row r="127" spans="1:12" ht="14" customHeight="1">
      <c r="A127" s="14" t="s">
        <v>1211</v>
      </c>
      <c r="B127" s="453">
        <f t="shared" si="10"/>
        <v>36</v>
      </c>
      <c r="C127" s="204">
        <f t="shared" si="11"/>
        <v>2.5787965616045847</v>
      </c>
      <c r="E127" s="859">
        <v>36</v>
      </c>
      <c r="F127" s="204">
        <f t="shared" si="12"/>
        <v>100</v>
      </c>
      <c r="G127" s="859"/>
      <c r="H127" s="859">
        <v>0</v>
      </c>
      <c r="I127" s="204">
        <f t="shared" si="13"/>
        <v>0</v>
      </c>
      <c r="J127" s="859"/>
      <c r="K127" s="859">
        <v>0</v>
      </c>
      <c r="L127" s="204">
        <f t="shared" si="14"/>
        <v>0</v>
      </c>
    </row>
    <row r="128" spans="1:12" ht="14" customHeight="1">
      <c r="A128" s="14" t="s">
        <v>1209</v>
      </c>
      <c r="B128" s="453">
        <f t="shared" si="10"/>
        <v>15</v>
      </c>
      <c r="C128" s="204">
        <f t="shared" si="11"/>
        <v>1.0744985673352434</v>
      </c>
      <c r="E128" s="859">
        <v>15</v>
      </c>
      <c r="F128" s="204">
        <f t="shared" si="12"/>
        <v>100</v>
      </c>
      <c r="G128" s="859"/>
      <c r="H128" s="859">
        <v>0</v>
      </c>
      <c r="I128" s="204">
        <f t="shared" si="13"/>
        <v>0</v>
      </c>
      <c r="J128" s="859"/>
      <c r="K128" s="859">
        <v>0</v>
      </c>
      <c r="L128" s="204">
        <f t="shared" si="14"/>
        <v>0</v>
      </c>
    </row>
    <row r="129" spans="1:12" ht="14" customHeight="1">
      <c r="A129" s="14" t="s">
        <v>1212</v>
      </c>
      <c r="B129" s="453">
        <f t="shared" si="10"/>
        <v>52</v>
      </c>
      <c r="C129" s="204">
        <f t="shared" si="11"/>
        <v>3.7249283667621778</v>
      </c>
      <c r="E129" s="859">
        <v>52</v>
      </c>
      <c r="F129" s="204">
        <f t="shared" si="12"/>
        <v>100</v>
      </c>
      <c r="G129" s="859"/>
      <c r="H129" s="859">
        <v>0</v>
      </c>
      <c r="I129" s="204">
        <f t="shared" si="13"/>
        <v>0</v>
      </c>
      <c r="J129" s="859"/>
      <c r="K129" s="859">
        <v>0</v>
      </c>
      <c r="L129" s="204">
        <f t="shared" si="14"/>
        <v>0</v>
      </c>
    </row>
    <row r="130" spans="1:12" ht="14" customHeight="1">
      <c r="A130" s="14" t="s">
        <v>1213</v>
      </c>
      <c r="B130" s="453">
        <f t="shared" si="10"/>
        <v>14</v>
      </c>
      <c r="C130" s="204">
        <f t="shared" si="11"/>
        <v>1.002865329512894</v>
      </c>
      <c r="E130" s="859">
        <v>14</v>
      </c>
      <c r="F130" s="204">
        <f t="shared" si="12"/>
        <v>100</v>
      </c>
      <c r="G130" s="859"/>
      <c r="H130" s="859">
        <v>0</v>
      </c>
      <c r="I130" s="204">
        <f t="shared" si="13"/>
        <v>0</v>
      </c>
      <c r="J130" s="859"/>
      <c r="K130" s="859">
        <v>0</v>
      </c>
      <c r="L130" s="204">
        <f t="shared" si="14"/>
        <v>0</v>
      </c>
    </row>
    <row r="131" spans="1:12" ht="14" customHeight="1">
      <c r="A131" s="14" t="s">
        <v>1214</v>
      </c>
      <c r="B131" s="453">
        <f t="shared" si="10"/>
        <v>19</v>
      </c>
      <c r="C131" s="204">
        <f t="shared" si="11"/>
        <v>1.361031518624642</v>
      </c>
      <c r="E131" s="859">
        <v>13</v>
      </c>
      <c r="F131" s="204">
        <f t="shared" si="12"/>
        <v>68.421052631578945</v>
      </c>
      <c r="G131" s="859"/>
      <c r="H131" s="859">
        <v>5</v>
      </c>
      <c r="I131" s="204">
        <f t="shared" si="13"/>
        <v>26.315789473684209</v>
      </c>
      <c r="J131" s="859"/>
      <c r="K131" s="859">
        <v>1</v>
      </c>
      <c r="L131" s="204">
        <f t="shared" si="14"/>
        <v>5.2631578947368416</v>
      </c>
    </row>
    <row r="132" spans="1:12" ht="14" customHeight="1">
      <c r="A132" s="14" t="s">
        <v>1215</v>
      </c>
      <c r="B132" s="453">
        <f t="shared" si="10"/>
        <v>12</v>
      </c>
      <c r="C132" s="204">
        <f t="shared" si="11"/>
        <v>0.8595988538681949</v>
      </c>
      <c r="E132" s="859">
        <v>12</v>
      </c>
      <c r="F132" s="204">
        <f t="shared" si="12"/>
        <v>100</v>
      </c>
      <c r="G132" s="859"/>
      <c r="H132" s="859">
        <v>0</v>
      </c>
      <c r="I132" s="204">
        <f t="shared" si="13"/>
        <v>0</v>
      </c>
      <c r="J132" s="859"/>
      <c r="K132" s="859">
        <v>0</v>
      </c>
      <c r="L132" s="204">
        <f t="shared" si="14"/>
        <v>0</v>
      </c>
    </row>
    <row r="133" spans="1:12" ht="14" customHeight="1">
      <c r="A133" s="14" t="s">
        <v>1216</v>
      </c>
      <c r="B133" s="453">
        <f t="shared" si="10"/>
        <v>11</v>
      </c>
      <c r="C133" s="204">
        <f t="shared" si="11"/>
        <v>0.78796561604584525</v>
      </c>
      <c r="E133" s="859">
        <v>11</v>
      </c>
      <c r="F133" s="204">
        <f t="shared" si="12"/>
        <v>100</v>
      </c>
      <c r="G133" s="859"/>
      <c r="H133" s="859">
        <v>0</v>
      </c>
      <c r="I133" s="204">
        <f t="shared" si="13"/>
        <v>0</v>
      </c>
      <c r="J133" s="859"/>
      <c r="K133" s="859">
        <v>0</v>
      </c>
      <c r="L133" s="204">
        <f t="shared" si="14"/>
        <v>0</v>
      </c>
    </row>
    <row r="134" spans="1:12" ht="14" customHeight="1">
      <c r="A134" s="14" t="s">
        <v>1217</v>
      </c>
      <c r="B134" s="453">
        <f t="shared" si="10"/>
        <v>17</v>
      </c>
      <c r="C134" s="204">
        <f t="shared" si="11"/>
        <v>1.2177650429799427</v>
      </c>
      <c r="E134" s="859">
        <v>17</v>
      </c>
      <c r="F134" s="204">
        <f t="shared" si="12"/>
        <v>100</v>
      </c>
      <c r="G134" s="859"/>
      <c r="H134" s="859">
        <v>0</v>
      </c>
      <c r="I134" s="204">
        <f t="shared" si="13"/>
        <v>0</v>
      </c>
      <c r="J134" s="859"/>
      <c r="K134" s="859">
        <v>0</v>
      </c>
      <c r="L134" s="204">
        <f t="shared" si="14"/>
        <v>0</v>
      </c>
    </row>
    <row r="135" spans="1:12" ht="14" customHeight="1">
      <c r="A135" s="14" t="s">
        <v>1218</v>
      </c>
      <c r="B135" s="453">
        <f t="shared" si="10"/>
        <v>59</v>
      </c>
      <c r="C135" s="204">
        <f t="shared" si="11"/>
        <v>4.2263610315186249</v>
      </c>
      <c r="E135" s="859">
        <v>56</v>
      </c>
      <c r="F135" s="204">
        <f t="shared" si="12"/>
        <v>94.915254237288138</v>
      </c>
      <c r="G135" s="859"/>
      <c r="H135" s="859">
        <v>3</v>
      </c>
      <c r="I135" s="204">
        <f t="shared" si="13"/>
        <v>5.0847457627118651</v>
      </c>
      <c r="J135" s="859"/>
      <c r="K135" s="859">
        <v>0</v>
      </c>
      <c r="L135" s="204">
        <f t="shared" si="14"/>
        <v>0</v>
      </c>
    </row>
    <row r="136" spans="1:12" ht="14" customHeight="1">
      <c r="A136" s="14" t="s">
        <v>1225</v>
      </c>
      <c r="B136" s="453">
        <f t="shared" si="10"/>
        <v>12</v>
      </c>
      <c r="C136" s="204">
        <f t="shared" si="11"/>
        <v>0.8595988538681949</v>
      </c>
      <c r="E136" s="859">
        <v>12</v>
      </c>
      <c r="F136" s="204">
        <f t="shared" si="12"/>
        <v>100</v>
      </c>
      <c r="G136" s="859"/>
      <c r="H136" s="859">
        <v>0</v>
      </c>
      <c r="I136" s="204">
        <f t="shared" si="13"/>
        <v>0</v>
      </c>
      <c r="J136" s="859"/>
      <c r="K136" s="859">
        <v>0</v>
      </c>
      <c r="L136" s="204">
        <f t="shared" si="14"/>
        <v>0</v>
      </c>
    </row>
    <row r="137" spans="1:12" ht="14" customHeight="1">
      <c r="A137" s="14" t="s">
        <v>1226</v>
      </c>
      <c r="B137" s="453">
        <f t="shared" si="10"/>
        <v>8</v>
      </c>
      <c r="C137" s="204">
        <f t="shared" si="11"/>
        <v>0.57306590257879653</v>
      </c>
      <c r="E137" s="859">
        <v>8</v>
      </c>
      <c r="F137" s="204">
        <f t="shared" si="12"/>
        <v>100</v>
      </c>
      <c r="G137" s="859"/>
      <c r="H137" s="859">
        <v>0</v>
      </c>
      <c r="I137" s="204">
        <f t="shared" si="13"/>
        <v>0</v>
      </c>
      <c r="J137" s="859"/>
      <c r="K137" s="859">
        <v>0</v>
      </c>
      <c r="L137" s="204">
        <f t="shared" si="14"/>
        <v>0</v>
      </c>
    </row>
    <row r="138" spans="1:12" ht="14" customHeight="1">
      <c r="A138" s="14" t="s">
        <v>1228</v>
      </c>
      <c r="B138" s="453">
        <f t="shared" si="10"/>
        <v>30</v>
      </c>
      <c r="C138" s="204">
        <f t="shared" si="11"/>
        <v>2.1489971346704868</v>
      </c>
      <c r="E138" s="859">
        <v>30</v>
      </c>
      <c r="F138" s="204">
        <f t="shared" si="12"/>
        <v>100</v>
      </c>
      <c r="G138" s="859"/>
      <c r="H138" s="859">
        <v>0</v>
      </c>
      <c r="I138" s="204">
        <f t="shared" si="13"/>
        <v>0</v>
      </c>
      <c r="J138" s="859"/>
      <c r="K138" s="859">
        <v>0</v>
      </c>
      <c r="L138" s="204">
        <f t="shared" si="14"/>
        <v>0</v>
      </c>
    </row>
    <row r="139" spans="1:12" ht="14" customHeight="1">
      <c r="A139" s="14" t="s">
        <v>1227</v>
      </c>
      <c r="B139" s="453">
        <f t="shared" si="10"/>
        <v>5</v>
      </c>
      <c r="C139" s="204">
        <f t="shared" si="11"/>
        <v>0.35816618911174786</v>
      </c>
      <c r="E139" s="859">
        <v>5</v>
      </c>
      <c r="F139" s="204">
        <f t="shared" si="12"/>
        <v>100</v>
      </c>
      <c r="G139" s="859"/>
      <c r="H139" s="859">
        <v>0</v>
      </c>
      <c r="I139" s="204">
        <f t="shared" si="13"/>
        <v>0</v>
      </c>
      <c r="J139" s="859"/>
      <c r="K139" s="859">
        <v>0</v>
      </c>
      <c r="L139" s="204">
        <f t="shared" si="14"/>
        <v>0</v>
      </c>
    </row>
    <row r="140" spans="1:12" ht="14" customHeight="1">
      <c r="A140" s="14" t="s">
        <v>1219</v>
      </c>
      <c r="B140" s="453">
        <f t="shared" si="10"/>
        <v>30</v>
      </c>
      <c r="C140" s="204">
        <f t="shared" si="11"/>
        <v>2.1489971346704868</v>
      </c>
      <c r="E140" s="859">
        <v>29</v>
      </c>
      <c r="F140" s="204">
        <f t="shared" si="12"/>
        <v>96.666666666666671</v>
      </c>
      <c r="G140" s="859"/>
      <c r="H140" s="859">
        <v>1</v>
      </c>
      <c r="I140" s="204">
        <f t="shared" si="13"/>
        <v>3.3333333333333335</v>
      </c>
      <c r="J140" s="859"/>
      <c r="K140" s="859">
        <v>0</v>
      </c>
      <c r="L140" s="204">
        <f t="shared" si="14"/>
        <v>0</v>
      </c>
    </row>
    <row r="141" spans="1:12" ht="14" customHeight="1">
      <c r="A141" s="14" t="s">
        <v>1220</v>
      </c>
      <c r="B141" s="453">
        <f t="shared" si="10"/>
        <v>8</v>
      </c>
      <c r="C141" s="204">
        <f t="shared" si="11"/>
        <v>0.57306590257879653</v>
      </c>
      <c r="E141" s="859">
        <v>7</v>
      </c>
      <c r="F141" s="204">
        <f t="shared" si="12"/>
        <v>87.5</v>
      </c>
      <c r="G141" s="859"/>
      <c r="H141" s="859">
        <v>1</v>
      </c>
      <c r="I141" s="204">
        <f t="shared" si="13"/>
        <v>12.5</v>
      </c>
      <c r="J141" s="859"/>
      <c r="K141" s="859">
        <v>0</v>
      </c>
      <c r="L141" s="204">
        <f t="shared" si="14"/>
        <v>0</v>
      </c>
    </row>
    <row r="142" spans="1:12" ht="14" customHeight="1">
      <c r="A142" s="14" t="s">
        <v>1221</v>
      </c>
      <c r="B142" s="453">
        <f t="shared" si="10"/>
        <v>12</v>
      </c>
      <c r="C142" s="204">
        <f t="shared" si="11"/>
        <v>0.8595988538681949</v>
      </c>
      <c r="E142" s="859">
        <v>11</v>
      </c>
      <c r="F142" s="204">
        <f t="shared" si="12"/>
        <v>91.666666666666657</v>
      </c>
      <c r="G142" s="859"/>
      <c r="H142" s="859">
        <v>1</v>
      </c>
      <c r="I142" s="204">
        <f t="shared" si="13"/>
        <v>8.3333333333333321</v>
      </c>
      <c r="J142" s="859"/>
      <c r="K142" s="859">
        <v>0</v>
      </c>
      <c r="L142" s="204">
        <f t="shared" si="14"/>
        <v>0</v>
      </c>
    </row>
    <row r="143" spans="1:12" ht="14" customHeight="1">
      <c r="A143" s="14" t="s">
        <v>1222</v>
      </c>
      <c r="B143" s="453">
        <f t="shared" si="10"/>
        <v>23</v>
      </c>
      <c r="C143" s="204">
        <f t="shared" si="11"/>
        <v>1.6475644699140399</v>
      </c>
      <c r="E143" s="859">
        <v>23</v>
      </c>
      <c r="F143" s="204">
        <f t="shared" si="12"/>
        <v>100</v>
      </c>
      <c r="G143" s="859"/>
      <c r="H143" s="859">
        <v>0</v>
      </c>
      <c r="I143" s="204">
        <f t="shared" si="13"/>
        <v>0</v>
      </c>
      <c r="J143" s="859"/>
      <c r="K143" s="859">
        <v>0</v>
      </c>
      <c r="L143" s="204">
        <f t="shared" si="14"/>
        <v>0</v>
      </c>
    </row>
    <row r="144" spans="1:12" ht="14" customHeight="1">
      <c r="A144" s="14" t="s">
        <v>1223</v>
      </c>
      <c r="B144" s="453">
        <f t="shared" si="10"/>
        <v>36</v>
      </c>
      <c r="C144" s="204">
        <f t="shared" si="11"/>
        <v>2.5787965616045847</v>
      </c>
      <c r="E144" s="859">
        <v>24</v>
      </c>
      <c r="F144" s="204">
        <f t="shared" si="12"/>
        <v>66.666666666666657</v>
      </c>
      <c r="G144" s="859"/>
      <c r="H144" s="859">
        <v>11</v>
      </c>
      <c r="I144" s="204">
        <f t="shared" si="13"/>
        <v>30.555555555555557</v>
      </c>
      <c r="J144" s="859"/>
      <c r="K144" s="859">
        <v>1</v>
      </c>
      <c r="L144" s="204">
        <f t="shared" si="14"/>
        <v>2.7777777777777777</v>
      </c>
    </row>
    <row r="145" spans="1:12" ht="12.75" customHeight="1">
      <c r="A145" s="14" t="s">
        <v>1224</v>
      </c>
      <c r="B145" s="453">
        <f t="shared" si="10"/>
        <v>9</v>
      </c>
      <c r="C145" s="204">
        <f t="shared" si="11"/>
        <v>0.64469914040114618</v>
      </c>
      <c r="E145" s="859">
        <v>8</v>
      </c>
      <c r="F145" s="204">
        <f t="shared" si="12"/>
        <v>88.888888888888886</v>
      </c>
      <c r="G145" s="859"/>
      <c r="H145" s="859">
        <v>1</v>
      </c>
      <c r="I145" s="204">
        <f t="shared" si="13"/>
        <v>11.111111111111111</v>
      </c>
      <c r="J145" s="859"/>
      <c r="K145" s="859">
        <v>0</v>
      </c>
      <c r="L145" s="204">
        <f t="shared" si="14"/>
        <v>0</v>
      </c>
    </row>
    <row r="146" spans="1:12" ht="12.75" customHeight="1">
      <c r="A146" s="14" t="s">
        <v>1242</v>
      </c>
      <c r="B146" s="453">
        <f t="shared" si="10"/>
        <v>2</v>
      </c>
      <c r="C146" s="204">
        <f t="shared" si="11"/>
        <v>0.14326647564469913</v>
      </c>
      <c r="E146" s="859">
        <v>2</v>
      </c>
      <c r="F146" s="204">
        <f t="shared" si="12"/>
        <v>100</v>
      </c>
      <c r="G146" s="859"/>
      <c r="H146" s="859">
        <v>0</v>
      </c>
      <c r="I146" s="204">
        <f t="shared" si="13"/>
        <v>0</v>
      </c>
      <c r="J146" s="859"/>
      <c r="K146" s="859">
        <v>0</v>
      </c>
      <c r="L146" s="204">
        <f t="shared" si="14"/>
        <v>0</v>
      </c>
    </row>
    <row r="147" spans="1:12" ht="14" customHeight="1">
      <c r="A147" s="14" t="s">
        <v>1229</v>
      </c>
      <c r="B147" s="453">
        <f t="shared" si="10"/>
        <v>21</v>
      </c>
      <c r="C147" s="204">
        <f t="shared" si="11"/>
        <v>1.5042979942693409</v>
      </c>
      <c r="E147" s="859">
        <v>21</v>
      </c>
      <c r="F147" s="204">
        <f t="shared" si="12"/>
        <v>100</v>
      </c>
      <c r="G147" s="859"/>
      <c r="H147" s="859">
        <v>0</v>
      </c>
      <c r="I147" s="204">
        <f t="shared" si="13"/>
        <v>0</v>
      </c>
      <c r="J147" s="859"/>
      <c r="K147" s="859">
        <v>0</v>
      </c>
      <c r="L147" s="204">
        <f t="shared" si="14"/>
        <v>0</v>
      </c>
    </row>
    <row r="148" spans="1:12" ht="14" customHeight="1">
      <c r="A148" s="14" t="s">
        <v>1230</v>
      </c>
      <c r="B148" s="453">
        <f t="shared" si="10"/>
        <v>11</v>
      </c>
      <c r="C148" s="204">
        <f t="shared" si="11"/>
        <v>0.78796561604584525</v>
      </c>
      <c r="E148" s="859">
        <v>11</v>
      </c>
      <c r="F148" s="204">
        <f t="shared" si="12"/>
        <v>100</v>
      </c>
      <c r="G148" s="859"/>
      <c r="H148" s="859">
        <v>0</v>
      </c>
      <c r="I148" s="204">
        <f t="shared" si="13"/>
        <v>0</v>
      </c>
      <c r="J148" s="859"/>
      <c r="K148" s="859">
        <v>0</v>
      </c>
      <c r="L148" s="204">
        <f t="shared" si="14"/>
        <v>0</v>
      </c>
    </row>
    <row r="149" spans="1:12" ht="14" customHeight="1">
      <c r="A149" s="14" t="s">
        <v>1231</v>
      </c>
      <c r="B149" s="453">
        <f t="shared" si="10"/>
        <v>7</v>
      </c>
      <c r="C149" s="204">
        <f t="shared" si="11"/>
        <v>0.50143266475644699</v>
      </c>
      <c r="E149" s="859">
        <v>7</v>
      </c>
      <c r="F149" s="204">
        <f t="shared" si="12"/>
        <v>100</v>
      </c>
      <c r="G149" s="859"/>
      <c r="H149" s="859">
        <v>0</v>
      </c>
      <c r="I149" s="204">
        <f t="shared" si="13"/>
        <v>0</v>
      </c>
      <c r="J149" s="859"/>
      <c r="K149" s="859">
        <v>0</v>
      </c>
      <c r="L149" s="204">
        <f t="shared" si="14"/>
        <v>0</v>
      </c>
    </row>
    <row r="150" spans="1:12" ht="14" customHeight="1">
      <c r="A150" s="14" t="s">
        <v>1232</v>
      </c>
      <c r="B150" s="453">
        <f t="shared" si="10"/>
        <v>25</v>
      </c>
      <c r="C150" s="204">
        <f t="shared" si="11"/>
        <v>1.7908309455587392</v>
      </c>
      <c r="E150" s="859">
        <v>24</v>
      </c>
      <c r="F150" s="204">
        <f t="shared" si="12"/>
        <v>96</v>
      </c>
      <c r="G150" s="859"/>
      <c r="H150" s="859">
        <v>1</v>
      </c>
      <c r="I150" s="204">
        <f t="shared" si="13"/>
        <v>4</v>
      </c>
      <c r="J150" s="859"/>
      <c r="K150" s="859">
        <v>0</v>
      </c>
      <c r="L150" s="204">
        <f t="shared" si="14"/>
        <v>0</v>
      </c>
    </row>
    <row r="151" spans="1:12" ht="14" customHeight="1">
      <c r="A151" s="14" t="s">
        <v>1233</v>
      </c>
      <c r="B151" s="453">
        <f t="shared" si="10"/>
        <v>30</v>
      </c>
      <c r="C151" s="204">
        <f t="shared" si="11"/>
        <v>2.1489971346704868</v>
      </c>
      <c r="E151" s="859">
        <v>30</v>
      </c>
      <c r="F151" s="204">
        <f t="shared" si="12"/>
        <v>100</v>
      </c>
      <c r="G151" s="859"/>
      <c r="H151" s="859">
        <v>0</v>
      </c>
      <c r="I151" s="204">
        <f t="shared" si="13"/>
        <v>0</v>
      </c>
      <c r="J151" s="859"/>
      <c r="K151" s="859">
        <v>0</v>
      </c>
      <c r="L151" s="204">
        <f t="shared" si="14"/>
        <v>0</v>
      </c>
    </row>
    <row r="152" spans="1:12" ht="14" customHeight="1">
      <c r="A152" s="14" t="s">
        <v>1234</v>
      </c>
      <c r="B152" s="453">
        <f t="shared" si="10"/>
        <v>14</v>
      </c>
      <c r="C152" s="204">
        <f t="shared" si="11"/>
        <v>1.002865329512894</v>
      </c>
      <c r="E152" s="859">
        <v>14</v>
      </c>
      <c r="F152" s="204">
        <f t="shared" si="12"/>
        <v>100</v>
      </c>
      <c r="G152" s="859"/>
      <c r="H152" s="859">
        <v>0</v>
      </c>
      <c r="I152" s="204">
        <f t="shared" si="13"/>
        <v>0</v>
      </c>
      <c r="J152" s="859"/>
      <c r="K152" s="859">
        <v>0</v>
      </c>
      <c r="L152" s="204">
        <f t="shared" si="14"/>
        <v>0</v>
      </c>
    </row>
    <row r="153" spans="1:12" ht="14" customHeight="1">
      <c r="A153" s="14" t="s">
        <v>1236</v>
      </c>
      <c r="B153" s="453">
        <f t="shared" si="10"/>
        <v>40</v>
      </c>
      <c r="C153" s="204">
        <f t="shared" si="11"/>
        <v>2.8653295128939829</v>
      </c>
      <c r="E153" s="859">
        <v>40</v>
      </c>
      <c r="F153" s="204">
        <f t="shared" si="12"/>
        <v>100</v>
      </c>
      <c r="G153" s="859"/>
      <c r="H153" s="859">
        <v>0</v>
      </c>
      <c r="I153" s="204">
        <f t="shared" si="13"/>
        <v>0</v>
      </c>
      <c r="J153" s="859"/>
      <c r="K153" s="859">
        <v>0</v>
      </c>
      <c r="L153" s="204">
        <f t="shared" si="14"/>
        <v>0</v>
      </c>
    </row>
    <row r="154" spans="1:12" ht="14" customHeight="1">
      <c r="A154" s="14" t="s">
        <v>1235</v>
      </c>
      <c r="B154" s="453">
        <f t="shared" si="10"/>
        <v>10</v>
      </c>
      <c r="C154" s="204">
        <f t="shared" si="11"/>
        <v>0.71633237822349571</v>
      </c>
      <c r="E154" s="859">
        <v>10</v>
      </c>
      <c r="F154" s="204">
        <f t="shared" si="12"/>
        <v>100</v>
      </c>
      <c r="G154" s="859"/>
      <c r="H154" s="859">
        <v>0</v>
      </c>
      <c r="I154" s="204">
        <f t="shared" si="13"/>
        <v>0</v>
      </c>
      <c r="J154" s="859"/>
      <c r="K154" s="859">
        <v>0</v>
      </c>
      <c r="L154" s="204">
        <f t="shared" si="14"/>
        <v>0</v>
      </c>
    </row>
    <row r="155" spans="1:12" ht="14" customHeight="1">
      <c r="A155" s="14" t="s">
        <v>1239</v>
      </c>
      <c r="B155" s="453">
        <f t="shared" si="10"/>
        <v>10</v>
      </c>
      <c r="C155" s="204">
        <f>IF(A155&lt;&gt;0,B155/$B$11*100,"")</f>
        <v>0.71633237822349571</v>
      </c>
      <c r="E155" s="859">
        <v>10</v>
      </c>
      <c r="F155" s="204">
        <f t="shared" si="12"/>
        <v>100</v>
      </c>
      <c r="G155" s="859"/>
      <c r="H155" s="859">
        <v>0</v>
      </c>
      <c r="I155" s="204">
        <f t="shared" si="13"/>
        <v>0</v>
      </c>
      <c r="J155" s="859"/>
      <c r="K155" s="859">
        <v>0</v>
      </c>
      <c r="L155" s="204">
        <f t="shared" si="14"/>
        <v>0</v>
      </c>
    </row>
    <row r="156" spans="1:12" ht="14" customHeight="1">
      <c r="A156" s="14" t="s">
        <v>1237</v>
      </c>
      <c r="B156" s="453">
        <f t="shared" si="10"/>
        <v>24</v>
      </c>
      <c r="C156" s="204">
        <f t="shared" si="11"/>
        <v>1.7191977077363898</v>
      </c>
      <c r="E156" s="859">
        <v>21</v>
      </c>
      <c r="F156" s="204">
        <f t="shared" si="12"/>
        <v>87.5</v>
      </c>
      <c r="G156" s="859"/>
      <c r="H156" s="859">
        <v>2</v>
      </c>
      <c r="I156" s="204">
        <f t="shared" si="13"/>
        <v>8.3333333333333321</v>
      </c>
      <c r="J156" s="859"/>
      <c r="K156" s="859">
        <v>1</v>
      </c>
      <c r="L156" s="204">
        <f t="shared" si="14"/>
        <v>4.1666666666666661</v>
      </c>
    </row>
    <row r="157" spans="1:12" ht="14" customHeight="1">
      <c r="A157" s="14" t="s">
        <v>1240</v>
      </c>
      <c r="B157" s="453">
        <f t="shared" si="10"/>
        <v>19</v>
      </c>
      <c r="C157" s="204">
        <f t="shared" si="11"/>
        <v>1.361031518624642</v>
      </c>
      <c r="E157" s="859">
        <v>19</v>
      </c>
      <c r="F157" s="204">
        <f t="shared" si="12"/>
        <v>100</v>
      </c>
      <c r="G157" s="859"/>
      <c r="H157" s="859">
        <v>0</v>
      </c>
      <c r="I157" s="204">
        <f t="shared" si="13"/>
        <v>0</v>
      </c>
      <c r="J157" s="859"/>
      <c r="K157" s="859">
        <v>0</v>
      </c>
      <c r="L157" s="204">
        <f t="shared" si="14"/>
        <v>0</v>
      </c>
    </row>
    <row r="158" spans="1:12" ht="14" customHeight="1">
      <c r="A158" s="14" t="s">
        <v>1238</v>
      </c>
      <c r="B158" s="453">
        <f t="shared" si="10"/>
        <v>23</v>
      </c>
      <c r="C158" s="204">
        <f t="shared" si="11"/>
        <v>1.6475644699140399</v>
      </c>
      <c r="E158" s="859">
        <v>20</v>
      </c>
      <c r="F158" s="204">
        <f t="shared" si="12"/>
        <v>86.956521739130437</v>
      </c>
      <c r="G158" s="859"/>
      <c r="H158" s="859">
        <v>3</v>
      </c>
      <c r="I158" s="204">
        <f t="shared" si="13"/>
        <v>13.043478260869565</v>
      </c>
      <c r="J158" s="859"/>
      <c r="K158" s="859">
        <v>0</v>
      </c>
      <c r="L158" s="204">
        <f t="shared" si="14"/>
        <v>0</v>
      </c>
    </row>
    <row r="159" spans="1:12" ht="14" customHeight="1">
      <c r="A159" s="14" t="s">
        <v>1241</v>
      </c>
      <c r="B159" s="453">
        <f t="shared" si="10"/>
        <v>7</v>
      </c>
      <c r="C159" s="204">
        <f t="shared" si="11"/>
        <v>0.50143266475644699</v>
      </c>
      <c r="E159" s="859">
        <v>7</v>
      </c>
      <c r="F159" s="204">
        <f t="shared" si="12"/>
        <v>100</v>
      </c>
      <c r="G159" s="859"/>
      <c r="H159" s="859">
        <v>0</v>
      </c>
      <c r="I159" s="204">
        <f t="shared" si="13"/>
        <v>0</v>
      </c>
      <c r="J159" s="859"/>
      <c r="K159" s="859">
        <v>0</v>
      </c>
      <c r="L159" s="204">
        <f t="shared" si="14"/>
        <v>0</v>
      </c>
    </row>
    <row r="160" spans="1:12" ht="14" customHeight="1">
      <c r="A160" s="14"/>
      <c r="B160" s="453" t="str">
        <f t="shared" si="10"/>
        <v/>
      </c>
      <c r="C160" s="204" t="str">
        <f t="shared" si="11"/>
        <v/>
      </c>
      <c r="E160" s="14"/>
      <c r="F160" s="204" t="str">
        <f t="shared" si="12"/>
        <v/>
      </c>
      <c r="H160" s="455"/>
      <c r="I160" s="204" t="str">
        <f t="shared" si="13"/>
        <v/>
      </c>
      <c r="L160" s="204" t="str">
        <f t="shared" si="14"/>
        <v/>
      </c>
    </row>
    <row r="161" spans="1:13" ht="14" hidden="1" customHeight="1">
      <c r="A161" s="14" t="s">
        <v>1243</v>
      </c>
      <c r="B161" s="453">
        <f t="shared" si="10"/>
        <v>0</v>
      </c>
      <c r="C161" s="204">
        <f t="shared" si="11"/>
        <v>0</v>
      </c>
      <c r="E161" s="14">
        <f>SUM(E162:E163)</f>
        <v>0</v>
      </c>
      <c r="F161" s="204" t="e">
        <f t="shared" si="12"/>
        <v>#DIV/0!</v>
      </c>
      <c r="H161" s="14">
        <f>SUM(H162:H163)</f>
        <v>0</v>
      </c>
      <c r="I161" s="204" t="e">
        <f t="shared" si="13"/>
        <v>#DIV/0!</v>
      </c>
      <c r="L161" s="204" t="e">
        <f t="shared" si="14"/>
        <v>#DIV/0!</v>
      </c>
    </row>
    <row r="162" spans="1:13" ht="7.5" hidden="1" customHeight="1">
      <c r="A162" s="14"/>
      <c r="B162" s="453" t="str">
        <f t="shared" si="10"/>
        <v/>
      </c>
      <c r="C162" s="204" t="str">
        <f t="shared" si="11"/>
        <v/>
      </c>
      <c r="E162" s="14"/>
      <c r="F162" s="204" t="str">
        <f t="shared" si="12"/>
        <v/>
      </c>
      <c r="H162" s="455"/>
      <c r="I162" s="204" t="str">
        <f t="shared" si="13"/>
        <v/>
      </c>
      <c r="L162" s="204" t="str">
        <f t="shared" si="14"/>
        <v/>
      </c>
    </row>
    <row r="163" spans="1:13" ht="14" hidden="1" customHeight="1" thickBot="1">
      <c r="A163" s="14" t="s">
        <v>1244</v>
      </c>
      <c r="B163" s="453">
        <f t="shared" si="10"/>
        <v>0</v>
      </c>
      <c r="C163" s="204">
        <f t="shared" si="11"/>
        <v>0</v>
      </c>
      <c r="E163" s="14"/>
      <c r="F163" s="204" t="e">
        <f t="shared" si="12"/>
        <v>#DIV/0!</v>
      </c>
      <c r="H163" s="455"/>
      <c r="I163" s="204" t="e">
        <f t="shared" si="13"/>
        <v>#DIV/0!</v>
      </c>
      <c r="L163" s="204" t="e">
        <f t="shared" si="14"/>
        <v>#DIV/0!</v>
      </c>
    </row>
    <row r="164" spans="1:13" ht="10.5" hidden="1" customHeight="1">
      <c r="A164" s="14"/>
      <c r="B164" s="453" t="str">
        <f t="shared" si="10"/>
        <v/>
      </c>
      <c r="C164" s="204" t="str">
        <f t="shared" si="11"/>
        <v/>
      </c>
      <c r="E164" s="14"/>
      <c r="F164" s="204" t="str">
        <f t="shared" si="12"/>
        <v/>
      </c>
      <c r="H164" s="455"/>
      <c r="I164" s="204" t="str">
        <f t="shared" si="13"/>
        <v/>
      </c>
      <c r="L164" s="204" t="str">
        <f t="shared" si="14"/>
        <v/>
      </c>
    </row>
    <row r="165" spans="1:13" ht="14" customHeight="1">
      <c r="A165" s="17" t="s">
        <v>1279</v>
      </c>
      <c r="B165" s="488">
        <f t="shared" si="10"/>
        <v>4</v>
      </c>
      <c r="C165" s="451">
        <f t="shared" si="11"/>
        <v>0.28653295128939826</v>
      </c>
      <c r="D165" s="17"/>
      <c r="E165" s="17">
        <f>SUM(E167)</f>
        <v>3</v>
      </c>
      <c r="F165" s="451">
        <f t="shared" si="12"/>
        <v>75</v>
      </c>
      <c r="G165" s="17"/>
      <c r="H165" s="17">
        <f>SUM(H167)</f>
        <v>1</v>
      </c>
      <c r="I165" s="451">
        <f t="shared" si="13"/>
        <v>25</v>
      </c>
      <c r="J165" s="17"/>
      <c r="K165" s="17">
        <f>SUM(K167)</f>
        <v>0</v>
      </c>
      <c r="L165" s="451">
        <f t="shared" si="14"/>
        <v>0</v>
      </c>
    </row>
    <row r="166" spans="1:13" ht="7.5" customHeight="1">
      <c r="A166" s="14"/>
      <c r="B166" s="453" t="str">
        <f t="shared" si="10"/>
        <v/>
      </c>
      <c r="C166" s="204" t="str">
        <f t="shared" si="11"/>
        <v/>
      </c>
      <c r="E166" s="14"/>
      <c r="F166" s="204" t="str">
        <f t="shared" ref="F166:F176" si="15">IF($A166&lt;&gt;"",E166/$B166*100,"")</f>
        <v/>
      </c>
      <c r="H166" s="14"/>
      <c r="I166" s="204" t="str">
        <f t="shared" ref="I166:I176" si="16">IF($A166&lt;&gt;"",H166/$B166*100,"")</f>
        <v/>
      </c>
      <c r="L166" s="204" t="str">
        <f t="shared" si="14"/>
        <v/>
      </c>
    </row>
    <row r="167" spans="1:13" ht="14" customHeight="1">
      <c r="A167" s="14" t="s">
        <v>323</v>
      </c>
      <c r="B167" s="453">
        <f t="shared" si="10"/>
        <v>4</v>
      </c>
      <c r="C167" s="204">
        <f t="shared" si="11"/>
        <v>0.28653295128939826</v>
      </c>
      <c r="E167" s="14">
        <f>SUM(E168:E169)</f>
        <v>3</v>
      </c>
      <c r="F167" s="204">
        <f t="shared" si="15"/>
        <v>75</v>
      </c>
      <c r="H167" s="14">
        <f>SUM(H168:H169)</f>
        <v>1</v>
      </c>
      <c r="I167" s="204">
        <f t="shared" si="16"/>
        <v>25</v>
      </c>
      <c r="K167" s="14">
        <f>SUM(K168:K169)</f>
        <v>0</v>
      </c>
      <c r="L167" s="204">
        <f t="shared" si="14"/>
        <v>0</v>
      </c>
    </row>
    <row r="168" spans="1:13" ht="14" customHeight="1">
      <c r="A168" s="75" t="s">
        <v>1246</v>
      </c>
      <c r="B168" s="453">
        <f t="shared" ref="B168:B176" si="17">IF(A168&lt;&gt;"",E168+H168+K168,"")</f>
        <v>4</v>
      </c>
      <c r="C168" s="204">
        <f t="shared" ref="C168:C176" si="18">IF(A168&lt;&gt;0,B168/$B$11*100,"")</f>
        <v>0.28653295128939826</v>
      </c>
      <c r="E168" s="859">
        <v>3</v>
      </c>
      <c r="F168" s="204">
        <f t="shared" si="15"/>
        <v>75</v>
      </c>
      <c r="G168" s="859"/>
      <c r="H168" s="859">
        <v>1</v>
      </c>
      <c r="I168" s="204">
        <f t="shared" si="16"/>
        <v>25</v>
      </c>
      <c r="J168" s="484"/>
      <c r="K168" s="484"/>
      <c r="L168" s="204">
        <f t="shared" si="14"/>
        <v>0</v>
      </c>
    </row>
    <row r="169" spans="1:13" ht="14" hidden="1" customHeight="1">
      <c r="A169" s="75" t="s">
        <v>1280</v>
      </c>
      <c r="B169" s="453">
        <f t="shared" si="17"/>
        <v>0</v>
      </c>
      <c r="C169" s="204">
        <f t="shared" si="18"/>
        <v>0</v>
      </c>
      <c r="E169" s="14"/>
      <c r="F169" s="204" t="e">
        <f t="shared" si="15"/>
        <v>#DIV/0!</v>
      </c>
      <c r="H169" s="455"/>
      <c r="I169" s="204" t="e">
        <f t="shared" si="16"/>
        <v>#DIV/0!</v>
      </c>
      <c r="L169" s="204" t="e">
        <f t="shared" si="14"/>
        <v>#DIV/0!</v>
      </c>
    </row>
    <row r="170" spans="1:13" ht="8.25" customHeight="1">
      <c r="A170" s="75" t="s">
        <v>1247</v>
      </c>
      <c r="B170" s="453">
        <f t="shared" si="17"/>
        <v>0</v>
      </c>
      <c r="C170" s="204">
        <f t="shared" si="18"/>
        <v>0</v>
      </c>
      <c r="E170" s="14"/>
      <c r="H170" s="455"/>
      <c r="L170" s="204"/>
    </row>
    <row r="171" spans="1:13" ht="14" customHeight="1">
      <c r="A171" s="17" t="s">
        <v>1013</v>
      </c>
      <c r="B171" s="488">
        <f t="shared" si="17"/>
        <v>89</v>
      </c>
      <c r="C171" s="451">
        <f t="shared" si="18"/>
        <v>6.3753581661891117</v>
      </c>
      <c r="D171" s="451"/>
      <c r="E171" s="17">
        <f>SUM(E172:E176)</f>
        <v>85</v>
      </c>
      <c r="F171" s="451">
        <f t="shared" si="15"/>
        <v>95.50561797752809</v>
      </c>
      <c r="G171" s="451"/>
      <c r="H171" s="858">
        <f>SUM(H172:H176)</f>
        <v>1</v>
      </c>
      <c r="I171" s="451">
        <f t="shared" si="16"/>
        <v>1.1235955056179776</v>
      </c>
      <c r="J171" s="451"/>
      <c r="K171" s="858">
        <f>SUM(K172:K176)</f>
        <v>3</v>
      </c>
      <c r="L171" s="451">
        <f t="shared" si="14"/>
        <v>3.3707865168539324</v>
      </c>
      <c r="M171" s="204"/>
    </row>
    <row r="172" spans="1:13" ht="14" customHeight="1">
      <c r="A172" s="14" t="s">
        <v>424</v>
      </c>
      <c r="B172" s="453">
        <f t="shared" si="17"/>
        <v>39</v>
      </c>
      <c r="C172" s="204">
        <f t="shared" si="18"/>
        <v>2.7936962750716332</v>
      </c>
      <c r="D172" s="204"/>
      <c r="E172" s="859">
        <v>39</v>
      </c>
      <c r="F172" s="204">
        <f t="shared" si="15"/>
        <v>100</v>
      </c>
      <c r="G172" s="859"/>
      <c r="H172" s="859">
        <v>0</v>
      </c>
      <c r="I172" s="204">
        <f t="shared" si="16"/>
        <v>0</v>
      </c>
      <c r="J172" s="859"/>
      <c r="K172" s="859">
        <v>0</v>
      </c>
      <c r="L172" s="204">
        <f t="shared" si="14"/>
        <v>0</v>
      </c>
      <c r="M172" s="204"/>
    </row>
    <row r="173" spans="1:13" ht="14" customHeight="1">
      <c r="A173" s="14" t="s">
        <v>425</v>
      </c>
      <c r="B173" s="453">
        <f t="shared" si="17"/>
        <v>7</v>
      </c>
      <c r="C173" s="204">
        <f t="shared" si="18"/>
        <v>0.50143266475644699</v>
      </c>
      <c r="D173" s="204"/>
      <c r="E173" s="859">
        <v>6</v>
      </c>
      <c r="F173" s="204">
        <f t="shared" si="15"/>
        <v>85.714285714285708</v>
      </c>
      <c r="G173" s="859"/>
      <c r="H173" s="859">
        <v>1</v>
      </c>
      <c r="I173" s="204">
        <f t="shared" si="16"/>
        <v>14.285714285714285</v>
      </c>
      <c r="J173" s="859"/>
      <c r="K173" s="859">
        <v>0</v>
      </c>
      <c r="L173" s="204">
        <f t="shared" si="14"/>
        <v>0</v>
      </c>
      <c r="M173" s="204"/>
    </row>
    <row r="174" spans="1:13" ht="14" customHeight="1">
      <c r="A174" s="14" t="s">
        <v>426</v>
      </c>
      <c r="B174" s="453">
        <f t="shared" si="17"/>
        <v>25</v>
      </c>
      <c r="C174" s="204">
        <f t="shared" si="18"/>
        <v>1.7908309455587392</v>
      </c>
      <c r="D174" s="204"/>
      <c r="E174" s="859">
        <v>22</v>
      </c>
      <c r="F174" s="204">
        <f t="shared" si="15"/>
        <v>88</v>
      </c>
      <c r="G174" s="859"/>
      <c r="H174" s="859">
        <v>0</v>
      </c>
      <c r="I174" s="204">
        <f t="shared" si="16"/>
        <v>0</v>
      </c>
      <c r="J174" s="859"/>
      <c r="K174" s="859">
        <v>3</v>
      </c>
      <c r="L174" s="204">
        <f t="shared" si="14"/>
        <v>12</v>
      </c>
      <c r="M174" s="204"/>
    </row>
    <row r="175" spans="1:13" ht="14" customHeight="1">
      <c r="A175" s="14" t="s">
        <v>427</v>
      </c>
      <c r="B175" s="453">
        <f t="shared" si="17"/>
        <v>12</v>
      </c>
      <c r="C175" s="204">
        <f t="shared" si="18"/>
        <v>0.8595988538681949</v>
      </c>
      <c r="D175" s="204"/>
      <c r="E175" s="859">
        <v>12</v>
      </c>
      <c r="F175" s="204">
        <f t="shared" si="15"/>
        <v>100</v>
      </c>
      <c r="G175" s="859"/>
      <c r="H175" s="859">
        <v>0</v>
      </c>
      <c r="I175" s="204">
        <f t="shared" si="16"/>
        <v>0</v>
      </c>
      <c r="J175" s="859"/>
      <c r="K175" s="859">
        <v>0</v>
      </c>
      <c r="L175" s="204">
        <f t="shared" si="14"/>
        <v>0</v>
      </c>
      <c r="M175" s="204"/>
    </row>
    <row r="176" spans="1:13" ht="14" customHeight="1">
      <c r="A176" s="14" t="s">
        <v>587</v>
      </c>
      <c r="B176" s="453">
        <f t="shared" si="17"/>
        <v>6</v>
      </c>
      <c r="C176" s="204">
        <f t="shared" si="18"/>
        <v>0.42979942693409745</v>
      </c>
      <c r="D176" s="204"/>
      <c r="E176" s="859">
        <v>6</v>
      </c>
      <c r="F176" s="204">
        <f t="shared" si="15"/>
        <v>100</v>
      </c>
      <c r="G176" s="859"/>
      <c r="H176" s="859">
        <v>0</v>
      </c>
      <c r="I176" s="204">
        <f t="shared" si="16"/>
        <v>0</v>
      </c>
      <c r="J176" s="859"/>
      <c r="K176" s="859">
        <v>0</v>
      </c>
      <c r="L176" s="204">
        <f t="shared" si="14"/>
        <v>0</v>
      </c>
      <c r="M176" s="204"/>
    </row>
    <row r="177" spans="1:13" ht="10.5" customHeight="1" thickBot="1">
      <c r="A177" s="14"/>
      <c r="B177" s="14"/>
      <c r="C177" s="14"/>
      <c r="E177" s="14"/>
      <c r="H177" s="455"/>
    </row>
    <row r="178" spans="1:13" ht="6.75" customHeight="1">
      <c r="A178" s="376"/>
      <c r="B178" s="376"/>
      <c r="C178" s="376"/>
      <c r="D178" s="376"/>
      <c r="E178" s="441"/>
      <c r="F178" s="222"/>
      <c r="G178" s="376"/>
      <c r="H178" s="480"/>
      <c r="I178" s="222"/>
      <c r="J178" s="376"/>
      <c r="K178" s="376"/>
      <c r="L178" s="376"/>
      <c r="M178" s="376"/>
    </row>
    <row r="179" spans="1:13" ht="16">
      <c r="A179" s="203" t="s">
        <v>1984</v>
      </c>
      <c r="B179" s="58"/>
      <c r="C179" s="204"/>
      <c r="D179" s="12"/>
      <c r="E179" s="34"/>
      <c r="F179" s="24"/>
      <c r="G179" s="12"/>
      <c r="H179" s="34"/>
      <c r="I179" s="24"/>
      <c r="J179" s="12"/>
      <c r="K179" s="34"/>
      <c r="L179" s="24"/>
      <c r="M179" s="12"/>
    </row>
    <row r="180" spans="1:13" ht="12" customHeight="1">
      <c r="B180" s="14"/>
      <c r="C180" s="14"/>
    </row>
    <row r="181" spans="1:13">
      <c r="A181" s="33" t="s">
        <v>1254</v>
      </c>
      <c r="B181" s="14"/>
      <c r="C181" s="14"/>
    </row>
    <row r="182" spans="1:13">
      <c r="A182" s="33" t="s">
        <v>452</v>
      </c>
      <c r="B182" s="14"/>
      <c r="C182" s="14"/>
    </row>
    <row r="183" spans="1:13">
      <c r="B183" s="14"/>
      <c r="C183" s="14"/>
    </row>
    <row r="184" spans="1:13">
      <c r="B184" s="14"/>
      <c r="C184" s="14"/>
    </row>
    <row r="185" spans="1:13">
      <c r="B185" s="14"/>
      <c r="C185" s="14"/>
    </row>
    <row r="186" spans="1:13">
      <c r="B186" s="14"/>
      <c r="C186" s="14"/>
    </row>
    <row r="187" spans="1:13">
      <c r="B187" s="14"/>
      <c r="C187" s="14"/>
    </row>
    <row r="188" spans="1:13">
      <c r="B188" s="14"/>
      <c r="C188" s="14"/>
    </row>
    <row r="189" spans="1:13">
      <c r="B189" s="14"/>
      <c r="C189" s="14"/>
    </row>
    <row r="190" spans="1:13">
      <c r="B190" s="14"/>
      <c r="C190" s="14"/>
    </row>
    <row r="191" spans="1:13">
      <c r="B191" s="14"/>
      <c r="C191" s="14"/>
    </row>
    <row r="192" spans="1:13">
      <c r="B192" s="14"/>
      <c r="C192" s="14"/>
    </row>
    <row r="193" spans="2:3">
      <c r="B193" s="14"/>
      <c r="C193" s="14"/>
    </row>
    <row r="194" spans="2:3">
      <c r="B194" s="14"/>
      <c r="C194" s="14"/>
    </row>
    <row r="195" spans="2:3">
      <c r="B195" s="14"/>
      <c r="C195" s="14"/>
    </row>
    <row r="196" spans="2:3">
      <c r="B196" s="14"/>
      <c r="C196" s="14"/>
    </row>
    <row r="197" spans="2:3">
      <c r="B197" s="14"/>
      <c r="C197" s="14"/>
    </row>
    <row r="198" spans="2:3">
      <c r="B198" s="14"/>
      <c r="C198" s="14"/>
    </row>
    <row r="199" spans="2:3">
      <c r="B199" s="14"/>
      <c r="C199" s="14"/>
    </row>
    <row r="200" spans="2:3">
      <c r="B200" s="14"/>
      <c r="C200" s="14"/>
    </row>
    <row r="201" spans="2:3">
      <c r="B201" s="14"/>
      <c r="C201" s="14"/>
    </row>
    <row r="202" spans="2:3">
      <c r="B202" s="14"/>
      <c r="C202" s="14"/>
    </row>
    <row r="203" spans="2:3">
      <c r="B203" s="14"/>
      <c r="C203" s="14"/>
    </row>
    <row r="204" spans="2:3">
      <c r="B204" s="14"/>
      <c r="C204" s="14"/>
    </row>
    <row r="205" spans="2:3">
      <c r="B205" s="14"/>
      <c r="C205" s="14"/>
    </row>
    <row r="206" spans="2:3">
      <c r="B206" s="14"/>
      <c r="C206" s="14"/>
    </row>
    <row r="207" spans="2:3">
      <c r="B207" s="14"/>
      <c r="C207" s="14"/>
    </row>
    <row r="208" spans="2:3">
      <c r="B208" s="14"/>
      <c r="C208" s="14"/>
    </row>
    <row r="209" spans="2:3">
      <c r="B209" s="14"/>
      <c r="C209" s="14"/>
    </row>
    <row r="210" spans="2:3">
      <c r="B210" s="14"/>
      <c r="C210" s="14"/>
    </row>
    <row r="211" spans="2:3">
      <c r="B211" s="14"/>
      <c r="C211" s="14"/>
    </row>
    <row r="212" spans="2:3">
      <c r="B212" s="14"/>
      <c r="C212" s="14"/>
    </row>
    <row r="213" spans="2:3">
      <c r="B213" s="14"/>
      <c r="C213" s="14"/>
    </row>
  </sheetData>
  <mergeCells count="4">
    <mergeCell ref="B7:C7"/>
    <mergeCell ref="E7:F7"/>
    <mergeCell ref="H7:I7"/>
    <mergeCell ref="K7:L7"/>
  </mergeCells>
  <conditionalFormatting sqref="A65523:XFD1048576 IW1:XFD65522">
    <cfRule type="cellIs" dxfId="37" priority="10" operator="equal">
      <formula>0</formula>
    </cfRule>
  </conditionalFormatting>
  <conditionalFormatting sqref="A113 A120:A157">
    <cfRule type="cellIs" dxfId="36" priority="9" operator="equal">
      <formula>0</formula>
    </cfRule>
  </conditionalFormatting>
  <conditionalFormatting sqref="A112">
    <cfRule type="cellIs" dxfId="35" priority="8" operator="equal">
      <formula>0</formula>
    </cfRule>
  </conditionalFormatting>
  <conditionalFormatting sqref="A114">
    <cfRule type="cellIs" dxfId="34" priority="7" operator="equal">
      <formula>0</formula>
    </cfRule>
  </conditionalFormatting>
  <conditionalFormatting sqref="A115">
    <cfRule type="cellIs" dxfId="33" priority="6" operator="equal">
      <formula>0</formula>
    </cfRule>
  </conditionalFormatting>
  <conditionalFormatting sqref="A116">
    <cfRule type="cellIs" dxfId="32" priority="5" operator="equal">
      <formula>0</formula>
    </cfRule>
  </conditionalFormatting>
  <conditionalFormatting sqref="A117:A118">
    <cfRule type="cellIs" dxfId="31" priority="4" operator="equal">
      <formula>0</formula>
    </cfRule>
  </conditionalFormatting>
  <conditionalFormatting sqref="A119">
    <cfRule type="cellIs" dxfId="30" priority="3" operator="equal">
      <formula>0</formula>
    </cfRule>
  </conditionalFormatting>
  <conditionalFormatting sqref="A158">
    <cfRule type="cellIs" dxfId="29" priority="2" operator="equal">
      <formula>0</formula>
    </cfRule>
  </conditionalFormatting>
  <conditionalFormatting sqref="A159">
    <cfRule type="cellIs" dxfId="28" priority="1" operator="equal">
      <formula>0</formula>
    </cfRule>
  </conditionalFormatting>
  <printOptions horizontalCentered="1" verticalCentered="1"/>
  <pageMargins left="0" right="0" top="0.39370078740157483" bottom="0.39370078740157483" header="0" footer="0.31496062992125984"/>
  <pageSetup scale="8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5" tint="-0.249977111117893"/>
  </sheetPr>
  <dimension ref="B1:K29"/>
  <sheetViews>
    <sheetView workbookViewId="0">
      <selection activeCell="J7" sqref="J7"/>
    </sheetView>
  </sheetViews>
  <sheetFormatPr baseColWidth="10" defaultRowHeight="15"/>
  <sheetData>
    <row r="1" spans="2:11" ht="12.75" customHeight="1"/>
    <row r="2" spans="2:11" ht="12.75" customHeight="1">
      <c r="J2" s="431"/>
    </row>
    <row r="3" spans="2:11" ht="12.75" customHeight="1">
      <c r="B3" s="33"/>
      <c r="C3" s="33"/>
      <c r="D3" s="33"/>
      <c r="H3" s="30"/>
    </row>
    <row r="4" spans="2:11" ht="12.75" customHeight="1">
      <c r="B4" s="436"/>
      <c r="C4" s="436"/>
      <c r="D4" s="436"/>
      <c r="E4" s="28"/>
      <c r="F4" s="28"/>
      <c r="H4" s="31"/>
      <c r="K4" s="32"/>
    </row>
    <row r="29" ht="13.5" customHeight="1"/>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Y205"/>
  <sheetViews>
    <sheetView workbookViewId="0">
      <selection activeCell="J7" sqref="J7"/>
    </sheetView>
  </sheetViews>
  <sheetFormatPr baseColWidth="10" defaultColWidth="11.5" defaultRowHeight="13"/>
  <cols>
    <col min="1" max="1" width="32.83203125" style="14" customWidth="1"/>
    <col min="2" max="2" width="8.5" style="242" customWidth="1"/>
    <col min="3" max="3" width="8.5" style="111" customWidth="1"/>
    <col min="4" max="4" width="1.5" style="14" customWidth="1"/>
    <col min="5" max="5" width="6.6640625" style="14" customWidth="1"/>
    <col min="6" max="6" width="7.33203125" style="242" customWidth="1"/>
    <col min="7" max="7" width="6.6640625" style="242" customWidth="1"/>
    <col min="8" max="8" width="7.33203125" style="204" customWidth="1"/>
    <col min="9" max="9" width="1.5" style="14" customWidth="1"/>
    <col min="10" max="10" width="6.6640625" style="14" customWidth="1"/>
    <col min="11" max="11" width="7.33203125" style="343" customWidth="1"/>
    <col min="12" max="12" width="6.6640625" style="343" customWidth="1"/>
    <col min="13" max="13" width="7.33203125" style="204" customWidth="1"/>
    <col min="14" max="14" width="1.5" style="14" customWidth="1"/>
    <col min="15" max="15" width="6.6640625" style="14" customWidth="1"/>
    <col min="16" max="16" width="7.33203125" style="14" customWidth="1"/>
    <col min="17" max="17" width="6.6640625" style="14" customWidth="1"/>
    <col min="18" max="18" width="7.33203125" style="14" customWidth="1"/>
    <col min="19" max="19" width="1.5" style="14" customWidth="1"/>
    <col min="20" max="20" width="6.6640625" style="14" customWidth="1"/>
    <col min="21" max="21" width="7.6640625" style="14" customWidth="1"/>
    <col min="22" max="22" width="6.5" style="14" customWidth="1"/>
    <col min="23" max="23" width="7.6640625" style="14" customWidth="1"/>
    <col min="24" max="24" width="1.5" style="111" customWidth="1"/>
    <col min="25" max="25" width="2.83203125" style="111" customWidth="1"/>
    <col min="26" max="16384" width="11.5" style="111"/>
  </cols>
  <sheetData>
    <row r="1" spans="1:25" ht="9" customHeight="1"/>
    <row r="2" spans="1:25">
      <c r="A2" s="14" t="s">
        <v>674</v>
      </c>
    </row>
    <row r="3" spans="1:25">
      <c r="A3" s="14" t="s">
        <v>1164</v>
      </c>
    </row>
    <row r="4" spans="1:25" ht="8.25" customHeight="1"/>
    <row r="5" spans="1:25">
      <c r="A5" s="14" t="s">
        <v>1985</v>
      </c>
    </row>
    <row r="6" spans="1:25" ht="8.25" customHeight="1" thickBot="1">
      <c r="B6" s="439"/>
      <c r="C6" s="64"/>
      <c r="D6" s="64"/>
      <c r="E6" s="64"/>
      <c r="F6" s="439"/>
      <c r="G6" s="439"/>
      <c r="H6" s="440"/>
      <c r="I6" s="64"/>
      <c r="J6" s="64"/>
      <c r="K6" s="486"/>
      <c r="L6" s="486"/>
      <c r="M6" s="440"/>
      <c r="N6" s="64"/>
      <c r="O6" s="64"/>
      <c r="P6" s="64"/>
      <c r="Q6" s="64"/>
      <c r="R6" s="64"/>
      <c r="S6" s="64"/>
      <c r="T6" s="64"/>
      <c r="U6" s="64"/>
      <c r="V6" s="64"/>
    </row>
    <row r="7" spans="1:25">
      <c r="A7" s="376"/>
      <c r="B7" s="441"/>
      <c r="C7" s="376"/>
      <c r="D7" s="376"/>
      <c r="E7" s="376"/>
      <c r="F7" s="441"/>
      <c r="G7" s="441"/>
      <c r="H7" s="222"/>
      <c r="I7" s="376"/>
      <c r="J7" s="376"/>
      <c r="K7" s="480"/>
      <c r="L7" s="480"/>
      <c r="M7" s="222"/>
      <c r="N7" s="376"/>
      <c r="O7" s="376"/>
      <c r="P7" s="376"/>
      <c r="Q7" s="376"/>
      <c r="R7" s="376"/>
      <c r="S7" s="376"/>
      <c r="T7" s="376"/>
      <c r="U7" s="376"/>
      <c r="V7" s="376"/>
      <c r="W7" s="376"/>
      <c r="X7" s="114"/>
    </row>
    <row r="8" spans="1:25" ht="15">
      <c r="A8" s="14" t="s">
        <v>1281</v>
      </c>
      <c r="B8" s="1034" t="s">
        <v>1269</v>
      </c>
      <c r="C8" s="1034"/>
      <c r="D8" s="75"/>
      <c r="E8" s="1049" t="s">
        <v>1282</v>
      </c>
      <c r="F8" s="1049"/>
      <c r="G8" s="1049"/>
      <c r="H8" s="1049"/>
      <c r="I8" s="75"/>
      <c r="J8" s="1049" t="s">
        <v>1283</v>
      </c>
      <c r="K8" s="1049"/>
      <c r="L8" s="1049"/>
      <c r="M8" s="1049"/>
      <c r="N8" s="75"/>
      <c r="O8" s="1049" t="s">
        <v>1986</v>
      </c>
      <c r="P8" s="1049"/>
      <c r="Q8" s="1049"/>
      <c r="R8" s="1049"/>
      <c r="S8" s="75"/>
      <c r="T8" s="1049" t="s">
        <v>678</v>
      </c>
      <c r="U8" s="1049"/>
      <c r="V8" s="1049"/>
      <c r="W8" s="1049"/>
      <c r="X8" s="121"/>
    </row>
    <row r="9" spans="1:25">
      <c r="A9" s="75" t="s">
        <v>1284</v>
      </c>
      <c r="B9" s="443" t="s">
        <v>1172</v>
      </c>
      <c r="C9" s="446" t="s">
        <v>401</v>
      </c>
      <c r="D9" s="249"/>
      <c r="E9" s="1051" t="s">
        <v>1162</v>
      </c>
      <c r="F9" s="1051"/>
      <c r="G9" s="1050" t="s">
        <v>1161</v>
      </c>
      <c r="H9" s="1050"/>
      <c r="I9" s="249"/>
      <c r="J9" s="1051" t="s">
        <v>1162</v>
      </c>
      <c r="K9" s="1051"/>
      <c r="L9" s="1050" t="s">
        <v>1161</v>
      </c>
      <c r="M9" s="1050"/>
      <c r="N9" s="249"/>
      <c r="O9" s="1051" t="s">
        <v>1162</v>
      </c>
      <c r="P9" s="1051"/>
      <c r="Q9" s="1050" t="s">
        <v>1161</v>
      </c>
      <c r="R9" s="1050"/>
      <c r="S9" s="249"/>
      <c r="T9" s="1051" t="s">
        <v>1162</v>
      </c>
      <c r="U9" s="1051"/>
      <c r="V9" s="1050" t="s">
        <v>1161</v>
      </c>
      <c r="W9" s="1050"/>
      <c r="X9" s="121"/>
    </row>
    <row r="10" spans="1:25">
      <c r="A10" s="75"/>
      <c r="B10" s="487"/>
      <c r="C10" s="249"/>
      <c r="D10" s="249"/>
      <c r="E10" s="481" t="s">
        <v>1172</v>
      </c>
      <c r="F10" s="224" t="s">
        <v>401</v>
      </c>
      <c r="G10" s="481" t="s">
        <v>1172</v>
      </c>
      <c r="H10" s="224" t="s">
        <v>401</v>
      </c>
      <c r="I10" s="249"/>
      <c r="J10" s="481" t="s">
        <v>1172</v>
      </c>
      <c r="K10" s="224" t="s">
        <v>401</v>
      </c>
      <c r="L10" s="481" t="s">
        <v>1172</v>
      </c>
      <c r="M10" s="224" t="s">
        <v>401</v>
      </c>
      <c r="N10" s="249"/>
      <c r="O10" s="481" t="s">
        <v>1172</v>
      </c>
      <c r="P10" s="224" t="s">
        <v>401</v>
      </c>
      <c r="Q10" s="481" t="s">
        <v>1172</v>
      </c>
      <c r="R10" s="224" t="s">
        <v>401</v>
      </c>
      <c r="S10" s="249"/>
      <c r="T10" s="481" t="s">
        <v>1172</v>
      </c>
      <c r="U10" s="224" t="s">
        <v>401</v>
      </c>
      <c r="V10" s="481" t="s">
        <v>1172</v>
      </c>
      <c r="W10" s="224" t="s">
        <v>401</v>
      </c>
      <c r="X10" s="121"/>
    </row>
    <row r="11" spans="1:25" ht="14" thickBot="1">
      <c r="A11" s="285"/>
      <c r="B11" s="457"/>
      <c r="C11" s="449"/>
      <c r="D11" s="449"/>
      <c r="E11" s="449"/>
      <c r="F11" s="457"/>
      <c r="G11" s="457"/>
      <c r="H11" s="448"/>
      <c r="I11" s="449"/>
      <c r="J11" s="449"/>
      <c r="K11" s="483"/>
      <c r="L11" s="483"/>
      <c r="M11" s="448"/>
      <c r="N11" s="449"/>
      <c r="O11" s="449"/>
      <c r="P11" s="449"/>
      <c r="Q11" s="460"/>
      <c r="R11" s="449"/>
      <c r="S11" s="449"/>
      <c r="T11" s="449"/>
      <c r="U11" s="449"/>
      <c r="V11" s="460"/>
      <c r="W11" s="449"/>
      <c r="X11" s="450"/>
    </row>
    <row r="12" spans="1:25" ht="6.75" customHeight="1">
      <c r="K12" s="461"/>
      <c r="L12" s="461"/>
      <c r="M12" s="146"/>
    </row>
    <row r="13" spans="1:25">
      <c r="A13" s="17" t="s">
        <v>402</v>
      </c>
      <c r="B13" s="488">
        <f>IF(A13&lt;&gt;"",E13+G13+J13+L13+O13+Q13+T13+V13,"")</f>
        <v>1867</v>
      </c>
      <c r="C13" s="337">
        <f>IF(B13&lt;&gt;"",F13+H13+K13+M13+P13+R13+U13+W13,"")</f>
        <v>100</v>
      </c>
      <c r="D13" s="17"/>
      <c r="E13" s="437">
        <f>SUM(E15+E192)</f>
        <v>100</v>
      </c>
      <c r="F13" s="451">
        <f>IF($A13&lt;&gt;"",E13/$B13*100,"")</f>
        <v>5.3561863952865556</v>
      </c>
      <c r="G13" s="437">
        <f>SUM(G15+G192)</f>
        <v>58</v>
      </c>
      <c r="H13" s="451">
        <f>IF($A13&lt;&gt;"",G13/$B13*100,"")</f>
        <v>3.1065881092662022</v>
      </c>
      <c r="I13" s="17"/>
      <c r="J13" s="437">
        <f>SUM(J15+J192)</f>
        <v>233</v>
      </c>
      <c r="K13" s="451">
        <f>IF($A13&lt;&gt;"",J13/$B13*100,"")</f>
        <v>12.479914301017676</v>
      </c>
      <c r="L13" s="437">
        <f>SUM(L15+L192)</f>
        <v>217</v>
      </c>
      <c r="M13" s="451">
        <f>IF($A13&lt;&gt;"",L13/$B13*100,"")</f>
        <v>11.622924477771827</v>
      </c>
      <c r="N13" s="17"/>
      <c r="O13" s="437">
        <f>SUM(O15+O192)</f>
        <v>309</v>
      </c>
      <c r="P13" s="451">
        <f>IF($A13&lt;&gt;"",O13/$B13*100,"")</f>
        <v>16.550615961435458</v>
      </c>
      <c r="Q13" s="437">
        <f>SUM(Q15+Q192)</f>
        <v>352</v>
      </c>
      <c r="R13" s="451">
        <f>IF($A13&lt;&gt;"",Q13/$B13*100,"")</f>
        <v>18.853776111408678</v>
      </c>
      <c r="S13" s="17"/>
      <c r="T13" s="437">
        <f>SUM(T15+T192)</f>
        <v>384</v>
      </c>
      <c r="U13" s="451">
        <f>IF($A13&lt;&gt;"",T13/$B13*100,"")</f>
        <v>20.567755757900375</v>
      </c>
      <c r="V13" s="437">
        <f>SUM(V15+V192)</f>
        <v>214</v>
      </c>
      <c r="W13" s="204">
        <f>IF($A13&lt;&gt;"",V13/$B13*100,"")</f>
        <v>11.46223888591323</v>
      </c>
      <c r="X13" s="121"/>
      <c r="Y13" s="139"/>
    </row>
    <row r="14" spans="1:25" ht="6.75" customHeight="1">
      <c r="B14" s="453" t="str">
        <f t="shared" ref="B14:B30" si="0">IF(A14&lt;&gt;"",E14+G14+J14+L14+O14+Q14+T14+V14,"")</f>
        <v/>
      </c>
      <c r="C14" s="204" t="str">
        <f t="shared" ref="C14:C85" si="1">IF(A14&lt;&gt;0,B14/$B$13*100,"")</f>
        <v/>
      </c>
      <c r="E14" s="242"/>
      <c r="F14" s="204" t="str">
        <f t="shared" ref="F14:F76" si="2">IF($A14&lt;&gt;"",E14/$B14*100,"")</f>
        <v/>
      </c>
      <c r="H14" s="204" t="str">
        <f t="shared" ref="H14:H76" si="3">IF($A14&lt;&gt;"",G14/$B14*100,"")</f>
        <v/>
      </c>
      <c r="J14" s="242"/>
      <c r="K14" s="204" t="str">
        <f t="shared" ref="K14:K76" si="4">IF($A14&lt;&gt;"",J14/$B14*100,"")</f>
        <v/>
      </c>
      <c r="L14" s="242"/>
      <c r="M14" s="204" t="str">
        <f t="shared" ref="M14:M76" si="5">IF($A14&lt;&gt;"",L14/$B14*100,"")</f>
        <v/>
      </c>
      <c r="O14" s="242"/>
      <c r="P14" s="204" t="str">
        <f t="shared" ref="P14:P76" si="6">IF($A14&lt;&gt;"",O14/$B14*100,"")</f>
        <v/>
      </c>
      <c r="Q14" s="242"/>
      <c r="R14" s="204" t="str">
        <f t="shared" ref="R14:R76" si="7">IF($A14&lt;&gt;"",Q14/$B14*100,"")</f>
        <v/>
      </c>
      <c r="T14" s="242"/>
      <c r="U14" s="204" t="str">
        <f t="shared" ref="U14:U76" si="8">IF($A14&lt;&gt;"",T14/$B14*100,"")</f>
        <v/>
      </c>
      <c r="V14" s="242"/>
      <c r="W14" s="204" t="str">
        <f t="shared" ref="W14:W80" si="9">IF($A14&lt;&gt;"",V14/$B14*100,"")</f>
        <v/>
      </c>
      <c r="X14" s="121"/>
    </row>
    <row r="15" spans="1:25">
      <c r="A15" s="17" t="s">
        <v>1285</v>
      </c>
      <c r="B15" s="488">
        <f t="shared" si="0"/>
        <v>1706</v>
      </c>
      <c r="C15" s="451">
        <f t="shared" si="1"/>
        <v>91.37653990358865</v>
      </c>
      <c r="D15" s="17"/>
      <c r="E15" s="437">
        <f>SUM(E17+E111+E175)</f>
        <v>92</v>
      </c>
      <c r="F15" s="451">
        <f t="shared" si="2"/>
        <v>5.3927315357561545</v>
      </c>
      <c r="G15" s="437">
        <f>SUM(G17+G111+G175)</f>
        <v>57</v>
      </c>
      <c r="H15" s="451">
        <f t="shared" si="3"/>
        <v>3.3411488862837047</v>
      </c>
      <c r="I15" s="17"/>
      <c r="J15" s="437">
        <f>SUM(J17+J111+J175)</f>
        <v>213</v>
      </c>
      <c r="K15" s="451">
        <f t="shared" si="4"/>
        <v>12.485345838218054</v>
      </c>
      <c r="L15" s="437">
        <f>SUM(L17+L111+L175)</f>
        <v>194</v>
      </c>
      <c r="M15" s="451">
        <f t="shared" si="5"/>
        <v>11.371629542790153</v>
      </c>
      <c r="N15" s="17"/>
      <c r="O15" s="336">
        <f>SUM(O17+O111+O175)</f>
        <v>270</v>
      </c>
      <c r="P15" s="451">
        <f t="shared" si="6"/>
        <v>15.826494724501758</v>
      </c>
      <c r="Q15" s="437">
        <f>SUM(Q17+Q111+Q175)</f>
        <v>306</v>
      </c>
      <c r="R15" s="451">
        <f t="shared" si="7"/>
        <v>17.936694021101992</v>
      </c>
      <c r="S15" s="17"/>
      <c r="T15" s="437">
        <f>SUM(T17+T111+T175)</f>
        <v>369</v>
      </c>
      <c r="U15" s="451">
        <f t="shared" si="8"/>
        <v>21.629542790152403</v>
      </c>
      <c r="V15" s="437">
        <f>SUM(V17+V111+V175)</f>
        <v>205</v>
      </c>
      <c r="W15" s="204">
        <f t="shared" si="9"/>
        <v>12.01641266119578</v>
      </c>
      <c r="X15" s="121"/>
      <c r="Y15" s="416"/>
    </row>
    <row r="16" spans="1:25" ht="6.75" customHeight="1">
      <c r="B16" s="453" t="str">
        <f t="shared" si="0"/>
        <v/>
      </c>
      <c r="C16" s="204" t="str">
        <f t="shared" si="1"/>
        <v/>
      </c>
      <c r="E16" s="242"/>
      <c r="F16" s="204" t="str">
        <f t="shared" si="2"/>
        <v/>
      </c>
      <c r="H16" s="204" t="str">
        <f t="shared" si="3"/>
        <v/>
      </c>
      <c r="J16" s="242"/>
      <c r="K16" s="204" t="str">
        <f t="shared" si="4"/>
        <v/>
      </c>
      <c r="L16" s="242"/>
      <c r="M16" s="204" t="str">
        <f t="shared" si="5"/>
        <v/>
      </c>
      <c r="O16" s="242"/>
      <c r="P16" s="204" t="str">
        <f t="shared" si="6"/>
        <v/>
      </c>
      <c r="Q16" s="242"/>
      <c r="R16" s="204" t="str">
        <f t="shared" si="7"/>
        <v/>
      </c>
      <c r="T16" s="242"/>
      <c r="U16" s="204" t="str">
        <f t="shared" si="8"/>
        <v/>
      </c>
      <c r="V16" s="242"/>
      <c r="W16" s="204" t="str">
        <f t="shared" si="9"/>
        <v/>
      </c>
      <c r="X16" s="121"/>
      <c r="Y16" s="139"/>
    </row>
    <row r="17" spans="1:25">
      <c r="A17" s="17" t="s">
        <v>1286</v>
      </c>
      <c r="B17" s="488">
        <f t="shared" si="0"/>
        <v>1158</v>
      </c>
      <c r="C17" s="451">
        <f t="shared" si="1"/>
        <v>62.024638457418312</v>
      </c>
      <c r="D17" s="17"/>
      <c r="E17" s="437">
        <f>SUM(E19+E32+E41+E70+E85+E99+E108+E109)</f>
        <v>34</v>
      </c>
      <c r="F17" s="451">
        <f t="shared" si="2"/>
        <v>2.9360967184801381</v>
      </c>
      <c r="G17" s="437">
        <f>SUM(G19+G32+G41+G70+G85+G99+G108+G109)</f>
        <v>12</v>
      </c>
      <c r="H17" s="451">
        <f t="shared" si="3"/>
        <v>1.0362694300518136</v>
      </c>
      <c r="I17" s="17"/>
      <c r="J17" s="437">
        <f>SUM(J19+J32+J41+J70+J85+J99+J108+J109)</f>
        <v>126</v>
      </c>
      <c r="K17" s="451">
        <f t="shared" si="4"/>
        <v>10.880829015544041</v>
      </c>
      <c r="L17" s="437">
        <f>SUM(L19+L32+L41+L70+L85+L99+L108+L109)</f>
        <v>100</v>
      </c>
      <c r="M17" s="451">
        <f t="shared" si="5"/>
        <v>8.6355785837651116</v>
      </c>
      <c r="N17" s="17"/>
      <c r="O17" s="437">
        <f>SUM(O19+O32+O41+O70+O85+O99+O108+O109)</f>
        <v>202</v>
      </c>
      <c r="P17" s="451">
        <f t="shared" si="6"/>
        <v>17.443868739205527</v>
      </c>
      <c r="Q17" s="437">
        <f>SUM(Q19+Q32+Q41+Q70+Q85+Q99+Q108+Q109)</f>
        <v>224</v>
      </c>
      <c r="R17" s="451">
        <f t="shared" si="7"/>
        <v>19.343696027633854</v>
      </c>
      <c r="S17" s="17"/>
      <c r="T17" s="437">
        <f>SUM(T19+T32+T41+T70+T85+T99+T108+T109)</f>
        <v>298</v>
      </c>
      <c r="U17" s="451">
        <f t="shared" si="8"/>
        <v>25.734024179620036</v>
      </c>
      <c r="V17" s="437">
        <f>SUM(V19+V32+V41+V70+V85+V99+V108+V109)</f>
        <v>162</v>
      </c>
      <c r="W17" s="204">
        <f t="shared" si="9"/>
        <v>13.989637305699482</v>
      </c>
      <c r="X17" s="121"/>
    </row>
    <row r="18" spans="1:25" ht="6.75" customHeight="1">
      <c r="B18" s="242" t="str">
        <f t="shared" si="0"/>
        <v/>
      </c>
      <c r="C18" s="204" t="str">
        <f t="shared" si="1"/>
        <v/>
      </c>
      <c r="E18" s="242"/>
      <c r="F18" s="451" t="str">
        <f t="shared" si="2"/>
        <v/>
      </c>
      <c r="H18" s="451" t="str">
        <f t="shared" si="3"/>
        <v/>
      </c>
      <c r="J18" s="242"/>
      <c r="K18" s="204" t="str">
        <f t="shared" si="4"/>
        <v/>
      </c>
      <c r="L18" s="242"/>
      <c r="M18" s="204" t="str">
        <f t="shared" si="5"/>
        <v/>
      </c>
      <c r="O18" s="242"/>
      <c r="P18" s="204" t="str">
        <f t="shared" si="6"/>
        <v/>
      </c>
      <c r="Q18" s="242"/>
      <c r="R18" s="204" t="str">
        <f t="shared" si="7"/>
        <v/>
      </c>
      <c r="T18" s="242"/>
      <c r="U18" s="204" t="str">
        <f t="shared" si="8"/>
        <v/>
      </c>
      <c r="V18" s="242"/>
      <c r="W18" s="204" t="str">
        <f t="shared" si="9"/>
        <v/>
      </c>
      <c r="X18" s="121"/>
    </row>
    <row r="19" spans="1:25">
      <c r="A19" s="17" t="s">
        <v>680</v>
      </c>
      <c r="B19" s="242">
        <f t="shared" si="0"/>
        <v>76</v>
      </c>
      <c r="C19" s="204">
        <f t="shared" si="1"/>
        <v>4.0707016604177824</v>
      </c>
      <c r="E19" s="242">
        <f>SUM(E20+E26)</f>
        <v>0</v>
      </c>
      <c r="F19" s="204">
        <f t="shared" si="2"/>
        <v>0</v>
      </c>
      <c r="G19" s="242">
        <f>SUM(G20+G26)</f>
        <v>0</v>
      </c>
      <c r="H19" s="204">
        <f t="shared" si="3"/>
        <v>0</v>
      </c>
      <c r="J19" s="343">
        <f>SUM(J20+J26)</f>
        <v>4</v>
      </c>
      <c r="K19" s="204">
        <f t="shared" si="4"/>
        <v>5.2631578947368416</v>
      </c>
      <c r="L19" s="242">
        <f>SUM(L20+L26)</f>
        <v>5</v>
      </c>
      <c r="M19" s="204">
        <f t="shared" si="5"/>
        <v>6.5789473684210522</v>
      </c>
      <c r="O19" s="343">
        <f>SUM(O20+O26)</f>
        <v>11</v>
      </c>
      <c r="P19" s="204">
        <f t="shared" si="6"/>
        <v>14.473684210526317</v>
      </c>
      <c r="Q19" s="242">
        <f>SUM(Q20+Q26)</f>
        <v>23</v>
      </c>
      <c r="R19" s="204">
        <f t="shared" si="7"/>
        <v>30.263157894736842</v>
      </c>
      <c r="T19" s="343">
        <f>SUM(T20+T26)</f>
        <v>20</v>
      </c>
      <c r="U19" s="204">
        <f t="shared" si="8"/>
        <v>26.315789473684209</v>
      </c>
      <c r="V19" s="242">
        <f>SUM(V20+V26)</f>
        <v>13</v>
      </c>
      <c r="W19" s="204">
        <f t="shared" si="9"/>
        <v>17.105263157894736</v>
      </c>
      <c r="X19" s="121"/>
      <c r="Y19" s="138"/>
    </row>
    <row r="20" spans="1:25">
      <c r="A20" s="14" t="s">
        <v>162</v>
      </c>
      <c r="B20" s="242">
        <f t="shared" si="0"/>
        <v>16</v>
      </c>
      <c r="C20" s="204">
        <f t="shared" si="1"/>
        <v>0.85698982324584894</v>
      </c>
      <c r="E20" s="242">
        <f>SUM(E21:E24)</f>
        <v>0</v>
      </c>
      <c r="F20" s="204">
        <f t="shared" si="2"/>
        <v>0</v>
      </c>
      <c r="G20" s="242">
        <f>SUM(G21:G24)</f>
        <v>0</v>
      </c>
      <c r="H20" s="204">
        <f t="shared" si="3"/>
        <v>0</v>
      </c>
      <c r="J20" s="242">
        <f>SUM(J21:J24)</f>
        <v>0</v>
      </c>
      <c r="K20" s="204">
        <f t="shared" si="4"/>
        <v>0</v>
      </c>
      <c r="L20" s="242">
        <f>SUM(L21:L24)</f>
        <v>0</v>
      </c>
      <c r="M20" s="204">
        <f t="shared" si="5"/>
        <v>0</v>
      </c>
      <c r="O20" s="343">
        <f>SUM(O21:O24)</f>
        <v>3</v>
      </c>
      <c r="P20" s="204">
        <f t="shared" si="6"/>
        <v>18.75</v>
      </c>
      <c r="Q20" s="242">
        <f>SUM(Q21:Q24)</f>
        <v>7</v>
      </c>
      <c r="R20" s="204">
        <f t="shared" si="7"/>
        <v>43.75</v>
      </c>
      <c r="T20" s="242">
        <f>SUM(T21:T24)</f>
        <v>2</v>
      </c>
      <c r="U20" s="204">
        <f t="shared" si="8"/>
        <v>12.5</v>
      </c>
      <c r="V20" s="242">
        <f>SUM(V21:V24)</f>
        <v>4</v>
      </c>
      <c r="W20" s="204">
        <f t="shared" si="9"/>
        <v>25</v>
      </c>
      <c r="X20" s="121"/>
    </row>
    <row r="21" spans="1:25">
      <c r="A21" s="14" t="s">
        <v>1287</v>
      </c>
      <c r="B21" s="242">
        <f t="shared" si="0"/>
        <v>1</v>
      </c>
      <c r="C21" s="204">
        <f t="shared" si="1"/>
        <v>5.3561863952865559E-2</v>
      </c>
      <c r="E21" s="864"/>
      <c r="F21" s="204">
        <f t="shared" si="2"/>
        <v>0</v>
      </c>
      <c r="G21" s="864"/>
      <c r="H21" s="204">
        <f t="shared" si="3"/>
        <v>0</v>
      </c>
      <c r="I21" s="864"/>
      <c r="J21" s="864"/>
      <c r="K21" s="204">
        <f t="shared" si="4"/>
        <v>0</v>
      </c>
      <c r="L21" s="864"/>
      <c r="M21" s="204">
        <f t="shared" si="5"/>
        <v>0</v>
      </c>
      <c r="N21" s="864"/>
      <c r="O21" s="865"/>
      <c r="P21" s="204">
        <f t="shared" si="6"/>
        <v>0</v>
      </c>
      <c r="Q21" s="865"/>
      <c r="R21" s="204">
        <f t="shared" si="7"/>
        <v>0</v>
      </c>
      <c r="S21" s="865"/>
      <c r="T21" s="864"/>
      <c r="U21" s="204">
        <f t="shared" si="8"/>
        <v>0</v>
      </c>
      <c r="V21" s="866">
        <v>1</v>
      </c>
      <c r="W21" s="204">
        <f t="shared" si="9"/>
        <v>100</v>
      </c>
      <c r="X21" s="121"/>
    </row>
    <row r="22" spans="1:25">
      <c r="A22" s="14" t="s">
        <v>164</v>
      </c>
      <c r="B22" s="242">
        <f t="shared" si="0"/>
        <v>5</v>
      </c>
      <c r="C22" s="204">
        <f t="shared" si="1"/>
        <v>0.26780931976432781</v>
      </c>
      <c r="E22" s="864"/>
      <c r="F22" s="204">
        <f t="shared" si="2"/>
        <v>0</v>
      </c>
      <c r="G22" s="864"/>
      <c r="H22" s="204">
        <f t="shared" si="3"/>
        <v>0</v>
      </c>
      <c r="I22" s="864"/>
      <c r="J22" s="864"/>
      <c r="K22" s="204">
        <f t="shared" si="4"/>
        <v>0</v>
      </c>
      <c r="L22" s="864"/>
      <c r="M22" s="204">
        <f t="shared" si="5"/>
        <v>0</v>
      </c>
      <c r="N22" s="864"/>
      <c r="O22" s="864"/>
      <c r="P22" s="204">
        <f t="shared" si="6"/>
        <v>0</v>
      </c>
      <c r="Q22" s="866">
        <v>2</v>
      </c>
      <c r="R22" s="204">
        <f t="shared" si="7"/>
        <v>40</v>
      </c>
      <c r="S22" s="864"/>
      <c r="T22" s="866">
        <v>1</v>
      </c>
      <c r="U22" s="204">
        <f t="shared" si="8"/>
        <v>20</v>
      </c>
      <c r="V22" s="866">
        <v>2</v>
      </c>
      <c r="W22" s="204">
        <f t="shared" si="9"/>
        <v>40</v>
      </c>
    </row>
    <row r="23" spans="1:25">
      <c r="A23" s="14" t="s">
        <v>163</v>
      </c>
      <c r="B23" s="242">
        <f t="shared" si="0"/>
        <v>1</v>
      </c>
      <c r="C23" s="204">
        <f t="shared" si="1"/>
        <v>5.3561863952865559E-2</v>
      </c>
      <c r="E23" s="864"/>
      <c r="F23" s="204">
        <f t="shared" si="2"/>
        <v>0</v>
      </c>
      <c r="G23" s="864"/>
      <c r="H23" s="204">
        <f t="shared" si="3"/>
        <v>0</v>
      </c>
      <c r="I23" s="864"/>
      <c r="J23" s="864"/>
      <c r="K23" s="204">
        <f t="shared" si="4"/>
        <v>0</v>
      </c>
      <c r="L23" s="864"/>
      <c r="M23" s="204">
        <f t="shared" si="5"/>
        <v>0</v>
      </c>
      <c r="N23" s="864"/>
      <c r="O23" s="866"/>
      <c r="P23" s="204">
        <f t="shared" si="6"/>
        <v>0</v>
      </c>
      <c r="Q23" s="866">
        <v>1</v>
      </c>
      <c r="R23" s="204">
        <f t="shared" si="7"/>
        <v>100</v>
      </c>
      <c r="S23" s="866"/>
      <c r="T23" s="866"/>
      <c r="U23" s="204">
        <f t="shared" si="8"/>
        <v>0</v>
      </c>
      <c r="V23" s="866"/>
      <c r="W23" s="204">
        <f t="shared" si="9"/>
        <v>0</v>
      </c>
      <c r="X23" s="121"/>
    </row>
    <row r="24" spans="1:25">
      <c r="A24" s="14" t="s">
        <v>165</v>
      </c>
      <c r="B24" s="242">
        <f t="shared" si="0"/>
        <v>9</v>
      </c>
      <c r="C24" s="204">
        <f t="shared" si="1"/>
        <v>0.48205677557579002</v>
      </c>
      <c r="E24" s="864"/>
      <c r="F24" s="204">
        <f t="shared" si="2"/>
        <v>0</v>
      </c>
      <c r="G24" s="864"/>
      <c r="H24" s="204">
        <f t="shared" si="3"/>
        <v>0</v>
      </c>
      <c r="I24" s="864"/>
      <c r="J24" s="864"/>
      <c r="K24" s="204">
        <f t="shared" si="4"/>
        <v>0</v>
      </c>
      <c r="L24" s="864"/>
      <c r="M24" s="204">
        <f t="shared" si="5"/>
        <v>0</v>
      </c>
      <c r="N24" s="864"/>
      <c r="O24" s="866">
        <v>3</v>
      </c>
      <c r="P24" s="204">
        <f t="shared" si="6"/>
        <v>33.333333333333329</v>
      </c>
      <c r="Q24" s="866">
        <v>4</v>
      </c>
      <c r="R24" s="204">
        <f t="shared" si="7"/>
        <v>44.444444444444443</v>
      </c>
      <c r="S24" s="866"/>
      <c r="T24" s="866">
        <v>1</v>
      </c>
      <c r="U24" s="204">
        <f t="shared" si="8"/>
        <v>11.111111111111111</v>
      </c>
      <c r="V24" s="866">
        <v>1</v>
      </c>
      <c r="W24" s="204">
        <f t="shared" si="9"/>
        <v>11.111111111111111</v>
      </c>
      <c r="X24" s="121"/>
    </row>
    <row r="25" spans="1:25" ht="6.75" customHeight="1">
      <c r="B25" s="242" t="str">
        <f t="shared" si="0"/>
        <v/>
      </c>
      <c r="C25" s="204" t="str">
        <f t="shared" si="1"/>
        <v/>
      </c>
      <c r="E25" s="242"/>
      <c r="F25" s="204" t="str">
        <f t="shared" si="2"/>
        <v/>
      </c>
      <c r="H25" s="204" t="str">
        <f t="shared" si="3"/>
        <v/>
      </c>
      <c r="J25" s="242"/>
      <c r="K25" s="204" t="str">
        <f t="shared" si="4"/>
        <v/>
      </c>
      <c r="L25" s="242"/>
      <c r="M25" s="204" t="str">
        <f t="shared" si="5"/>
        <v/>
      </c>
      <c r="O25" s="242"/>
      <c r="P25" s="204" t="str">
        <f t="shared" si="6"/>
        <v/>
      </c>
      <c r="Q25" s="242"/>
      <c r="R25" s="204" t="str">
        <f t="shared" si="7"/>
        <v/>
      </c>
      <c r="T25" s="242"/>
      <c r="U25" s="204" t="str">
        <f t="shared" si="8"/>
        <v/>
      </c>
      <c r="V25" s="242"/>
      <c r="W25" s="204" t="str">
        <f t="shared" si="9"/>
        <v/>
      </c>
      <c r="X25" s="121"/>
    </row>
    <row r="26" spans="1:25">
      <c r="A26" s="14" t="s">
        <v>166</v>
      </c>
      <c r="B26" s="242">
        <f t="shared" si="0"/>
        <v>60</v>
      </c>
      <c r="C26" s="204">
        <f t="shared" si="1"/>
        <v>3.2137118371719335</v>
      </c>
      <c r="E26" s="343">
        <f>SUM(E27:E30)</f>
        <v>0</v>
      </c>
      <c r="F26" s="204">
        <f t="shared" si="2"/>
        <v>0</v>
      </c>
      <c r="G26" s="343">
        <f>SUM(G27:G30)</f>
        <v>0</v>
      </c>
      <c r="H26" s="204">
        <f t="shared" si="3"/>
        <v>0</v>
      </c>
      <c r="J26" s="343">
        <f>SUM(J27:J30)</f>
        <v>4</v>
      </c>
      <c r="K26" s="204">
        <f t="shared" si="4"/>
        <v>6.666666666666667</v>
      </c>
      <c r="L26" s="343">
        <f>SUM(L27:L30)</f>
        <v>5</v>
      </c>
      <c r="M26" s="204">
        <f t="shared" si="5"/>
        <v>8.3333333333333321</v>
      </c>
      <c r="O26" s="343">
        <f>SUM(O27:O30)</f>
        <v>8</v>
      </c>
      <c r="P26" s="204">
        <f t="shared" si="6"/>
        <v>13.333333333333334</v>
      </c>
      <c r="Q26" s="343">
        <f>SUM(Q27:Q30)</f>
        <v>16</v>
      </c>
      <c r="R26" s="204">
        <f t="shared" si="7"/>
        <v>26.666666666666668</v>
      </c>
      <c r="T26" s="343">
        <f>SUM(T27:T30)</f>
        <v>18</v>
      </c>
      <c r="U26" s="204">
        <f t="shared" si="8"/>
        <v>30</v>
      </c>
      <c r="V26" s="343">
        <f>SUM(V27:V30)</f>
        <v>9</v>
      </c>
      <c r="W26" s="204">
        <f t="shared" si="9"/>
        <v>15</v>
      </c>
      <c r="X26" s="121"/>
    </row>
    <row r="27" spans="1:25">
      <c r="A27" s="14" t="s">
        <v>1288</v>
      </c>
      <c r="B27" s="242">
        <f t="shared" si="0"/>
        <v>3</v>
      </c>
      <c r="C27" s="204">
        <f t="shared" si="1"/>
        <v>0.16068559185859668</v>
      </c>
      <c r="E27" s="867"/>
      <c r="F27" s="204">
        <f t="shared" si="2"/>
        <v>0</v>
      </c>
      <c r="G27" s="867"/>
      <c r="H27" s="204">
        <f t="shared" si="3"/>
        <v>0</v>
      </c>
      <c r="I27" s="867"/>
      <c r="J27" s="867"/>
      <c r="K27" s="204">
        <f t="shared" si="4"/>
        <v>0</v>
      </c>
      <c r="L27" s="867">
        <v>3</v>
      </c>
      <c r="M27" s="204">
        <f t="shared" si="5"/>
        <v>100</v>
      </c>
      <c r="N27" s="867"/>
      <c r="O27" s="867"/>
      <c r="P27" s="204">
        <f t="shared" si="6"/>
        <v>0</v>
      </c>
      <c r="Q27" s="867"/>
      <c r="R27" s="204">
        <f t="shared" si="7"/>
        <v>0</v>
      </c>
      <c r="S27" s="867"/>
      <c r="T27" s="867"/>
      <c r="U27" s="204">
        <f t="shared" si="8"/>
        <v>0</v>
      </c>
      <c r="V27" s="867"/>
      <c r="W27" s="204">
        <f t="shared" si="9"/>
        <v>0</v>
      </c>
      <c r="X27" s="867"/>
      <c r="Y27" s="867"/>
    </row>
    <row r="28" spans="1:25">
      <c r="A28" s="14" t="s">
        <v>167</v>
      </c>
      <c r="B28" s="242">
        <f t="shared" si="0"/>
        <v>26</v>
      </c>
      <c r="C28" s="204">
        <f t="shared" si="1"/>
        <v>1.3926084627745046</v>
      </c>
      <c r="E28" s="867"/>
      <c r="F28" s="204">
        <f t="shared" si="2"/>
        <v>0</v>
      </c>
      <c r="G28" s="867"/>
      <c r="H28" s="204">
        <f t="shared" si="3"/>
        <v>0</v>
      </c>
      <c r="I28" s="867"/>
      <c r="J28" s="867">
        <v>1</v>
      </c>
      <c r="K28" s="204">
        <f t="shared" si="4"/>
        <v>3.8461538461538463</v>
      </c>
      <c r="L28" s="867">
        <v>1</v>
      </c>
      <c r="M28" s="204">
        <f t="shared" si="5"/>
        <v>3.8461538461538463</v>
      </c>
      <c r="N28" s="867"/>
      <c r="O28" s="867">
        <v>4</v>
      </c>
      <c r="P28" s="204">
        <f t="shared" si="6"/>
        <v>15.384615384615385</v>
      </c>
      <c r="Q28" s="867">
        <v>8</v>
      </c>
      <c r="R28" s="204">
        <f t="shared" si="7"/>
        <v>30.76923076923077</v>
      </c>
      <c r="S28" s="867"/>
      <c r="T28" s="867">
        <v>8</v>
      </c>
      <c r="U28" s="204">
        <f t="shared" si="8"/>
        <v>30.76923076923077</v>
      </c>
      <c r="V28" s="867">
        <v>4</v>
      </c>
      <c r="W28" s="204">
        <f t="shared" si="9"/>
        <v>15.384615384615385</v>
      </c>
      <c r="X28" s="867"/>
      <c r="Y28" s="867"/>
    </row>
    <row r="29" spans="1:25">
      <c r="A29" s="14" t="s">
        <v>168</v>
      </c>
      <c r="B29" s="242">
        <f t="shared" si="0"/>
        <v>14</v>
      </c>
      <c r="C29" s="204">
        <f t="shared" si="1"/>
        <v>0.74986609534011783</v>
      </c>
      <c r="E29" s="867"/>
      <c r="F29" s="204">
        <f t="shared" si="2"/>
        <v>0</v>
      </c>
      <c r="G29" s="867"/>
      <c r="H29" s="204">
        <f t="shared" si="3"/>
        <v>0</v>
      </c>
      <c r="I29" s="867"/>
      <c r="J29" s="867">
        <v>2</v>
      </c>
      <c r="K29" s="204">
        <f t="shared" si="4"/>
        <v>14.285714285714285</v>
      </c>
      <c r="L29" s="867">
        <v>1</v>
      </c>
      <c r="M29" s="204">
        <f t="shared" si="5"/>
        <v>7.1428571428571423</v>
      </c>
      <c r="N29" s="867"/>
      <c r="O29" s="867">
        <v>1</v>
      </c>
      <c r="P29" s="204">
        <f t="shared" si="6"/>
        <v>7.1428571428571423</v>
      </c>
      <c r="Q29" s="867"/>
      <c r="R29" s="204">
        <f t="shared" si="7"/>
        <v>0</v>
      </c>
      <c r="S29" s="867"/>
      <c r="T29" s="867">
        <v>8</v>
      </c>
      <c r="U29" s="204">
        <f t="shared" si="8"/>
        <v>57.142857142857139</v>
      </c>
      <c r="V29" s="867">
        <v>2</v>
      </c>
      <c r="W29" s="867">
        <v>11</v>
      </c>
      <c r="X29" s="867"/>
      <c r="Y29" s="867"/>
    </row>
    <row r="30" spans="1:25">
      <c r="A30" s="14" t="s">
        <v>169</v>
      </c>
      <c r="B30" s="242">
        <f t="shared" si="0"/>
        <v>17</v>
      </c>
      <c r="C30" s="204">
        <f t="shared" si="1"/>
        <v>0.91055168719871449</v>
      </c>
      <c r="E30" s="867"/>
      <c r="F30" s="204">
        <f t="shared" si="2"/>
        <v>0</v>
      </c>
      <c r="G30" s="867"/>
      <c r="H30" s="204">
        <f t="shared" si="3"/>
        <v>0</v>
      </c>
      <c r="I30" s="867"/>
      <c r="J30" s="867">
        <v>1</v>
      </c>
      <c r="K30" s="204">
        <f t="shared" si="4"/>
        <v>5.8823529411764701</v>
      </c>
      <c r="L30" s="867"/>
      <c r="M30" s="204">
        <f t="shared" si="5"/>
        <v>0</v>
      </c>
      <c r="N30" s="867"/>
      <c r="O30" s="867">
        <v>3</v>
      </c>
      <c r="P30" s="204">
        <f t="shared" si="6"/>
        <v>17.647058823529413</v>
      </c>
      <c r="Q30" s="867">
        <v>8</v>
      </c>
      <c r="R30" s="204">
        <f t="shared" si="7"/>
        <v>47.058823529411761</v>
      </c>
      <c r="S30" s="867"/>
      <c r="T30" s="867">
        <v>2</v>
      </c>
      <c r="U30" s="204">
        <f t="shared" si="8"/>
        <v>11.76470588235294</v>
      </c>
      <c r="V30" s="867">
        <v>3</v>
      </c>
      <c r="W30" s="867">
        <v>6</v>
      </c>
      <c r="X30" s="867"/>
      <c r="Y30" s="867"/>
    </row>
    <row r="31" spans="1:25" ht="6.75" customHeight="1">
      <c r="C31" s="204"/>
      <c r="E31" s="242"/>
      <c r="F31" s="204" t="str">
        <f t="shared" si="2"/>
        <v/>
      </c>
      <c r="H31" s="204" t="str">
        <f t="shared" si="3"/>
        <v/>
      </c>
      <c r="J31" s="242"/>
      <c r="K31" s="204" t="str">
        <f t="shared" si="4"/>
        <v/>
      </c>
      <c r="L31" s="242"/>
      <c r="M31" s="204" t="str">
        <f t="shared" si="5"/>
        <v/>
      </c>
      <c r="O31" s="242"/>
      <c r="P31" s="204" t="str">
        <f t="shared" si="6"/>
        <v/>
      </c>
      <c r="Q31" s="242"/>
      <c r="R31" s="204" t="str">
        <f t="shared" si="7"/>
        <v/>
      </c>
      <c r="T31" s="242"/>
      <c r="U31" s="204" t="str">
        <f t="shared" si="8"/>
        <v/>
      </c>
      <c r="V31" s="242"/>
      <c r="W31" s="204"/>
      <c r="X31" s="121"/>
    </row>
    <row r="32" spans="1:25">
      <c r="A32" s="17" t="s">
        <v>681</v>
      </c>
      <c r="B32" s="242">
        <f t="shared" ref="B32:B83" si="10">IF(A32&lt;&gt;"",E32+G32+J32+L32+O32+Q32+T32+V32,"")</f>
        <v>213</v>
      </c>
      <c r="C32" s="204">
        <f t="shared" si="1"/>
        <v>11.408677021960365</v>
      </c>
      <c r="E32" s="243">
        <f>SUM(E33)</f>
        <v>12</v>
      </c>
      <c r="F32" s="204">
        <f t="shared" si="2"/>
        <v>5.6338028169014089</v>
      </c>
      <c r="G32" s="243">
        <f>SUM(G33)</f>
        <v>4</v>
      </c>
      <c r="H32" s="204">
        <f t="shared" si="3"/>
        <v>1.8779342723004695</v>
      </c>
      <c r="I32" s="75"/>
      <c r="J32" s="243">
        <f>SUM(J33)</f>
        <v>20</v>
      </c>
      <c r="K32" s="204">
        <f t="shared" si="4"/>
        <v>9.3896713615023462</v>
      </c>
      <c r="L32" s="243">
        <f>SUM(L33)</f>
        <v>2</v>
      </c>
      <c r="M32" s="204">
        <f t="shared" si="5"/>
        <v>0.93896713615023475</v>
      </c>
      <c r="N32" s="75"/>
      <c r="O32" s="243">
        <f>SUM(O33)</f>
        <v>27</v>
      </c>
      <c r="P32" s="204">
        <f t="shared" si="6"/>
        <v>12.676056338028168</v>
      </c>
      <c r="Q32" s="243">
        <f>SUM(Q33)</f>
        <v>15</v>
      </c>
      <c r="R32" s="204">
        <f t="shared" si="7"/>
        <v>7.042253521126761</v>
      </c>
      <c r="S32" s="75"/>
      <c r="T32" s="243">
        <f>SUM(T33)</f>
        <v>107</v>
      </c>
      <c r="U32" s="204">
        <f t="shared" si="8"/>
        <v>50.23474178403756</v>
      </c>
      <c r="V32" s="243">
        <f>SUM(V33)</f>
        <v>26</v>
      </c>
      <c r="W32" s="204">
        <f t="shared" si="9"/>
        <v>12.206572769953052</v>
      </c>
      <c r="X32" s="121"/>
    </row>
    <row r="33" spans="1:25">
      <c r="A33" s="14" t="s">
        <v>171</v>
      </c>
      <c r="B33" s="242">
        <f t="shared" si="10"/>
        <v>213</v>
      </c>
      <c r="C33" s="204">
        <f t="shared" si="1"/>
        <v>11.408677021960365</v>
      </c>
      <c r="E33" s="243">
        <f>SUM(E34:E39)</f>
        <v>12</v>
      </c>
      <c r="F33" s="204">
        <f t="shared" si="2"/>
        <v>5.6338028169014089</v>
      </c>
      <c r="G33" s="243">
        <f>SUM(G34:G39)</f>
        <v>4</v>
      </c>
      <c r="H33" s="204">
        <f t="shared" si="3"/>
        <v>1.8779342723004695</v>
      </c>
      <c r="I33" s="75"/>
      <c r="J33" s="243">
        <f>SUM(J34:J39)</f>
        <v>20</v>
      </c>
      <c r="K33" s="204">
        <f t="shared" si="4"/>
        <v>9.3896713615023462</v>
      </c>
      <c r="L33" s="243">
        <f>SUM(L34:L39)</f>
        <v>2</v>
      </c>
      <c r="M33" s="204">
        <f t="shared" si="5"/>
        <v>0.93896713615023475</v>
      </c>
      <c r="N33" s="75"/>
      <c r="O33" s="243">
        <f>SUM(O34:O39)</f>
        <v>27</v>
      </c>
      <c r="P33" s="204">
        <f t="shared" si="6"/>
        <v>12.676056338028168</v>
      </c>
      <c r="Q33" s="243">
        <f>SUM(Q34:Q39)</f>
        <v>15</v>
      </c>
      <c r="R33" s="204">
        <f t="shared" si="7"/>
        <v>7.042253521126761</v>
      </c>
      <c r="S33" s="75"/>
      <c r="T33" s="243">
        <f>SUM(T34:T39)</f>
        <v>107</v>
      </c>
      <c r="U33" s="204">
        <f t="shared" si="8"/>
        <v>50.23474178403756</v>
      </c>
      <c r="V33" s="243">
        <f>SUM(V34:V39)</f>
        <v>26</v>
      </c>
      <c r="W33" s="204">
        <f t="shared" si="9"/>
        <v>12.206572769953052</v>
      </c>
      <c r="X33" s="121"/>
    </row>
    <row r="34" spans="1:25" ht="12.75" hidden="1" customHeight="1">
      <c r="A34" s="14" t="s">
        <v>1289</v>
      </c>
      <c r="B34" s="242">
        <f t="shared" si="10"/>
        <v>0</v>
      </c>
      <c r="C34" s="204">
        <f t="shared" si="1"/>
        <v>0</v>
      </c>
      <c r="E34" s="111"/>
      <c r="F34" s="204" t="e">
        <f t="shared" si="2"/>
        <v>#DIV/0!</v>
      </c>
      <c r="G34" s="111"/>
      <c r="H34" s="204" t="e">
        <f t="shared" si="3"/>
        <v>#DIV/0!</v>
      </c>
      <c r="I34" s="111"/>
      <c r="J34" s="111"/>
      <c r="K34" s="204" t="e">
        <f t="shared" si="4"/>
        <v>#DIV/0!</v>
      </c>
      <c r="L34" s="111"/>
      <c r="M34" s="204" t="e">
        <f t="shared" si="5"/>
        <v>#DIV/0!</v>
      </c>
      <c r="N34" s="111"/>
      <c r="O34" s="111"/>
      <c r="P34" s="204" t="e">
        <f t="shared" si="6"/>
        <v>#DIV/0!</v>
      </c>
      <c r="Q34" s="111"/>
      <c r="R34" s="204" t="e">
        <f t="shared" si="7"/>
        <v>#DIV/0!</v>
      </c>
      <c r="S34" s="111"/>
      <c r="T34" s="111"/>
      <c r="U34" s="204" t="e">
        <f t="shared" si="8"/>
        <v>#DIV/0!</v>
      </c>
      <c r="V34" s="111"/>
      <c r="W34" s="204" t="e">
        <f t="shared" si="9"/>
        <v>#DIV/0!</v>
      </c>
      <c r="X34" s="121"/>
    </row>
    <row r="35" spans="1:25">
      <c r="A35" s="14" t="s">
        <v>172</v>
      </c>
      <c r="B35" s="242">
        <f t="shared" si="10"/>
        <v>46</v>
      </c>
      <c r="C35" s="204">
        <f t="shared" si="1"/>
        <v>2.4638457418318156</v>
      </c>
      <c r="E35" s="867"/>
      <c r="F35" s="204">
        <f t="shared" si="2"/>
        <v>0</v>
      </c>
      <c r="G35" s="867"/>
      <c r="H35" s="204">
        <f t="shared" si="3"/>
        <v>0</v>
      </c>
      <c r="I35" s="867"/>
      <c r="J35" s="867">
        <v>4</v>
      </c>
      <c r="K35" s="204">
        <f t="shared" si="4"/>
        <v>8.695652173913043</v>
      </c>
      <c r="L35" s="867">
        <v>1</v>
      </c>
      <c r="M35" s="204">
        <f t="shared" si="5"/>
        <v>2.1739130434782608</v>
      </c>
      <c r="N35" s="867"/>
      <c r="O35" s="867">
        <v>6</v>
      </c>
      <c r="P35" s="204">
        <f t="shared" si="6"/>
        <v>13.043478260869565</v>
      </c>
      <c r="Q35" s="867">
        <v>6</v>
      </c>
      <c r="R35" s="204">
        <f t="shared" si="7"/>
        <v>13.043478260869565</v>
      </c>
      <c r="S35" s="867"/>
      <c r="T35" s="867">
        <v>20</v>
      </c>
      <c r="U35" s="204">
        <f t="shared" si="8"/>
        <v>43.478260869565219</v>
      </c>
      <c r="V35" s="867">
        <v>9</v>
      </c>
      <c r="W35" s="867">
        <v>30</v>
      </c>
      <c r="X35" s="867"/>
      <c r="Y35" s="867"/>
    </row>
    <row r="36" spans="1:25">
      <c r="A36" s="14" t="s">
        <v>173</v>
      </c>
      <c r="B36" s="242">
        <f t="shared" si="10"/>
        <v>48</v>
      </c>
      <c r="C36" s="204">
        <f t="shared" si="1"/>
        <v>2.5709694697375469</v>
      </c>
      <c r="E36" s="867">
        <v>3</v>
      </c>
      <c r="F36" s="204">
        <f t="shared" si="2"/>
        <v>6.25</v>
      </c>
      <c r="G36" s="867">
        <v>1</v>
      </c>
      <c r="H36" s="204">
        <f t="shared" si="3"/>
        <v>2.083333333333333</v>
      </c>
      <c r="I36" s="867"/>
      <c r="J36" s="867">
        <v>1</v>
      </c>
      <c r="K36" s="204">
        <f t="shared" si="4"/>
        <v>2.083333333333333</v>
      </c>
      <c r="L36" s="867"/>
      <c r="M36" s="204">
        <f t="shared" si="5"/>
        <v>0</v>
      </c>
      <c r="N36" s="867"/>
      <c r="O36" s="867">
        <v>7</v>
      </c>
      <c r="P36" s="204">
        <f t="shared" si="6"/>
        <v>14.583333333333334</v>
      </c>
      <c r="Q36" s="867">
        <v>2</v>
      </c>
      <c r="R36" s="204">
        <f t="shared" si="7"/>
        <v>4.1666666666666661</v>
      </c>
      <c r="S36" s="867"/>
      <c r="T36" s="867">
        <v>29</v>
      </c>
      <c r="U36" s="204">
        <f t="shared" si="8"/>
        <v>60.416666666666664</v>
      </c>
      <c r="V36" s="867">
        <v>5</v>
      </c>
      <c r="W36" s="867">
        <v>40</v>
      </c>
      <c r="X36" s="867"/>
      <c r="Y36" s="867"/>
    </row>
    <row r="37" spans="1:25">
      <c r="A37" s="14" t="s">
        <v>174</v>
      </c>
      <c r="B37" s="242">
        <f t="shared" si="10"/>
        <v>32</v>
      </c>
      <c r="C37" s="204">
        <f t="shared" si="1"/>
        <v>1.7139796464916979</v>
      </c>
      <c r="E37" s="867">
        <v>5</v>
      </c>
      <c r="F37" s="204">
        <f t="shared" si="2"/>
        <v>15.625</v>
      </c>
      <c r="G37" s="867">
        <v>1</v>
      </c>
      <c r="H37" s="204">
        <f t="shared" si="3"/>
        <v>3.125</v>
      </c>
      <c r="I37" s="867"/>
      <c r="J37" s="867">
        <v>2</v>
      </c>
      <c r="K37" s="204">
        <f t="shared" si="4"/>
        <v>6.25</v>
      </c>
      <c r="L37" s="867"/>
      <c r="M37" s="204">
        <f t="shared" si="5"/>
        <v>0</v>
      </c>
      <c r="N37" s="867"/>
      <c r="O37" s="867">
        <v>6</v>
      </c>
      <c r="P37" s="204">
        <f t="shared" si="6"/>
        <v>18.75</v>
      </c>
      <c r="Q37" s="867">
        <v>3</v>
      </c>
      <c r="R37" s="204">
        <f t="shared" si="7"/>
        <v>9.375</v>
      </c>
      <c r="S37" s="867"/>
      <c r="T37" s="867">
        <v>10</v>
      </c>
      <c r="U37" s="204">
        <f t="shared" si="8"/>
        <v>31.25</v>
      </c>
      <c r="V37" s="867">
        <v>5</v>
      </c>
      <c r="W37" s="867">
        <v>23</v>
      </c>
      <c r="X37" s="867"/>
      <c r="Y37" s="867"/>
    </row>
    <row r="38" spans="1:25">
      <c r="A38" s="14" t="s">
        <v>175</v>
      </c>
      <c r="B38" s="242">
        <f t="shared" si="10"/>
        <v>40</v>
      </c>
      <c r="C38" s="204">
        <f t="shared" si="1"/>
        <v>2.1424745581146225</v>
      </c>
      <c r="E38" s="867">
        <v>2</v>
      </c>
      <c r="F38" s="204">
        <f t="shared" si="2"/>
        <v>5</v>
      </c>
      <c r="G38" s="867"/>
      <c r="H38" s="204">
        <f t="shared" si="3"/>
        <v>0</v>
      </c>
      <c r="I38" s="867"/>
      <c r="J38" s="867">
        <v>7</v>
      </c>
      <c r="K38" s="204">
        <f t="shared" si="4"/>
        <v>17.5</v>
      </c>
      <c r="L38" s="867">
        <v>1</v>
      </c>
      <c r="M38" s="204">
        <f t="shared" si="5"/>
        <v>2.5</v>
      </c>
      <c r="N38" s="867"/>
      <c r="O38" s="867">
        <v>1</v>
      </c>
      <c r="P38" s="204">
        <f t="shared" si="6"/>
        <v>2.5</v>
      </c>
      <c r="Q38" s="867">
        <v>1</v>
      </c>
      <c r="R38" s="204">
        <f t="shared" si="7"/>
        <v>2.5</v>
      </c>
      <c r="S38" s="867"/>
      <c r="T38" s="867">
        <v>28</v>
      </c>
      <c r="U38" s="204">
        <f t="shared" si="8"/>
        <v>70</v>
      </c>
      <c r="V38" s="867"/>
      <c r="W38" s="867">
        <v>38</v>
      </c>
      <c r="X38" s="867"/>
      <c r="Y38" s="867"/>
    </row>
    <row r="39" spans="1:25">
      <c r="A39" s="14" t="s">
        <v>176</v>
      </c>
      <c r="B39" s="242">
        <f t="shared" si="10"/>
        <v>47</v>
      </c>
      <c r="C39" s="204">
        <f t="shared" si="1"/>
        <v>2.5174076057846815</v>
      </c>
      <c r="E39" s="867">
        <v>2</v>
      </c>
      <c r="F39" s="204">
        <f t="shared" si="2"/>
        <v>4.2553191489361701</v>
      </c>
      <c r="G39" s="867">
        <v>2</v>
      </c>
      <c r="H39" s="204">
        <f t="shared" si="3"/>
        <v>4.2553191489361701</v>
      </c>
      <c r="I39" s="867"/>
      <c r="J39" s="867">
        <v>6</v>
      </c>
      <c r="K39" s="204">
        <f t="shared" si="4"/>
        <v>12.76595744680851</v>
      </c>
      <c r="L39" s="867"/>
      <c r="M39" s="204">
        <f t="shared" si="5"/>
        <v>0</v>
      </c>
      <c r="N39" s="867"/>
      <c r="O39" s="867">
        <v>7</v>
      </c>
      <c r="P39" s="204">
        <f t="shared" si="6"/>
        <v>14.893617021276595</v>
      </c>
      <c r="Q39" s="867">
        <v>3</v>
      </c>
      <c r="R39" s="204">
        <f t="shared" si="7"/>
        <v>6.3829787234042552</v>
      </c>
      <c r="S39" s="867"/>
      <c r="T39" s="867">
        <v>20</v>
      </c>
      <c r="U39" s="204">
        <f t="shared" si="8"/>
        <v>42.553191489361701</v>
      </c>
      <c r="V39" s="867">
        <v>7</v>
      </c>
      <c r="W39" s="867">
        <v>35</v>
      </c>
      <c r="X39" s="867"/>
      <c r="Y39" s="867"/>
    </row>
    <row r="40" spans="1:25" ht="6.75" customHeight="1">
      <c r="B40" s="242" t="str">
        <f t="shared" si="10"/>
        <v/>
      </c>
      <c r="C40" s="204" t="str">
        <f t="shared" si="1"/>
        <v/>
      </c>
      <c r="E40" s="243"/>
      <c r="F40" s="204" t="str">
        <f t="shared" si="2"/>
        <v/>
      </c>
      <c r="G40" s="243"/>
      <c r="H40" s="204" t="str">
        <f t="shared" si="3"/>
        <v/>
      </c>
      <c r="I40" s="75"/>
      <c r="J40" s="243"/>
      <c r="K40" s="204" t="str">
        <f t="shared" si="4"/>
        <v/>
      </c>
      <c r="L40" s="243"/>
      <c r="M40" s="204" t="str">
        <f t="shared" si="5"/>
        <v/>
      </c>
      <c r="N40" s="75"/>
      <c r="O40" s="243"/>
      <c r="P40" s="204" t="str">
        <f t="shared" si="6"/>
        <v/>
      </c>
      <c r="Q40" s="243"/>
      <c r="R40" s="204" t="str">
        <f t="shared" si="7"/>
        <v/>
      </c>
      <c r="S40" s="75"/>
      <c r="T40" s="243"/>
      <c r="U40" s="204" t="str">
        <f t="shared" si="8"/>
        <v/>
      </c>
      <c r="V40" s="243"/>
      <c r="W40" s="204" t="str">
        <f t="shared" si="9"/>
        <v/>
      </c>
      <c r="X40" s="121"/>
    </row>
    <row r="41" spans="1:25">
      <c r="A41" s="17" t="s">
        <v>682</v>
      </c>
      <c r="B41" s="242">
        <f t="shared" si="10"/>
        <v>330</v>
      </c>
      <c r="C41" s="204">
        <f t="shared" si="1"/>
        <v>17.675415104445634</v>
      </c>
      <c r="E41" s="243">
        <f>SUM(E42+E49+E51+E62)</f>
        <v>10</v>
      </c>
      <c r="F41" s="204">
        <f t="shared" si="2"/>
        <v>3.0303030303030303</v>
      </c>
      <c r="G41" s="461">
        <f>SUM(G42+G49+G51+G62)</f>
        <v>4</v>
      </c>
      <c r="H41" s="204">
        <f t="shared" si="3"/>
        <v>1.2121212121212122</v>
      </c>
      <c r="I41" s="75"/>
      <c r="J41" s="461">
        <f>SUM(J42+J49+J51+J62)</f>
        <v>23</v>
      </c>
      <c r="K41" s="204">
        <f t="shared" si="4"/>
        <v>6.9696969696969706</v>
      </c>
      <c r="L41" s="461">
        <f>SUM(L42+L49+L51+L62)</f>
        <v>30</v>
      </c>
      <c r="M41" s="204">
        <f t="shared" si="5"/>
        <v>9.0909090909090917</v>
      </c>
      <c r="N41" s="75"/>
      <c r="O41" s="461">
        <f>SUM(O42+O49+O51+O62)</f>
        <v>55</v>
      </c>
      <c r="P41" s="204">
        <f t="shared" si="6"/>
        <v>16.666666666666664</v>
      </c>
      <c r="Q41" s="243">
        <f>SUM(Q42+Q49+Q51+Q62)</f>
        <v>72</v>
      </c>
      <c r="R41" s="204">
        <f t="shared" si="7"/>
        <v>21.818181818181817</v>
      </c>
      <c r="S41" s="75"/>
      <c r="T41" s="243">
        <f>SUM(T42+T49+T51+T62)</f>
        <v>76</v>
      </c>
      <c r="U41" s="204">
        <f t="shared" si="8"/>
        <v>23.030303030303031</v>
      </c>
      <c r="V41" s="243">
        <f>SUM(V42+V49+V51+V62)</f>
        <v>60</v>
      </c>
      <c r="W41" s="204">
        <f t="shared" si="9"/>
        <v>18.181818181818183</v>
      </c>
      <c r="X41" s="121"/>
    </row>
    <row r="42" spans="1:25">
      <c r="A42" s="14" t="s">
        <v>178</v>
      </c>
      <c r="B42" s="242">
        <f t="shared" si="10"/>
        <v>63</v>
      </c>
      <c r="C42" s="204">
        <f t="shared" si="1"/>
        <v>3.3743974290305303</v>
      </c>
      <c r="E42" s="343">
        <f>SUM(E43:E47)</f>
        <v>4</v>
      </c>
      <c r="F42" s="204">
        <f t="shared" si="2"/>
        <v>6.3492063492063489</v>
      </c>
      <c r="G42" s="343">
        <f t="shared" ref="G42:V42" si="11">SUM(G43:G47)</f>
        <v>2</v>
      </c>
      <c r="H42" s="204">
        <f t="shared" si="3"/>
        <v>3.1746031746031744</v>
      </c>
      <c r="I42" s="343">
        <f t="shared" si="11"/>
        <v>0</v>
      </c>
      <c r="J42" s="343">
        <f t="shared" si="11"/>
        <v>5</v>
      </c>
      <c r="K42" s="204">
        <f t="shared" si="4"/>
        <v>7.9365079365079358</v>
      </c>
      <c r="L42" s="343">
        <f t="shared" si="11"/>
        <v>4</v>
      </c>
      <c r="M42" s="204">
        <f t="shared" si="5"/>
        <v>6.3492063492063489</v>
      </c>
      <c r="N42" s="343">
        <f t="shared" si="11"/>
        <v>0</v>
      </c>
      <c r="O42" s="343">
        <f t="shared" si="11"/>
        <v>12</v>
      </c>
      <c r="P42" s="204">
        <f t="shared" si="6"/>
        <v>19.047619047619047</v>
      </c>
      <c r="Q42" s="343">
        <f t="shared" si="11"/>
        <v>15</v>
      </c>
      <c r="R42" s="204">
        <f t="shared" si="7"/>
        <v>23.809523809523807</v>
      </c>
      <c r="S42" s="343">
        <f t="shared" si="11"/>
        <v>0</v>
      </c>
      <c r="T42" s="343">
        <f t="shared" si="11"/>
        <v>12</v>
      </c>
      <c r="U42" s="204">
        <f t="shared" si="8"/>
        <v>19.047619047619047</v>
      </c>
      <c r="V42" s="343">
        <f t="shared" si="11"/>
        <v>9</v>
      </c>
      <c r="W42" s="204">
        <f t="shared" si="9"/>
        <v>14.285714285714285</v>
      </c>
      <c r="X42" s="121"/>
    </row>
    <row r="43" spans="1:25">
      <c r="A43" s="14" t="s">
        <v>1290</v>
      </c>
      <c r="B43" s="242">
        <f t="shared" si="10"/>
        <v>1</v>
      </c>
      <c r="C43" s="204">
        <f t="shared" si="1"/>
        <v>5.3561863952865559E-2</v>
      </c>
      <c r="E43" s="867"/>
      <c r="F43" s="204">
        <f t="shared" si="2"/>
        <v>0</v>
      </c>
      <c r="G43" s="867"/>
      <c r="H43" s="204">
        <f t="shared" si="3"/>
        <v>0</v>
      </c>
      <c r="I43" s="867"/>
      <c r="J43" s="867"/>
      <c r="K43" s="204">
        <f t="shared" si="4"/>
        <v>0</v>
      </c>
      <c r="L43" s="867"/>
      <c r="M43" s="204">
        <f t="shared" si="5"/>
        <v>0</v>
      </c>
      <c r="N43" s="867"/>
      <c r="O43" s="867"/>
      <c r="P43" s="204">
        <f t="shared" si="6"/>
        <v>0</v>
      </c>
      <c r="Q43" s="867">
        <v>1</v>
      </c>
      <c r="R43" s="204">
        <f t="shared" si="7"/>
        <v>100</v>
      </c>
      <c r="S43" s="867"/>
      <c r="T43" s="867"/>
      <c r="U43" s="204">
        <f t="shared" si="8"/>
        <v>0</v>
      </c>
      <c r="V43" s="867"/>
      <c r="W43" s="204"/>
      <c r="X43" s="121"/>
    </row>
    <row r="44" spans="1:25">
      <c r="A44" s="14" t="s">
        <v>179</v>
      </c>
      <c r="B44" s="242">
        <f t="shared" si="10"/>
        <v>13</v>
      </c>
      <c r="C44" s="204">
        <f t="shared" si="1"/>
        <v>0.69630423138725228</v>
      </c>
      <c r="E44" s="867"/>
      <c r="F44" s="204">
        <f t="shared" si="2"/>
        <v>0</v>
      </c>
      <c r="G44" s="867"/>
      <c r="H44" s="204">
        <f t="shared" si="3"/>
        <v>0</v>
      </c>
      <c r="I44" s="867"/>
      <c r="J44" s="867">
        <v>1</v>
      </c>
      <c r="K44" s="204">
        <f t="shared" si="4"/>
        <v>7.6923076923076925</v>
      </c>
      <c r="L44" s="867">
        <v>1</v>
      </c>
      <c r="M44" s="204">
        <f t="shared" si="5"/>
        <v>7.6923076923076925</v>
      </c>
      <c r="N44" s="867"/>
      <c r="O44" s="867">
        <v>6</v>
      </c>
      <c r="P44" s="204">
        <f t="shared" si="6"/>
        <v>46.153846153846153</v>
      </c>
      <c r="Q44" s="867">
        <v>4</v>
      </c>
      <c r="R44" s="204">
        <f t="shared" si="7"/>
        <v>30.76923076923077</v>
      </c>
      <c r="S44" s="867"/>
      <c r="T44" s="867"/>
      <c r="U44" s="204">
        <f t="shared" si="8"/>
        <v>0</v>
      </c>
      <c r="V44" s="867">
        <v>1</v>
      </c>
      <c r="W44" s="204">
        <f t="shared" si="9"/>
        <v>7.6923076923076925</v>
      </c>
      <c r="X44" s="121"/>
    </row>
    <row r="45" spans="1:25">
      <c r="A45" s="14" t="s">
        <v>180</v>
      </c>
      <c r="B45" s="242">
        <f t="shared" si="10"/>
        <v>13</v>
      </c>
      <c r="C45" s="204">
        <f t="shared" si="1"/>
        <v>0.69630423138725228</v>
      </c>
      <c r="E45" s="867"/>
      <c r="F45" s="204">
        <f t="shared" si="2"/>
        <v>0</v>
      </c>
      <c r="G45" s="867"/>
      <c r="H45" s="204">
        <f t="shared" si="3"/>
        <v>0</v>
      </c>
      <c r="I45" s="867"/>
      <c r="J45" s="867"/>
      <c r="K45" s="204">
        <f t="shared" si="4"/>
        <v>0</v>
      </c>
      <c r="L45" s="867">
        <v>2</v>
      </c>
      <c r="M45" s="204">
        <f t="shared" si="5"/>
        <v>15.384615384615385</v>
      </c>
      <c r="N45" s="867"/>
      <c r="O45" s="867">
        <v>3</v>
      </c>
      <c r="P45" s="204">
        <f t="shared" si="6"/>
        <v>23.076923076923077</v>
      </c>
      <c r="Q45" s="867">
        <v>3</v>
      </c>
      <c r="R45" s="204">
        <f t="shared" si="7"/>
        <v>23.076923076923077</v>
      </c>
      <c r="S45" s="867"/>
      <c r="T45" s="867">
        <v>4</v>
      </c>
      <c r="U45" s="204">
        <f t="shared" si="8"/>
        <v>30.76923076923077</v>
      </c>
      <c r="V45" s="867">
        <v>1</v>
      </c>
      <c r="W45" s="204">
        <f t="shared" si="9"/>
        <v>7.6923076923076925</v>
      </c>
      <c r="X45" s="121"/>
    </row>
    <row r="46" spans="1:25">
      <c r="A46" s="14" t="s">
        <v>181</v>
      </c>
      <c r="B46" s="242">
        <f t="shared" si="10"/>
        <v>25</v>
      </c>
      <c r="C46" s="204">
        <f t="shared" si="1"/>
        <v>1.3390465988216389</v>
      </c>
      <c r="E46" s="867">
        <v>4</v>
      </c>
      <c r="F46" s="204">
        <f t="shared" si="2"/>
        <v>16</v>
      </c>
      <c r="G46" s="867">
        <v>2</v>
      </c>
      <c r="H46" s="204">
        <f t="shared" si="3"/>
        <v>8</v>
      </c>
      <c r="I46" s="867"/>
      <c r="J46" s="867">
        <v>4</v>
      </c>
      <c r="K46" s="204">
        <f t="shared" si="4"/>
        <v>16</v>
      </c>
      <c r="L46" s="867">
        <v>1</v>
      </c>
      <c r="M46" s="204">
        <f t="shared" si="5"/>
        <v>4</v>
      </c>
      <c r="N46" s="867"/>
      <c r="O46" s="867"/>
      <c r="P46" s="204">
        <f t="shared" si="6"/>
        <v>0</v>
      </c>
      <c r="Q46" s="867">
        <v>4</v>
      </c>
      <c r="R46" s="204">
        <f t="shared" si="7"/>
        <v>16</v>
      </c>
      <c r="S46" s="867"/>
      <c r="T46" s="867">
        <v>6</v>
      </c>
      <c r="U46" s="204">
        <f t="shared" si="8"/>
        <v>24</v>
      </c>
      <c r="V46" s="867">
        <v>4</v>
      </c>
      <c r="W46" s="204">
        <f t="shared" si="9"/>
        <v>16</v>
      </c>
      <c r="X46" s="121"/>
    </row>
    <row r="47" spans="1:25">
      <c r="A47" s="14" t="s">
        <v>182</v>
      </c>
      <c r="B47" s="242">
        <f t="shared" si="10"/>
        <v>11</v>
      </c>
      <c r="C47" s="204">
        <f t="shared" si="1"/>
        <v>0.58918050348152118</v>
      </c>
      <c r="E47" s="867"/>
      <c r="F47" s="204">
        <f t="shared" si="2"/>
        <v>0</v>
      </c>
      <c r="G47" s="867"/>
      <c r="H47" s="204">
        <f t="shared" si="3"/>
        <v>0</v>
      </c>
      <c r="I47" s="867"/>
      <c r="J47" s="867"/>
      <c r="K47" s="204">
        <f t="shared" si="4"/>
        <v>0</v>
      </c>
      <c r="L47" s="867"/>
      <c r="M47" s="204">
        <f t="shared" si="5"/>
        <v>0</v>
      </c>
      <c r="N47" s="867"/>
      <c r="O47" s="867">
        <v>3</v>
      </c>
      <c r="P47" s="204">
        <f t="shared" si="6"/>
        <v>27.27272727272727</v>
      </c>
      <c r="Q47" s="867">
        <v>3</v>
      </c>
      <c r="R47" s="204">
        <f t="shared" si="7"/>
        <v>27.27272727272727</v>
      </c>
      <c r="S47" s="867"/>
      <c r="T47" s="867">
        <v>2</v>
      </c>
      <c r="U47" s="204">
        <f t="shared" si="8"/>
        <v>18.181818181818183</v>
      </c>
      <c r="V47" s="867">
        <v>3</v>
      </c>
      <c r="W47" s="204">
        <f t="shared" si="9"/>
        <v>27.27272727272727</v>
      </c>
      <c r="X47" s="121"/>
    </row>
    <row r="48" spans="1:25" ht="6.75" customHeight="1">
      <c r="B48" s="242" t="str">
        <f t="shared" si="10"/>
        <v/>
      </c>
      <c r="C48" s="204" t="str">
        <f t="shared" si="1"/>
        <v/>
      </c>
      <c r="E48" s="868"/>
      <c r="F48" s="204" t="str">
        <f t="shared" si="2"/>
        <v/>
      </c>
      <c r="G48" s="868"/>
      <c r="H48" s="204" t="str">
        <f t="shared" si="3"/>
        <v/>
      </c>
      <c r="I48" s="868"/>
      <c r="J48" s="868"/>
      <c r="K48" s="204" t="str">
        <f t="shared" si="4"/>
        <v/>
      </c>
      <c r="L48" s="868"/>
      <c r="M48" s="204" t="str">
        <f t="shared" si="5"/>
        <v/>
      </c>
      <c r="N48" s="868"/>
      <c r="O48" s="868"/>
      <c r="P48" s="204" t="str">
        <f t="shared" si="6"/>
        <v/>
      </c>
      <c r="Q48" s="868"/>
      <c r="R48" s="204" t="str">
        <f t="shared" si="7"/>
        <v/>
      </c>
      <c r="S48" s="868"/>
      <c r="T48" s="868"/>
      <c r="U48" s="204" t="str">
        <f t="shared" si="8"/>
        <v/>
      </c>
      <c r="V48" s="868"/>
      <c r="W48" s="204" t="str">
        <f t="shared" si="9"/>
        <v/>
      </c>
      <c r="X48" s="121"/>
    </row>
    <row r="49" spans="1:24">
      <c r="A49" s="14" t="s">
        <v>1291</v>
      </c>
      <c r="B49" s="242">
        <f t="shared" si="10"/>
        <v>25</v>
      </c>
      <c r="C49" s="204">
        <f t="shared" si="1"/>
        <v>1.3390465988216389</v>
      </c>
      <c r="E49" s="867"/>
      <c r="F49" s="204">
        <f t="shared" si="2"/>
        <v>0</v>
      </c>
      <c r="G49" s="867"/>
      <c r="H49" s="204">
        <f t="shared" si="3"/>
        <v>0</v>
      </c>
      <c r="I49" s="867"/>
      <c r="J49" s="867">
        <v>1</v>
      </c>
      <c r="K49" s="204">
        <f t="shared" si="4"/>
        <v>4</v>
      </c>
      <c r="L49" s="867">
        <v>1</v>
      </c>
      <c r="M49" s="204">
        <f t="shared" si="5"/>
        <v>4</v>
      </c>
      <c r="N49" s="867"/>
      <c r="O49" s="867">
        <v>5</v>
      </c>
      <c r="P49" s="204">
        <f t="shared" si="6"/>
        <v>20</v>
      </c>
      <c r="Q49" s="867">
        <v>2</v>
      </c>
      <c r="R49" s="204">
        <f t="shared" si="7"/>
        <v>8</v>
      </c>
      <c r="S49" s="867"/>
      <c r="T49" s="867">
        <v>11</v>
      </c>
      <c r="U49" s="204">
        <f t="shared" si="8"/>
        <v>44</v>
      </c>
      <c r="V49" s="867">
        <v>5</v>
      </c>
      <c r="W49" s="204">
        <f t="shared" si="9"/>
        <v>20</v>
      </c>
      <c r="X49" s="121"/>
    </row>
    <row r="50" spans="1:24" ht="11.25" customHeight="1">
      <c r="B50" s="242" t="str">
        <f t="shared" si="10"/>
        <v/>
      </c>
      <c r="C50" s="204" t="str">
        <f t="shared" si="1"/>
        <v/>
      </c>
      <c r="E50" s="242"/>
      <c r="F50" s="204" t="str">
        <f t="shared" si="2"/>
        <v/>
      </c>
      <c r="H50" s="204" t="str">
        <f t="shared" si="3"/>
        <v/>
      </c>
      <c r="J50" s="242"/>
      <c r="K50" s="204" t="str">
        <f t="shared" si="4"/>
        <v/>
      </c>
      <c r="L50" s="242"/>
      <c r="M50" s="204" t="str">
        <f t="shared" si="5"/>
        <v/>
      </c>
      <c r="O50" s="242"/>
      <c r="P50" s="204" t="str">
        <f t="shared" si="6"/>
        <v/>
      </c>
      <c r="Q50" s="242"/>
      <c r="R50" s="204" t="str">
        <f t="shared" si="7"/>
        <v/>
      </c>
      <c r="T50" s="242"/>
      <c r="U50" s="204" t="str">
        <f t="shared" si="8"/>
        <v/>
      </c>
      <c r="V50" s="242"/>
      <c r="W50" s="204" t="str">
        <f t="shared" si="9"/>
        <v/>
      </c>
      <c r="X50" s="121"/>
    </row>
    <row r="51" spans="1:24">
      <c r="A51" s="14" t="s">
        <v>183</v>
      </c>
      <c r="B51" s="242">
        <f t="shared" si="10"/>
        <v>160</v>
      </c>
      <c r="C51" s="204">
        <f t="shared" si="1"/>
        <v>8.56989823245849</v>
      </c>
      <c r="E51" s="242">
        <f>SUM(E52:E60)</f>
        <v>6</v>
      </c>
      <c r="F51" s="204">
        <f t="shared" si="2"/>
        <v>3.75</v>
      </c>
      <c r="G51" s="242">
        <f>SUM(G52:G60)</f>
        <v>2</v>
      </c>
      <c r="H51" s="204">
        <f t="shared" si="3"/>
        <v>1.25</v>
      </c>
      <c r="J51" s="242">
        <f>SUM(J52:J60)</f>
        <v>11</v>
      </c>
      <c r="K51" s="204">
        <f t="shared" si="4"/>
        <v>6.8750000000000009</v>
      </c>
      <c r="L51" s="242">
        <f>SUM(L52:L60)</f>
        <v>13</v>
      </c>
      <c r="M51" s="204">
        <f t="shared" si="5"/>
        <v>8.125</v>
      </c>
      <c r="O51" s="242">
        <f>SUM(O52:O60)</f>
        <v>25</v>
      </c>
      <c r="P51" s="204">
        <f t="shared" si="6"/>
        <v>15.625</v>
      </c>
      <c r="Q51" s="242">
        <f>SUM(Q52:Q60)</f>
        <v>30</v>
      </c>
      <c r="R51" s="204">
        <f t="shared" si="7"/>
        <v>18.75</v>
      </c>
      <c r="T51" s="242">
        <f>SUM(T52:T60)</f>
        <v>47</v>
      </c>
      <c r="U51" s="204">
        <f t="shared" si="8"/>
        <v>29.375</v>
      </c>
      <c r="V51" s="242">
        <f>SUM(V52:V60)</f>
        <v>26</v>
      </c>
      <c r="W51" s="204">
        <f t="shared" si="9"/>
        <v>16.25</v>
      </c>
    </row>
    <row r="52" spans="1:24" ht="12.5" hidden="1" customHeight="1">
      <c r="A52" s="14" t="s">
        <v>1176</v>
      </c>
      <c r="B52" s="242">
        <f t="shared" si="10"/>
        <v>0</v>
      </c>
      <c r="C52" s="204">
        <f t="shared" si="1"/>
        <v>0</v>
      </c>
      <c r="E52" s="111"/>
      <c r="F52" s="204" t="e">
        <f t="shared" si="2"/>
        <v>#DIV/0!</v>
      </c>
      <c r="G52" s="111"/>
      <c r="H52" s="204" t="e">
        <f t="shared" si="3"/>
        <v>#DIV/0!</v>
      </c>
      <c r="I52" s="111"/>
      <c r="J52" s="111"/>
      <c r="K52" s="204" t="e">
        <f t="shared" si="4"/>
        <v>#DIV/0!</v>
      </c>
      <c r="L52" s="111"/>
      <c r="M52" s="204" t="e">
        <f t="shared" si="5"/>
        <v>#DIV/0!</v>
      </c>
      <c r="N52" s="111"/>
      <c r="O52" s="111"/>
      <c r="P52" s="204" t="e">
        <f t="shared" si="6"/>
        <v>#DIV/0!</v>
      </c>
      <c r="Q52" s="111"/>
      <c r="R52" s="204" t="e">
        <f t="shared" si="7"/>
        <v>#DIV/0!</v>
      </c>
      <c r="S52" s="111"/>
      <c r="T52" s="111"/>
      <c r="U52" s="204" t="e">
        <f t="shared" si="8"/>
        <v>#DIV/0!</v>
      </c>
      <c r="V52" s="111"/>
      <c r="W52" s="204" t="e">
        <f t="shared" si="9"/>
        <v>#DIV/0!</v>
      </c>
      <c r="X52" s="121"/>
    </row>
    <row r="53" spans="1:24">
      <c r="A53" s="14" t="s">
        <v>191</v>
      </c>
      <c r="B53" s="242">
        <f t="shared" si="10"/>
        <v>16</v>
      </c>
      <c r="C53" s="204">
        <f t="shared" si="1"/>
        <v>0.85698982324584894</v>
      </c>
      <c r="E53" s="867"/>
      <c r="F53" s="204">
        <f t="shared" si="2"/>
        <v>0</v>
      </c>
      <c r="G53" s="867"/>
      <c r="H53" s="204">
        <f t="shared" si="3"/>
        <v>0</v>
      </c>
      <c r="I53" s="867"/>
      <c r="J53" s="867">
        <v>2</v>
      </c>
      <c r="K53" s="204">
        <f t="shared" si="4"/>
        <v>12.5</v>
      </c>
      <c r="L53" s="867"/>
      <c r="M53" s="204">
        <f t="shared" si="5"/>
        <v>0</v>
      </c>
      <c r="N53" s="867"/>
      <c r="O53" s="867">
        <v>2</v>
      </c>
      <c r="P53" s="204">
        <f t="shared" si="6"/>
        <v>12.5</v>
      </c>
      <c r="Q53" s="867">
        <v>3</v>
      </c>
      <c r="R53" s="204">
        <f t="shared" si="7"/>
        <v>18.75</v>
      </c>
      <c r="S53" s="867"/>
      <c r="T53" s="867">
        <v>6</v>
      </c>
      <c r="U53" s="204">
        <f t="shared" si="8"/>
        <v>37.5</v>
      </c>
      <c r="V53" s="867">
        <v>3</v>
      </c>
      <c r="W53" s="204">
        <f t="shared" si="9"/>
        <v>18.75</v>
      </c>
      <c r="X53" s="121"/>
    </row>
    <row r="54" spans="1:24">
      <c r="A54" s="14" t="s">
        <v>184</v>
      </c>
      <c r="B54" s="242">
        <f t="shared" si="10"/>
        <v>16</v>
      </c>
      <c r="C54" s="204">
        <f t="shared" si="1"/>
        <v>0.85698982324584894</v>
      </c>
      <c r="E54" s="867"/>
      <c r="F54" s="204">
        <f t="shared" si="2"/>
        <v>0</v>
      </c>
      <c r="G54" s="867"/>
      <c r="H54" s="204">
        <f t="shared" si="3"/>
        <v>0</v>
      </c>
      <c r="I54" s="867"/>
      <c r="J54" s="867">
        <v>1</v>
      </c>
      <c r="K54" s="204">
        <f t="shared" si="4"/>
        <v>6.25</v>
      </c>
      <c r="L54" s="867">
        <v>1</v>
      </c>
      <c r="M54" s="204">
        <f t="shared" si="5"/>
        <v>6.25</v>
      </c>
      <c r="N54" s="867"/>
      <c r="O54" s="867">
        <v>1</v>
      </c>
      <c r="P54" s="204">
        <f t="shared" si="6"/>
        <v>6.25</v>
      </c>
      <c r="Q54" s="867">
        <v>1</v>
      </c>
      <c r="R54" s="204">
        <f t="shared" si="7"/>
        <v>6.25</v>
      </c>
      <c r="S54" s="867"/>
      <c r="T54" s="867">
        <v>9</v>
      </c>
      <c r="U54" s="204">
        <f t="shared" si="8"/>
        <v>56.25</v>
      </c>
      <c r="V54" s="867">
        <v>3</v>
      </c>
      <c r="W54" s="204">
        <f t="shared" si="9"/>
        <v>18.75</v>
      </c>
      <c r="X54" s="121"/>
    </row>
    <row r="55" spans="1:24">
      <c r="A55" s="14" t="s">
        <v>185</v>
      </c>
      <c r="B55" s="242">
        <f t="shared" si="10"/>
        <v>28</v>
      </c>
      <c r="C55" s="204">
        <f t="shared" si="1"/>
        <v>1.4997321906802357</v>
      </c>
      <c r="E55" s="867"/>
      <c r="F55" s="204">
        <f t="shared" si="2"/>
        <v>0</v>
      </c>
      <c r="G55" s="867"/>
      <c r="H55" s="204">
        <f t="shared" si="3"/>
        <v>0</v>
      </c>
      <c r="I55" s="867"/>
      <c r="J55" s="867"/>
      <c r="K55" s="204">
        <f t="shared" si="4"/>
        <v>0</v>
      </c>
      <c r="L55" s="867">
        <v>4</v>
      </c>
      <c r="M55" s="204">
        <f t="shared" si="5"/>
        <v>14.285714285714285</v>
      </c>
      <c r="N55" s="867"/>
      <c r="O55" s="867">
        <v>7</v>
      </c>
      <c r="P55" s="204">
        <f t="shared" si="6"/>
        <v>25</v>
      </c>
      <c r="Q55" s="867">
        <v>9</v>
      </c>
      <c r="R55" s="204">
        <f t="shared" si="7"/>
        <v>32.142857142857146</v>
      </c>
      <c r="S55" s="867"/>
      <c r="T55" s="867">
        <v>4</v>
      </c>
      <c r="U55" s="204">
        <f t="shared" si="8"/>
        <v>14.285714285714285</v>
      </c>
      <c r="V55" s="867">
        <v>4</v>
      </c>
      <c r="W55" s="204">
        <f t="shared" si="9"/>
        <v>14.285714285714285</v>
      </c>
      <c r="X55" s="121"/>
    </row>
    <row r="56" spans="1:24">
      <c r="A56" s="14" t="s">
        <v>186</v>
      </c>
      <c r="B56" s="242">
        <f t="shared" si="10"/>
        <v>21</v>
      </c>
      <c r="C56" s="204">
        <f t="shared" si="1"/>
        <v>1.1247991430101767</v>
      </c>
      <c r="E56" s="867"/>
      <c r="F56" s="204">
        <f t="shared" si="2"/>
        <v>0</v>
      </c>
      <c r="G56" s="867"/>
      <c r="H56" s="204">
        <f t="shared" si="3"/>
        <v>0</v>
      </c>
      <c r="I56" s="867"/>
      <c r="J56" s="867">
        <v>2</v>
      </c>
      <c r="K56" s="204">
        <f t="shared" si="4"/>
        <v>9.5238095238095237</v>
      </c>
      <c r="L56" s="867">
        <v>1</v>
      </c>
      <c r="M56" s="204">
        <f t="shared" si="5"/>
        <v>4.7619047619047619</v>
      </c>
      <c r="N56" s="867"/>
      <c r="O56" s="867">
        <v>1</v>
      </c>
      <c r="P56" s="204">
        <f t="shared" si="6"/>
        <v>4.7619047619047619</v>
      </c>
      <c r="Q56" s="867">
        <v>2</v>
      </c>
      <c r="R56" s="204">
        <f t="shared" si="7"/>
        <v>9.5238095238095237</v>
      </c>
      <c r="S56" s="867"/>
      <c r="T56" s="867">
        <v>9</v>
      </c>
      <c r="U56" s="204">
        <f t="shared" si="8"/>
        <v>42.857142857142854</v>
      </c>
      <c r="V56" s="867">
        <v>6</v>
      </c>
      <c r="W56" s="204">
        <f t="shared" si="9"/>
        <v>28.571428571428569</v>
      </c>
      <c r="X56" s="121"/>
    </row>
    <row r="57" spans="1:24">
      <c r="A57" s="14" t="s">
        <v>531</v>
      </c>
      <c r="B57" s="242">
        <f t="shared" si="10"/>
        <v>24</v>
      </c>
      <c r="C57" s="204">
        <f t="shared" si="1"/>
        <v>1.2854847348687735</v>
      </c>
      <c r="E57" s="867">
        <v>3</v>
      </c>
      <c r="F57" s="204">
        <f t="shared" si="2"/>
        <v>12.5</v>
      </c>
      <c r="G57" s="867">
        <v>1</v>
      </c>
      <c r="H57" s="204">
        <f t="shared" si="3"/>
        <v>4.1666666666666661</v>
      </c>
      <c r="I57" s="867"/>
      <c r="J57" s="867"/>
      <c r="K57" s="204">
        <f t="shared" si="4"/>
        <v>0</v>
      </c>
      <c r="L57" s="867">
        <v>1</v>
      </c>
      <c r="M57" s="204">
        <f t="shared" si="5"/>
        <v>4.1666666666666661</v>
      </c>
      <c r="N57" s="867"/>
      <c r="O57" s="867">
        <v>3</v>
      </c>
      <c r="P57" s="204">
        <f t="shared" si="6"/>
        <v>12.5</v>
      </c>
      <c r="Q57" s="867"/>
      <c r="R57" s="204">
        <f t="shared" si="7"/>
        <v>0</v>
      </c>
      <c r="S57" s="867"/>
      <c r="T57" s="867">
        <v>11</v>
      </c>
      <c r="U57" s="204">
        <f t="shared" si="8"/>
        <v>45.833333333333329</v>
      </c>
      <c r="V57" s="867">
        <v>5</v>
      </c>
      <c r="W57" s="204">
        <f t="shared" si="9"/>
        <v>20.833333333333336</v>
      </c>
      <c r="X57" s="121"/>
    </row>
    <row r="58" spans="1:24">
      <c r="A58" s="14" t="s">
        <v>190</v>
      </c>
      <c r="B58" s="242">
        <f t="shared" si="10"/>
        <v>19</v>
      </c>
      <c r="C58" s="204">
        <f t="shared" si="1"/>
        <v>1.0176754151044456</v>
      </c>
      <c r="E58" s="867">
        <v>2</v>
      </c>
      <c r="F58" s="204">
        <f t="shared" si="2"/>
        <v>10.526315789473683</v>
      </c>
      <c r="G58" s="867"/>
      <c r="H58" s="204">
        <f t="shared" si="3"/>
        <v>0</v>
      </c>
      <c r="I58" s="867"/>
      <c r="J58" s="867">
        <v>3</v>
      </c>
      <c r="K58" s="204">
        <f t="shared" si="4"/>
        <v>15.789473684210526</v>
      </c>
      <c r="L58" s="867">
        <v>1</v>
      </c>
      <c r="M58" s="204">
        <f t="shared" si="5"/>
        <v>5.2631578947368416</v>
      </c>
      <c r="N58" s="867"/>
      <c r="O58" s="867">
        <v>8</v>
      </c>
      <c r="P58" s="204">
        <f t="shared" si="6"/>
        <v>42.105263157894733</v>
      </c>
      <c r="Q58" s="867">
        <v>3</v>
      </c>
      <c r="R58" s="204">
        <f t="shared" si="7"/>
        <v>15.789473684210526</v>
      </c>
      <c r="S58" s="867"/>
      <c r="T58" s="867">
        <v>1</v>
      </c>
      <c r="U58" s="204">
        <f t="shared" si="8"/>
        <v>5.2631578947368416</v>
      </c>
      <c r="V58" s="867">
        <v>1</v>
      </c>
      <c r="W58" s="204">
        <f t="shared" si="9"/>
        <v>5.2631578947368416</v>
      </c>
      <c r="X58" s="121"/>
    </row>
    <row r="59" spans="1:24">
      <c r="A59" s="14" t="s">
        <v>189</v>
      </c>
      <c r="B59" s="242">
        <f t="shared" si="10"/>
        <v>24</v>
      </c>
      <c r="C59" s="204">
        <f t="shared" si="1"/>
        <v>1.2854847348687735</v>
      </c>
      <c r="E59" s="867">
        <v>1</v>
      </c>
      <c r="F59" s="204">
        <f t="shared" si="2"/>
        <v>4.1666666666666661</v>
      </c>
      <c r="G59" s="867"/>
      <c r="H59" s="204">
        <f t="shared" si="3"/>
        <v>0</v>
      </c>
      <c r="I59" s="867"/>
      <c r="J59" s="867">
        <v>2</v>
      </c>
      <c r="K59" s="204">
        <f t="shared" si="4"/>
        <v>8.3333333333333321</v>
      </c>
      <c r="L59" s="867">
        <v>4</v>
      </c>
      <c r="M59" s="204">
        <f t="shared" si="5"/>
        <v>16.666666666666664</v>
      </c>
      <c r="N59" s="867"/>
      <c r="O59" s="867">
        <v>2</v>
      </c>
      <c r="P59" s="204">
        <f t="shared" si="6"/>
        <v>8.3333333333333321</v>
      </c>
      <c r="Q59" s="867">
        <v>6</v>
      </c>
      <c r="R59" s="204">
        <f t="shared" si="7"/>
        <v>25</v>
      </c>
      <c r="S59" s="867"/>
      <c r="T59" s="867">
        <v>6</v>
      </c>
      <c r="U59" s="204">
        <f t="shared" si="8"/>
        <v>25</v>
      </c>
      <c r="V59" s="867">
        <v>3</v>
      </c>
      <c r="W59" s="204">
        <f t="shared" si="9"/>
        <v>12.5</v>
      </c>
      <c r="X59" s="121"/>
    </row>
    <row r="60" spans="1:24">
      <c r="A60" s="14" t="s">
        <v>188</v>
      </c>
      <c r="B60" s="242">
        <f t="shared" si="10"/>
        <v>12</v>
      </c>
      <c r="C60" s="204">
        <f t="shared" si="1"/>
        <v>0.64274236743438673</v>
      </c>
      <c r="E60" s="867"/>
      <c r="F60" s="204">
        <f t="shared" si="2"/>
        <v>0</v>
      </c>
      <c r="G60" s="867">
        <v>1</v>
      </c>
      <c r="H60" s="204">
        <f t="shared" si="3"/>
        <v>8.3333333333333321</v>
      </c>
      <c r="I60" s="867"/>
      <c r="J60" s="867">
        <v>1</v>
      </c>
      <c r="K60" s="204">
        <f t="shared" si="4"/>
        <v>8.3333333333333321</v>
      </c>
      <c r="L60" s="867">
        <v>1</v>
      </c>
      <c r="M60" s="204">
        <f t="shared" si="5"/>
        <v>8.3333333333333321</v>
      </c>
      <c r="N60" s="867"/>
      <c r="O60" s="867">
        <v>1</v>
      </c>
      <c r="P60" s="204">
        <f t="shared" si="6"/>
        <v>8.3333333333333321</v>
      </c>
      <c r="Q60" s="867">
        <v>6</v>
      </c>
      <c r="R60" s="204">
        <f t="shared" si="7"/>
        <v>50</v>
      </c>
      <c r="S60" s="867"/>
      <c r="T60" s="867">
        <v>1</v>
      </c>
      <c r="U60" s="204">
        <f t="shared" si="8"/>
        <v>8.3333333333333321</v>
      </c>
      <c r="V60" s="867">
        <v>1</v>
      </c>
      <c r="W60" s="204">
        <f t="shared" si="9"/>
        <v>8.3333333333333321</v>
      </c>
      <c r="X60" s="121"/>
    </row>
    <row r="61" spans="1:24" ht="8.25" customHeight="1">
      <c r="B61" s="242" t="str">
        <f t="shared" si="10"/>
        <v/>
      </c>
      <c r="C61" s="204" t="str">
        <f t="shared" si="1"/>
        <v/>
      </c>
      <c r="E61" s="242"/>
      <c r="F61" s="204" t="str">
        <f t="shared" si="2"/>
        <v/>
      </c>
      <c r="H61" s="204" t="str">
        <f t="shared" si="3"/>
        <v/>
      </c>
      <c r="J61" s="242"/>
      <c r="K61" s="204" t="str">
        <f t="shared" si="4"/>
        <v/>
      </c>
      <c r="L61" s="242"/>
      <c r="M61" s="204" t="str">
        <f t="shared" si="5"/>
        <v/>
      </c>
      <c r="O61" s="242"/>
      <c r="P61" s="204" t="str">
        <f t="shared" si="6"/>
        <v/>
      </c>
      <c r="Q61" s="242"/>
      <c r="R61" s="204" t="str">
        <f t="shared" si="7"/>
        <v/>
      </c>
      <c r="T61" s="242"/>
      <c r="U61" s="204" t="str">
        <f t="shared" si="8"/>
        <v/>
      </c>
      <c r="V61" s="242"/>
      <c r="W61" s="204" t="str">
        <f t="shared" si="9"/>
        <v/>
      </c>
      <c r="X61" s="121"/>
    </row>
    <row r="62" spans="1:24">
      <c r="A62" s="14" t="s">
        <v>193</v>
      </c>
      <c r="B62" s="242">
        <f t="shared" si="10"/>
        <v>82</v>
      </c>
      <c r="C62" s="204">
        <f t="shared" si="1"/>
        <v>4.3920728441349759</v>
      </c>
      <c r="E62" s="242">
        <f>SUM(E63:E68)</f>
        <v>0</v>
      </c>
      <c r="F62" s="204">
        <f t="shared" si="2"/>
        <v>0</v>
      </c>
      <c r="G62" s="242">
        <f>SUM(G63:G68)</f>
        <v>0</v>
      </c>
      <c r="H62" s="204">
        <f t="shared" si="3"/>
        <v>0</v>
      </c>
      <c r="J62" s="242">
        <f>SUM(J63:J68)</f>
        <v>6</v>
      </c>
      <c r="K62" s="204">
        <f t="shared" si="4"/>
        <v>7.3170731707317067</v>
      </c>
      <c r="L62" s="242">
        <f>SUM(L63:L68)</f>
        <v>12</v>
      </c>
      <c r="M62" s="204">
        <f t="shared" si="5"/>
        <v>14.634146341463413</v>
      </c>
      <c r="O62" s="242">
        <f>SUM(O63:O68)</f>
        <v>13</v>
      </c>
      <c r="P62" s="204">
        <f t="shared" si="6"/>
        <v>15.853658536585366</v>
      </c>
      <c r="Q62" s="242">
        <f>SUM(Q63:Q68)</f>
        <v>25</v>
      </c>
      <c r="R62" s="204">
        <f t="shared" si="7"/>
        <v>30.487804878048781</v>
      </c>
      <c r="T62" s="343">
        <f>SUM(T63:T68)</f>
        <v>6</v>
      </c>
      <c r="U62" s="204">
        <f t="shared" si="8"/>
        <v>7.3170731707317067</v>
      </c>
      <c r="V62" s="242">
        <f>SUM(V63:V68)</f>
        <v>20</v>
      </c>
      <c r="W62" s="204">
        <f t="shared" si="9"/>
        <v>24.390243902439025</v>
      </c>
      <c r="X62" s="121"/>
    </row>
    <row r="63" spans="1:24">
      <c r="A63" s="14" t="s">
        <v>1177</v>
      </c>
      <c r="B63" s="242">
        <f t="shared" si="10"/>
        <v>2</v>
      </c>
      <c r="C63" s="204">
        <f t="shared" si="1"/>
        <v>0.10712372790573112</v>
      </c>
      <c r="E63" s="867"/>
      <c r="F63" s="204">
        <f t="shared" si="2"/>
        <v>0</v>
      </c>
      <c r="G63" s="867"/>
      <c r="H63" s="204">
        <f t="shared" si="3"/>
        <v>0</v>
      </c>
      <c r="I63" s="867"/>
      <c r="J63" s="867"/>
      <c r="K63" s="204">
        <f t="shared" si="4"/>
        <v>0</v>
      </c>
      <c r="L63" s="867">
        <v>1</v>
      </c>
      <c r="M63" s="204">
        <f t="shared" si="5"/>
        <v>50</v>
      </c>
      <c r="N63" s="867"/>
      <c r="O63" s="867"/>
      <c r="P63" s="204">
        <f t="shared" si="6"/>
        <v>0</v>
      </c>
      <c r="Q63" s="867"/>
      <c r="R63" s="204">
        <f t="shared" si="7"/>
        <v>0</v>
      </c>
      <c r="S63" s="867"/>
      <c r="T63" s="867"/>
      <c r="U63" s="204">
        <f t="shared" si="8"/>
        <v>0</v>
      </c>
      <c r="V63" s="867">
        <v>1</v>
      </c>
      <c r="W63" s="204">
        <f t="shared" si="9"/>
        <v>50</v>
      </c>
      <c r="X63" s="121"/>
    </row>
    <row r="64" spans="1:24">
      <c r="A64" s="14" t="s">
        <v>194</v>
      </c>
      <c r="B64" s="242">
        <f t="shared" si="10"/>
        <v>7</v>
      </c>
      <c r="C64" s="204">
        <f t="shared" si="1"/>
        <v>0.37493304767005892</v>
      </c>
      <c r="E64" s="867"/>
      <c r="F64" s="204">
        <f t="shared" si="2"/>
        <v>0</v>
      </c>
      <c r="G64" s="867"/>
      <c r="H64" s="204">
        <f t="shared" si="3"/>
        <v>0</v>
      </c>
      <c r="I64" s="867"/>
      <c r="J64" s="867"/>
      <c r="K64" s="204">
        <f t="shared" si="4"/>
        <v>0</v>
      </c>
      <c r="L64" s="867">
        <v>2</v>
      </c>
      <c r="M64" s="204">
        <f t="shared" si="5"/>
        <v>28.571428571428569</v>
      </c>
      <c r="N64" s="867"/>
      <c r="O64" s="867"/>
      <c r="P64" s="204">
        <f t="shared" si="6"/>
        <v>0</v>
      </c>
      <c r="Q64" s="867">
        <v>1</v>
      </c>
      <c r="R64" s="204">
        <f t="shared" si="7"/>
        <v>14.285714285714285</v>
      </c>
      <c r="S64" s="867"/>
      <c r="T64" s="867"/>
      <c r="U64" s="204">
        <f t="shared" si="8"/>
        <v>0</v>
      </c>
      <c r="V64" s="867">
        <v>4</v>
      </c>
      <c r="W64" s="204">
        <f t="shared" si="9"/>
        <v>57.142857142857139</v>
      </c>
      <c r="X64" s="121"/>
    </row>
    <row r="65" spans="1:24">
      <c r="A65" s="14" t="s">
        <v>195</v>
      </c>
      <c r="B65" s="242">
        <f t="shared" si="10"/>
        <v>22</v>
      </c>
      <c r="C65" s="204">
        <f t="shared" si="1"/>
        <v>1.1783610069630424</v>
      </c>
      <c r="E65" s="867"/>
      <c r="F65" s="204">
        <f t="shared" si="2"/>
        <v>0</v>
      </c>
      <c r="G65" s="867"/>
      <c r="H65" s="204">
        <f t="shared" si="3"/>
        <v>0</v>
      </c>
      <c r="I65" s="867"/>
      <c r="J65" s="867">
        <v>3</v>
      </c>
      <c r="K65" s="204">
        <f t="shared" si="4"/>
        <v>13.636363636363635</v>
      </c>
      <c r="L65" s="867">
        <v>4</v>
      </c>
      <c r="M65" s="204">
        <f t="shared" si="5"/>
        <v>18.181818181818183</v>
      </c>
      <c r="N65" s="867"/>
      <c r="O65" s="867">
        <v>2</v>
      </c>
      <c r="P65" s="204">
        <f t="shared" si="6"/>
        <v>9.0909090909090917</v>
      </c>
      <c r="Q65" s="867">
        <v>4</v>
      </c>
      <c r="R65" s="204">
        <f t="shared" si="7"/>
        <v>18.181818181818183</v>
      </c>
      <c r="S65" s="867"/>
      <c r="T65" s="867">
        <v>1</v>
      </c>
      <c r="U65" s="204">
        <f t="shared" si="8"/>
        <v>4.5454545454545459</v>
      </c>
      <c r="V65" s="867">
        <v>8</v>
      </c>
      <c r="W65" s="204">
        <f t="shared" si="9"/>
        <v>36.363636363636367</v>
      </c>
      <c r="X65" s="121"/>
    </row>
    <row r="66" spans="1:24">
      <c r="A66" s="14" t="s">
        <v>1178</v>
      </c>
      <c r="B66" s="242">
        <f t="shared" si="10"/>
        <v>17</v>
      </c>
      <c r="C66" s="204">
        <f t="shared" si="1"/>
        <v>0.91055168719871449</v>
      </c>
      <c r="E66" s="867"/>
      <c r="F66" s="204">
        <f t="shared" si="2"/>
        <v>0</v>
      </c>
      <c r="G66" s="867"/>
      <c r="H66" s="204">
        <f t="shared" si="3"/>
        <v>0</v>
      </c>
      <c r="I66" s="867"/>
      <c r="J66" s="867">
        <v>1</v>
      </c>
      <c r="K66" s="204">
        <f t="shared" si="4"/>
        <v>5.8823529411764701</v>
      </c>
      <c r="L66" s="867">
        <v>2</v>
      </c>
      <c r="M66" s="204">
        <f t="shared" si="5"/>
        <v>11.76470588235294</v>
      </c>
      <c r="N66" s="867"/>
      <c r="O66" s="867"/>
      <c r="P66" s="204">
        <f t="shared" si="6"/>
        <v>0</v>
      </c>
      <c r="Q66" s="867">
        <v>9</v>
      </c>
      <c r="R66" s="204">
        <f t="shared" si="7"/>
        <v>52.941176470588239</v>
      </c>
      <c r="S66" s="867"/>
      <c r="T66" s="867"/>
      <c r="U66" s="204">
        <f t="shared" si="8"/>
        <v>0</v>
      </c>
      <c r="V66" s="867">
        <v>5</v>
      </c>
      <c r="W66" s="204">
        <f t="shared" si="9"/>
        <v>29.411764705882355</v>
      </c>
      <c r="X66" s="121"/>
    </row>
    <row r="67" spans="1:24">
      <c r="A67" s="14" t="s">
        <v>1179</v>
      </c>
      <c r="B67" s="242">
        <f t="shared" si="10"/>
        <v>19</v>
      </c>
      <c r="C67" s="204">
        <f t="shared" si="1"/>
        <v>1.0176754151044456</v>
      </c>
      <c r="E67" s="867"/>
      <c r="F67" s="204">
        <f t="shared" si="2"/>
        <v>0</v>
      </c>
      <c r="G67" s="867"/>
      <c r="H67" s="204">
        <f t="shared" si="3"/>
        <v>0</v>
      </c>
      <c r="I67" s="867"/>
      <c r="J67" s="867">
        <v>1</v>
      </c>
      <c r="K67" s="204">
        <f t="shared" si="4"/>
        <v>5.2631578947368416</v>
      </c>
      <c r="L67" s="867">
        <v>3</v>
      </c>
      <c r="M67" s="204">
        <f t="shared" si="5"/>
        <v>15.789473684210526</v>
      </c>
      <c r="N67" s="867"/>
      <c r="O67" s="867">
        <v>8</v>
      </c>
      <c r="P67" s="204">
        <f t="shared" si="6"/>
        <v>42.105263157894733</v>
      </c>
      <c r="Q67" s="867">
        <v>4</v>
      </c>
      <c r="R67" s="204">
        <f t="shared" si="7"/>
        <v>21.052631578947366</v>
      </c>
      <c r="S67" s="867"/>
      <c r="T67" s="867">
        <v>2</v>
      </c>
      <c r="U67" s="204">
        <f t="shared" si="8"/>
        <v>10.526315789473683</v>
      </c>
      <c r="V67" s="867">
        <v>1</v>
      </c>
      <c r="W67" s="204">
        <f t="shared" si="9"/>
        <v>5.2631578947368416</v>
      </c>
      <c r="X67" s="121"/>
    </row>
    <row r="68" spans="1:24">
      <c r="A68" s="14" t="s">
        <v>198</v>
      </c>
      <c r="B68" s="242">
        <f t="shared" si="10"/>
        <v>15</v>
      </c>
      <c r="C68" s="204">
        <f t="shared" si="1"/>
        <v>0.80342795929298338</v>
      </c>
      <c r="E68" s="867"/>
      <c r="F68" s="204">
        <f t="shared" si="2"/>
        <v>0</v>
      </c>
      <c r="G68" s="867"/>
      <c r="H68" s="204">
        <f t="shared" si="3"/>
        <v>0</v>
      </c>
      <c r="I68" s="867"/>
      <c r="J68" s="867">
        <v>1</v>
      </c>
      <c r="K68" s="204">
        <f t="shared" si="4"/>
        <v>6.666666666666667</v>
      </c>
      <c r="L68" s="867"/>
      <c r="M68" s="204">
        <f t="shared" si="5"/>
        <v>0</v>
      </c>
      <c r="N68" s="867"/>
      <c r="O68" s="867">
        <v>3</v>
      </c>
      <c r="P68" s="204">
        <f t="shared" si="6"/>
        <v>20</v>
      </c>
      <c r="Q68" s="867">
        <v>7</v>
      </c>
      <c r="R68" s="204">
        <f t="shared" si="7"/>
        <v>46.666666666666664</v>
      </c>
      <c r="S68" s="867"/>
      <c r="T68" s="867">
        <v>3</v>
      </c>
      <c r="U68" s="204">
        <f t="shared" si="8"/>
        <v>20</v>
      </c>
      <c r="V68" s="867">
        <v>1</v>
      </c>
      <c r="W68" s="204">
        <f t="shared" si="9"/>
        <v>6.666666666666667</v>
      </c>
      <c r="X68" s="121"/>
    </row>
    <row r="69" spans="1:24" ht="6.75" customHeight="1">
      <c r="B69" s="242" t="str">
        <f t="shared" si="10"/>
        <v/>
      </c>
      <c r="C69" s="204" t="str">
        <f t="shared" si="1"/>
        <v/>
      </c>
      <c r="E69" s="242"/>
      <c r="F69" s="204" t="str">
        <f t="shared" si="2"/>
        <v/>
      </c>
      <c r="H69" s="204" t="str">
        <f t="shared" si="3"/>
        <v/>
      </c>
      <c r="J69" s="242"/>
      <c r="K69" s="204" t="str">
        <f t="shared" si="4"/>
        <v/>
      </c>
      <c r="L69" s="242"/>
      <c r="M69" s="204" t="str">
        <f t="shared" si="5"/>
        <v/>
      </c>
      <c r="O69" s="242"/>
      <c r="P69" s="204" t="str">
        <f t="shared" si="6"/>
        <v/>
      </c>
      <c r="Q69" s="242"/>
      <c r="R69" s="204" t="str">
        <f t="shared" si="7"/>
        <v/>
      </c>
      <c r="T69" s="242"/>
      <c r="U69" s="204" t="str">
        <f t="shared" si="8"/>
        <v/>
      </c>
      <c r="V69" s="242"/>
      <c r="W69" s="204" t="str">
        <f t="shared" si="9"/>
        <v/>
      </c>
      <c r="X69" s="121"/>
    </row>
    <row r="70" spans="1:24">
      <c r="A70" s="17" t="s">
        <v>683</v>
      </c>
      <c r="B70" s="242">
        <f t="shared" si="10"/>
        <v>243</v>
      </c>
      <c r="C70" s="204">
        <f t="shared" si="1"/>
        <v>13.015532940546331</v>
      </c>
      <c r="E70" s="242">
        <f>SUM(E71+E73+E81+E83)</f>
        <v>2</v>
      </c>
      <c r="F70" s="204">
        <f t="shared" si="2"/>
        <v>0.82304526748971196</v>
      </c>
      <c r="G70" s="242">
        <f>SUM(G71+G73+G81+G83)</f>
        <v>1</v>
      </c>
      <c r="H70" s="204">
        <f t="shared" si="3"/>
        <v>0.41152263374485598</v>
      </c>
      <c r="J70" s="242">
        <f>SUM(J71+J73+J81+J83)</f>
        <v>26</v>
      </c>
      <c r="K70" s="204">
        <f t="shared" si="4"/>
        <v>10.699588477366255</v>
      </c>
      <c r="L70" s="242">
        <f>SUM(L71+L73+L81+L83)</f>
        <v>34</v>
      </c>
      <c r="M70" s="204">
        <f t="shared" si="5"/>
        <v>13.991769547325102</v>
      </c>
      <c r="O70" s="242">
        <f>SUM(O71+O73+O81+O83)</f>
        <v>46</v>
      </c>
      <c r="P70" s="204">
        <f t="shared" si="6"/>
        <v>18.930041152263374</v>
      </c>
      <c r="Q70" s="242">
        <f>SUM(Q71+Q73+Q81+Q83)</f>
        <v>75</v>
      </c>
      <c r="R70" s="204">
        <f t="shared" si="7"/>
        <v>30.864197530864196</v>
      </c>
      <c r="T70" s="242">
        <f>SUM(T71+T73+T81+T83)</f>
        <v>29</v>
      </c>
      <c r="U70" s="204">
        <f t="shared" si="8"/>
        <v>11.934156378600823</v>
      </c>
      <c r="V70" s="242">
        <f>SUM(V71+V73+V81+V83)</f>
        <v>30</v>
      </c>
      <c r="W70" s="204">
        <f t="shared" si="9"/>
        <v>12.345679012345679</v>
      </c>
      <c r="X70" s="121"/>
    </row>
    <row r="71" spans="1:24">
      <c r="A71" s="14" t="s">
        <v>411</v>
      </c>
      <c r="B71" s="242">
        <f t="shared" si="10"/>
        <v>31</v>
      </c>
      <c r="C71" s="204">
        <f t="shared" si="1"/>
        <v>1.6604177825388324</v>
      </c>
      <c r="E71" s="867">
        <v>1</v>
      </c>
      <c r="F71" s="204">
        <f t="shared" si="2"/>
        <v>3.225806451612903</v>
      </c>
      <c r="G71" s="867"/>
      <c r="H71" s="204">
        <f t="shared" si="3"/>
        <v>0</v>
      </c>
      <c r="I71" s="867"/>
      <c r="J71" s="867">
        <v>5</v>
      </c>
      <c r="K71" s="204">
        <f t="shared" si="4"/>
        <v>16.129032258064516</v>
      </c>
      <c r="L71" s="867">
        <v>6</v>
      </c>
      <c r="M71" s="204">
        <f t="shared" si="5"/>
        <v>19.35483870967742</v>
      </c>
      <c r="N71" s="867"/>
      <c r="O71" s="867">
        <v>9</v>
      </c>
      <c r="P71" s="204">
        <f t="shared" si="6"/>
        <v>29.032258064516132</v>
      </c>
      <c r="Q71" s="867">
        <v>6</v>
      </c>
      <c r="R71" s="204">
        <f t="shared" si="7"/>
        <v>19.35483870967742</v>
      </c>
      <c r="S71" s="867"/>
      <c r="T71" s="867">
        <v>3</v>
      </c>
      <c r="U71" s="204">
        <f t="shared" si="8"/>
        <v>9.67741935483871</v>
      </c>
      <c r="V71" s="867">
        <v>1</v>
      </c>
      <c r="W71" s="204">
        <f t="shared" si="9"/>
        <v>3.225806451612903</v>
      </c>
      <c r="X71" s="121"/>
    </row>
    <row r="72" spans="1:24" ht="6.75" customHeight="1">
      <c r="B72" s="242" t="str">
        <f t="shared" si="10"/>
        <v/>
      </c>
      <c r="C72" s="204" t="str">
        <f t="shared" si="1"/>
        <v/>
      </c>
      <c r="E72" s="242"/>
      <c r="F72" s="204" t="str">
        <f t="shared" si="2"/>
        <v/>
      </c>
      <c r="H72" s="204" t="str">
        <f t="shared" si="3"/>
        <v/>
      </c>
      <c r="J72" s="242"/>
      <c r="K72" s="204" t="str">
        <f t="shared" si="4"/>
        <v/>
      </c>
      <c r="L72" s="242"/>
      <c r="M72" s="204" t="str">
        <f t="shared" si="5"/>
        <v/>
      </c>
      <c r="O72" s="242"/>
      <c r="P72" s="204" t="str">
        <f t="shared" si="6"/>
        <v/>
      </c>
      <c r="Q72" s="242"/>
      <c r="R72" s="204" t="str">
        <f t="shared" si="7"/>
        <v/>
      </c>
      <c r="T72" s="242"/>
      <c r="U72" s="204" t="str">
        <f t="shared" si="8"/>
        <v/>
      </c>
      <c r="V72" s="242"/>
      <c r="W72" s="204" t="str">
        <f t="shared" si="9"/>
        <v/>
      </c>
      <c r="X72" s="121"/>
    </row>
    <row r="73" spans="1:24">
      <c r="A73" s="14" t="s">
        <v>202</v>
      </c>
      <c r="B73" s="242">
        <f t="shared" si="10"/>
        <v>102</v>
      </c>
      <c r="C73" s="204">
        <f t="shared" si="1"/>
        <v>5.4633101231922874</v>
      </c>
      <c r="E73" s="242">
        <f>SUM(E74:E79)</f>
        <v>1</v>
      </c>
      <c r="F73" s="204">
        <f t="shared" si="2"/>
        <v>0.98039215686274506</v>
      </c>
      <c r="G73" s="242">
        <f>SUM(G74:G79)</f>
        <v>1</v>
      </c>
      <c r="H73" s="204">
        <f t="shared" si="3"/>
        <v>0.98039215686274506</v>
      </c>
      <c r="J73" s="242">
        <f>SUM(J74:J79)</f>
        <v>6</v>
      </c>
      <c r="K73" s="204">
        <f t="shared" si="4"/>
        <v>5.8823529411764701</v>
      </c>
      <c r="L73" s="242">
        <f>SUM(L74:L79)</f>
        <v>17</v>
      </c>
      <c r="M73" s="204">
        <f t="shared" si="5"/>
        <v>16.666666666666664</v>
      </c>
      <c r="O73" s="242">
        <f>SUM(O74:O79)</f>
        <v>20</v>
      </c>
      <c r="P73" s="204">
        <f t="shared" si="6"/>
        <v>19.607843137254903</v>
      </c>
      <c r="Q73" s="242">
        <f>SUM(Q74:Q79)</f>
        <v>35</v>
      </c>
      <c r="R73" s="204">
        <f t="shared" si="7"/>
        <v>34.313725490196077</v>
      </c>
      <c r="T73" s="343">
        <f>SUM(T74:T79)</f>
        <v>6</v>
      </c>
      <c r="U73" s="204">
        <f t="shared" si="8"/>
        <v>5.8823529411764701</v>
      </c>
      <c r="V73" s="242">
        <f>SUM(V74:V79)</f>
        <v>16</v>
      </c>
      <c r="W73" s="204">
        <f t="shared" si="9"/>
        <v>15.686274509803921</v>
      </c>
      <c r="X73" s="121"/>
    </row>
    <row r="74" spans="1:24">
      <c r="A74" s="14" t="s">
        <v>1180</v>
      </c>
      <c r="B74" s="242">
        <f t="shared" si="10"/>
        <v>2</v>
      </c>
      <c r="C74" s="204">
        <f t="shared" si="1"/>
        <v>0.10712372790573112</v>
      </c>
      <c r="E74" s="867"/>
      <c r="F74" s="204">
        <f t="shared" si="2"/>
        <v>0</v>
      </c>
      <c r="G74" s="867"/>
      <c r="H74" s="204">
        <f t="shared" si="3"/>
        <v>0</v>
      </c>
      <c r="I74" s="867"/>
      <c r="J74" s="867"/>
      <c r="K74" s="204">
        <f t="shared" si="4"/>
        <v>0</v>
      </c>
      <c r="L74" s="867">
        <v>1</v>
      </c>
      <c r="M74" s="204">
        <f t="shared" si="5"/>
        <v>50</v>
      </c>
      <c r="N74" s="867"/>
      <c r="O74" s="867">
        <v>1</v>
      </c>
      <c r="P74" s="204">
        <f t="shared" si="6"/>
        <v>50</v>
      </c>
      <c r="Q74" s="867"/>
      <c r="R74" s="204">
        <f t="shared" si="7"/>
        <v>0</v>
      </c>
      <c r="S74" s="867"/>
      <c r="T74" s="867"/>
      <c r="U74" s="204">
        <f t="shared" si="8"/>
        <v>0</v>
      </c>
      <c r="V74" s="867"/>
      <c r="W74" s="204">
        <f t="shared" si="9"/>
        <v>0</v>
      </c>
      <c r="X74" s="121"/>
    </row>
    <row r="75" spans="1:24">
      <c r="A75" s="14" t="s">
        <v>203</v>
      </c>
      <c r="B75" s="242">
        <f t="shared" si="10"/>
        <v>30</v>
      </c>
      <c r="C75" s="204">
        <f t="shared" si="1"/>
        <v>1.6068559185859668</v>
      </c>
      <c r="E75" s="867"/>
      <c r="F75" s="204">
        <f t="shared" si="2"/>
        <v>0</v>
      </c>
      <c r="G75" s="867">
        <v>1</v>
      </c>
      <c r="H75" s="204">
        <f t="shared" si="3"/>
        <v>3.3333333333333335</v>
      </c>
      <c r="I75" s="867"/>
      <c r="J75" s="867">
        <v>4</v>
      </c>
      <c r="K75" s="204">
        <f t="shared" si="4"/>
        <v>13.333333333333334</v>
      </c>
      <c r="L75" s="867">
        <v>5</v>
      </c>
      <c r="M75" s="204">
        <f t="shared" si="5"/>
        <v>16.666666666666664</v>
      </c>
      <c r="N75" s="867"/>
      <c r="O75" s="867">
        <v>10</v>
      </c>
      <c r="P75" s="204">
        <f t="shared" si="6"/>
        <v>33.333333333333329</v>
      </c>
      <c r="Q75" s="867">
        <v>3</v>
      </c>
      <c r="R75" s="204">
        <f t="shared" si="7"/>
        <v>10</v>
      </c>
      <c r="S75" s="867"/>
      <c r="T75" s="867">
        <v>2</v>
      </c>
      <c r="U75" s="204">
        <f t="shared" si="8"/>
        <v>6.666666666666667</v>
      </c>
      <c r="V75" s="867">
        <v>5</v>
      </c>
      <c r="W75" s="204">
        <f t="shared" si="9"/>
        <v>16.666666666666664</v>
      </c>
      <c r="X75" s="121"/>
    </row>
    <row r="76" spans="1:24">
      <c r="A76" s="14" t="s">
        <v>204</v>
      </c>
      <c r="B76" s="242">
        <f t="shared" si="10"/>
        <v>34</v>
      </c>
      <c r="C76" s="204">
        <f t="shared" si="1"/>
        <v>1.821103374397429</v>
      </c>
      <c r="E76" s="867"/>
      <c r="F76" s="204">
        <f t="shared" si="2"/>
        <v>0</v>
      </c>
      <c r="G76" s="867"/>
      <c r="H76" s="204">
        <f t="shared" si="3"/>
        <v>0</v>
      </c>
      <c r="I76" s="867"/>
      <c r="J76" s="867">
        <v>2</v>
      </c>
      <c r="K76" s="204">
        <f t="shared" si="4"/>
        <v>5.8823529411764701</v>
      </c>
      <c r="L76" s="867">
        <v>3</v>
      </c>
      <c r="M76" s="204">
        <f t="shared" si="5"/>
        <v>8.8235294117647065</v>
      </c>
      <c r="N76" s="867"/>
      <c r="O76" s="867">
        <v>3</v>
      </c>
      <c r="P76" s="204">
        <f t="shared" si="6"/>
        <v>8.8235294117647065</v>
      </c>
      <c r="Q76" s="867">
        <v>20</v>
      </c>
      <c r="R76" s="204">
        <f t="shared" si="7"/>
        <v>58.82352941176471</v>
      </c>
      <c r="S76" s="867"/>
      <c r="T76" s="867">
        <v>2</v>
      </c>
      <c r="U76" s="204">
        <f t="shared" si="8"/>
        <v>5.8823529411764701</v>
      </c>
      <c r="V76" s="867">
        <v>4</v>
      </c>
      <c r="W76" s="204">
        <f t="shared" si="9"/>
        <v>11.76470588235294</v>
      </c>
      <c r="X76" s="121"/>
    </row>
    <row r="77" spans="1:24">
      <c r="A77" s="14" t="s">
        <v>206</v>
      </c>
      <c r="B77" s="242">
        <f t="shared" si="10"/>
        <v>14</v>
      </c>
      <c r="C77" s="204">
        <f t="shared" si="1"/>
        <v>0.74986609534011783</v>
      </c>
      <c r="E77" s="867"/>
      <c r="F77" s="204">
        <f t="shared" ref="F77:F83" si="12">IF($A77&lt;&gt;"",E77/$B77*100,"")</f>
        <v>0</v>
      </c>
      <c r="G77" s="867"/>
      <c r="H77" s="204">
        <f t="shared" ref="H77:H83" si="13">IF($A77&lt;&gt;"",G77/$B77*100,"")</f>
        <v>0</v>
      </c>
      <c r="I77" s="867"/>
      <c r="J77" s="867"/>
      <c r="K77" s="204">
        <f t="shared" ref="K77:K83" si="14">IF($A77&lt;&gt;"",J77/$B77*100,"")</f>
        <v>0</v>
      </c>
      <c r="L77" s="867">
        <v>3</v>
      </c>
      <c r="M77" s="204">
        <f t="shared" ref="M77:M83" si="15">IF($A77&lt;&gt;"",L77/$B77*100,"")</f>
        <v>21.428571428571427</v>
      </c>
      <c r="N77" s="867"/>
      <c r="O77" s="867"/>
      <c r="P77" s="204">
        <f t="shared" ref="P77:P83" si="16">IF($A77&lt;&gt;"",O77/$B77*100,"")</f>
        <v>0</v>
      </c>
      <c r="Q77" s="867">
        <v>5</v>
      </c>
      <c r="R77" s="204">
        <f t="shared" ref="R77:R83" si="17">IF($A77&lt;&gt;"",Q77/$B77*100,"")</f>
        <v>35.714285714285715</v>
      </c>
      <c r="S77" s="867"/>
      <c r="T77" s="867">
        <v>1</v>
      </c>
      <c r="U77" s="204">
        <f t="shared" ref="U77:U83" si="18">IF($A77&lt;&gt;"",T77/$B77*100,"")</f>
        <v>7.1428571428571423</v>
      </c>
      <c r="V77" s="867">
        <v>5</v>
      </c>
      <c r="W77" s="204">
        <f t="shared" si="9"/>
        <v>35.714285714285715</v>
      </c>
      <c r="X77" s="121"/>
    </row>
    <row r="78" spans="1:24">
      <c r="A78" s="14" t="s">
        <v>1181</v>
      </c>
      <c r="B78" s="242">
        <f t="shared" si="10"/>
        <v>6</v>
      </c>
      <c r="C78" s="204">
        <f t="shared" si="1"/>
        <v>0.32137118371719336</v>
      </c>
      <c r="E78" s="867"/>
      <c r="F78" s="204">
        <f t="shared" si="12"/>
        <v>0</v>
      </c>
      <c r="G78" s="867"/>
      <c r="H78" s="204">
        <f t="shared" si="13"/>
        <v>0</v>
      </c>
      <c r="I78" s="867"/>
      <c r="J78" s="867"/>
      <c r="K78" s="204">
        <f t="shared" si="14"/>
        <v>0</v>
      </c>
      <c r="L78" s="867">
        <v>1</v>
      </c>
      <c r="M78" s="204">
        <f t="shared" si="15"/>
        <v>16.666666666666664</v>
      </c>
      <c r="N78" s="867"/>
      <c r="O78" s="867">
        <v>1</v>
      </c>
      <c r="P78" s="204">
        <f t="shared" si="16"/>
        <v>16.666666666666664</v>
      </c>
      <c r="Q78" s="867">
        <v>3</v>
      </c>
      <c r="R78" s="204">
        <f t="shared" si="17"/>
        <v>50</v>
      </c>
      <c r="S78" s="867"/>
      <c r="T78" s="867">
        <v>1</v>
      </c>
      <c r="U78" s="204">
        <f t="shared" si="18"/>
        <v>16.666666666666664</v>
      </c>
      <c r="V78" s="867"/>
      <c r="W78" s="204"/>
      <c r="X78" s="121"/>
    </row>
    <row r="79" spans="1:24">
      <c r="A79" s="14" t="s">
        <v>205</v>
      </c>
      <c r="B79" s="242">
        <f t="shared" si="10"/>
        <v>16</v>
      </c>
      <c r="C79" s="204">
        <f t="shared" si="1"/>
        <v>0.85698982324584894</v>
      </c>
      <c r="E79" s="867">
        <v>1</v>
      </c>
      <c r="F79" s="204">
        <f t="shared" si="12"/>
        <v>6.25</v>
      </c>
      <c r="G79" s="867"/>
      <c r="H79" s="204">
        <f t="shared" si="13"/>
        <v>0</v>
      </c>
      <c r="I79" s="867"/>
      <c r="J79" s="867"/>
      <c r="K79" s="204">
        <f t="shared" si="14"/>
        <v>0</v>
      </c>
      <c r="L79" s="867">
        <v>4</v>
      </c>
      <c r="M79" s="204">
        <f t="shared" si="15"/>
        <v>25</v>
      </c>
      <c r="N79" s="867"/>
      <c r="O79" s="867">
        <v>5</v>
      </c>
      <c r="P79" s="204">
        <f t="shared" si="16"/>
        <v>31.25</v>
      </c>
      <c r="Q79" s="867">
        <v>4</v>
      </c>
      <c r="R79" s="204">
        <f t="shared" si="17"/>
        <v>25</v>
      </c>
      <c r="S79" s="867"/>
      <c r="T79" s="867"/>
      <c r="U79" s="204">
        <f t="shared" si="18"/>
        <v>0</v>
      </c>
      <c r="V79" s="867">
        <v>2</v>
      </c>
      <c r="W79" s="204">
        <f t="shared" si="9"/>
        <v>12.5</v>
      </c>
      <c r="X79" s="121"/>
    </row>
    <row r="80" spans="1:24" ht="6.75" customHeight="1">
      <c r="B80" s="242" t="str">
        <f t="shared" si="10"/>
        <v/>
      </c>
      <c r="C80" s="204" t="str">
        <f t="shared" si="1"/>
        <v/>
      </c>
      <c r="E80" s="868"/>
      <c r="F80" s="204" t="str">
        <f t="shared" si="12"/>
        <v/>
      </c>
      <c r="G80" s="868"/>
      <c r="H80" s="204" t="str">
        <f t="shared" si="13"/>
        <v/>
      </c>
      <c r="I80" s="868"/>
      <c r="J80" s="868"/>
      <c r="K80" s="204" t="str">
        <f t="shared" si="14"/>
        <v/>
      </c>
      <c r="L80" s="868"/>
      <c r="M80" s="204" t="str">
        <f t="shared" si="15"/>
        <v/>
      </c>
      <c r="N80" s="868"/>
      <c r="O80" s="868"/>
      <c r="P80" s="204" t="str">
        <f t="shared" si="16"/>
        <v/>
      </c>
      <c r="Q80" s="868"/>
      <c r="R80" s="204" t="str">
        <f t="shared" si="17"/>
        <v/>
      </c>
      <c r="S80" s="868"/>
      <c r="T80" s="868"/>
      <c r="U80" s="204" t="str">
        <f t="shared" si="18"/>
        <v/>
      </c>
      <c r="V80" s="868"/>
      <c r="W80" s="204" t="str">
        <f t="shared" si="9"/>
        <v/>
      </c>
      <c r="X80" s="121"/>
    </row>
    <row r="81" spans="1:25">
      <c r="A81" s="14" t="s">
        <v>208</v>
      </c>
      <c r="B81" s="242">
        <f t="shared" si="10"/>
        <v>67</v>
      </c>
      <c r="C81" s="204">
        <f t="shared" si="1"/>
        <v>3.5886448848419925</v>
      </c>
      <c r="E81" s="867"/>
      <c r="F81" s="204">
        <f t="shared" si="12"/>
        <v>0</v>
      </c>
      <c r="G81" s="867"/>
      <c r="H81" s="204">
        <f t="shared" si="13"/>
        <v>0</v>
      </c>
      <c r="I81" s="867"/>
      <c r="J81" s="867">
        <v>12</v>
      </c>
      <c r="K81" s="204">
        <f t="shared" si="14"/>
        <v>17.910447761194028</v>
      </c>
      <c r="L81" s="867">
        <v>8</v>
      </c>
      <c r="M81" s="204">
        <f t="shared" si="15"/>
        <v>11.940298507462686</v>
      </c>
      <c r="N81" s="867"/>
      <c r="O81" s="867">
        <v>6</v>
      </c>
      <c r="P81" s="204">
        <f t="shared" si="16"/>
        <v>8.9552238805970141</v>
      </c>
      <c r="Q81" s="867">
        <v>14</v>
      </c>
      <c r="R81" s="204">
        <f t="shared" si="17"/>
        <v>20.8955223880597</v>
      </c>
      <c r="S81" s="867"/>
      <c r="T81" s="867">
        <v>17</v>
      </c>
      <c r="U81" s="204">
        <f t="shared" si="18"/>
        <v>25.373134328358208</v>
      </c>
      <c r="V81" s="867">
        <v>10</v>
      </c>
      <c r="W81" s="204">
        <f>IF($A81&lt;&gt;"",V81/$B81*100,"")</f>
        <v>14.925373134328357</v>
      </c>
      <c r="X81" s="121"/>
    </row>
    <row r="82" spans="1:25" ht="6.75" customHeight="1">
      <c r="B82" s="242" t="str">
        <f t="shared" si="10"/>
        <v/>
      </c>
      <c r="C82" s="204" t="str">
        <f t="shared" si="1"/>
        <v/>
      </c>
      <c r="E82" s="868"/>
      <c r="F82" s="204" t="str">
        <f t="shared" si="12"/>
        <v/>
      </c>
      <c r="G82" s="868"/>
      <c r="H82" s="204" t="str">
        <f t="shared" si="13"/>
        <v/>
      </c>
      <c r="I82" s="868"/>
      <c r="J82" s="868"/>
      <c r="K82" s="204" t="str">
        <f t="shared" si="14"/>
        <v/>
      </c>
      <c r="L82" s="868"/>
      <c r="M82" s="204" t="str">
        <f t="shared" si="15"/>
        <v/>
      </c>
      <c r="N82" s="868"/>
      <c r="O82" s="868"/>
      <c r="P82" s="204" t="str">
        <f t="shared" si="16"/>
        <v/>
      </c>
      <c r="Q82" s="868"/>
      <c r="R82" s="204" t="str">
        <f t="shared" si="17"/>
        <v/>
      </c>
      <c r="S82" s="868"/>
      <c r="T82" s="868"/>
      <c r="U82" s="204" t="str">
        <f t="shared" si="18"/>
        <v/>
      </c>
      <c r="V82" s="868"/>
      <c r="W82" s="204" t="str">
        <f>IF($A82&lt;&gt;"",V82/$B82*100,"")</f>
        <v/>
      </c>
      <c r="X82" s="121"/>
    </row>
    <row r="83" spans="1:25">
      <c r="A83" s="14" t="s">
        <v>209</v>
      </c>
      <c r="B83" s="242">
        <f t="shared" si="10"/>
        <v>43</v>
      </c>
      <c r="C83" s="204">
        <f t="shared" si="1"/>
        <v>2.3031601499732193</v>
      </c>
      <c r="E83" s="867"/>
      <c r="F83" s="204">
        <f t="shared" si="12"/>
        <v>0</v>
      </c>
      <c r="G83" s="867"/>
      <c r="H83" s="204">
        <f t="shared" si="13"/>
        <v>0</v>
      </c>
      <c r="I83" s="867"/>
      <c r="J83" s="867">
        <v>3</v>
      </c>
      <c r="K83" s="204">
        <f t="shared" si="14"/>
        <v>6.9767441860465116</v>
      </c>
      <c r="L83" s="867">
        <v>3</v>
      </c>
      <c r="M83" s="204">
        <f t="shared" si="15"/>
        <v>6.9767441860465116</v>
      </c>
      <c r="N83" s="867"/>
      <c r="O83" s="867">
        <v>11</v>
      </c>
      <c r="P83" s="204">
        <f t="shared" si="16"/>
        <v>25.581395348837212</v>
      </c>
      <c r="Q83" s="867">
        <v>20</v>
      </c>
      <c r="R83" s="204">
        <f t="shared" si="17"/>
        <v>46.511627906976742</v>
      </c>
      <c r="S83" s="867"/>
      <c r="T83" s="867">
        <v>3</v>
      </c>
      <c r="U83" s="204">
        <f t="shared" si="18"/>
        <v>6.9767441860465116</v>
      </c>
      <c r="V83" s="867">
        <v>3</v>
      </c>
      <c r="W83" s="204">
        <f>IF($A83&lt;&gt;"",V83/$B83*100,"")</f>
        <v>6.9767441860465116</v>
      </c>
      <c r="X83" s="121"/>
    </row>
    <row r="84" spans="1:25" ht="8.5" customHeight="1">
      <c r="C84" s="204"/>
      <c r="R84" s="204"/>
      <c r="W84" s="204"/>
      <c r="X84" s="121"/>
    </row>
    <row r="85" spans="1:25">
      <c r="A85" s="17" t="s">
        <v>684</v>
      </c>
      <c r="B85" s="242">
        <f t="shared" ref="B85:B147" si="19">IF(A85&lt;&gt;"",E85+G85+J85+L85+O85+Q85+T85+V85,"")</f>
        <v>154</v>
      </c>
      <c r="C85" s="204">
        <f t="shared" si="1"/>
        <v>8.2485270487412965</v>
      </c>
      <c r="E85" s="242">
        <f>SUM(E87)</f>
        <v>4</v>
      </c>
      <c r="F85" s="204">
        <f t="shared" ref="F85:F148" si="20">IF($A85&lt;&gt;"",E85/$B85*100,"")</f>
        <v>2.5974025974025974</v>
      </c>
      <c r="G85" s="242">
        <f>SUM(G87)</f>
        <v>1</v>
      </c>
      <c r="H85" s="204">
        <f t="shared" ref="H85:H148" si="21">IF($A85&lt;&gt;"",G85/$B85*100,"")</f>
        <v>0.64935064935064934</v>
      </c>
      <c r="J85" s="242">
        <f>SUM(J87)</f>
        <v>32</v>
      </c>
      <c r="K85" s="204">
        <f t="shared" ref="K85:K148" si="22">IF($A85&lt;&gt;"",J85/$B85*100,"")</f>
        <v>20.779220779220779</v>
      </c>
      <c r="L85" s="242">
        <f>SUM(L87)</f>
        <v>15</v>
      </c>
      <c r="M85" s="204">
        <f t="shared" ref="M85:M148" si="23">IF($A85&lt;&gt;"",L85/$B85*100,"")</f>
        <v>9.7402597402597415</v>
      </c>
      <c r="O85" s="242">
        <f>SUM(O87)</f>
        <v>34</v>
      </c>
      <c r="P85" s="204">
        <f t="shared" ref="P85:P148" si="24">IF($A85&lt;&gt;"",O85/$B85*100,"")</f>
        <v>22.077922077922079</v>
      </c>
      <c r="Q85" s="242">
        <f>SUM(Q87)</f>
        <v>14</v>
      </c>
      <c r="R85" s="204">
        <f t="shared" ref="R85:R148" si="25">IF($A85&lt;&gt;"",Q85/$B85*100,"")</f>
        <v>9.0909090909090917</v>
      </c>
      <c r="T85" s="242">
        <f>SUM(T87)</f>
        <v>39</v>
      </c>
      <c r="U85" s="204">
        <f t="shared" ref="U85:U148" si="26">IF($A85&lt;&gt;"",T85/$B85*100,"")</f>
        <v>25.324675324675322</v>
      </c>
      <c r="V85" s="242">
        <f>SUM(V87)</f>
        <v>15</v>
      </c>
      <c r="W85" s="204">
        <f t="shared" ref="W85:W148" si="27">IF($A85&lt;&gt;"",V85/$B85*100,"")</f>
        <v>9.7402597402597415</v>
      </c>
      <c r="X85" s="121"/>
      <c r="Y85" s="139"/>
    </row>
    <row r="86" spans="1:25" ht="6.75" customHeight="1">
      <c r="B86" s="242" t="str">
        <f t="shared" si="19"/>
        <v/>
      </c>
      <c r="C86" s="204"/>
      <c r="E86" s="242"/>
      <c r="F86" s="204" t="str">
        <f t="shared" si="20"/>
        <v/>
      </c>
      <c r="H86" s="204" t="str">
        <f t="shared" si="21"/>
        <v/>
      </c>
      <c r="J86" s="242"/>
      <c r="K86" s="204" t="str">
        <f t="shared" si="22"/>
        <v/>
      </c>
      <c r="L86" s="242"/>
      <c r="M86" s="204" t="str">
        <f t="shared" si="23"/>
        <v/>
      </c>
      <c r="O86" s="242"/>
      <c r="P86" s="204" t="str">
        <f t="shared" si="24"/>
        <v/>
      </c>
      <c r="Q86" s="242"/>
      <c r="R86" s="204" t="str">
        <f t="shared" si="25"/>
        <v/>
      </c>
      <c r="T86" s="242"/>
      <c r="U86" s="204" t="str">
        <f t="shared" si="26"/>
        <v/>
      </c>
      <c r="V86" s="242"/>
      <c r="W86" s="204" t="str">
        <f t="shared" si="27"/>
        <v/>
      </c>
    </row>
    <row r="87" spans="1:25">
      <c r="A87" s="14" t="s">
        <v>217</v>
      </c>
      <c r="B87" s="242">
        <f t="shared" si="19"/>
        <v>154</v>
      </c>
      <c r="C87" s="204">
        <f t="shared" ref="C87:C99" si="28">IF(A87&lt;&gt;0,B87/$B$13*100,"")</f>
        <v>8.2485270487412965</v>
      </c>
      <c r="E87" s="242">
        <f>SUM(E88:E97)</f>
        <v>4</v>
      </c>
      <c r="F87" s="204">
        <f t="shared" si="20"/>
        <v>2.5974025974025974</v>
      </c>
      <c r="G87" s="242">
        <f>SUM(G88:G97)</f>
        <v>1</v>
      </c>
      <c r="H87" s="204">
        <f t="shared" si="21"/>
        <v>0.64935064935064934</v>
      </c>
      <c r="J87" s="242">
        <f>SUM(J88:J97)</f>
        <v>32</v>
      </c>
      <c r="K87" s="204">
        <f t="shared" si="22"/>
        <v>20.779220779220779</v>
      </c>
      <c r="L87" s="242">
        <f>SUM(L88:L97)</f>
        <v>15</v>
      </c>
      <c r="M87" s="204">
        <f t="shared" si="23"/>
        <v>9.7402597402597415</v>
      </c>
      <c r="O87" s="343">
        <f>SUM(O88:O97)</f>
        <v>34</v>
      </c>
      <c r="P87" s="204">
        <f t="shared" si="24"/>
        <v>22.077922077922079</v>
      </c>
      <c r="Q87" s="242">
        <f>SUM(Q88:Q97)</f>
        <v>14</v>
      </c>
      <c r="R87" s="204">
        <f t="shared" si="25"/>
        <v>9.0909090909090917</v>
      </c>
      <c r="T87" s="242">
        <f>SUM(T88:T97)</f>
        <v>39</v>
      </c>
      <c r="U87" s="204">
        <f t="shared" si="26"/>
        <v>25.324675324675322</v>
      </c>
      <c r="V87" s="242">
        <f>SUM(V88:V97)</f>
        <v>15</v>
      </c>
      <c r="W87" s="204">
        <f t="shared" si="27"/>
        <v>9.7402597402597415</v>
      </c>
      <c r="X87" s="121"/>
    </row>
    <row r="88" spans="1:25">
      <c r="A88" s="14" t="s">
        <v>1182</v>
      </c>
      <c r="B88" s="242">
        <f t="shared" si="19"/>
        <v>6</v>
      </c>
      <c r="C88" s="204">
        <f t="shared" si="28"/>
        <v>0.32137118371719336</v>
      </c>
      <c r="E88" s="867"/>
      <c r="F88" s="204">
        <f t="shared" si="20"/>
        <v>0</v>
      </c>
      <c r="G88" s="867"/>
      <c r="H88" s="204">
        <f t="shared" si="21"/>
        <v>0</v>
      </c>
      <c r="I88" s="867"/>
      <c r="J88" s="867">
        <v>1</v>
      </c>
      <c r="K88" s="204">
        <f t="shared" si="22"/>
        <v>16.666666666666664</v>
      </c>
      <c r="L88" s="867">
        <v>2</v>
      </c>
      <c r="M88" s="204">
        <f t="shared" si="23"/>
        <v>33.333333333333329</v>
      </c>
      <c r="N88" s="867"/>
      <c r="O88" s="867"/>
      <c r="P88" s="204">
        <f t="shared" si="24"/>
        <v>0</v>
      </c>
      <c r="Q88" s="867"/>
      <c r="R88" s="204">
        <f t="shared" si="25"/>
        <v>0</v>
      </c>
      <c r="S88" s="867"/>
      <c r="T88" s="867">
        <v>1</v>
      </c>
      <c r="U88" s="204">
        <f t="shared" si="26"/>
        <v>16.666666666666664</v>
      </c>
      <c r="V88" s="867">
        <v>2</v>
      </c>
      <c r="W88" s="204">
        <f t="shared" si="27"/>
        <v>33.333333333333329</v>
      </c>
      <c r="X88" s="121"/>
    </row>
    <row r="89" spans="1:25">
      <c r="A89" s="14" t="s">
        <v>218</v>
      </c>
      <c r="B89" s="242">
        <f t="shared" si="19"/>
        <v>28</v>
      </c>
      <c r="C89" s="204">
        <f t="shared" si="28"/>
        <v>1.4997321906802357</v>
      </c>
      <c r="E89" s="867"/>
      <c r="F89" s="204">
        <f t="shared" si="20"/>
        <v>0</v>
      </c>
      <c r="G89" s="867"/>
      <c r="H89" s="204">
        <f t="shared" si="21"/>
        <v>0</v>
      </c>
      <c r="I89" s="867"/>
      <c r="J89" s="867">
        <v>8</v>
      </c>
      <c r="K89" s="204">
        <f t="shared" si="22"/>
        <v>28.571428571428569</v>
      </c>
      <c r="L89" s="867">
        <v>2</v>
      </c>
      <c r="M89" s="204">
        <f t="shared" si="23"/>
        <v>7.1428571428571423</v>
      </c>
      <c r="N89" s="867"/>
      <c r="O89" s="867">
        <v>8</v>
      </c>
      <c r="P89" s="204">
        <f t="shared" si="24"/>
        <v>28.571428571428569</v>
      </c>
      <c r="Q89" s="867">
        <v>2</v>
      </c>
      <c r="R89" s="204">
        <f t="shared" si="25"/>
        <v>7.1428571428571423</v>
      </c>
      <c r="S89" s="867"/>
      <c r="T89" s="867">
        <v>8</v>
      </c>
      <c r="U89" s="204">
        <f t="shared" si="26"/>
        <v>28.571428571428569</v>
      </c>
      <c r="V89" s="867"/>
      <c r="W89" s="204">
        <f t="shared" si="27"/>
        <v>0</v>
      </c>
      <c r="X89" s="121"/>
    </row>
    <row r="90" spans="1:25">
      <c r="A90" s="14" t="s">
        <v>220</v>
      </c>
      <c r="B90" s="242">
        <f t="shared" si="19"/>
        <v>20</v>
      </c>
      <c r="C90" s="204">
        <f t="shared" si="28"/>
        <v>1.0712372790573113</v>
      </c>
      <c r="E90" s="867">
        <v>1</v>
      </c>
      <c r="F90" s="204">
        <f t="shared" si="20"/>
        <v>5</v>
      </c>
      <c r="G90" s="867">
        <v>1</v>
      </c>
      <c r="H90" s="204">
        <f t="shared" si="21"/>
        <v>5</v>
      </c>
      <c r="I90" s="867"/>
      <c r="J90" s="867">
        <v>1</v>
      </c>
      <c r="K90" s="204">
        <f t="shared" si="22"/>
        <v>5</v>
      </c>
      <c r="L90" s="867"/>
      <c r="M90" s="204">
        <f t="shared" si="23"/>
        <v>0</v>
      </c>
      <c r="N90" s="867"/>
      <c r="O90" s="867">
        <v>2</v>
      </c>
      <c r="P90" s="204">
        <f t="shared" si="24"/>
        <v>10</v>
      </c>
      <c r="Q90" s="867"/>
      <c r="R90" s="204">
        <f t="shared" si="25"/>
        <v>0</v>
      </c>
      <c r="S90" s="867"/>
      <c r="T90" s="867">
        <v>15</v>
      </c>
      <c r="U90" s="204">
        <f t="shared" si="26"/>
        <v>75</v>
      </c>
      <c r="V90" s="867"/>
      <c r="W90" s="204">
        <f t="shared" si="27"/>
        <v>0</v>
      </c>
      <c r="X90" s="121"/>
    </row>
    <row r="91" spans="1:25">
      <c r="A91" s="14" t="s">
        <v>222</v>
      </c>
      <c r="B91" s="242">
        <f t="shared" si="19"/>
        <v>25</v>
      </c>
      <c r="C91" s="204">
        <f t="shared" si="28"/>
        <v>1.3390465988216389</v>
      </c>
      <c r="E91" s="867"/>
      <c r="F91" s="204">
        <f t="shared" si="20"/>
        <v>0</v>
      </c>
      <c r="G91" s="867"/>
      <c r="H91" s="204">
        <f t="shared" si="21"/>
        <v>0</v>
      </c>
      <c r="I91" s="867"/>
      <c r="J91" s="867">
        <v>7</v>
      </c>
      <c r="K91" s="204">
        <f t="shared" si="22"/>
        <v>28.000000000000004</v>
      </c>
      <c r="L91" s="867">
        <v>5</v>
      </c>
      <c r="M91" s="204">
        <f t="shared" si="23"/>
        <v>20</v>
      </c>
      <c r="N91" s="867"/>
      <c r="O91" s="867">
        <v>4</v>
      </c>
      <c r="P91" s="204">
        <f t="shared" si="24"/>
        <v>16</v>
      </c>
      <c r="Q91" s="867">
        <v>4</v>
      </c>
      <c r="R91" s="204">
        <f t="shared" si="25"/>
        <v>16</v>
      </c>
      <c r="S91" s="867"/>
      <c r="T91" s="867">
        <v>4</v>
      </c>
      <c r="U91" s="204">
        <f t="shared" si="26"/>
        <v>16</v>
      </c>
      <c r="V91" s="867">
        <v>1</v>
      </c>
      <c r="W91" s="204">
        <f t="shared" si="27"/>
        <v>4</v>
      </c>
      <c r="X91" s="121"/>
    </row>
    <row r="92" spans="1:25">
      <c r="A92" s="14" t="s">
        <v>221</v>
      </c>
      <c r="B92" s="242">
        <f t="shared" si="19"/>
        <v>9</v>
      </c>
      <c r="C92" s="204">
        <f t="shared" si="28"/>
        <v>0.48205677557579002</v>
      </c>
      <c r="E92" s="867"/>
      <c r="F92" s="204">
        <f t="shared" si="20"/>
        <v>0</v>
      </c>
      <c r="G92" s="867"/>
      <c r="H92" s="204">
        <f t="shared" si="21"/>
        <v>0</v>
      </c>
      <c r="I92" s="867"/>
      <c r="J92" s="867">
        <v>2</v>
      </c>
      <c r="K92" s="204">
        <f t="shared" si="22"/>
        <v>22.222222222222221</v>
      </c>
      <c r="L92" s="867"/>
      <c r="M92" s="204">
        <f t="shared" si="23"/>
        <v>0</v>
      </c>
      <c r="N92" s="867"/>
      <c r="O92" s="867">
        <v>4</v>
      </c>
      <c r="P92" s="204">
        <f t="shared" si="24"/>
        <v>44.444444444444443</v>
      </c>
      <c r="Q92" s="867">
        <v>2</v>
      </c>
      <c r="R92" s="204">
        <f t="shared" si="25"/>
        <v>22.222222222222221</v>
      </c>
      <c r="S92" s="867"/>
      <c r="T92" s="867">
        <v>1</v>
      </c>
      <c r="U92" s="204">
        <f t="shared" si="26"/>
        <v>11.111111111111111</v>
      </c>
      <c r="V92" s="867"/>
      <c r="W92" s="204">
        <f t="shared" si="27"/>
        <v>0</v>
      </c>
      <c r="X92" s="121"/>
    </row>
    <row r="93" spans="1:25">
      <c r="A93" s="14" t="s">
        <v>219</v>
      </c>
      <c r="B93" s="242">
        <f t="shared" si="19"/>
        <v>13</v>
      </c>
      <c r="C93" s="204">
        <f t="shared" si="28"/>
        <v>0.69630423138725228</v>
      </c>
      <c r="E93" s="867"/>
      <c r="F93" s="204">
        <f t="shared" si="20"/>
        <v>0</v>
      </c>
      <c r="G93" s="867"/>
      <c r="H93" s="204">
        <f t="shared" si="21"/>
        <v>0</v>
      </c>
      <c r="I93" s="867"/>
      <c r="J93" s="867">
        <v>2</v>
      </c>
      <c r="K93" s="204">
        <f t="shared" si="22"/>
        <v>15.384615384615385</v>
      </c>
      <c r="L93" s="867">
        <v>3</v>
      </c>
      <c r="M93" s="204">
        <f t="shared" si="23"/>
        <v>23.076923076923077</v>
      </c>
      <c r="N93" s="867"/>
      <c r="O93" s="867">
        <v>3</v>
      </c>
      <c r="P93" s="204">
        <f t="shared" si="24"/>
        <v>23.076923076923077</v>
      </c>
      <c r="Q93" s="867">
        <v>1</v>
      </c>
      <c r="R93" s="204">
        <f t="shared" si="25"/>
        <v>7.6923076923076925</v>
      </c>
      <c r="S93" s="867"/>
      <c r="T93" s="867">
        <v>2</v>
      </c>
      <c r="U93" s="204">
        <f t="shared" si="26"/>
        <v>15.384615384615385</v>
      </c>
      <c r="V93" s="867">
        <v>2</v>
      </c>
      <c r="W93" s="204">
        <f t="shared" si="27"/>
        <v>15.384615384615385</v>
      </c>
      <c r="X93" s="121"/>
    </row>
    <row r="94" spans="1:25">
      <c r="A94" s="14" t="s">
        <v>416</v>
      </c>
      <c r="B94" s="242">
        <f t="shared" si="19"/>
        <v>14</v>
      </c>
      <c r="C94" s="204">
        <f t="shared" si="28"/>
        <v>0.74986609534011783</v>
      </c>
      <c r="E94" s="867">
        <v>1</v>
      </c>
      <c r="F94" s="204">
        <f t="shared" si="20"/>
        <v>7.1428571428571423</v>
      </c>
      <c r="G94" s="867"/>
      <c r="H94" s="204">
        <f t="shared" si="21"/>
        <v>0</v>
      </c>
      <c r="I94" s="867"/>
      <c r="J94" s="867">
        <v>1</v>
      </c>
      <c r="K94" s="204">
        <f t="shared" si="22"/>
        <v>7.1428571428571423</v>
      </c>
      <c r="L94" s="867"/>
      <c r="M94" s="204">
        <f t="shared" si="23"/>
        <v>0</v>
      </c>
      <c r="N94" s="867"/>
      <c r="O94" s="867">
        <v>2</v>
      </c>
      <c r="P94" s="204">
        <f t="shared" si="24"/>
        <v>14.285714285714285</v>
      </c>
      <c r="Q94" s="867"/>
      <c r="R94" s="204">
        <f t="shared" si="25"/>
        <v>0</v>
      </c>
      <c r="S94" s="867"/>
      <c r="T94" s="867">
        <v>6</v>
      </c>
      <c r="U94" s="204">
        <f t="shared" si="26"/>
        <v>42.857142857142854</v>
      </c>
      <c r="V94" s="867">
        <v>4</v>
      </c>
      <c r="W94" s="204">
        <f t="shared" si="27"/>
        <v>28.571428571428569</v>
      </c>
      <c r="X94" s="121"/>
    </row>
    <row r="95" spans="1:25" ht="15">
      <c r="A95" s="14" t="s">
        <v>223</v>
      </c>
      <c r="B95" s="242">
        <f t="shared" si="19"/>
        <v>15</v>
      </c>
      <c r="C95" s="204">
        <f t="shared" si="28"/>
        <v>0.80342795929298338</v>
      </c>
      <c r="E95" s="867"/>
      <c r="F95" s="204">
        <f t="shared" si="20"/>
        <v>0</v>
      </c>
      <c r="G95" s="867"/>
      <c r="H95" s="204">
        <f t="shared" si="21"/>
        <v>0</v>
      </c>
      <c r="I95" s="867"/>
      <c r="J95" s="867">
        <v>2</v>
      </c>
      <c r="K95" s="204">
        <f t="shared" si="22"/>
        <v>13.333333333333334</v>
      </c>
      <c r="L95" s="867">
        <v>2</v>
      </c>
      <c r="M95" s="204">
        <f t="shared" si="23"/>
        <v>13.333333333333334</v>
      </c>
      <c r="N95" s="867"/>
      <c r="O95" s="867">
        <v>4</v>
      </c>
      <c r="P95" s="204">
        <f t="shared" si="24"/>
        <v>26.666666666666668</v>
      </c>
      <c r="Q95" s="867">
        <v>4</v>
      </c>
      <c r="R95" s="204">
        <f t="shared" si="25"/>
        <v>26.666666666666668</v>
      </c>
      <c r="S95" s="867"/>
      <c r="T95" s="867"/>
      <c r="U95" s="204">
        <f t="shared" si="26"/>
        <v>0</v>
      </c>
      <c r="V95" s="869">
        <v>3</v>
      </c>
      <c r="W95" s="204">
        <f t="shared" si="27"/>
        <v>20</v>
      </c>
      <c r="X95" s="121"/>
    </row>
    <row r="96" spans="1:25">
      <c r="A96" s="14" t="s">
        <v>1184</v>
      </c>
      <c r="B96" s="242">
        <f t="shared" si="19"/>
        <v>16</v>
      </c>
      <c r="C96" s="204">
        <f t="shared" si="28"/>
        <v>0.85698982324584894</v>
      </c>
      <c r="E96" s="867">
        <v>1</v>
      </c>
      <c r="F96" s="204">
        <f t="shared" si="20"/>
        <v>6.25</v>
      </c>
      <c r="G96" s="867"/>
      <c r="H96" s="204">
        <f t="shared" si="21"/>
        <v>0</v>
      </c>
      <c r="I96" s="867"/>
      <c r="J96" s="867">
        <v>7</v>
      </c>
      <c r="K96" s="204">
        <f t="shared" si="22"/>
        <v>43.75</v>
      </c>
      <c r="L96" s="867"/>
      <c r="M96" s="204">
        <f t="shared" si="23"/>
        <v>0</v>
      </c>
      <c r="N96" s="867"/>
      <c r="O96" s="867">
        <v>2</v>
      </c>
      <c r="P96" s="204">
        <f t="shared" si="24"/>
        <v>12.5</v>
      </c>
      <c r="Q96" s="867">
        <v>1</v>
      </c>
      <c r="R96" s="204">
        <f t="shared" si="25"/>
        <v>6.25</v>
      </c>
      <c r="S96" s="867"/>
      <c r="T96" s="867">
        <v>2</v>
      </c>
      <c r="U96" s="204">
        <f t="shared" si="26"/>
        <v>12.5</v>
      </c>
      <c r="V96" s="867">
        <v>3</v>
      </c>
      <c r="W96" s="204">
        <f t="shared" si="27"/>
        <v>18.75</v>
      </c>
      <c r="X96" s="121"/>
    </row>
    <row r="97" spans="1:24">
      <c r="A97" s="14" t="s">
        <v>1183</v>
      </c>
      <c r="B97" s="242">
        <f t="shared" si="19"/>
        <v>8</v>
      </c>
      <c r="C97" s="204">
        <f t="shared" si="28"/>
        <v>0.42849491162292447</v>
      </c>
      <c r="E97" s="867">
        <v>1</v>
      </c>
      <c r="F97" s="204">
        <f t="shared" si="20"/>
        <v>12.5</v>
      </c>
      <c r="G97" s="867"/>
      <c r="H97" s="204">
        <f t="shared" si="21"/>
        <v>0</v>
      </c>
      <c r="I97" s="867"/>
      <c r="J97" s="867">
        <v>1</v>
      </c>
      <c r="K97" s="204">
        <f t="shared" si="22"/>
        <v>12.5</v>
      </c>
      <c r="L97" s="867">
        <v>1</v>
      </c>
      <c r="M97" s="204">
        <f t="shared" si="23"/>
        <v>12.5</v>
      </c>
      <c r="N97" s="867"/>
      <c r="O97" s="867">
        <v>5</v>
      </c>
      <c r="P97" s="204">
        <f t="shared" si="24"/>
        <v>62.5</v>
      </c>
      <c r="Q97" s="867"/>
      <c r="R97" s="204">
        <f t="shared" si="25"/>
        <v>0</v>
      </c>
      <c r="S97" s="867"/>
      <c r="T97" s="867"/>
      <c r="U97" s="204">
        <f t="shared" si="26"/>
        <v>0</v>
      </c>
      <c r="V97" s="867"/>
      <c r="W97" s="204"/>
      <c r="X97" s="121"/>
    </row>
    <row r="98" spans="1:24" ht="6.75" customHeight="1">
      <c r="B98" s="242" t="str">
        <f t="shared" si="19"/>
        <v/>
      </c>
      <c r="C98" s="204" t="str">
        <f t="shared" si="28"/>
        <v/>
      </c>
      <c r="E98" s="242"/>
      <c r="F98" s="204" t="str">
        <f t="shared" si="20"/>
        <v/>
      </c>
      <c r="H98" s="204" t="str">
        <f t="shared" si="21"/>
        <v/>
      </c>
      <c r="J98" s="242"/>
      <c r="K98" s="204" t="str">
        <f t="shared" si="22"/>
        <v/>
      </c>
      <c r="L98" s="242"/>
      <c r="M98" s="204" t="str">
        <f t="shared" si="23"/>
        <v/>
      </c>
      <c r="O98" s="242"/>
      <c r="P98" s="204" t="str">
        <f t="shared" si="24"/>
        <v/>
      </c>
      <c r="Q98" s="242"/>
      <c r="R98" s="204" t="str">
        <f t="shared" si="25"/>
        <v/>
      </c>
      <c r="T98" s="242"/>
      <c r="U98" s="204" t="str">
        <f t="shared" si="26"/>
        <v/>
      </c>
      <c r="V98" s="242"/>
      <c r="W98" s="204" t="str">
        <f t="shared" si="27"/>
        <v/>
      </c>
      <c r="X98" s="121"/>
    </row>
    <row r="99" spans="1:24">
      <c r="A99" s="17" t="s">
        <v>685</v>
      </c>
      <c r="B99" s="242">
        <f t="shared" si="19"/>
        <v>106</v>
      </c>
      <c r="C99" s="204">
        <f t="shared" si="28"/>
        <v>5.6775575790037491</v>
      </c>
      <c r="E99" s="242">
        <f>SUM(E101)</f>
        <v>4</v>
      </c>
      <c r="F99" s="204">
        <f t="shared" si="20"/>
        <v>3.7735849056603774</v>
      </c>
      <c r="G99" s="242">
        <f>SUM(G101)</f>
        <v>2</v>
      </c>
      <c r="H99" s="204">
        <f t="shared" si="21"/>
        <v>1.8867924528301887</v>
      </c>
      <c r="J99" s="242">
        <f>SUM(J101)</f>
        <v>17</v>
      </c>
      <c r="K99" s="204">
        <f t="shared" si="22"/>
        <v>16.037735849056602</v>
      </c>
      <c r="L99" s="242">
        <f>SUM(L101)</f>
        <v>12</v>
      </c>
      <c r="M99" s="204">
        <f t="shared" si="23"/>
        <v>11.320754716981133</v>
      </c>
      <c r="O99" s="242">
        <f>SUM(O101)</f>
        <v>24</v>
      </c>
      <c r="P99" s="204">
        <f t="shared" si="24"/>
        <v>22.641509433962266</v>
      </c>
      <c r="Q99" s="242">
        <f>SUM(Q101)</f>
        <v>19</v>
      </c>
      <c r="R99" s="204">
        <f t="shared" si="25"/>
        <v>17.924528301886792</v>
      </c>
      <c r="T99" s="242">
        <f>SUM(T101)</f>
        <v>19</v>
      </c>
      <c r="U99" s="204">
        <f t="shared" si="26"/>
        <v>17.924528301886792</v>
      </c>
      <c r="V99" s="242">
        <f>SUM(V101)</f>
        <v>9</v>
      </c>
      <c r="W99" s="204">
        <f t="shared" si="27"/>
        <v>8.4905660377358494</v>
      </c>
      <c r="X99" s="121"/>
    </row>
    <row r="100" spans="1:24" ht="6.75" customHeight="1">
      <c r="B100" s="242" t="str">
        <f t="shared" si="19"/>
        <v/>
      </c>
      <c r="C100" s="204"/>
      <c r="E100" s="242"/>
      <c r="F100" s="204" t="str">
        <f t="shared" si="20"/>
        <v/>
      </c>
      <c r="H100" s="204" t="str">
        <f t="shared" si="21"/>
        <v/>
      </c>
      <c r="J100" s="242"/>
      <c r="K100" s="204" t="str">
        <f t="shared" si="22"/>
        <v/>
      </c>
      <c r="L100" s="242"/>
      <c r="M100" s="204" t="str">
        <f t="shared" si="23"/>
        <v/>
      </c>
      <c r="O100" s="242"/>
      <c r="P100" s="204" t="str">
        <f t="shared" si="24"/>
        <v/>
      </c>
      <c r="Q100" s="242"/>
      <c r="R100" s="204" t="str">
        <f t="shared" si="25"/>
        <v/>
      </c>
      <c r="T100" s="242"/>
      <c r="U100" s="204" t="str">
        <f t="shared" si="26"/>
        <v/>
      </c>
      <c r="V100" s="242"/>
      <c r="W100" s="204" t="str">
        <f t="shared" si="27"/>
        <v/>
      </c>
      <c r="X100" s="121"/>
    </row>
    <row r="101" spans="1:24">
      <c r="A101" s="14" t="s">
        <v>1292</v>
      </c>
      <c r="B101" s="242">
        <f t="shared" si="19"/>
        <v>106</v>
      </c>
      <c r="C101" s="204">
        <f t="shared" ref="C101:C151" si="29">IF(A101&lt;&gt;0,B101/$B$13*100,"")</f>
        <v>5.6775575790037491</v>
      </c>
      <c r="E101" s="343">
        <f>SUM(E102:E106)</f>
        <v>4</v>
      </c>
      <c r="F101" s="204">
        <f t="shared" si="20"/>
        <v>3.7735849056603774</v>
      </c>
      <c r="G101" s="343">
        <f>SUM(G102:G106)</f>
        <v>2</v>
      </c>
      <c r="H101" s="204">
        <f t="shared" si="21"/>
        <v>1.8867924528301887</v>
      </c>
      <c r="J101" s="343">
        <f>SUM(J102:J106)</f>
        <v>17</v>
      </c>
      <c r="K101" s="204">
        <f t="shared" si="22"/>
        <v>16.037735849056602</v>
      </c>
      <c r="L101" s="343">
        <f>SUM(L102:L106)</f>
        <v>12</v>
      </c>
      <c r="M101" s="204">
        <f t="shared" si="23"/>
        <v>11.320754716981133</v>
      </c>
      <c r="O101" s="343">
        <f>SUM(O102:O106)</f>
        <v>24</v>
      </c>
      <c r="P101" s="204">
        <f t="shared" si="24"/>
        <v>22.641509433962266</v>
      </c>
      <c r="Q101" s="343">
        <f>SUM(Q102:Q106)</f>
        <v>19</v>
      </c>
      <c r="R101" s="204">
        <f t="shared" si="25"/>
        <v>17.924528301886792</v>
      </c>
      <c r="T101" s="343">
        <f>SUM(T102:T106)</f>
        <v>19</v>
      </c>
      <c r="U101" s="204">
        <f t="shared" si="26"/>
        <v>17.924528301886792</v>
      </c>
      <c r="V101" s="343">
        <f>SUM(V102:V106)</f>
        <v>9</v>
      </c>
      <c r="W101" s="204">
        <f t="shared" si="27"/>
        <v>8.4905660377358494</v>
      </c>
    </row>
    <row r="102" spans="1:24">
      <c r="A102" s="14" t="s">
        <v>1293</v>
      </c>
      <c r="B102" s="242">
        <f t="shared" si="19"/>
        <v>2</v>
      </c>
      <c r="C102" s="204">
        <f t="shared" si="29"/>
        <v>0.10712372790573112</v>
      </c>
      <c r="E102" s="867"/>
      <c r="F102" s="204">
        <f t="shared" si="20"/>
        <v>0</v>
      </c>
      <c r="G102" s="867">
        <v>1</v>
      </c>
      <c r="H102" s="204">
        <f t="shared" si="21"/>
        <v>50</v>
      </c>
      <c r="I102" s="867"/>
      <c r="J102" s="867"/>
      <c r="K102" s="204">
        <f t="shared" si="22"/>
        <v>0</v>
      </c>
      <c r="L102" s="867"/>
      <c r="M102" s="204">
        <f t="shared" si="23"/>
        <v>0</v>
      </c>
      <c r="N102" s="867"/>
      <c r="O102" s="867"/>
      <c r="P102" s="204">
        <f t="shared" si="24"/>
        <v>0</v>
      </c>
      <c r="Q102" s="867">
        <v>1</v>
      </c>
      <c r="R102" s="204">
        <f t="shared" si="25"/>
        <v>50</v>
      </c>
      <c r="S102" s="867"/>
      <c r="T102" s="867"/>
      <c r="U102" s="204">
        <f t="shared" si="26"/>
        <v>0</v>
      </c>
      <c r="V102" s="867"/>
      <c r="W102" s="204">
        <f t="shared" si="27"/>
        <v>0</v>
      </c>
      <c r="X102" s="121"/>
    </row>
    <row r="103" spans="1:24">
      <c r="A103" s="14" t="s">
        <v>212</v>
      </c>
      <c r="B103" s="242">
        <f t="shared" si="19"/>
        <v>20</v>
      </c>
      <c r="C103" s="204">
        <f>IF(A103&lt;&gt;0,B103/$B$13*100,"")</f>
        <v>1.0712372790573113</v>
      </c>
      <c r="E103" s="867">
        <v>2</v>
      </c>
      <c r="F103" s="204">
        <f t="shared" si="20"/>
        <v>10</v>
      </c>
      <c r="G103" s="867"/>
      <c r="H103" s="204">
        <f t="shared" si="21"/>
        <v>0</v>
      </c>
      <c r="I103" s="867"/>
      <c r="J103" s="867"/>
      <c r="K103" s="204">
        <f t="shared" si="22"/>
        <v>0</v>
      </c>
      <c r="L103" s="867">
        <v>3</v>
      </c>
      <c r="M103" s="204">
        <f t="shared" si="23"/>
        <v>15</v>
      </c>
      <c r="N103" s="867"/>
      <c r="O103" s="867">
        <v>9</v>
      </c>
      <c r="P103" s="204">
        <f t="shared" si="24"/>
        <v>45</v>
      </c>
      <c r="Q103" s="867">
        <v>3</v>
      </c>
      <c r="R103" s="204">
        <f t="shared" si="25"/>
        <v>15</v>
      </c>
      <c r="S103" s="867"/>
      <c r="T103" s="867">
        <v>2</v>
      </c>
      <c r="U103" s="204">
        <f t="shared" si="26"/>
        <v>10</v>
      </c>
      <c r="V103" s="867">
        <v>1</v>
      </c>
      <c r="W103" s="204">
        <f>IF($A103&lt;&gt;"",V103/$B103*100,"")</f>
        <v>5</v>
      </c>
      <c r="X103" s="121"/>
    </row>
    <row r="104" spans="1:24">
      <c r="A104" s="14" t="s">
        <v>213</v>
      </c>
      <c r="B104" s="242">
        <f t="shared" si="19"/>
        <v>45</v>
      </c>
      <c r="C104" s="204">
        <f t="shared" si="29"/>
        <v>2.4102838778789502</v>
      </c>
      <c r="E104" s="867">
        <v>1</v>
      </c>
      <c r="F104" s="204">
        <f t="shared" si="20"/>
        <v>2.2222222222222223</v>
      </c>
      <c r="G104" s="867">
        <v>1</v>
      </c>
      <c r="H104" s="204">
        <f t="shared" si="21"/>
        <v>2.2222222222222223</v>
      </c>
      <c r="I104" s="867"/>
      <c r="J104" s="867">
        <v>10</v>
      </c>
      <c r="K104" s="204">
        <f t="shared" si="22"/>
        <v>22.222222222222221</v>
      </c>
      <c r="L104" s="867">
        <v>3</v>
      </c>
      <c r="M104" s="204">
        <f t="shared" si="23"/>
        <v>6.666666666666667</v>
      </c>
      <c r="N104" s="867"/>
      <c r="O104" s="867">
        <v>8</v>
      </c>
      <c r="P104" s="204">
        <f t="shared" si="24"/>
        <v>17.777777777777779</v>
      </c>
      <c r="Q104" s="867">
        <v>3</v>
      </c>
      <c r="R104" s="204">
        <f t="shared" si="25"/>
        <v>6.666666666666667</v>
      </c>
      <c r="S104" s="867"/>
      <c r="T104" s="867">
        <v>15</v>
      </c>
      <c r="U104" s="204">
        <f t="shared" si="26"/>
        <v>33.333333333333329</v>
      </c>
      <c r="V104" s="867">
        <v>4</v>
      </c>
      <c r="W104" s="204">
        <f t="shared" si="27"/>
        <v>8.8888888888888893</v>
      </c>
      <c r="X104" s="121"/>
    </row>
    <row r="105" spans="1:24">
      <c r="A105" s="14" t="s">
        <v>214</v>
      </c>
      <c r="B105" s="242">
        <f t="shared" si="19"/>
        <v>20</v>
      </c>
      <c r="C105" s="204">
        <f t="shared" si="29"/>
        <v>1.0712372790573113</v>
      </c>
      <c r="E105" s="867">
        <v>1</v>
      </c>
      <c r="F105" s="204">
        <f t="shared" si="20"/>
        <v>5</v>
      </c>
      <c r="G105" s="867"/>
      <c r="H105" s="204">
        <f t="shared" si="21"/>
        <v>0</v>
      </c>
      <c r="I105" s="867"/>
      <c r="J105" s="867">
        <v>6</v>
      </c>
      <c r="K105" s="204">
        <f t="shared" si="22"/>
        <v>30</v>
      </c>
      <c r="L105" s="867">
        <v>1</v>
      </c>
      <c r="M105" s="204">
        <f t="shared" si="23"/>
        <v>5</v>
      </c>
      <c r="N105" s="867"/>
      <c r="O105" s="867">
        <v>6</v>
      </c>
      <c r="P105" s="204">
        <f t="shared" si="24"/>
        <v>30</v>
      </c>
      <c r="Q105" s="867">
        <v>4</v>
      </c>
      <c r="R105" s="204">
        <f t="shared" si="25"/>
        <v>20</v>
      </c>
      <c r="S105" s="867"/>
      <c r="T105" s="867">
        <v>1</v>
      </c>
      <c r="U105" s="204">
        <f t="shared" si="26"/>
        <v>5</v>
      </c>
      <c r="V105" s="867">
        <v>1</v>
      </c>
      <c r="W105" s="204">
        <f t="shared" si="27"/>
        <v>5</v>
      </c>
      <c r="X105" s="121"/>
    </row>
    <row r="106" spans="1:24">
      <c r="A106" s="14" t="s">
        <v>215</v>
      </c>
      <c r="B106" s="242">
        <f>IF(A106&lt;&gt;"",E106+G106+J106+L106+O106+Q106+T106+V106,"")</f>
        <v>19</v>
      </c>
      <c r="C106" s="204">
        <f t="shared" si="29"/>
        <v>1.0176754151044456</v>
      </c>
      <c r="E106" s="867"/>
      <c r="F106" s="204">
        <f t="shared" si="20"/>
        <v>0</v>
      </c>
      <c r="G106" s="867"/>
      <c r="H106" s="204">
        <f t="shared" si="21"/>
        <v>0</v>
      </c>
      <c r="I106" s="867"/>
      <c r="J106" s="867">
        <v>1</v>
      </c>
      <c r="K106" s="204">
        <f t="shared" si="22"/>
        <v>5.2631578947368416</v>
      </c>
      <c r="L106" s="867">
        <v>5</v>
      </c>
      <c r="M106" s="204">
        <f t="shared" si="23"/>
        <v>26.315789473684209</v>
      </c>
      <c r="N106" s="867"/>
      <c r="O106" s="867">
        <v>1</v>
      </c>
      <c r="P106" s="204">
        <f t="shared" si="24"/>
        <v>5.2631578947368416</v>
      </c>
      <c r="Q106" s="867">
        <v>8</v>
      </c>
      <c r="R106" s="204">
        <f t="shared" si="25"/>
        <v>42.105263157894733</v>
      </c>
      <c r="S106" s="867"/>
      <c r="T106" s="867">
        <v>1</v>
      </c>
      <c r="U106" s="204">
        <f t="shared" si="26"/>
        <v>5.2631578947368416</v>
      </c>
      <c r="V106" s="867">
        <v>3</v>
      </c>
      <c r="W106" s="204">
        <f t="shared" si="27"/>
        <v>15.789473684210526</v>
      </c>
      <c r="X106" s="121"/>
    </row>
    <row r="107" spans="1:24" ht="6.75" customHeight="1">
      <c r="B107" s="242" t="str">
        <f t="shared" si="19"/>
        <v/>
      </c>
      <c r="C107" s="204" t="str">
        <f t="shared" si="29"/>
        <v/>
      </c>
      <c r="E107" s="867"/>
      <c r="F107" s="204" t="str">
        <f t="shared" si="20"/>
        <v/>
      </c>
      <c r="G107" s="867"/>
      <c r="H107" s="204" t="str">
        <f t="shared" si="21"/>
        <v/>
      </c>
      <c r="I107" s="867"/>
      <c r="J107" s="867"/>
      <c r="K107" s="204" t="str">
        <f t="shared" si="22"/>
        <v/>
      </c>
      <c r="L107" s="867"/>
      <c r="M107" s="204" t="str">
        <f t="shared" si="23"/>
        <v/>
      </c>
      <c r="N107" s="867"/>
      <c r="O107" s="867"/>
      <c r="P107" s="204" t="str">
        <f t="shared" si="24"/>
        <v/>
      </c>
      <c r="Q107" s="867"/>
      <c r="R107" s="204" t="str">
        <f t="shared" si="25"/>
        <v/>
      </c>
      <c r="S107" s="867"/>
      <c r="T107" s="867"/>
      <c r="U107" s="204" t="str">
        <f t="shared" si="26"/>
        <v/>
      </c>
      <c r="V107" s="867"/>
      <c r="W107" s="204" t="str">
        <f t="shared" si="27"/>
        <v/>
      </c>
      <c r="X107" s="121"/>
    </row>
    <row r="108" spans="1:24">
      <c r="A108" s="14" t="s">
        <v>1188</v>
      </c>
      <c r="B108" s="242">
        <f t="shared" si="19"/>
        <v>28</v>
      </c>
      <c r="C108" s="204">
        <f t="shared" si="29"/>
        <v>1.4997321906802357</v>
      </c>
      <c r="E108" s="867">
        <v>1</v>
      </c>
      <c r="F108" s="204">
        <f t="shared" si="20"/>
        <v>3.5714285714285712</v>
      </c>
      <c r="G108" s="867"/>
      <c r="H108" s="204">
        <f t="shared" si="21"/>
        <v>0</v>
      </c>
      <c r="I108" s="867"/>
      <c r="J108" s="867">
        <v>2</v>
      </c>
      <c r="K108" s="204">
        <f t="shared" si="22"/>
        <v>7.1428571428571423</v>
      </c>
      <c r="L108" s="867">
        <v>2</v>
      </c>
      <c r="M108" s="204">
        <f t="shared" si="23"/>
        <v>7.1428571428571423</v>
      </c>
      <c r="N108" s="867"/>
      <c r="O108" s="867">
        <v>4</v>
      </c>
      <c r="P108" s="204">
        <f t="shared" si="24"/>
        <v>14.285714285714285</v>
      </c>
      <c r="Q108" s="867">
        <v>5</v>
      </c>
      <c r="R108" s="204">
        <f t="shared" si="25"/>
        <v>17.857142857142858</v>
      </c>
      <c r="S108" s="867"/>
      <c r="T108" s="867">
        <v>6</v>
      </c>
      <c r="U108" s="204">
        <f t="shared" si="26"/>
        <v>21.428571428571427</v>
      </c>
      <c r="V108" s="867">
        <v>8</v>
      </c>
      <c r="W108" s="204">
        <f t="shared" si="27"/>
        <v>28.571428571428569</v>
      </c>
      <c r="X108" s="121"/>
    </row>
    <row r="109" spans="1:24">
      <c r="A109" s="14" t="s">
        <v>417</v>
      </c>
      <c r="B109" s="242">
        <f t="shared" si="19"/>
        <v>8</v>
      </c>
      <c r="C109" s="204">
        <f t="shared" si="29"/>
        <v>0.42849491162292447</v>
      </c>
      <c r="E109" s="867">
        <v>1</v>
      </c>
      <c r="F109" s="204">
        <f t="shared" si="20"/>
        <v>12.5</v>
      </c>
      <c r="G109" s="867"/>
      <c r="H109" s="204">
        <f t="shared" si="21"/>
        <v>0</v>
      </c>
      <c r="I109" s="867"/>
      <c r="J109" s="867">
        <v>2</v>
      </c>
      <c r="K109" s="204">
        <f t="shared" si="22"/>
        <v>25</v>
      </c>
      <c r="L109" s="867"/>
      <c r="M109" s="204">
        <f t="shared" si="23"/>
        <v>0</v>
      </c>
      <c r="N109" s="867"/>
      <c r="O109" s="867">
        <v>1</v>
      </c>
      <c r="P109" s="204">
        <f t="shared" si="24"/>
        <v>12.5</v>
      </c>
      <c r="Q109" s="867">
        <v>1</v>
      </c>
      <c r="R109" s="204">
        <f t="shared" si="25"/>
        <v>12.5</v>
      </c>
      <c r="S109" s="867"/>
      <c r="T109" s="867">
        <v>2</v>
      </c>
      <c r="U109" s="204">
        <f t="shared" si="26"/>
        <v>25</v>
      </c>
      <c r="V109" s="867">
        <v>1</v>
      </c>
      <c r="W109" s="204"/>
      <c r="X109" s="121"/>
    </row>
    <row r="110" spans="1:24" ht="6.75" customHeight="1">
      <c r="B110" s="242" t="str">
        <f t="shared" si="19"/>
        <v/>
      </c>
      <c r="C110" s="204" t="str">
        <f t="shared" si="29"/>
        <v/>
      </c>
      <c r="E110" s="242"/>
      <c r="F110" s="204" t="str">
        <f t="shared" si="20"/>
        <v/>
      </c>
      <c r="H110" s="204" t="str">
        <f t="shared" si="21"/>
        <v/>
      </c>
      <c r="J110" s="242"/>
      <c r="K110" s="204" t="str">
        <f t="shared" si="22"/>
        <v/>
      </c>
      <c r="L110" s="242"/>
      <c r="M110" s="204" t="str">
        <f t="shared" si="23"/>
        <v/>
      </c>
      <c r="O110" s="242"/>
      <c r="P110" s="204" t="str">
        <f t="shared" si="24"/>
        <v/>
      </c>
      <c r="Q110" s="242"/>
      <c r="R110" s="204" t="str">
        <f t="shared" si="25"/>
        <v/>
      </c>
      <c r="T110" s="242"/>
      <c r="U110" s="204" t="str">
        <f t="shared" si="26"/>
        <v/>
      </c>
      <c r="V110" s="242"/>
      <c r="W110" s="204" t="str">
        <f t="shared" si="27"/>
        <v/>
      </c>
      <c r="X110" s="121"/>
    </row>
    <row r="111" spans="1:24">
      <c r="A111" s="17" t="s">
        <v>1294</v>
      </c>
      <c r="B111" s="242">
        <f t="shared" si="19"/>
        <v>509</v>
      </c>
      <c r="C111" s="204">
        <f t="shared" si="29"/>
        <v>27.262988752008571</v>
      </c>
      <c r="E111" s="343">
        <f>SUM(E113+E121+E171)</f>
        <v>54</v>
      </c>
      <c r="F111" s="204">
        <f t="shared" si="20"/>
        <v>10.609037328094303</v>
      </c>
      <c r="G111" s="343">
        <f>SUM(G113+G121+G171)</f>
        <v>43</v>
      </c>
      <c r="H111" s="204">
        <f t="shared" si="21"/>
        <v>8.4479371316306473</v>
      </c>
      <c r="J111" s="343">
        <f>SUM(J113+J121+J171)</f>
        <v>79</v>
      </c>
      <c r="K111" s="204">
        <f t="shared" si="22"/>
        <v>15.520628683693516</v>
      </c>
      <c r="L111" s="242">
        <f>SUM(L113+L121+L171)</f>
        <v>88</v>
      </c>
      <c r="M111" s="204">
        <f t="shared" si="23"/>
        <v>17.288801571709232</v>
      </c>
      <c r="O111" s="242">
        <f>SUM(O113+O121+O171)</f>
        <v>59</v>
      </c>
      <c r="P111" s="204">
        <f t="shared" si="24"/>
        <v>11.591355599214145</v>
      </c>
      <c r="Q111" s="242">
        <f>SUM(Q113+Q121+Q171)</f>
        <v>76</v>
      </c>
      <c r="R111" s="204">
        <f t="shared" si="25"/>
        <v>14.931237721021612</v>
      </c>
      <c r="T111" s="242">
        <f>SUM(T113+T121+T171)</f>
        <v>70</v>
      </c>
      <c r="U111" s="204">
        <f t="shared" si="26"/>
        <v>13.7524557956778</v>
      </c>
      <c r="V111" s="242">
        <f>SUM(V113+V121+V171)</f>
        <v>40</v>
      </c>
      <c r="W111" s="204">
        <f t="shared" si="27"/>
        <v>7.8585461689587426</v>
      </c>
      <c r="X111" s="121"/>
    </row>
    <row r="112" spans="1:24" ht="6.75" customHeight="1">
      <c r="B112" s="242" t="str">
        <f t="shared" si="19"/>
        <v/>
      </c>
      <c r="C112" s="204" t="str">
        <f t="shared" si="29"/>
        <v/>
      </c>
      <c r="E112" s="242"/>
      <c r="F112" s="204" t="str">
        <f t="shared" si="20"/>
        <v/>
      </c>
      <c r="H112" s="204" t="str">
        <f t="shared" si="21"/>
        <v/>
      </c>
      <c r="J112" s="242"/>
      <c r="K112" s="204" t="str">
        <f t="shared" si="22"/>
        <v/>
      </c>
      <c r="L112" s="242"/>
      <c r="M112" s="204" t="str">
        <f t="shared" si="23"/>
        <v/>
      </c>
      <c r="O112" s="242"/>
      <c r="P112" s="204" t="str">
        <f t="shared" si="24"/>
        <v/>
      </c>
      <c r="Q112" s="242"/>
      <c r="R112" s="204" t="str">
        <f t="shared" si="25"/>
        <v/>
      </c>
      <c r="T112" s="242"/>
      <c r="U112" s="204" t="str">
        <f t="shared" si="26"/>
        <v/>
      </c>
      <c r="V112" s="242"/>
      <c r="W112" s="204" t="str">
        <f t="shared" si="27"/>
        <v/>
      </c>
      <c r="X112" s="121"/>
    </row>
    <row r="113" spans="1:24">
      <c r="A113" s="14" t="s">
        <v>1190</v>
      </c>
      <c r="B113" s="242">
        <f t="shared" si="19"/>
        <v>56</v>
      </c>
      <c r="C113" s="204">
        <f t="shared" si="29"/>
        <v>2.9994643813604713</v>
      </c>
      <c r="E113" s="343">
        <f>SUM(E114:E119)</f>
        <v>4</v>
      </c>
      <c r="F113" s="204">
        <f t="shared" si="20"/>
        <v>7.1428571428571423</v>
      </c>
      <c r="G113" s="343">
        <f>SUM(G114:G119)</f>
        <v>7</v>
      </c>
      <c r="H113" s="204">
        <f t="shared" si="21"/>
        <v>12.5</v>
      </c>
      <c r="J113" s="343">
        <f>SUM(J114:J119)</f>
        <v>10</v>
      </c>
      <c r="K113" s="204">
        <f t="shared" si="22"/>
        <v>17.857142857142858</v>
      </c>
      <c r="L113" s="343">
        <f>SUM(L114:L119)</f>
        <v>7</v>
      </c>
      <c r="M113" s="204">
        <f t="shared" si="23"/>
        <v>12.5</v>
      </c>
      <c r="O113" s="343">
        <f>SUM(O114:O119)</f>
        <v>10</v>
      </c>
      <c r="P113" s="204">
        <f t="shared" si="24"/>
        <v>17.857142857142858</v>
      </c>
      <c r="Q113" s="343">
        <f>SUM(Q114:Q119)</f>
        <v>7</v>
      </c>
      <c r="R113" s="204">
        <f t="shared" si="25"/>
        <v>12.5</v>
      </c>
      <c r="T113" s="343">
        <f>SUM(T114:T119)</f>
        <v>11</v>
      </c>
      <c r="U113" s="204">
        <f t="shared" si="26"/>
        <v>19.642857142857142</v>
      </c>
      <c r="V113" s="343">
        <f>SUM(V114:V119)</f>
        <v>0</v>
      </c>
      <c r="W113" s="204">
        <f t="shared" si="27"/>
        <v>0</v>
      </c>
      <c r="X113" s="121"/>
    </row>
    <row r="114" spans="1:24">
      <c r="A114" s="14" t="s">
        <v>1191</v>
      </c>
      <c r="B114" s="242">
        <f t="shared" si="19"/>
        <v>15</v>
      </c>
      <c r="C114" s="204">
        <f t="shared" si="29"/>
        <v>0.80342795929298338</v>
      </c>
      <c r="E114" s="867"/>
      <c r="F114" s="204">
        <f t="shared" si="20"/>
        <v>0</v>
      </c>
      <c r="G114" s="867">
        <v>1</v>
      </c>
      <c r="H114" s="204">
        <f t="shared" si="21"/>
        <v>6.666666666666667</v>
      </c>
      <c r="I114" s="867"/>
      <c r="J114" s="867">
        <v>4</v>
      </c>
      <c r="K114" s="204">
        <f t="shared" si="22"/>
        <v>26.666666666666668</v>
      </c>
      <c r="L114" s="867">
        <v>1</v>
      </c>
      <c r="M114" s="204">
        <f t="shared" si="23"/>
        <v>6.666666666666667</v>
      </c>
      <c r="N114" s="867"/>
      <c r="O114" s="867">
        <v>4</v>
      </c>
      <c r="P114" s="204">
        <f t="shared" si="24"/>
        <v>26.666666666666668</v>
      </c>
      <c r="Q114" s="867">
        <v>1</v>
      </c>
      <c r="R114" s="204">
        <f t="shared" si="25"/>
        <v>6.666666666666667</v>
      </c>
      <c r="S114" s="867"/>
      <c r="T114" s="867">
        <v>4</v>
      </c>
      <c r="U114" s="204">
        <f t="shared" si="26"/>
        <v>26.666666666666668</v>
      </c>
      <c r="V114" s="867"/>
      <c r="W114" s="204">
        <f t="shared" si="27"/>
        <v>0</v>
      </c>
      <c r="X114" s="121"/>
    </row>
    <row r="115" spans="1:24">
      <c r="A115" s="14" t="s">
        <v>1192</v>
      </c>
      <c r="B115" s="242">
        <f t="shared" si="19"/>
        <v>5</v>
      </c>
      <c r="C115" s="204">
        <f t="shared" si="29"/>
        <v>0.26780931976432781</v>
      </c>
      <c r="E115" s="867"/>
      <c r="F115" s="204">
        <f t="shared" si="20"/>
        <v>0</v>
      </c>
      <c r="G115" s="867"/>
      <c r="H115" s="204">
        <f t="shared" si="21"/>
        <v>0</v>
      </c>
      <c r="I115" s="867"/>
      <c r="J115" s="867">
        <v>1</v>
      </c>
      <c r="K115" s="204">
        <f t="shared" si="22"/>
        <v>20</v>
      </c>
      <c r="L115" s="867">
        <v>2</v>
      </c>
      <c r="M115" s="204">
        <f t="shared" si="23"/>
        <v>40</v>
      </c>
      <c r="N115" s="867"/>
      <c r="O115" s="867">
        <v>1</v>
      </c>
      <c r="P115" s="204">
        <f t="shared" si="24"/>
        <v>20</v>
      </c>
      <c r="Q115" s="867"/>
      <c r="R115" s="204">
        <f t="shared" si="25"/>
        <v>0</v>
      </c>
      <c r="S115" s="867"/>
      <c r="T115" s="867">
        <v>1</v>
      </c>
      <c r="U115" s="204">
        <f t="shared" si="26"/>
        <v>20</v>
      </c>
      <c r="V115" s="867"/>
      <c r="W115" s="204">
        <f t="shared" si="27"/>
        <v>0</v>
      </c>
      <c r="X115" s="121"/>
    </row>
    <row r="116" spans="1:24">
      <c r="A116" s="14" t="s">
        <v>1193</v>
      </c>
      <c r="B116" s="242">
        <f t="shared" si="19"/>
        <v>6</v>
      </c>
      <c r="C116" s="204">
        <f t="shared" si="29"/>
        <v>0.32137118371719336</v>
      </c>
      <c r="E116" s="867">
        <v>2</v>
      </c>
      <c r="F116" s="204">
        <f t="shared" si="20"/>
        <v>33.333333333333329</v>
      </c>
      <c r="G116" s="867">
        <v>2</v>
      </c>
      <c r="H116" s="204">
        <f t="shared" si="21"/>
        <v>33.333333333333329</v>
      </c>
      <c r="I116" s="867"/>
      <c r="J116" s="867"/>
      <c r="K116" s="204">
        <f t="shared" si="22"/>
        <v>0</v>
      </c>
      <c r="L116" s="867"/>
      <c r="M116" s="204">
        <f t="shared" si="23"/>
        <v>0</v>
      </c>
      <c r="N116" s="867"/>
      <c r="O116" s="867"/>
      <c r="P116" s="204">
        <f t="shared" si="24"/>
        <v>0</v>
      </c>
      <c r="Q116" s="867">
        <v>2</v>
      </c>
      <c r="R116" s="204">
        <f t="shared" si="25"/>
        <v>33.333333333333329</v>
      </c>
      <c r="S116" s="867"/>
      <c r="T116" s="867"/>
      <c r="U116" s="204">
        <f t="shared" si="26"/>
        <v>0</v>
      </c>
      <c r="V116" s="867"/>
      <c r="W116" s="204">
        <f t="shared" si="27"/>
        <v>0</v>
      </c>
      <c r="X116" s="121"/>
    </row>
    <row r="117" spans="1:24">
      <c r="A117" s="14" t="s">
        <v>583</v>
      </c>
      <c r="B117" s="242">
        <f t="shared" si="19"/>
        <v>11</v>
      </c>
      <c r="C117" s="204">
        <f t="shared" si="29"/>
        <v>0.58918050348152118</v>
      </c>
      <c r="E117" s="867">
        <v>1</v>
      </c>
      <c r="F117" s="204">
        <f t="shared" si="20"/>
        <v>9.0909090909090917</v>
      </c>
      <c r="G117" s="867">
        <v>4</v>
      </c>
      <c r="H117" s="204">
        <f t="shared" si="21"/>
        <v>36.363636363636367</v>
      </c>
      <c r="I117" s="867"/>
      <c r="J117" s="867">
        <v>1</v>
      </c>
      <c r="K117" s="204">
        <f t="shared" si="22"/>
        <v>9.0909090909090917</v>
      </c>
      <c r="L117" s="867"/>
      <c r="M117" s="204">
        <f t="shared" si="23"/>
        <v>0</v>
      </c>
      <c r="N117" s="867"/>
      <c r="O117" s="867">
        <v>2</v>
      </c>
      <c r="P117" s="204">
        <f t="shared" si="24"/>
        <v>18.181818181818183</v>
      </c>
      <c r="Q117" s="867"/>
      <c r="R117" s="204">
        <f t="shared" si="25"/>
        <v>0</v>
      </c>
      <c r="S117" s="867"/>
      <c r="T117" s="867">
        <v>3</v>
      </c>
      <c r="U117" s="204">
        <f t="shared" si="26"/>
        <v>27.27272727272727</v>
      </c>
      <c r="V117" s="867"/>
      <c r="W117" s="204">
        <f t="shared" si="27"/>
        <v>0</v>
      </c>
      <c r="X117" s="121"/>
    </row>
    <row r="118" spans="1:24" hidden="1">
      <c r="A118" s="14" t="s">
        <v>1295</v>
      </c>
      <c r="B118" s="242">
        <f t="shared" si="19"/>
        <v>0</v>
      </c>
      <c r="C118" s="204">
        <f t="shared" si="29"/>
        <v>0</v>
      </c>
      <c r="E118" s="867"/>
      <c r="F118" s="204" t="e">
        <f t="shared" si="20"/>
        <v>#DIV/0!</v>
      </c>
      <c r="G118" s="867"/>
      <c r="H118" s="204" t="e">
        <f t="shared" si="21"/>
        <v>#DIV/0!</v>
      </c>
      <c r="I118" s="867"/>
      <c r="J118" s="867"/>
      <c r="K118" s="204" t="e">
        <f t="shared" si="22"/>
        <v>#DIV/0!</v>
      </c>
      <c r="L118" s="867"/>
      <c r="M118" s="204" t="e">
        <f t="shared" si="23"/>
        <v>#DIV/0!</v>
      </c>
      <c r="N118" s="867"/>
      <c r="O118" s="867"/>
      <c r="P118" s="204" t="e">
        <f t="shared" si="24"/>
        <v>#DIV/0!</v>
      </c>
      <c r="Q118" s="867"/>
      <c r="R118" s="204" t="e">
        <f t="shared" si="25"/>
        <v>#DIV/0!</v>
      </c>
      <c r="S118" s="867"/>
      <c r="T118" s="867"/>
      <c r="U118" s="204" t="e">
        <f t="shared" si="26"/>
        <v>#DIV/0!</v>
      </c>
      <c r="V118" s="867"/>
      <c r="W118" s="204" t="e">
        <f t="shared" si="27"/>
        <v>#DIV/0!</v>
      </c>
      <c r="X118" s="121"/>
    </row>
    <row r="119" spans="1:24">
      <c r="A119" s="14" t="s">
        <v>1278</v>
      </c>
      <c r="B119" s="242">
        <f>IF(A119&lt;&gt;"",E119+G119+J119+L119+O119+Q119+T119+V119,"")</f>
        <v>19</v>
      </c>
      <c r="C119" s="204">
        <f>IF(A119&lt;&gt;0,B119/$B$13*100,"")</f>
        <v>1.0176754151044456</v>
      </c>
      <c r="E119" s="121">
        <v>1</v>
      </c>
      <c r="F119" s="204">
        <f t="shared" si="20"/>
        <v>5.2631578947368416</v>
      </c>
      <c r="G119" s="121"/>
      <c r="H119" s="204">
        <f t="shared" si="21"/>
        <v>0</v>
      </c>
      <c r="I119" s="121"/>
      <c r="J119" s="121">
        <v>4</v>
      </c>
      <c r="K119" s="204">
        <f t="shared" si="22"/>
        <v>21.052631578947366</v>
      </c>
      <c r="L119" s="121">
        <v>4</v>
      </c>
      <c r="M119" s="204">
        <f t="shared" si="23"/>
        <v>21.052631578947366</v>
      </c>
      <c r="N119" s="121"/>
      <c r="O119" s="121">
        <v>3</v>
      </c>
      <c r="P119" s="204">
        <f t="shared" si="24"/>
        <v>15.789473684210526</v>
      </c>
      <c r="Q119" s="121">
        <v>4</v>
      </c>
      <c r="R119" s="204">
        <f t="shared" si="25"/>
        <v>21.052631578947366</v>
      </c>
      <c r="S119" s="121"/>
      <c r="T119" s="121">
        <v>3</v>
      </c>
      <c r="U119" s="204">
        <f t="shared" si="26"/>
        <v>15.789473684210526</v>
      </c>
      <c r="V119" s="121"/>
      <c r="W119" s="204">
        <f>IF($A119&lt;&gt;"",V119/$B119*100,"")</f>
        <v>0</v>
      </c>
      <c r="X119" s="121"/>
    </row>
    <row r="120" spans="1:24" ht="6.75" customHeight="1">
      <c r="B120" s="242" t="str">
        <f t="shared" si="19"/>
        <v/>
      </c>
      <c r="C120" s="204" t="str">
        <f t="shared" si="29"/>
        <v/>
      </c>
      <c r="E120" s="242"/>
      <c r="F120" s="204" t="str">
        <f t="shared" si="20"/>
        <v/>
      </c>
      <c r="H120" s="204" t="str">
        <f t="shared" si="21"/>
        <v/>
      </c>
      <c r="J120" s="242"/>
      <c r="K120" s="204" t="str">
        <f t="shared" si="22"/>
        <v/>
      </c>
      <c r="L120" s="242"/>
      <c r="M120" s="204" t="str">
        <f t="shared" si="23"/>
        <v/>
      </c>
      <c r="O120" s="242"/>
      <c r="P120" s="204" t="str">
        <f t="shared" si="24"/>
        <v/>
      </c>
      <c r="Q120" s="242"/>
      <c r="R120" s="204" t="str">
        <f t="shared" si="25"/>
        <v/>
      </c>
      <c r="T120" s="242"/>
      <c r="U120" s="204" t="str">
        <f t="shared" si="26"/>
        <v/>
      </c>
      <c r="V120" s="242"/>
      <c r="W120" s="204" t="str">
        <f t="shared" si="27"/>
        <v/>
      </c>
    </row>
    <row r="121" spans="1:24">
      <c r="A121" s="14" t="s">
        <v>1195</v>
      </c>
      <c r="B121" s="242">
        <f>IF(A121&lt;&gt;"",E121+G121+J121+L121+O121+Q121+T121+V121,"")</f>
        <v>446</v>
      </c>
      <c r="C121" s="204">
        <f t="shared" si="29"/>
        <v>23.888591322978041</v>
      </c>
      <c r="E121" s="243">
        <f>SUM(E122:E167)</f>
        <v>50</v>
      </c>
      <c r="F121" s="204">
        <f t="shared" si="20"/>
        <v>11.210762331838566</v>
      </c>
      <c r="G121" s="243">
        <f>SUM(G122:G167)</f>
        <v>36</v>
      </c>
      <c r="H121" s="204">
        <f t="shared" si="21"/>
        <v>8.071748878923767</v>
      </c>
      <c r="J121" s="243">
        <f>SUM(J122:J167)</f>
        <v>69</v>
      </c>
      <c r="K121" s="204">
        <f t="shared" si="22"/>
        <v>15.47085201793722</v>
      </c>
      <c r="L121" s="243">
        <f>SUM(L122:L167)</f>
        <v>80</v>
      </c>
      <c r="M121" s="204">
        <f t="shared" si="23"/>
        <v>17.937219730941703</v>
      </c>
      <c r="O121" s="243">
        <f>SUM(O122:O167)</f>
        <v>49</v>
      </c>
      <c r="P121" s="204">
        <f t="shared" si="24"/>
        <v>10.986547085201794</v>
      </c>
      <c r="Q121" s="243">
        <f>SUM(Q122:Q167)</f>
        <v>66</v>
      </c>
      <c r="R121" s="204">
        <f t="shared" si="25"/>
        <v>14.798206278026907</v>
      </c>
      <c r="T121" s="243">
        <f>SUM(T122:T167)</f>
        <v>58</v>
      </c>
      <c r="U121" s="204">
        <f t="shared" si="26"/>
        <v>13.004484304932735</v>
      </c>
      <c r="V121" s="243">
        <f>SUM(V122:V167)</f>
        <v>38</v>
      </c>
      <c r="W121" s="204">
        <f t="shared" si="27"/>
        <v>8.5201793721973083</v>
      </c>
      <c r="X121" s="121"/>
    </row>
    <row r="122" spans="1:24">
      <c r="A122" s="14" t="s">
        <v>1196</v>
      </c>
      <c r="B122" s="242">
        <f t="shared" si="19"/>
        <v>3</v>
      </c>
      <c r="C122" s="204">
        <f t="shared" si="29"/>
        <v>0.16068559185859668</v>
      </c>
      <c r="E122" s="867"/>
      <c r="F122" s="204">
        <f t="shared" si="20"/>
        <v>0</v>
      </c>
      <c r="G122" s="867"/>
      <c r="H122" s="204">
        <f t="shared" si="21"/>
        <v>0</v>
      </c>
      <c r="I122" s="867"/>
      <c r="J122" s="867"/>
      <c r="K122" s="204">
        <f t="shared" si="22"/>
        <v>0</v>
      </c>
      <c r="L122" s="867"/>
      <c r="M122" s="204">
        <f t="shared" si="23"/>
        <v>0</v>
      </c>
      <c r="N122" s="867"/>
      <c r="O122" s="867">
        <v>1</v>
      </c>
      <c r="P122" s="204">
        <f t="shared" si="24"/>
        <v>33.333333333333329</v>
      </c>
      <c r="Q122" s="867">
        <v>1</v>
      </c>
      <c r="R122" s="204">
        <f t="shared" si="25"/>
        <v>33.333333333333329</v>
      </c>
      <c r="S122" s="867"/>
      <c r="T122" s="867">
        <v>1</v>
      </c>
      <c r="U122" s="204">
        <f t="shared" si="26"/>
        <v>33.333333333333329</v>
      </c>
      <c r="V122" s="867"/>
      <c r="W122" s="204">
        <f t="shared" si="27"/>
        <v>0</v>
      </c>
      <c r="X122" s="121"/>
    </row>
    <row r="123" spans="1:24">
      <c r="A123" s="14" t="s">
        <v>1197</v>
      </c>
      <c r="B123" s="242">
        <f t="shared" si="19"/>
        <v>4</v>
      </c>
      <c r="C123" s="204">
        <f t="shared" si="29"/>
        <v>0.21424745581146223</v>
      </c>
      <c r="E123" s="867">
        <v>1</v>
      </c>
      <c r="F123" s="204">
        <f t="shared" si="20"/>
        <v>25</v>
      </c>
      <c r="G123" s="867"/>
      <c r="H123" s="204">
        <f t="shared" si="21"/>
        <v>0</v>
      </c>
      <c r="I123" s="867"/>
      <c r="J123" s="867">
        <v>1</v>
      </c>
      <c r="K123" s="204">
        <f t="shared" si="22"/>
        <v>25</v>
      </c>
      <c r="L123" s="867"/>
      <c r="M123" s="204">
        <f t="shared" si="23"/>
        <v>0</v>
      </c>
      <c r="N123" s="867"/>
      <c r="O123" s="867"/>
      <c r="P123" s="204">
        <f t="shared" si="24"/>
        <v>0</v>
      </c>
      <c r="Q123" s="867"/>
      <c r="R123" s="204">
        <f t="shared" si="25"/>
        <v>0</v>
      </c>
      <c r="S123" s="867"/>
      <c r="T123" s="867">
        <v>2</v>
      </c>
      <c r="U123" s="204">
        <f t="shared" si="26"/>
        <v>50</v>
      </c>
      <c r="V123" s="867"/>
      <c r="W123" s="204">
        <f t="shared" si="27"/>
        <v>0</v>
      </c>
      <c r="X123" s="121"/>
    </row>
    <row r="124" spans="1:24">
      <c r="A124" s="14" t="s">
        <v>1198</v>
      </c>
      <c r="B124" s="242">
        <f t="shared" si="19"/>
        <v>18</v>
      </c>
      <c r="C124" s="204">
        <f t="shared" si="29"/>
        <v>0.96411355115158004</v>
      </c>
      <c r="E124" s="867">
        <v>2</v>
      </c>
      <c r="F124" s="204">
        <f t="shared" si="20"/>
        <v>11.111111111111111</v>
      </c>
      <c r="G124" s="867"/>
      <c r="H124" s="204">
        <f t="shared" si="21"/>
        <v>0</v>
      </c>
      <c r="I124" s="867"/>
      <c r="J124" s="867">
        <v>3</v>
      </c>
      <c r="K124" s="204">
        <f t="shared" si="22"/>
        <v>16.666666666666664</v>
      </c>
      <c r="L124" s="867">
        <v>5</v>
      </c>
      <c r="M124" s="204">
        <f t="shared" si="23"/>
        <v>27.777777777777779</v>
      </c>
      <c r="N124" s="867"/>
      <c r="O124" s="867">
        <v>2</v>
      </c>
      <c r="P124" s="204">
        <f t="shared" si="24"/>
        <v>11.111111111111111</v>
      </c>
      <c r="Q124" s="867">
        <v>3</v>
      </c>
      <c r="R124" s="204">
        <f t="shared" si="25"/>
        <v>16.666666666666664</v>
      </c>
      <c r="S124" s="867"/>
      <c r="T124" s="867">
        <v>1</v>
      </c>
      <c r="U124" s="204">
        <f t="shared" si="26"/>
        <v>5.5555555555555554</v>
      </c>
      <c r="V124" s="867">
        <v>2</v>
      </c>
      <c r="W124" s="204">
        <f t="shared" si="27"/>
        <v>11.111111111111111</v>
      </c>
      <c r="X124" s="121"/>
    </row>
    <row r="125" spans="1:24">
      <c r="A125" s="14" t="s">
        <v>1200</v>
      </c>
      <c r="B125" s="242">
        <f t="shared" si="19"/>
        <v>33</v>
      </c>
      <c r="C125" s="204">
        <f t="shared" si="29"/>
        <v>1.7675415104445635</v>
      </c>
      <c r="E125" s="867">
        <v>3</v>
      </c>
      <c r="F125" s="204">
        <f t="shared" si="20"/>
        <v>9.0909090909090917</v>
      </c>
      <c r="G125" s="867">
        <v>3</v>
      </c>
      <c r="H125" s="204">
        <f t="shared" si="21"/>
        <v>9.0909090909090917</v>
      </c>
      <c r="I125" s="867"/>
      <c r="J125" s="867">
        <v>3</v>
      </c>
      <c r="K125" s="204">
        <f t="shared" si="22"/>
        <v>9.0909090909090917</v>
      </c>
      <c r="L125" s="867">
        <v>6</v>
      </c>
      <c r="M125" s="204">
        <f t="shared" si="23"/>
        <v>18.181818181818183</v>
      </c>
      <c r="N125" s="867"/>
      <c r="O125" s="867">
        <v>3</v>
      </c>
      <c r="P125" s="204">
        <f t="shared" si="24"/>
        <v>9.0909090909090917</v>
      </c>
      <c r="Q125" s="867">
        <v>9</v>
      </c>
      <c r="R125" s="204">
        <f t="shared" si="25"/>
        <v>27.27272727272727</v>
      </c>
      <c r="S125" s="867"/>
      <c r="T125" s="867">
        <v>5</v>
      </c>
      <c r="U125" s="204">
        <f t="shared" si="26"/>
        <v>15.151515151515152</v>
      </c>
      <c r="V125" s="867">
        <v>1</v>
      </c>
      <c r="W125" s="204">
        <f t="shared" si="27"/>
        <v>3.0303030303030303</v>
      </c>
      <c r="X125" s="121"/>
    </row>
    <row r="126" spans="1:24">
      <c r="A126" s="14" t="s">
        <v>1201</v>
      </c>
      <c r="B126" s="242">
        <f t="shared" si="19"/>
        <v>21</v>
      </c>
      <c r="C126" s="204">
        <f t="shared" si="29"/>
        <v>1.1247991430101767</v>
      </c>
      <c r="E126" s="867">
        <v>5</v>
      </c>
      <c r="F126" s="204">
        <f t="shared" si="20"/>
        <v>23.809523809523807</v>
      </c>
      <c r="G126" s="867">
        <v>2</v>
      </c>
      <c r="H126" s="204">
        <f t="shared" si="21"/>
        <v>9.5238095238095237</v>
      </c>
      <c r="I126" s="867"/>
      <c r="J126" s="867">
        <v>4</v>
      </c>
      <c r="K126" s="204">
        <f t="shared" si="22"/>
        <v>19.047619047619047</v>
      </c>
      <c r="L126" s="867">
        <v>4</v>
      </c>
      <c r="M126" s="204">
        <f t="shared" si="23"/>
        <v>19.047619047619047</v>
      </c>
      <c r="N126" s="867"/>
      <c r="O126" s="867">
        <v>1</v>
      </c>
      <c r="P126" s="204">
        <f t="shared" si="24"/>
        <v>4.7619047619047619</v>
      </c>
      <c r="Q126" s="867">
        <v>3</v>
      </c>
      <c r="R126" s="204">
        <f t="shared" si="25"/>
        <v>14.285714285714285</v>
      </c>
      <c r="S126" s="867"/>
      <c r="T126" s="867">
        <v>1</v>
      </c>
      <c r="U126" s="204">
        <f t="shared" si="26"/>
        <v>4.7619047619047619</v>
      </c>
      <c r="V126" s="867">
        <v>1</v>
      </c>
      <c r="W126" s="204">
        <f t="shared" si="27"/>
        <v>4.7619047619047619</v>
      </c>
      <c r="X126" s="121"/>
    </row>
    <row r="127" spans="1:24">
      <c r="A127" s="14" t="s">
        <v>1202</v>
      </c>
      <c r="B127" s="242">
        <f t="shared" si="19"/>
        <v>2</v>
      </c>
      <c r="C127" s="204">
        <f t="shared" si="29"/>
        <v>0.10712372790573112</v>
      </c>
      <c r="E127" s="867"/>
      <c r="F127" s="204">
        <f t="shared" si="20"/>
        <v>0</v>
      </c>
      <c r="G127" s="867">
        <v>1</v>
      </c>
      <c r="H127" s="204">
        <f t="shared" si="21"/>
        <v>50</v>
      </c>
      <c r="I127" s="867"/>
      <c r="J127" s="867"/>
      <c r="K127" s="204">
        <f t="shared" si="22"/>
        <v>0</v>
      </c>
      <c r="L127" s="867">
        <v>1</v>
      </c>
      <c r="M127" s="204">
        <f t="shared" si="23"/>
        <v>50</v>
      </c>
      <c r="N127" s="867"/>
      <c r="O127" s="867"/>
      <c r="P127" s="204">
        <f t="shared" si="24"/>
        <v>0</v>
      </c>
      <c r="Q127" s="867"/>
      <c r="R127" s="204">
        <f t="shared" si="25"/>
        <v>0</v>
      </c>
      <c r="S127" s="867"/>
      <c r="T127" s="867"/>
      <c r="U127" s="204">
        <f t="shared" si="26"/>
        <v>0</v>
      </c>
      <c r="V127" s="867"/>
      <c r="W127" s="204">
        <f t="shared" si="27"/>
        <v>0</v>
      </c>
      <c r="X127" s="121"/>
    </row>
    <row r="128" spans="1:24">
      <c r="A128" s="14" t="s">
        <v>1204</v>
      </c>
      <c r="B128" s="242">
        <f t="shared" si="19"/>
        <v>1</v>
      </c>
      <c r="C128" s="204">
        <f t="shared" si="29"/>
        <v>5.3561863952865559E-2</v>
      </c>
      <c r="E128" s="867"/>
      <c r="F128" s="204">
        <f t="shared" si="20"/>
        <v>0</v>
      </c>
      <c r="G128" s="867"/>
      <c r="H128" s="204">
        <f t="shared" si="21"/>
        <v>0</v>
      </c>
      <c r="I128" s="867"/>
      <c r="J128" s="867"/>
      <c r="K128" s="204">
        <f t="shared" si="22"/>
        <v>0</v>
      </c>
      <c r="L128" s="867"/>
      <c r="M128" s="204">
        <f t="shared" si="23"/>
        <v>0</v>
      </c>
      <c r="N128" s="867"/>
      <c r="O128" s="867">
        <v>1</v>
      </c>
      <c r="P128" s="204">
        <f t="shared" si="24"/>
        <v>100</v>
      </c>
      <c r="Q128" s="867"/>
      <c r="R128" s="204">
        <f t="shared" si="25"/>
        <v>0</v>
      </c>
      <c r="S128" s="867"/>
      <c r="T128" s="867"/>
      <c r="U128" s="204">
        <f t="shared" si="26"/>
        <v>0</v>
      </c>
      <c r="V128" s="867"/>
      <c r="W128" s="204">
        <f t="shared" si="27"/>
        <v>0</v>
      </c>
      <c r="X128" s="121"/>
    </row>
    <row r="129" spans="1:24">
      <c r="A129" s="14" t="s">
        <v>1978</v>
      </c>
      <c r="B129" s="242">
        <f t="shared" si="19"/>
        <v>3</v>
      </c>
      <c r="C129" s="204">
        <f t="shared" si="29"/>
        <v>0.16068559185859668</v>
      </c>
      <c r="E129" s="867"/>
      <c r="F129" s="204">
        <f t="shared" si="20"/>
        <v>0</v>
      </c>
      <c r="G129" s="867"/>
      <c r="H129" s="204">
        <f t="shared" si="21"/>
        <v>0</v>
      </c>
      <c r="I129" s="867"/>
      <c r="J129" s="867">
        <v>1</v>
      </c>
      <c r="K129" s="204">
        <f t="shared" si="22"/>
        <v>33.333333333333329</v>
      </c>
      <c r="L129" s="867">
        <v>1</v>
      </c>
      <c r="M129" s="204">
        <f t="shared" si="23"/>
        <v>33.333333333333329</v>
      </c>
      <c r="N129" s="867"/>
      <c r="O129" s="867">
        <v>1</v>
      </c>
      <c r="P129" s="204">
        <f t="shared" si="24"/>
        <v>33.333333333333329</v>
      </c>
      <c r="Q129" s="867"/>
      <c r="R129" s="204">
        <f t="shared" si="25"/>
        <v>0</v>
      </c>
      <c r="S129" s="867"/>
      <c r="T129" s="867"/>
      <c r="U129" s="204">
        <f t="shared" si="26"/>
        <v>0</v>
      </c>
      <c r="V129" s="867"/>
      <c r="W129" s="204">
        <f t="shared" si="27"/>
        <v>0</v>
      </c>
      <c r="X129" s="121"/>
    </row>
    <row r="130" spans="1:24">
      <c r="A130" s="14" t="s">
        <v>1203</v>
      </c>
      <c r="B130" s="242">
        <f t="shared" si="19"/>
        <v>1</v>
      </c>
      <c r="C130" s="204">
        <f t="shared" si="29"/>
        <v>5.3561863952865559E-2</v>
      </c>
      <c r="E130" s="867"/>
      <c r="F130" s="204">
        <f t="shared" si="20"/>
        <v>0</v>
      </c>
      <c r="G130" s="867"/>
      <c r="H130" s="204">
        <f t="shared" si="21"/>
        <v>0</v>
      </c>
      <c r="I130" s="867"/>
      <c r="J130" s="867"/>
      <c r="K130" s="204">
        <f t="shared" si="22"/>
        <v>0</v>
      </c>
      <c r="L130" s="867"/>
      <c r="M130" s="204">
        <f t="shared" si="23"/>
        <v>0</v>
      </c>
      <c r="N130" s="867"/>
      <c r="O130" s="867"/>
      <c r="P130" s="204">
        <f t="shared" si="24"/>
        <v>0</v>
      </c>
      <c r="Q130" s="867"/>
      <c r="R130" s="204">
        <f t="shared" si="25"/>
        <v>0</v>
      </c>
      <c r="S130" s="867"/>
      <c r="T130" s="867">
        <v>1</v>
      </c>
      <c r="U130" s="204">
        <f t="shared" si="26"/>
        <v>100</v>
      </c>
      <c r="V130" s="867"/>
      <c r="W130" s="204"/>
      <c r="X130" s="121"/>
    </row>
    <row r="131" spans="1:24">
      <c r="A131" s="14" t="s">
        <v>1205</v>
      </c>
      <c r="B131" s="242">
        <f t="shared" si="19"/>
        <v>2</v>
      </c>
      <c r="C131" s="204">
        <f t="shared" si="29"/>
        <v>0.10712372790573112</v>
      </c>
      <c r="E131" s="867"/>
      <c r="F131" s="204">
        <f t="shared" si="20"/>
        <v>0</v>
      </c>
      <c r="G131" s="867"/>
      <c r="H131" s="204">
        <f t="shared" si="21"/>
        <v>0</v>
      </c>
      <c r="I131" s="867"/>
      <c r="J131" s="867"/>
      <c r="K131" s="204">
        <f t="shared" si="22"/>
        <v>0</v>
      </c>
      <c r="L131" s="867"/>
      <c r="M131" s="204">
        <f t="shared" si="23"/>
        <v>0</v>
      </c>
      <c r="N131" s="867"/>
      <c r="O131" s="867"/>
      <c r="P131" s="204">
        <f t="shared" si="24"/>
        <v>0</v>
      </c>
      <c r="Q131" s="867">
        <v>2</v>
      </c>
      <c r="R131" s="204">
        <f t="shared" si="25"/>
        <v>100</v>
      </c>
      <c r="S131" s="867"/>
      <c r="T131" s="867"/>
      <c r="U131" s="204">
        <f t="shared" si="26"/>
        <v>0</v>
      </c>
      <c r="V131" s="867"/>
      <c r="W131" s="204">
        <f t="shared" si="27"/>
        <v>0</v>
      </c>
      <c r="X131" s="121"/>
    </row>
    <row r="132" spans="1:24">
      <c r="A132" s="14" t="s">
        <v>1207</v>
      </c>
      <c r="B132" s="242">
        <f t="shared" si="19"/>
        <v>3</v>
      </c>
      <c r="C132" s="204">
        <f t="shared" si="29"/>
        <v>0.16068559185859668</v>
      </c>
      <c r="E132" s="867"/>
      <c r="F132" s="204">
        <f t="shared" si="20"/>
        <v>0</v>
      </c>
      <c r="G132" s="867"/>
      <c r="H132" s="204">
        <f t="shared" si="21"/>
        <v>0</v>
      </c>
      <c r="I132" s="867"/>
      <c r="J132" s="867"/>
      <c r="K132" s="204">
        <f t="shared" si="22"/>
        <v>0</v>
      </c>
      <c r="L132" s="867"/>
      <c r="M132" s="204">
        <f t="shared" si="23"/>
        <v>0</v>
      </c>
      <c r="N132" s="867"/>
      <c r="O132" s="867">
        <v>3</v>
      </c>
      <c r="P132" s="204">
        <f t="shared" si="24"/>
        <v>100</v>
      </c>
      <c r="Q132" s="867"/>
      <c r="R132" s="204">
        <f t="shared" si="25"/>
        <v>0</v>
      </c>
      <c r="S132" s="867"/>
      <c r="T132" s="867"/>
      <c r="U132" s="204">
        <f t="shared" si="26"/>
        <v>0</v>
      </c>
      <c r="V132" s="867"/>
      <c r="W132" s="204">
        <f t="shared" si="27"/>
        <v>0</v>
      </c>
      <c r="X132" s="121"/>
    </row>
    <row r="133" spans="1:24">
      <c r="A133" s="14" t="s">
        <v>1206</v>
      </c>
      <c r="B133" s="242">
        <f t="shared" si="19"/>
        <v>2</v>
      </c>
      <c r="C133" s="204">
        <f t="shared" si="29"/>
        <v>0.10712372790573112</v>
      </c>
      <c r="E133" s="867"/>
      <c r="F133" s="204">
        <f t="shared" si="20"/>
        <v>0</v>
      </c>
      <c r="G133" s="867">
        <v>1</v>
      </c>
      <c r="H133" s="204">
        <f t="shared" si="21"/>
        <v>50</v>
      </c>
      <c r="I133" s="867"/>
      <c r="J133" s="867">
        <v>1</v>
      </c>
      <c r="K133" s="204">
        <f t="shared" si="22"/>
        <v>50</v>
      </c>
      <c r="L133" s="867"/>
      <c r="M133" s="204">
        <f t="shared" si="23"/>
        <v>0</v>
      </c>
      <c r="N133" s="867"/>
      <c r="O133" s="867"/>
      <c r="P133" s="204">
        <f t="shared" si="24"/>
        <v>0</v>
      </c>
      <c r="Q133" s="867"/>
      <c r="R133" s="204">
        <f t="shared" si="25"/>
        <v>0</v>
      </c>
      <c r="S133" s="867"/>
      <c r="T133" s="867"/>
      <c r="U133" s="204">
        <f t="shared" si="26"/>
        <v>0</v>
      </c>
      <c r="V133" s="867"/>
      <c r="W133" s="204">
        <f t="shared" si="27"/>
        <v>0</v>
      </c>
      <c r="X133" s="121"/>
    </row>
    <row r="134" spans="1:24">
      <c r="A134" s="14" t="s">
        <v>1208</v>
      </c>
      <c r="B134" s="242">
        <f t="shared" si="19"/>
        <v>4</v>
      </c>
      <c r="C134" s="204">
        <f t="shared" si="29"/>
        <v>0.21424745581146223</v>
      </c>
      <c r="E134" s="867"/>
      <c r="F134" s="204">
        <f t="shared" si="20"/>
        <v>0</v>
      </c>
      <c r="G134" s="867"/>
      <c r="H134" s="204">
        <f t="shared" si="21"/>
        <v>0</v>
      </c>
      <c r="I134" s="867"/>
      <c r="J134" s="867">
        <v>3</v>
      </c>
      <c r="K134" s="204">
        <f t="shared" si="22"/>
        <v>75</v>
      </c>
      <c r="L134" s="867"/>
      <c r="M134" s="204">
        <f t="shared" si="23"/>
        <v>0</v>
      </c>
      <c r="N134" s="867"/>
      <c r="O134" s="867">
        <v>1</v>
      </c>
      <c r="P134" s="204">
        <f t="shared" si="24"/>
        <v>25</v>
      </c>
      <c r="Q134" s="867"/>
      <c r="R134" s="204">
        <f t="shared" si="25"/>
        <v>0</v>
      </c>
      <c r="S134" s="867"/>
      <c r="T134" s="867"/>
      <c r="U134" s="204">
        <f t="shared" si="26"/>
        <v>0</v>
      </c>
      <c r="V134" s="867"/>
      <c r="W134" s="204">
        <f t="shared" si="27"/>
        <v>0</v>
      </c>
      <c r="X134" s="121"/>
    </row>
    <row r="135" spans="1:24">
      <c r="A135" s="14" t="s">
        <v>1210</v>
      </c>
      <c r="B135" s="242">
        <f t="shared" si="19"/>
        <v>7</v>
      </c>
      <c r="C135" s="204">
        <f t="shared" si="29"/>
        <v>0.37493304767005892</v>
      </c>
      <c r="E135" s="867"/>
      <c r="F135" s="204">
        <f t="shared" si="20"/>
        <v>0</v>
      </c>
      <c r="G135" s="867">
        <v>1</v>
      </c>
      <c r="H135" s="204">
        <f t="shared" si="21"/>
        <v>14.285714285714285</v>
      </c>
      <c r="I135" s="867"/>
      <c r="J135" s="867"/>
      <c r="K135" s="204">
        <f t="shared" si="22"/>
        <v>0</v>
      </c>
      <c r="L135" s="867">
        <v>2</v>
      </c>
      <c r="M135" s="204">
        <f t="shared" si="23"/>
        <v>28.571428571428569</v>
      </c>
      <c r="N135" s="867"/>
      <c r="O135" s="867"/>
      <c r="P135" s="204">
        <f t="shared" si="24"/>
        <v>0</v>
      </c>
      <c r="Q135" s="867">
        <v>3</v>
      </c>
      <c r="R135" s="204">
        <f t="shared" si="25"/>
        <v>42.857142857142854</v>
      </c>
      <c r="S135" s="867"/>
      <c r="T135" s="867"/>
      <c r="U135" s="204">
        <f t="shared" si="26"/>
        <v>0</v>
      </c>
      <c r="V135" s="867">
        <v>1</v>
      </c>
      <c r="W135" s="204">
        <f t="shared" si="27"/>
        <v>14.285714285714285</v>
      </c>
      <c r="X135" s="121"/>
    </row>
    <row r="136" spans="1:24">
      <c r="A136" s="14" t="s">
        <v>1211</v>
      </c>
      <c r="B136" s="242">
        <f t="shared" si="19"/>
        <v>17</v>
      </c>
      <c r="C136" s="204">
        <f t="shared" si="29"/>
        <v>0.91055168719871449</v>
      </c>
      <c r="E136" s="867">
        <v>4</v>
      </c>
      <c r="F136" s="204">
        <f t="shared" si="20"/>
        <v>23.52941176470588</v>
      </c>
      <c r="G136" s="867"/>
      <c r="H136" s="204">
        <f t="shared" si="21"/>
        <v>0</v>
      </c>
      <c r="I136" s="867"/>
      <c r="J136" s="867">
        <v>2</v>
      </c>
      <c r="K136" s="204">
        <f t="shared" si="22"/>
        <v>11.76470588235294</v>
      </c>
      <c r="L136" s="867">
        <v>2</v>
      </c>
      <c r="M136" s="204">
        <f t="shared" si="23"/>
        <v>11.76470588235294</v>
      </c>
      <c r="N136" s="867"/>
      <c r="O136" s="867">
        <v>2</v>
      </c>
      <c r="P136" s="204">
        <f t="shared" si="24"/>
        <v>11.76470588235294</v>
      </c>
      <c r="Q136" s="867">
        <v>6</v>
      </c>
      <c r="R136" s="204">
        <f t="shared" si="25"/>
        <v>35.294117647058826</v>
      </c>
      <c r="S136" s="867"/>
      <c r="T136" s="867">
        <v>1</v>
      </c>
      <c r="U136" s="204">
        <f t="shared" si="26"/>
        <v>5.8823529411764701</v>
      </c>
      <c r="V136" s="867"/>
      <c r="W136" s="204">
        <f t="shared" si="27"/>
        <v>0</v>
      </c>
      <c r="X136" s="121"/>
    </row>
    <row r="137" spans="1:24">
      <c r="A137" s="14" t="s">
        <v>1209</v>
      </c>
      <c r="B137" s="242">
        <f t="shared" si="19"/>
        <v>5</v>
      </c>
      <c r="C137" s="204">
        <f t="shared" si="29"/>
        <v>0.26780931976432781</v>
      </c>
      <c r="E137" s="867"/>
      <c r="F137" s="204">
        <f t="shared" si="20"/>
        <v>0</v>
      </c>
      <c r="G137" s="867"/>
      <c r="H137" s="204">
        <f t="shared" si="21"/>
        <v>0</v>
      </c>
      <c r="I137" s="867"/>
      <c r="J137" s="867">
        <v>1</v>
      </c>
      <c r="K137" s="204">
        <f t="shared" si="22"/>
        <v>20</v>
      </c>
      <c r="L137" s="867">
        <v>1</v>
      </c>
      <c r="M137" s="204">
        <f t="shared" si="23"/>
        <v>20</v>
      </c>
      <c r="N137" s="867"/>
      <c r="O137" s="867"/>
      <c r="P137" s="204">
        <f t="shared" si="24"/>
        <v>0</v>
      </c>
      <c r="Q137" s="867">
        <v>1</v>
      </c>
      <c r="R137" s="204">
        <f t="shared" si="25"/>
        <v>20</v>
      </c>
      <c r="S137" s="867"/>
      <c r="T137" s="867">
        <v>2</v>
      </c>
      <c r="U137" s="204">
        <f t="shared" si="26"/>
        <v>40</v>
      </c>
      <c r="V137" s="867"/>
      <c r="W137" s="204">
        <f t="shared" si="27"/>
        <v>0</v>
      </c>
      <c r="X137" s="121"/>
    </row>
    <row r="138" spans="1:24">
      <c r="A138" s="14" t="s">
        <v>1212</v>
      </c>
      <c r="B138" s="242">
        <f t="shared" si="19"/>
        <v>12</v>
      </c>
      <c r="C138" s="204">
        <f t="shared" si="29"/>
        <v>0.64274236743438673</v>
      </c>
      <c r="E138" s="867">
        <v>1</v>
      </c>
      <c r="F138" s="204">
        <f t="shared" si="20"/>
        <v>8.3333333333333321</v>
      </c>
      <c r="G138" s="867">
        <v>1</v>
      </c>
      <c r="H138" s="204">
        <f t="shared" si="21"/>
        <v>8.3333333333333321</v>
      </c>
      <c r="I138" s="867"/>
      <c r="J138" s="867">
        <v>2</v>
      </c>
      <c r="K138" s="204">
        <f t="shared" si="22"/>
        <v>16.666666666666664</v>
      </c>
      <c r="L138" s="867">
        <v>3</v>
      </c>
      <c r="M138" s="204">
        <f t="shared" si="23"/>
        <v>25</v>
      </c>
      <c r="N138" s="867"/>
      <c r="O138" s="867">
        <v>1</v>
      </c>
      <c r="P138" s="204">
        <f t="shared" si="24"/>
        <v>8.3333333333333321</v>
      </c>
      <c r="Q138" s="867">
        <v>1</v>
      </c>
      <c r="R138" s="204">
        <f t="shared" si="25"/>
        <v>8.3333333333333321</v>
      </c>
      <c r="S138" s="867"/>
      <c r="T138" s="867">
        <v>2</v>
      </c>
      <c r="U138" s="204">
        <f t="shared" si="26"/>
        <v>16.666666666666664</v>
      </c>
      <c r="V138" s="867">
        <v>1</v>
      </c>
      <c r="W138" s="204">
        <f t="shared" si="27"/>
        <v>8.3333333333333321</v>
      </c>
      <c r="X138" s="121"/>
    </row>
    <row r="139" spans="1:24">
      <c r="A139" s="14" t="s">
        <v>1213</v>
      </c>
      <c r="B139" s="242">
        <f t="shared" si="19"/>
        <v>7</v>
      </c>
      <c r="C139" s="204">
        <f t="shared" si="29"/>
        <v>0.37493304767005892</v>
      </c>
      <c r="E139" s="867">
        <v>2</v>
      </c>
      <c r="F139" s="204">
        <f t="shared" si="20"/>
        <v>28.571428571428569</v>
      </c>
      <c r="G139" s="867"/>
      <c r="H139" s="204">
        <f t="shared" si="21"/>
        <v>0</v>
      </c>
      <c r="I139" s="867"/>
      <c r="J139" s="867"/>
      <c r="K139" s="204">
        <f t="shared" si="22"/>
        <v>0</v>
      </c>
      <c r="L139" s="867"/>
      <c r="M139" s="204">
        <f t="shared" si="23"/>
        <v>0</v>
      </c>
      <c r="N139" s="867"/>
      <c r="O139" s="867">
        <v>2</v>
      </c>
      <c r="P139" s="204">
        <f t="shared" si="24"/>
        <v>28.571428571428569</v>
      </c>
      <c r="Q139" s="867"/>
      <c r="R139" s="204">
        <f t="shared" si="25"/>
        <v>0</v>
      </c>
      <c r="S139" s="867"/>
      <c r="T139" s="867">
        <v>2</v>
      </c>
      <c r="U139" s="204">
        <f t="shared" si="26"/>
        <v>28.571428571428569</v>
      </c>
      <c r="V139" s="867">
        <v>1</v>
      </c>
      <c r="W139" s="204">
        <f t="shared" si="27"/>
        <v>14.285714285714285</v>
      </c>
      <c r="X139" s="121"/>
    </row>
    <row r="140" spans="1:24">
      <c r="A140" s="14" t="s">
        <v>1214</v>
      </c>
      <c r="B140" s="242">
        <f t="shared" si="19"/>
        <v>17</v>
      </c>
      <c r="C140" s="204">
        <f t="shared" si="29"/>
        <v>0.91055168719871449</v>
      </c>
      <c r="E140" s="867">
        <v>3</v>
      </c>
      <c r="F140" s="204">
        <f t="shared" si="20"/>
        <v>17.647058823529413</v>
      </c>
      <c r="G140" s="867">
        <v>3</v>
      </c>
      <c r="H140" s="204">
        <f t="shared" si="21"/>
        <v>17.647058823529413</v>
      </c>
      <c r="I140" s="867"/>
      <c r="J140" s="867">
        <v>3</v>
      </c>
      <c r="K140" s="204">
        <f t="shared" si="22"/>
        <v>17.647058823529413</v>
      </c>
      <c r="L140" s="867">
        <v>3</v>
      </c>
      <c r="M140" s="204">
        <f t="shared" si="23"/>
        <v>17.647058823529413</v>
      </c>
      <c r="N140" s="867"/>
      <c r="O140" s="867"/>
      <c r="P140" s="204">
        <f t="shared" si="24"/>
        <v>0</v>
      </c>
      <c r="Q140" s="867">
        <v>2</v>
      </c>
      <c r="R140" s="204">
        <f t="shared" si="25"/>
        <v>11.76470588235294</v>
      </c>
      <c r="S140" s="867"/>
      <c r="T140" s="867">
        <v>2</v>
      </c>
      <c r="U140" s="204">
        <f t="shared" si="26"/>
        <v>11.76470588235294</v>
      </c>
      <c r="V140" s="867">
        <v>1</v>
      </c>
      <c r="W140" s="204">
        <f t="shared" si="27"/>
        <v>5.8823529411764701</v>
      </c>
      <c r="X140" s="121"/>
    </row>
    <row r="141" spans="1:24" ht="15">
      <c r="A141" s="14" t="s">
        <v>1215</v>
      </c>
      <c r="B141" s="242">
        <f t="shared" si="19"/>
        <v>15</v>
      </c>
      <c r="C141" s="204">
        <f t="shared" si="29"/>
        <v>0.80342795929298338</v>
      </c>
      <c r="E141" s="867">
        <v>3</v>
      </c>
      <c r="F141" s="204">
        <f t="shared" si="20"/>
        <v>20</v>
      </c>
      <c r="G141" s="869">
        <v>2</v>
      </c>
      <c r="H141" s="204">
        <f t="shared" si="21"/>
        <v>13.333333333333334</v>
      </c>
      <c r="I141" s="869"/>
      <c r="J141" s="867">
        <v>1</v>
      </c>
      <c r="K141" s="204">
        <f t="shared" si="22"/>
        <v>6.666666666666667</v>
      </c>
      <c r="L141" s="869"/>
      <c r="M141" s="204">
        <f t="shared" si="23"/>
        <v>0</v>
      </c>
      <c r="N141" s="869"/>
      <c r="O141" s="867">
        <v>2</v>
      </c>
      <c r="P141" s="204">
        <f t="shared" si="24"/>
        <v>13.333333333333334</v>
      </c>
      <c r="Q141" s="867">
        <v>1</v>
      </c>
      <c r="R141" s="204">
        <f t="shared" si="25"/>
        <v>6.666666666666667</v>
      </c>
      <c r="S141" s="867"/>
      <c r="T141" s="869">
        <v>3</v>
      </c>
      <c r="U141" s="204">
        <f t="shared" si="26"/>
        <v>20</v>
      </c>
      <c r="V141" s="869">
        <v>3</v>
      </c>
      <c r="W141" s="204">
        <f t="shared" si="27"/>
        <v>20</v>
      </c>
      <c r="X141" s="121"/>
    </row>
    <row r="142" spans="1:24">
      <c r="A142" s="14" t="s">
        <v>1216</v>
      </c>
      <c r="B142" s="242">
        <f t="shared" si="19"/>
        <v>4</v>
      </c>
      <c r="C142" s="204">
        <f t="shared" si="29"/>
        <v>0.21424745581146223</v>
      </c>
      <c r="E142" s="867">
        <v>1</v>
      </c>
      <c r="F142" s="204">
        <f t="shared" si="20"/>
        <v>25</v>
      </c>
      <c r="G142" s="867"/>
      <c r="H142" s="204">
        <f t="shared" si="21"/>
        <v>0</v>
      </c>
      <c r="I142" s="867"/>
      <c r="J142" s="867">
        <v>1</v>
      </c>
      <c r="K142" s="204">
        <f t="shared" si="22"/>
        <v>25</v>
      </c>
      <c r="L142" s="867">
        <v>1</v>
      </c>
      <c r="M142" s="204">
        <f t="shared" si="23"/>
        <v>25</v>
      </c>
      <c r="N142" s="867"/>
      <c r="O142" s="867"/>
      <c r="P142" s="204">
        <f t="shared" si="24"/>
        <v>0</v>
      </c>
      <c r="Q142" s="867">
        <v>1</v>
      </c>
      <c r="R142" s="204">
        <f t="shared" si="25"/>
        <v>25</v>
      </c>
      <c r="S142" s="867"/>
      <c r="T142" s="867"/>
      <c r="U142" s="204">
        <f t="shared" si="26"/>
        <v>0</v>
      </c>
      <c r="V142" s="867"/>
      <c r="W142" s="204">
        <f t="shared" si="27"/>
        <v>0</v>
      </c>
      <c r="X142" s="121"/>
    </row>
    <row r="143" spans="1:24">
      <c r="A143" s="14" t="s">
        <v>1217</v>
      </c>
      <c r="B143" s="242">
        <f t="shared" si="19"/>
        <v>7</v>
      </c>
      <c r="C143" s="204">
        <f t="shared" si="29"/>
        <v>0.37493304767005892</v>
      </c>
      <c r="E143" s="867"/>
      <c r="F143" s="204">
        <f t="shared" si="20"/>
        <v>0</v>
      </c>
      <c r="G143" s="867">
        <v>3</v>
      </c>
      <c r="H143" s="204">
        <f t="shared" si="21"/>
        <v>42.857142857142854</v>
      </c>
      <c r="I143" s="867"/>
      <c r="J143" s="867">
        <v>1</v>
      </c>
      <c r="K143" s="204">
        <f t="shared" si="22"/>
        <v>14.285714285714285</v>
      </c>
      <c r="L143" s="867"/>
      <c r="M143" s="204">
        <f t="shared" si="23"/>
        <v>0</v>
      </c>
      <c r="N143" s="867"/>
      <c r="O143" s="867"/>
      <c r="P143" s="204">
        <f t="shared" si="24"/>
        <v>0</v>
      </c>
      <c r="Q143" s="867"/>
      <c r="R143" s="204">
        <f t="shared" si="25"/>
        <v>0</v>
      </c>
      <c r="S143" s="867"/>
      <c r="T143" s="867">
        <v>1</v>
      </c>
      <c r="U143" s="204">
        <f t="shared" si="26"/>
        <v>14.285714285714285</v>
      </c>
      <c r="V143" s="867">
        <v>2</v>
      </c>
      <c r="W143" s="204">
        <f t="shared" si="27"/>
        <v>28.571428571428569</v>
      </c>
      <c r="X143" s="121"/>
    </row>
    <row r="144" spans="1:24">
      <c r="A144" s="14" t="s">
        <v>1218</v>
      </c>
      <c r="B144" s="242">
        <f t="shared" si="19"/>
        <v>11</v>
      </c>
      <c r="C144" s="204">
        <f t="shared" si="29"/>
        <v>0.58918050348152118</v>
      </c>
      <c r="E144" s="867"/>
      <c r="F144" s="204">
        <f t="shared" si="20"/>
        <v>0</v>
      </c>
      <c r="G144" s="867">
        <v>2</v>
      </c>
      <c r="H144" s="204">
        <f t="shared" si="21"/>
        <v>18.181818181818183</v>
      </c>
      <c r="I144" s="867"/>
      <c r="J144" s="867">
        <v>4</v>
      </c>
      <c r="K144" s="204">
        <f t="shared" si="22"/>
        <v>36.363636363636367</v>
      </c>
      <c r="L144" s="867">
        <v>1</v>
      </c>
      <c r="M144" s="204">
        <f t="shared" si="23"/>
        <v>9.0909090909090917</v>
      </c>
      <c r="N144" s="867"/>
      <c r="O144" s="867"/>
      <c r="P144" s="204">
        <f t="shared" si="24"/>
        <v>0</v>
      </c>
      <c r="Q144" s="867"/>
      <c r="R144" s="204">
        <f t="shared" si="25"/>
        <v>0</v>
      </c>
      <c r="S144" s="867"/>
      <c r="T144" s="867">
        <v>1</v>
      </c>
      <c r="U144" s="204">
        <f t="shared" si="26"/>
        <v>9.0909090909090917</v>
      </c>
      <c r="V144" s="867">
        <v>3</v>
      </c>
      <c r="W144" s="204">
        <f t="shared" si="27"/>
        <v>27.27272727272727</v>
      </c>
      <c r="X144" s="121"/>
    </row>
    <row r="145" spans="1:25">
      <c r="A145" s="14" t="s">
        <v>1226</v>
      </c>
      <c r="B145" s="242">
        <f t="shared" si="19"/>
        <v>3</v>
      </c>
      <c r="C145" s="204">
        <f t="shared" si="29"/>
        <v>0.16068559185859668</v>
      </c>
      <c r="E145" s="867"/>
      <c r="F145" s="204">
        <f t="shared" si="20"/>
        <v>0</v>
      </c>
      <c r="G145" s="867">
        <v>1</v>
      </c>
      <c r="H145" s="204">
        <f t="shared" si="21"/>
        <v>33.333333333333329</v>
      </c>
      <c r="I145" s="867"/>
      <c r="J145" s="867">
        <v>1</v>
      </c>
      <c r="K145" s="204">
        <f t="shared" si="22"/>
        <v>33.333333333333329</v>
      </c>
      <c r="L145" s="867"/>
      <c r="M145" s="204">
        <f t="shared" si="23"/>
        <v>0</v>
      </c>
      <c r="N145" s="867"/>
      <c r="O145" s="867"/>
      <c r="P145" s="204">
        <f t="shared" si="24"/>
        <v>0</v>
      </c>
      <c r="Q145" s="867">
        <v>1</v>
      </c>
      <c r="R145" s="204">
        <f t="shared" si="25"/>
        <v>33.333333333333329</v>
      </c>
      <c r="S145" s="867"/>
      <c r="T145" s="867"/>
      <c r="U145" s="204">
        <f t="shared" si="26"/>
        <v>0</v>
      </c>
      <c r="V145" s="867"/>
      <c r="W145" s="204">
        <f t="shared" si="27"/>
        <v>0</v>
      </c>
      <c r="X145" s="121"/>
    </row>
    <row r="146" spans="1:25">
      <c r="A146" s="14" t="s">
        <v>1228</v>
      </c>
      <c r="B146" s="242">
        <f t="shared" si="19"/>
        <v>5</v>
      </c>
      <c r="C146" s="204">
        <f t="shared" si="29"/>
        <v>0.26780931976432781</v>
      </c>
      <c r="E146" s="867"/>
      <c r="F146" s="204">
        <f t="shared" si="20"/>
        <v>0</v>
      </c>
      <c r="G146" s="867"/>
      <c r="H146" s="204">
        <f t="shared" si="21"/>
        <v>0</v>
      </c>
      <c r="I146" s="867"/>
      <c r="J146" s="867"/>
      <c r="K146" s="204">
        <f t="shared" si="22"/>
        <v>0</v>
      </c>
      <c r="L146" s="867"/>
      <c r="M146" s="204">
        <f t="shared" si="23"/>
        <v>0</v>
      </c>
      <c r="N146" s="867"/>
      <c r="O146" s="867"/>
      <c r="P146" s="204">
        <f t="shared" si="24"/>
        <v>0</v>
      </c>
      <c r="Q146" s="867"/>
      <c r="R146" s="204">
        <f t="shared" si="25"/>
        <v>0</v>
      </c>
      <c r="S146" s="867"/>
      <c r="T146" s="867">
        <v>4</v>
      </c>
      <c r="U146" s="204">
        <f t="shared" si="26"/>
        <v>80</v>
      </c>
      <c r="V146" s="867">
        <v>1</v>
      </c>
      <c r="W146" s="204">
        <f t="shared" si="27"/>
        <v>20</v>
      </c>
      <c r="X146" s="121"/>
    </row>
    <row r="147" spans="1:25">
      <c r="A147" s="14" t="s">
        <v>1227</v>
      </c>
      <c r="B147" s="242">
        <f t="shared" si="19"/>
        <v>3</v>
      </c>
      <c r="C147" s="204">
        <f t="shared" si="29"/>
        <v>0.16068559185859668</v>
      </c>
      <c r="E147" s="867"/>
      <c r="F147" s="204">
        <f t="shared" si="20"/>
        <v>0</v>
      </c>
      <c r="G147" s="867"/>
      <c r="H147" s="204">
        <f t="shared" si="21"/>
        <v>0</v>
      </c>
      <c r="I147" s="867"/>
      <c r="J147" s="867">
        <v>1</v>
      </c>
      <c r="K147" s="204">
        <f t="shared" si="22"/>
        <v>33.333333333333329</v>
      </c>
      <c r="L147" s="867">
        <v>1</v>
      </c>
      <c r="M147" s="204">
        <f t="shared" si="23"/>
        <v>33.333333333333329</v>
      </c>
      <c r="N147" s="867"/>
      <c r="O147" s="867">
        <v>1</v>
      </c>
      <c r="P147" s="204">
        <f t="shared" si="24"/>
        <v>33.333333333333329</v>
      </c>
      <c r="Q147" s="867"/>
      <c r="R147" s="204">
        <f t="shared" si="25"/>
        <v>0</v>
      </c>
      <c r="S147" s="867"/>
      <c r="T147" s="867"/>
      <c r="U147" s="204">
        <f t="shared" si="26"/>
        <v>0</v>
      </c>
      <c r="V147" s="867"/>
      <c r="W147" s="204">
        <f t="shared" si="27"/>
        <v>0</v>
      </c>
      <c r="X147" s="121"/>
    </row>
    <row r="148" spans="1:25">
      <c r="A148" s="14" t="s">
        <v>1219</v>
      </c>
      <c r="B148" s="242">
        <f>IF(A148&lt;&gt;"",E148+G148+J148+L148+O148+Q148+T148+V148,"")</f>
        <v>5</v>
      </c>
      <c r="C148" s="204">
        <f>IF(A148&lt;&gt;0,B148/$B$13*100,"")</f>
        <v>0.26780931976432781</v>
      </c>
      <c r="E148" s="867">
        <v>1</v>
      </c>
      <c r="F148" s="204">
        <f t="shared" si="20"/>
        <v>20</v>
      </c>
      <c r="G148" s="867">
        <v>1</v>
      </c>
      <c r="H148" s="204">
        <f t="shared" si="21"/>
        <v>20</v>
      </c>
      <c r="I148" s="867"/>
      <c r="J148" s="867">
        <v>2</v>
      </c>
      <c r="K148" s="204">
        <f t="shared" si="22"/>
        <v>40</v>
      </c>
      <c r="L148" s="867"/>
      <c r="M148" s="204">
        <f t="shared" si="23"/>
        <v>0</v>
      </c>
      <c r="N148" s="867"/>
      <c r="O148" s="867"/>
      <c r="P148" s="204">
        <f t="shared" si="24"/>
        <v>0</v>
      </c>
      <c r="Q148" s="867"/>
      <c r="R148" s="204">
        <f t="shared" si="25"/>
        <v>0</v>
      </c>
      <c r="S148" s="867"/>
      <c r="T148" s="867"/>
      <c r="U148" s="204">
        <f t="shared" si="26"/>
        <v>0</v>
      </c>
      <c r="V148" s="867">
        <v>1</v>
      </c>
      <c r="W148" s="204">
        <f t="shared" si="27"/>
        <v>20</v>
      </c>
      <c r="X148" s="121"/>
    </row>
    <row r="149" spans="1:25">
      <c r="A149" s="14" t="s">
        <v>1220</v>
      </c>
      <c r="B149" s="242">
        <f>IF(A149&lt;&gt;"",E149+G149+J149+L149+O149+Q149+T149+V149,"")</f>
        <v>1</v>
      </c>
      <c r="C149" s="204">
        <f t="shared" si="29"/>
        <v>5.3561863952865559E-2</v>
      </c>
      <c r="E149" s="867"/>
      <c r="F149" s="204">
        <f t="shared" ref="F149:F151" si="30">IF($A149&lt;&gt;"",E149/$B149*100,"")</f>
        <v>0</v>
      </c>
      <c r="G149" s="867"/>
      <c r="H149" s="204">
        <f t="shared" ref="H149:H151" si="31">IF($A149&lt;&gt;"",G149/$B149*100,"")</f>
        <v>0</v>
      </c>
      <c r="I149" s="867"/>
      <c r="J149" s="867"/>
      <c r="K149" s="204">
        <f t="shared" ref="K149:K151" si="32">IF($A149&lt;&gt;"",J149/$B149*100,"")</f>
        <v>0</v>
      </c>
      <c r="L149" s="867"/>
      <c r="M149" s="204">
        <f t="shared" ref="M149:M151" si="33">IF($A149&lt;&gt;"",L149/$B149*100,"")</f>
        <v>0</v>
      </c>
      <c r="N149" s="867"/>
      <c r="O149" s="867"/>
      <c r="P149" s="204">
        <f t="shared" ref="P149:P151" si="34">IF($A149&lt;&gt;"",O149/$B149*100,"")</f>
        <v>0</v>
      </c>
      <c r="Q149" s="867"/>
      <c r="R149" s="204">
        <f t="shared" ref="R149:R151" si="35">IF($A149&lt;&gt;"",Q149/$B149*100,"")</f>
        <v>0</v>
      </c>
      <c r="S149" s="867"/>
      <c r="T149" s="867">
        <v>1</v>
      </c>
      <c r="U149" s="204">
        <f t="shared" ref="U149:U151" si="36">IF($A149&lt;&gt;"",T149/$B149*100,"")</f>
        <v>100</v>
      </c>
      <c r="V149" s="867"/>
      <c r="W149" s="204">
        <f>IF($A149&lt;&gt;"",V149/$B149*100,"")</f>
        <v>0</v>
      </c>
      <c r="X149" s="121"/>
    </row>
    <row r="150" spans="1:25">
      <c r="A150" s="14" t="s">
        <v>1221</v>
      </c>
      <c r="B150" s="242">
        <f>IF(A150&lt;&gt;"",E150+G150+J150+L150+O150+Q150+T150+V150,"")</f>
        <v>1</v>
      </c>
      <c r="C150" s="204">
        <f t="shared" si="29"/>
        <v>5.3561863952865559E-2</v>
      </c>
      <c r="E150" s="867">
        <v>1</v>
      </c>
      <c r="F150" s="204">
        <f t="shared" si="30"/>
        <v>100</v>
      </c>
      <c r="G150" s="867"/>
      <c r="H150" s="204">
        <f t="shared" si="31"/>
        <v>0</v>
      </c>
      <c r="I150" s="867"/>
      <c r="J150" s="867"/>
      <c r="K150" s="204">
        <f t="shared" si="32"/>
        <v>0</v>
      </c>
      <c r="L150" s="867"/>
      <c r="M150" s="204">
        <f t="shared" si="33"/>
        <v>0</v>
      </c>
      <c r="N150" s="867"/>
      <c r="O150" s="867"/>
      <c r="P150" s="204">
        <f t="shared" si="34"/>
        <v>0</v>
      </c>
      <c r="Q150" s="867"/>
      <c r="R150" s="204">
        <f t="shared" si="35"/>
        <v>0</v>
      </c>
      <c r="S150" s="867"/>
      <c r="T150" s="867"/>
      <c r="U150" s="204">
        <f t="shared" si="36"/>
        <v>0</v>
      </c>
      <c r="V150" s="867"/>
      <c r="W150" s="204">
        <f>IF($A150&lt;&gt;"",V150/$B150*100,"")</f>
        <v>0</v>
      </c>
      <c r="X150" s="121"/>
    </row>
    <row r="151" spans="1:25">
      <c r="A151" s="14" t="s">
        <v>1222</v>
      </c>
      <c r="B151" s="242">
        <f>IF(A151&lt;&gt;"",E151+G151+J151+L151+O151+Q151+T151+V151,"")</f>
        <v>4</v>
      </c>
      <c r="C151" s="204">
        <f t="shared" si="29"/>
        <v>0.21424745581146223</v>
      </c>
      <c r="E151" s="867"/>
      <c r="F151" s="204">
        <f t="shared" si="30"/>
        <v>0</v>
      </c>
      <c r="G151" s="867"/>
      <c r="H151" s="204">
        <f t="shared" si="31"/>
        <v>0</v>
      </c>
      <c r="I151" s="867"/>
      <c r="J151" s="867"/>
      <c r="K151" s="204">
        <f t="shared" si="32"/>
        <v>0</v>
      </c>
      <c r="L151" s="867">
        <v>3</v>
      </c>
      <c r="M151" s="204">
        <f t="shared" si="33"/>
        <v>75</v>
      </c>
      <c r="N151" s="867"/>
      <c r="O151" s="867">
        <v>1</v>
      </c>
      <c r="P151" s="204">
        <f t="shared" si="34"/>
        <v>25</v>
      </c>
      <c r="Q151" s="867"/>
      <c r="R151" s="204">
        <f t="shared" si="35"/>
        <v>0</v>
      </c>
      <c r="S151" s="867"/>
      <c r="T151" s="867"/>
      <c r="U151" s="204">
        <f t="shared" si="36"/>
        <v>0</v>
      </c>
      <c r="V151" s="867"/>
      <c r="W151" s="204">
        <f>IF($A151&lt;&gt;"",V151/$B151*100,"")</f>
        <v>0</v>
      </c>
      <c r="X151" s="121"/>
    </row>
    <row r="152" spans="1:25">
      <c r="A152" s="14" t="s">
        <v>1223</v>
      </c>
      <c r="B152" s="242">
        <f t="shared" ref="B152:B197" si="37">IF(A152&lt;&gt;"",E152+G152+J152+L152+O152+Q152+T152+V152,"")</f>
        <v>24</v>
      </c>
      <c r="C152" s="204">
        <f t="shared" ref="C152:C178" si="38">IF(A152&lt;&gt;0,B152/$B$13*100,"")</f>
        <v>1.2854847348687735</v>
      </c>
      <c r="E152" s="867">
        <v>2</v>
      </c>
      <c r="F152" s="204">
        <f t="shared" ref="F152:F197" si="39">IF($A152&lt;&gt;"",E152/$B152*100,"")</f>
        <v>8.3333333333333321</v>
      </c>
      <c r="G152" s="867"/>
      <c r="H152" s="204">
        <f t="shared" ref="H152:H197" si="40">IF($A152&lt;&gt;"",G152/$B152*100,"")</f>
        <v>0</v>
      </c>
      <c r="I152" s="867"/>
      <c r="J152" s="867">
        <v>2</v>
      </c>
      <c r="K152" s="204">
        <f t="shared" ref="K152:K197" si="41">IF($A152&lt;&gt;"",J152/$B152*100,"")</f>
        <v>8.3333333333333321</v>
      </c>
      <c r="L152" s="867">
        <v>10</v>
      </c>
      <c r="M152" s="204">
        <f t="shared" ref="M152:M197" si="42">IF($A152&lt;&gt;"",L152/$B152*100,"")</f>
        <v>41.666666666666671</v>
      </c>
      <c r="N152" s="867"/>
      <c r="O152" s="867">
        <v>1</v>
      </c>
      <c r="P152" s="204">
        <f t="shared" ref="P152:P197" si="43">IF($A152&lt;&gt;"",O152/$B152*100,"")</f>
        <v>4.1666666666666661</v>
      </c>
      <c r="Q152" s="867">
        <v>4</v>
      </c>
      <c r="R152" s="204">
        <f t="shared" ref="R152:R197" si="44">IF($A152&lt;&gt;"",Q152/$B152*100,"")</f>
        <v>16.666666666666664</v>
      </c>
      <c r="S152" s="867"/>
      <c r="T152" s="867">
        <v>2</v>
      </c>
      <c r="U152" s="204">
        <f t="shared" ref="U152:U197" si="45">IF($A152&lt;&gt;"",T152/$B152*100,"")</f>
        <v>8.3333333333333321</v>
      </c>
      <c r="V152" s="867">
        <v>3</v>
      </c>
      <c r="W152" s="204">
        <f t="shared" ref="W152:W197" si="46">IF($A152&lt;&gt;"",V152/$B152*100,"")</f>
        <v>12.5</v>
      </c>
      <c r="X152" s="121"/>
    </row>
    <row r="153" spans="1:25">
      <c r="A153" s="14" t="s">
        <v>1224</v>
      </c>
      <c r="B153" s="242">
        <f t="shared" si="37"/>
        <v>14</v>
      </c>
      <c r="C153" s="204">
        <f t="shared" si="38"/>
        <v>0.74986609534011783</v>
      </c>
      <c r="E153" s="867">
        <v>4</v>
      </c>
      <c r="F153" s="204">
        <f t="shared" si="39"/>
        <v>28.571428571428569</v>
      </c>
      <c r="G153" s="867"/>
      <c r="H153" s="204">
        <f t="shared" si="40"/>
        <v>0</v>
      </c>
      <c r="I153" s="867"/>
      <c r="J153" s="867">
        <v>2</v>
      </c>
      <c r="K153" s="204">
        <f t="shared" si="41"/>
        <v>14.285714285714285</v>
      </c>
      <c r="L153" s="867">
        <v>1</v>
      </c>
      <c r="M153" s="204">
        <f t="shared" si="42"/>
        <v>7.1428571428571423</v>
      </c>
      <c r="N153" s="867"/>
      <c r="O153" s="867">
        <v>4</v>
      </c>
      <c r="P153" s="204">
        <f t="shared" si="43"/>
        <v>28.571428571428569</v>
      </c>
      <c r="Q153" s="867">
        <v>1</v>
      </c>
      <c r="R153" s="204">
        <f t="shared" si="44"/>
        <v>7.1428571428571423</v>
      </c>
      <c r="S153" s="867"/>
      <c r="T153" s="867">
        <v>1</v>
      </c>
      <c r="U153" s="204">
        <f t="shared" si="45"/>
        <v>7.1428571428571423</v>
      </c>
      <c r="V153" s="867">
        <v>1</v>
      </c>
      <c r="W153" s="204">
        <f t="shared" si="46"/>
        <v>7.1428571428571423</v>
      </c>
      <c r="X153" s="121"/>
      <c r="Y153" s="139"/>
    </row>
    <row r="154" spans="1:25">
      <c r="A154" s="14" t="s">
        <v>1229</v>
      </c>
      <c r="B154" s="242">
        <f t="shared" si="37"/>
        <v>19</v>
      </c>
      <c r="C154" s="204">
        <f t="shared" si="38"/>
        <v>1.0176754151044456</v>
      </c>
      <c r="E154" s="867">
        <v>2</v>
      </c>
      <c r="F154" s="204">
        <f t="shared" si="39"/>
        <v>10.526315789473683</v>
      </c>
      <c r="G154" s="867">
        <v>3</v>
      </c>
      <c r="H154" s="204">
        <f t="shared" si="40"/>
        <v>15.789473684210526</v>
      </c>
      <c r="I154" s="867"/>
      <c r="J154" s="867">
        <v>1</v>
      </c>
      <c r="K154" s="204">
        <f t="shared" si="41"/>
        <v>5.2631578947368416</v>
      </c>
      <c r="L154" s="867">
        <v>3</v>
      </c>
      <c r="M154" s="204">
        <f t="shared" si="42"/>
        <v>15.789473684210526</v>
      </c>
      <c r="N154" s="867"/>
      <c r="O154" s="867">
        <v>2</v>
      </c>
      <c r="P154" s="204">
        <f t="shared" si="43"/>
        <v>10.526315789473683</v>
      </c>
      <c r="Q154" s="867">
        <v>2</v>
      </c>
      <c r="R154" s="204">
        <f t="shared" si="44"/>
        <v>10.526315789473683</v>
      </c>
      <c r="S154" s="867"/>
      <c r="T154" s="867">
        <v>1</v>
      </c>
      <c r="U154" s="204">
        <f t="shared" si="45"/>
        <v>5.2631578947368416</v>
      </c>
      <c r="V154" s="867">
        <v>5</v>
      </c>
      <c r="W154" s="204">
        <f t="shared" si="46"/>
        <v>26.315789473684209</v>
      </c>
      <c r="X154" s="121"/>
    </row>
    <row r="155" spans="1:25">
      <c r="A155" s="14" t="s">
        <v>1979</v>
      </c>
      <c r="B155" s="242">
        <f t="shared" si="37"/>
        <v>2</v>
      </c>
      <c r="C155" s="204">
        <f t="shared" si="38"/>
        <v>0.10712372790573112</v>
      </c>
      <c r="E155" s="867"/>
      <c r="F155" s="204">
        <f t="shared" si="39"/>
        <v>0</v>
      </c>
      <c r="G155" s="867"/>
      <c r="H155" s="204">
        <f t="shared" si="40"/>
        <v>0</v>
      </c>
      <c r="I155" s="867"/>
      <c r="J155" s="867"/>
      <c r="K155" s="204">
        <f t="shared" si="41"/>
        <v>0</v>
      </c>
      <c r="L155" s="867">
        <v>2</v>
      </c>
      <c r="M155" s="204">
        <f t="shared" si="42"/>
        <v>100</v>
      </c>
      <c r="N155" s="867"/>
      <c r="O155" s="867"/>
      <c r="P155" s="204">
        <f t="shared" si="43"/>
        <v>0</v>
      </c>
      <c r="Q155" s="867"/>
      <c r="R155" s="204">
        <f t="shared" si="44"/>
        <v>0</v>
      </c>
      <c r="S155" s="867"/>
      <c r="T155" s="867"/>
      <c r="U155" s="204">
        <f t="shared" si="45"/>
        <v>0</v>
      </c>
      <c r="V155" s="867"/>
      <c r="W155" s="204">
        <f t="shared" si="46"/>
        <v>0</v>
      </c>
      <c r="X155" s="121"/>
    </row>
    <row r="156" spans="1:25">
      <c r="A156" s="14" t="s">
        <v>1230</v>
      </c>
      <c r="B156" s="242">
        <f t="shared" si="37"/>
        <v>2</v>
      </c>
      <c r="C156" s="204">
        <f t="shared" si="38"/>
        <v>0.10712372790573112</v>
      </c>
      <c r="E156" s="867"/>
      <c r="F156" s="204">
        <f t="shared" si="39"/>
        <v>0</v>
      </c>
      <c r="G156" s="867"/>
      <c r="H156" s="204">
        <f t="shared" si="40"/>
        <v>0</v>
      </c>
      <c r="I156" s="867"/>
      <c r="J156" s="867"/>
      <c r="K156" s="204">
        <f t="shared" si="41"/>
        <v>0</v>
      </c>
      <c r="L156" s="867"/>
      <c r="M156" s="204">
        <f t="shared" si="42"/>
        <v>0</v>
      </c>
      <c r="N156" s="867"/>
      <c r="O156" s="867">
        <v>1</v>
      </c>
      <c r="P156" s="204">
        <f t="shared" si="43"/>
        <v>50</v>
      </c>
      <c r="Q156" s="867">
        <v>1</v>
      </c>
      <c r="R156" s="204">
        <f t="shared" si="44"/>
        <v>50</v>
      </c>
      <c r="S156" s="867"/>
      <c r="T156" s="867"/>
      <c r="U156" s="204">
        <f t="shared" si="45"/>
        <v>0</v>
      </c>
      <c r="V156" s="867"/>
      <c r="W156" s="204">
        <f t="shared" si="46"/>
        <v>0</v>
      </c>
      <c r="X156" s="121"/>
    </row>
    <row r="157" spans="1:25">
      <c r="A157" s="14" t="s">
        <v>1231</v>
      </c>
      <c r="B157" s="242">
        <f t="shared" si="37"/>
        <v>12</v>
      </c>
      <c r="C157" s="204">
        <f t="shared" si="38"/>
        <v>0.64274236743438673</v>
      </c>
      <c r="E157" s="867">
        <v>5</v>
      </c>
      <c r="F157" s="204">
        <f t="shared" si="39"/>
        <v>41.666666666666671</v>
      </c>
      <c r="G157" s="867">
        <v>3</v>
      </c>
      <c r="H157" s="204">
        <f t="shared" si="40"/>
        <v>25</v>
      </c>
      <c r="I157" s="867"/>
      <c r="J157" s="867"/>
      <c r="K157" s="204">
        <f t="shared" si="41"/>
        <v>0</v>
      </c>
      <c r="L157" s="867"/>
      <c r="M157" s="204">
        <f t="shared" si="42"/>
        <v>0</v>
      </c>
      <c r="N157" s="867"/>
      <c r="O157" s="867">
        <v>2</v>
      </c>
      <c r="P157" s="204">
        <f t="shared" si="43"/>
        <v>16.666666666666664</v>
      </c>
      <c r="Q157" s="867">
        <v>1</v>
      </c>
      <c r="R157" s="204">
        <f t="shared" si="44"/>
        <v>8.3333333333333321</v>
      </c>
      <c r="S157" s="867"/>
      <c r="T157" s="867">
        <v>1</v>
      </c>
      <c r="U157" s="204">
        <f t="shared" si="45"/>
        <v>8.3333333333333321</v>
      </c>
      <c r="V157" s="867"/>
      <c r="W157" s="204">
        <f t="shared" si="46"/>
        <v>0</v>
      </c>
      <c r="X157" s="121"/>
    </row>
    <row r="158" spans="1:25">
      <c r="A158" s="14" t="s">
        <v>1232</v>
      </c>
      <c r="B158" s="242">
        <f t="shared" si="37"/>
        <v>4</v>
      </c>
      <c r="C158" s="204">
        <f t="shared" si="38"/>
        <v>0.21424745581146223</v>
      </c>
      <c r="E158" s="867"/>
      <c r="F158" s="204">
        <f t="shared" si="39"/>
        <v>0</v>
      </c>
      <c r="G158" s="867">
        <v>1</v>
      </c>
      <c r="H158" s="204">
        <f t="shared" si="40"/>
        <v>25</v>
      </c>
      <c r="I158" s="867"/>
      <c r="J158" s="867"/>
      <c r="K158" s="204">
        <f t="shared" si="41"/>
        <v>0</v>
      </c>
      <c r="L158" s="867"/>
      <c r="M158" s="204">
        <f t="shared" si="42"/>
        <v>0</v>
      </c>
      <c r="N158" s="867"/>
      <c r="O158" s="867">
        <v>1</v>
      </c>
      <c r="P158" s="204">
        <f t="shared" si="43"/>
        <v>25</v>
      </c>
      <c r="Q158" s="867"/>
      <c r="R158" s="204">
        <f t="shared" si="44"/>
        <v>0</v>
      </c>
      <c r="S158" s="867"/>
      <c r="T158" s="867">
        <v>2</v>
      </c>
      <c r="U158" s="204">
        <f t="shared" si="45"/>
        <v>50</v>
      </c>
      <c r="V158" s="867"/>
      <c r="W158" s="204">
        <f t="shared" si="46"/>
        <v>0</v>
      </c>
      <c r="X158" s="121"/>
    </row>
    <row r="159" spans="1:25">
      <c r="A159" s="14" t="s">
        <v>1233</v>
      </c>
      <c r="B159" s="242">
        <f t="shared" si="37"/>
        <v>25</v>
      </c>
      <c r="C159" s="204">
        <f t="shared" si="38"/>
        <v>1.3390465988216389</v>
      </c>
      <c r="E159" s="867">
        <v>3</v>
      </c>
      <c r="F159" s="204">
        <f t="shared" si="39"/>
        <v>12</v>
      </c>
      <c r="G159" s="867">
        <v>1</v>
      </c>
      <c r="H159" s="204">
        <f t="shared" si="40"/>
        <v>4</v>
      </c>
      <c r="I159" s="867"/>
      <c r="J159" s="867">
        <v>2</v>
      </c>
      <c r="K159" s="204">
        <f t="shared" si="41"/>
        <v>8</v>
      </c>
      <c r="L159" s="867">
        <v>3</v>
      </c>
      <c r="M159" s="204">
        <f t="shared" si="42"/>
        <v>12</v>
      </c>
      <c r="N159" s="867"/>
      <c r="O159" s="867">
        <v>2</v>
      </c>
      <c r="P159" s="204">
        <f t="shared" si="43"/>
        <v>8</v>
      </c>
      <c r="Q159" s="867">
        <v>6</v>
      </c>
      <c r="R159" s="204">
        <f t="shared" si="44"/>
        <v>24</v>
      </c>
      <c r="S159" s="867"/>
      <c r="T159" s="867">
        <v>5</v>
      </c>
      <c r="U159" s="204">
        <f t="shared" si="45"/>
        <v>20</v>
      </c>
      <c r="V159" s="867">
        <v>3</v>
      </c>
      <c r="W159" s="204">
        <f t="shared" si="46"/>
        <v>12</v>
      </c>
      <c r="X159" s="121"/>
    </row>
    <row r="160" spans="1:25">
      <c r="A160" s="14" t="s">
        <v>1234</v>
      </c>
      <c r="B160" s="242">
        <f t="shared" si="37"/>
        <v>29</v>
      </c>
      <c r="C160" s="204">
        <f t="shared" si="38"/>
        <v>1.5532940546331011</v>
      </c>
      <c r="E160" s="867">
        <v>1</v>
      </c>
      <c r="F160" s="204">
        <f t="shared" si="39"/>
        <v>3.4482758620689653</v>
      </c>
      <c r="G160" s="867">
        <v>2</v>
      </c>
      <c r="H160" s="204">
        <f t="shared" si="40"/>
        <v>6.8965517241379306</v>
      </c>
      <c r="I160" s="867"/>
      <c r="J160" s="867">
        <v>8</v>
      </c>
      <c r="K160" s="204">
        <f t="shared" si="41"/>
        <v>27.586206896551722</v>
      </c>
      <c r="L160" s="867">
        <v>6</v>
      </c>
      <c r="M160" s="204">
        <f t="shared" si="42"/>
        <v>20.689655172413794</v>
      </c>
      <c r="N160" s="867"/>
      <c r="O160" s="867">
        <v>3</v>
      </c>
      <c r="P160" s="204">
        <f t="shared" si="43"/>
        <v>10.344827586206897</v>
      </c>
      <c r="Q160" s="867">
        <v>3</v>
      </c>
      <c r="R160" s="204">
        <f t="shared" si="44"/>
        <v>10.344827586206897</v>
      </c>
      <c r="S160" s="867"/>
      <c r="T160" s="867">
        <v>4</v>
      </c>
      <c r="U160" s="204">
        <f t="shared" si="45"/>
        <v>13.793103448275861</v>
      </c>
      <c r="V160" s="867">
        <v>2</v>
      </c>
      <c r="W160" s="204">
        <f t="shared" si="46"/>
        <v>6.8965517241379306</v>
      </c>
      <c r="X160" s="121"/>
    </row>
    <row r="161" spans="1:24">
      <c r="A161" s="14" t="s">
        <v>1236</v>
      </c>
      <c r="B161" s="242">
        <f t="shared" si="37"/>
        <v>25</v>
      </c>
      <c r="C161" s="204">
        <f t="shared" si="38"/>
        <v>1.3390465988216389</v>
      </c>
      <c r="E161" s="867">
        <v>1</v>
      </c>
      <c r="F161" s="204">
        <f t="shared" si="39"/>
        <v>4</v>
      </c>
      <c r="G161" s="867">
        <v>2</v>
      </c>
      <c r="H161" s="204">
        <f t="shared" si="40"/>
        <v>8</v>
      </c>
      <c r="I161" s="867"/>
      <c r="J161" s="867">
        <v>2</v>
      </c>
      <c r="K161" s="204">
        <f t="shared" si="41"/>
        <v>8</v>
      </c>
      <c r="L161" s="867">
        <v>5</v>
      </c>
      <c r="M161" s="204">
        <f t="shared" si="42"/>
        <v>20</v>
      </c>
      <c r="N161" s="867"/>
      <c r="O161" s="867">
        <v>5</v>
      </c>
      <c r="P161" s="204">
        <f t="shared" si="43"/>
        <v>20</v>
      </c>
      <c r="Q161" s="867">
        <v>4</v>
      </c>
      <c r="R161" s="204">
        <f t="shared" si="44"/>
        <v>16</v>
      </c>
      <c r="S161" s="867"/>
      <c r="T161" s="867">
        <v>1</v>
      </c>
      <c r="U161" s="204">
        <f t="shared" si="45"/>
        <v>4</v>
      </c>
      <c r="V161" s="867">
        <v>5</v>
      </c>
      <c r="W161" s="204">
        <f t="shared" si="46"/>
        <v>20</v>
      </c>
      <c r="X161" s="121"/>
    </row>
    <row r="162" spans="1:24">
      <c r="A162" s="14" t="s">
        <v>1235</v>
      </c>
      <c r="B162" s="242">
        <f t="shared" si="37"/>
        <v>3</v>
      </c>
      <c r="C162" s="204">
        <f t="shared" si="38"/>
        <v>0.16068559185859668</v>
      </c>
      <c r="E162" s="867"/>
      <c r="F162" s="204">
        <f t="shared" si="39"/>
        <v>0</v>
      </c>
      <c r="G162" s="867"/>
      <c r="H162" s="204">
        <f t="shared" si="40"/>
        <v>0</v>
      </c>
      <c r="I162" s="867"/>
      <c r="J162" s="867">
        <v>1</v>
      </c>
      <c r="K162" s="204">
        <f t="shared" si="41"/>
        <v>33.333333333333329</v>
      </c>
      <c r="L162" s="867">
        <v>1</v>
      </c>
      <c r="M162" s="204">
        <f t="shared" si="42"/>
        <v>33.333333333333329</v>
      </c>
      <c r="N162" s="867"/>
      <c r="O162" s="867">
        <v>1</v>
      </c>
      <c r="P162" s="204">
        <f t="shared" si="43"/>
        <v>33.333333333333329</v>
      </c>
      <c r="Q162" s="867"/>
      <c r="R162" s="204">
        <f t="shared" si="44"/>
        <v>0</v>
      </c>
      <c r="S162" s="867"/>
      <c r="T162" s="867"/>
      <c r="U162" s="204">
        <f t="shared" si="45"/>
        <v>0</v>
      </c>
      <c r="V162" s="867"/>
      <c r="W162" s="204">
        <f t="shared" si="46"/>
        <v>0</v>
      </c>
      <c r="X162" s="121"/>
    </row>
    <row r="163" spans="1:24">
      <c r="A163" s="14" t="s">
        <v>1237</v>
      </c>
      <c r="B163" s="242">
        <f t="shared" si="37"/>
        <v>20</v>
      </c>
      <c r="C163" s="204">
        <f t="shared" si="38"/>
        <v>1.0712372790573113</v>
      </c>
      <c r="E163" s="867">
        <v>2</v>
      </c>
      <c r="F163" s="204">
        <f t="shared" si="39"/>
        <v>10</v>
      </c>
      <c r="G163" s="867">
        <v>1</v>
      </c>
      <c r="H163" s="204">
        <f t="shared" si="40"/>
        <v>5</v>
      </c>
      <c r="I163" s="867"/>
      <c r="J163" s="867">
        <v>4</v>
      </c>
      <c r="K163" s="204">
        <f t="shared" si="41"/>
        <v>20</v>
      </c>
      <c r="L163" s="867">
        <v>4</v>
      </c>
      <c r="M163" s="204">
        <f t="shared" si="42"/>
        <v>20</v>
      </c>
      <c r="N163" s="867"/>
      <c r="O163" s="867">
        <v>1</v>
      </c>
      <c r="P163" s="204">
        <f t="shared" si="43"/>
        <v>5</v>
      </c>
      <c r="Q163" s="867">
        <v>3</v>
      </c>
      <c r="R163" s="204">
        <f t="shared" si="44"/>
        <v>15</v>
      </c>
      <c r="S163" s="867"/>
      <c r="T163" s="867">
        <v>5</v>
      </c>
      <c r="U163" s="204">
        <f t="shared" si="45"/>
        <v>25</v>
      </c>
      <c r="V163" s="867"/>
      <c r="W163" s="204">
        <f t="shared" si="46"/>
        <v>0</v>
      </c>
      <c r="X163" s="121"/>
    </row>
    <row r="164" spans="1:24">
      <c r="A164" s="14" t="s">
        <v>1240</v>
      </c>
      <c r="B164" s="242">
        <f t="shared" si="37"/>
        <v>5</v>
      </c>
      <c r="C164" s="204">
        <f t="shared" si="38"/>
        <v>0.26780931976432781</v>
      </c>
      <c r="E164" s="867"/>
      <c r="F164" s="204">
        <f t="shared" si="39"/>
        <v>0</v>
      </c>
      <c r="G164" s="867"/>
      <c r="H164" s="204">
        <f t="shared" si="40"/>
        <v>0</v>
      </c>
      <c r="I164" s="867"/>
      <c r="J164" s="867">
        <v>2</v>
      </c>
      <c r="K164" s="204">
        <f t="shared" si="41"/>
        <v>40</v>
      </c>
      <c r="L164" s="867"/>
      <c r="M164" s="204">
        <f t="shared" si="42"/>
        <v>0</v>
      </c>
      <c r="N164" s="867"/>
      <c r="O164" s="867">
        <v>2</v>
      </c>
      <c r="P164" s="204">
        <f t="shared" si="43"/>
        <v>40</v>
      </c>
      <c r="Q164" s="867"/>
      <c r="R164" s="204">
        <f t="shared" si="44"/>
        <v>0</v>
      </c>
      <c r="S164" s="867"/>
      <c r="T164" s="867">
        <v>1</v>
      </c>
      <c r="U164" s="204">
        <f t="shared" si="45"/>
        <v>20</v>
      </c>
      <c r="V164" s="867"/>
      <c r="W164" s="204">
        <f t="shared" si="46"/>
        <v>0</v>
      </c>
      <c r="X164" s="121"/>
    </row>
    <row r="165" spans="1:24">
      <c r="A165" s="14" t="s">
        <v>1238</v>
      </c>
      <c r="B165" s="242">
        <f t="shared" si="37"/>
        <v>19</v>
      </c>
      <c r="C165" s="204">
        <f t="shared" si="38"/>
        <v>1.0176754151044456</v>
      </c>
      <c r="E165" s="867">
        <v>1</v>
      </c>
      <c r="F165" s="204">
        <f t="shared" si="39"/>
        <v>5.2631578947368416</v>
      </c>
      <c r="G165" s="867"/>
      <c r="H165" s="204">
        <f t="shared" si="40"/>
        <v>0</v>
      </c>
      <c r="I165" s="867"/>
      <c r="J165" s="867">
        <v>2</v>
      </c>
      <c r="K165" s="204">
        <f t="shared" si="41"/>
        <v>10.526315789473683</v>
      </c>
      <c r="L165" s="867">
        <v>4</v>
      </c>
      <c r="M165" s="204">
        <f t="shared" si="42"/>
        <v>21.052631578947366</v>
      </c>
      <c r="N165" s="867"/>
      <c r="O165" s="867">
        <v>1</v>
      </c>
      <c r="P165" s="204">
        <f t="shared" si="43"/>
        <v>5.2631578947368416</v>
      </c>
      <c r="Q165" s="867">
        <v>6</v>
      </c>
      <c r="R165" s="204">
        <f t="shared" si="44"/>
        <v>31.578947368421051</v>
      </c>
      <c r="S165" s="867"/>
      <c r="T165" s="867">
        <v>4</v>
      </c>
      <c r="U165" s="204">
        <f t="shared" si="45"/>
        <v>21.052631578947366</v>
      </c>
      <c r="V165" s="867">
        <v>1</v>
      </c>
      <c r="W165" s="204">
        <f t="shared" si="46"/>
        <v>5.2631578947368416</v>
      </c>
      <c r="X165" s="121"/>
    </row>
    <row r="166" spans="1:24">
      <c r="A166" s="14" t="s">
        <v>1241</v>
      </c>
      <c r="B166" s="242">
        <f t="shared" si="37"/>
        <v>7</v>
      </c>
      <c r="C166" s="204">
        <f t="shared" si="38"/>
        <v>0.37493304767005892</v>
      </c>
      <c r="E166" s="867"/>
      <c r="F166" s="204">
        <f t="shared" si="39"/>
        <v>0</v>
      </c>
      <c r="G166" s="867">
        <v>2</v>
      </c>
      <c r="H166" s="204">
        <f t="shared" si="40"/>
        <v>28.571428571428569</v>
      </c>
      <c r="I166" s="867"/>
      <c r="J166" s="867">
        <v>3</v>
      </c>
      <c r="K166" s="204">
        <f t="shared" si="41"/>
        <v>42.857142857142854</v>
      </c>
      <c r="L166" s="867"/>
      <c r="M166" s="204">
        <f t="shared" si="42"/>
        <v>0</v>
      </c>
      <c r="N166" s="867"/>
      <c r="O166" s="867">
        <v>1</v>
      </c>
      <c r="P166" s="204">
        <f t="shared" si="43"/>
        <v>14.285714285714285</v>
      </c>
      <c r="Q166" s="867">
        <v>1</v>
      </c>
      <c r="R166" s="204">
        <f t="shared" si="44"/>
        <v>14.285714285714285</v>
      </c>
      <c r="S166" s="867"/>
      <c r="T166" s="867"/>
      <c r="U166" s="204">
        <f t="shared" si="45"/>
        <v>0</v>
      </c>
      <c r="V166" s="867"/>
      <c r="W166" s="204"/>
      <c r="X166" s="121"/>
    </row>
    <row r="167" spans="1:24">
      <c r="A167" s="870" t="s">
        <v>1296</v>
      </c>
      <c r="B167" s="242">
        <f t="shared" si="37"/>
        <v>15</v>
      </c>
      <c r="C167" s="204">
        <f t="shared" si="38"/>
        <v>0.80342795929298338</v>
      </c>
      <c r="E167" s="867">
        <v>2</v>
      </c>
      <c r="F167" s="204">
        <f t="shared" si="39"/>
        <v>13.333333333333334</v>
      </c>
      <c r="G167" s="867"/>
      <c r="H167" s="204">
        <f t="shared" si="40"/>
        <v>0</v>
      </c>
      <c r="I167" s="867"/>
      <c r="J167" s="867">
        <v>5</v>
      </c>
      <c r="K167" s="204">
        <f t="shared" si="41"/>
        <v>33.333333333333329</v>
      </c>
      <c r="L167" s="867">
        <v>7</v>
      </c>
      <c r="M167" s="204">
        <f t="shared" si="42"/>
        <v>46.666666666666664</v>
      </c>
      <c r="N167" s="867"/>
      <c r="O167" s="867"/>
      <c r="P167" s="204">
        <f t="shared" si="43"/>
        <v>0</v>
      </c>
      <c r="Q167" s="867"/>
      <c r="R167" s="204">
        <f t="shared" si="44"/>
        <v>0</v>
      </c>
      <c r="S167" s="867"/>
      <c r="T167" s="867">
        <v>1</v>
      </c>
      <c r="U167" s="204">
        <f t="shared" si="45"/>
        <v>6.666666666666667</v>
      </c>
      <c r="V167" s="867"/>
      <c r="W167" s="204"/>
      <c r="X167" s="121"/>
    </row>
    <row r="168" spans="1:24">
      <c r="A168" s="870" t="s">
        <v>1987</v>
      </c>
      <c r="B168" s="242">
        <f t="shared" si="37"/>
        <v>1</v>
      </c>
      <c r="C168" s="204">
        <f t="shared" si="38"/>
        <v>5.3561863952865559E-2</v>
      </c>
      <c r="E168" s="867"/>
      <c r="F168" s="204">
        <f t="shared" si="39"/>
        <v>0</v>
      </c>
      <c r="G168" s="867"/>
      <c r="H168" s="204">
        <f t="shared" si="40"/>
        <v>0</v>
      </c>
      <c r="I168" s="867"/>
      <c r="J168" s="867"/>
      <c r="K168" s="204">
        <f t="shared" si="41"/>
        <v>0</v>
      </c>
      <c r="L168" s="867">
        <v>1</v>
      </c>
      <c r="M168" s="204">
        <f t="shared" si="42"/>
        <v>100</v>
      </c>
      <c r="N168" s="867"/>
      <c r="O168" s="867"/>
      <c r="P168" s="204">
        <f t="shared" si="43"/>
        <v>0</v>
      </c>
      <c r="Q168" s="867"/>
      <c r="R168" s="204">
        <f t="shared" si="44"/>
        <v>0</v>
      </c>
      <c r="S168" s="867"/>
      <c r="T168" s="867"/>
      <c r="U168" s="204">
        <f t="shared" si="45"/>
        <v>0</v>
      </c>
      <c r="V168" s="867"/>
      <c r="W168" s="204"/>
      <c r="X168" s="121"/>
    </row>
    <row r="169" spans="1:24">
      <c r="C169" s="204"/>
      <c r="E169" s="121"/>
      <c r="F169" s="204" t="str">
        <f t="shared" si="39"/>
        <v/>
      </c>
      <c r="G169" s="121"/>
      <c r="H169" s="204" t="str">
        <f t="shared" si="40"/>
        <v/>
      </c>
      <c r="I169" s="121"/>
      <c r="J169" s="121"/>
      <c r="K169" s="204" t="str">
        <f t="shared" si="41"/>
        <v/>
      </c>
      <c r="L169" s="121"/>
      <c r="M169" s="204" t="str">
        <f t="shared" si="42"/>
        <v/>
      </c>
      <c r="N169" s="121"/>
      <c r="O169" s="121"/>
      <c r="P169" s="204" t="str">
        <f t="shared" si="43"/>
        <v/>
      </c>
      <c r="Q169" s="121"/>
      <c r="R169" s="204" t="str">
        <f t="shared" si="44"/>
        <v/>
      </c>
      <c r="S169" s="121"/>
      <c r="T169" s="121"/>
      <c r="U169" s="204" t="str">
        <f t="shared" si="45"/>
        <v/>
      </c>
      <c r="V169" s="121"/>
      <c r="W169" s="204"/>
      <c r="X169" s="121"/>
    </row>
    <row r="170" spans="1:24" ht="6.75" customHeight="1">
      <c r="B170" s="242" t="str">
        <f t="shared" si="37"/>
        <v/>
      </c>
      <c r="C170" s="204" t="str">
        <f t="shared" si="38"/>
        <v/>
      </c>
      <c r="F170" s="204" t="str">
        <f t="shared" si="39"/>
        <v/>
      </c>
      <c r="H170" s="204" t="str">
        <f t="shared" si="40"/>
        <v/>
      </c>
      <c r="J170" s="242"/>
      <c r="K170" s="204" t="str">
        <f t="shared" si="41"/>
        <v/>
      </c>
      <c r="L170" s="242"/>
      <c r="M170" s="204" t="str">
        <f t="shared" si="42"/>
        <v/>
      </c>
      <c r="O170" s="242"/>
      <c r="P170" s="204" t="str">
        <f t="shared" si="43"/>
        <v/>
      </c>
      <c r="Q170" s="242"/>
      <c r="R170" s="204" t="str">
        <f t="shared" si="44"/>
        <v/>
      </c>
      <c r="T170" s="242"/>
      <c r="U170" s="204" t="str">
        <f t="shared" si="45"/>
        <v/>
      </c>
      <c r="V170" s="242"/>
      <c r="W170" s="204" t="str">
        <f t="shared" si="46"/>
        <v/>
      </c>
      <c r="X170" s="121"/>
    </row>
    <row r="171" spans="1:24">
      <c r="A171" s="14" t="s">
        <v>1243</v>
      </c>
      <c r="B171" s="242">
        <f t="shared" si="37"/>
        <v>7</v>
      </c>
      <c r="C171" s="204">
        <f t="shared" si="38"/>
        <v>0.37493304767005892</v>
      </c>
      <c r="E171" s="242">
        <f>SUM(E172:E173)</f>
        <v>0</v>
      </c>
      <c r="F171" s="204">
        <f t="shared" si="39"/>
        <v>0</v>
      </c>
      <c r="G171" s="242">
        <f>SUM(G172:G173)</f>
        <v>0</v>
      </c>
      <c r="H171" s="204">
        <f t="shared" si="40"/>
        <v>0</v>
      </c>
      <c r="J171" s="242">
        <f>SUM(J172:J173)</f>
        <v>0</v>
      </c>
      <c r="K171" s="204">
        <f t="shared" si="41"/>
        <v>0</v>
      </c>
      <c r="L171" s="242">
        <f>SUM(L172:L173)</f>
        <v>1</v>
      </c>
      <c r="M171" s="204">
        <f t="shared" si="42"/>
        <v>14.285714285714285</v>
      </c>
      <c r="O171" s="242">
        <f>SUM(O172:O173)</f>
        <v>0</v>
      </c>
      <c r="P171" s="204">
        <f t="shared" si="43"/>
        <v>0</v>
      </c>
      <c r="Q171" s="242">
        <f>SUM(Q172:Q173)</f>
        <v>3</v>
      </c>
      <c r="R171" s="204">
        <f t="shared" si="44"/>
        <v>42.857142857142854</v>
      </c>
      <c r="T171" s="242">
        <f>SUM(T172:T173)</f>
        <v>1</v>
      </c>
      <c r="U171" s="204">
        <f t="shared" si="45"/>
        <v>14.285714285714285</v>
      </c>
      <c r="V171" s="242">
        <f>SUM(V172:V173)</f>
        <v>2</v>
      </c>
      <c r="W171" s="204">
        <f t="shared" si="46"/>
        <v>28.571428571428569</v>
      </c>
      <c r="X171" s="121"/>
    </row>
    <row r="172" spans="1:24" ht="6.75" customHeight="1">
      <c r="B172" s="242" t="str">
        <f t="shared" si="37"/>
        <v/>
      </c>
      <c r="C172" s="204" t="str">
        <f t="shared" si="38"/>
        <v/>
      </c>
      <c r="E172" s="242"/>
      <c r="F172" s="204" t="str">
        <f t="shared" si="39"/>
        <v/>
      </c>
      <c r="H172" s="204" t="str">
        <f t="shared" si="40"/>
        <v/>
      </c>
      <c r="J172" s="242"/>
      <c r="K172" s="204" t="str">
        <f t="shared" si="41"/>
        <v/>
      </c>
      <c r="L172" s="242"/>
      <c r="M172" s="204" t="str">
        <f t="shared" si="42"/>
        <v/>
      </c>
      <c r="O172" s="242"/>
      <c r="P172" s="204" t="str">
        <f t="shared" si="43"/>
        <v/>
      </c>
      <c r="Q172" s="242"/>
      <c r="R172" s="204" t="str">
        <f t="shared" si="44"/>
        <v/>
      </c>
      <c r="T172" s="242"/>
      <c r="U172" s="204" t="str">
        <f t="shared" si="45"/>
        <v/>
      </c>
      <c r="V172" s="242"/>
      <c r="W172" s="204" t="str">
        <f t="shared" si="46"/>
        <v/>
      </c>
      <c r="X172" s="121"/>
    </row>
    <row r="173" spans="1:24">
      <c r="A173" s="14" t="s">
        <v>1244</v>
      </c>
      <c r="B173" s="242">
        <f>IF(A173&lt;&gt;"",E173+G173+J173+L173+O173+Q173+T173+V173,"")</f>
        <v>7</v>
      </c>
      <c r="C173" s="204">
        <f t="shared" si="38"/>
        <v>0.37493304767005892</v>
      </c>
      <c r="E173" s="867"/>
      <c r="F173" s="204">
        <f t="shared" si="39"/>
        <v>0</v>
      </c>
      <c r="G173" s="867"/>
      <c r="H173" s="204">
        <f t="shared" si="40"/>
        <v>0</v>
      </c>
      <c r="I173" s="867"/>
      <c r="J173" s="867"/>
      <c r="K173" s="204">
        <f t="shared" si="41"/>
        <v>0</v>
      </c>
      <c r="L173" s="867">
        <v>1</v>
      </c>
      <c r="M173" s="204">
        <f t="shared" si="42"/>
        <v>14.285714285714285</v>
      </c>
      <c r="N173" s="867"/>
      <c r="O173" s="867"/>
      <c r="P173" s="204">
        <f t="shared" si="43"/>
        <v>0</v>
      </c>
      <c r="Q173" s="867">
        <v>3</v>
      </c>
      <c r="R173" s="204">
        <f t="shared" si="44"/>
        <v>42.857142857142854</v>
      </c>
      <c r="S173" s="867"/>
      <c r="T173" s="867">
        <v>1</v>
      </c>
      <c r="U173" s="204">
        <f t="shared" si="45"/>
        <v>14.285714285714285</v>
      </c>
      <c r="V173" s="867">
        <v>2</v>
      </c>
      <c r="W173" s="204">
        <f t="shared" si="46"/>
        <v>28.571428571428569</v>
      </c>
      <c r="X173" s="121"/>
    </row>
    <row r="174" spans="1:24" ht="6.75" customHeight="1">
      <c r="B174" s="242" t="str">
        <f t="shared" si="37"/>
        <v/>
      </c>
      <c r="C174" s="204" t="str">
        <f t="shared" si="38"/>
        <v/>
      </c>
      <c r="E174" s="242"/>
      <c r="F174" s="204" t="str">
        <f t="shared" si="39"/>
        <v/>
      </c>
      <c r="H174" s="204" t="str">
        <f t="shared" si="40"/>
        <v/>
      </c>
      <c r="J174" s="242"/>
      <c r="K174" s="204" t="str">
        <f t="shared" si="41"/>
        <v/>
      </c>
      <c r="L174" s="242"/>
      <c r="M174" s="204" t="str">
        <f t="shared" si="42"/>
        <v/>
      </c>
      <c r="O174" s="242"/>
      <c r="P174" s="204" t="str">
        <f t="shared" si="43"/>
        <v/>
      </c>
      <c r="Q174" s="242"/>
      <c r="R174" s="204" t="str">
        <f t="shared" si="44"/>
        <v/>
      </c>
      <c r="T174" s="242"/>
      <c r="U174" s="204" t="str">
        <f t="shared" si="45"/>
        <v/>
      </c>
      <c r="V174" s="242"/>
      <c r="W174" s="204" t="str">
        <f t="shared" si="46"/>
        <v/>
      </c>
      <c r="X174" s="121"/>
    </row>
    <row r="175" spans="1:24">
      <c r="A175" s="17" t="s">
        <v>1297</v>
      </c>
      <c r="B175" s="242">
        <f t="shared" si="37"/>
        <v>39</v>
      </c>
      <c r="C175" s="204">
        <f t="shared" si="38"/>
        <v>2.0889126941617571</v>
      </c>
      <c r="E175" s="242">
        <f>SUM(E177)</f>
        <v>4</v>
      </c>
      <c r="F175" s="204">
        <f t="shared" si="39"/>
        <v>10.256410256410255</v>
      </c>
      <c r="G175" s="242">
        <f>SUM(G177)</f>
        <v>2</v>
      </c>
      <c r="H175" s="204">
        <f t="shared" si="40"/>
        <v>5.1282051282051277</v>
      </c>
      <c r="J175" s="242">
        <f>SUM(J177)</f>
        <v>8</v>
      </c>
      <c r="K175" s="204">
        <f t="shared" si="41"/>
        <v>20.512820512820511</v>
      </c>
      <c r="L175" s="242">
        <f>SUM(L177)</f>
        <v>6</v>
      </c>
      <c r="M175" s="204">
        <f t="shared" si="42"/>
        <v>15.384615384615385</v>
      </c>
      <c r="O175" s="242">
        <f>SUM(O177)</f>
        <v>9</v>
      </c>
      <c r="P175" s="204">
        <f t="shared" si="43"/>
        <v>23.076923076923077</v>
      </c>
      <c r="Q175" s="242">
        <f>SUM(Q177)</f>
        <v>6</v>
      </c>
      <c r="R175" s="204">
        <f t="shared" si="44"/>
        <v>15.384615384615385</v>
      </c>
      <c r="T175" s="242">
        <f>SUM(T177)</f>
        <v>1</v>
      </c>
      <c r="U175" s="204">
        <f t="shared" si="45"/>
        <v>2.5641025641025639</v>
      </c>
      <c r="V175" s="242">
        <f>SUM(V177)</f>
        <v>3</v>
      </c>
      <c r="W175" s="204">
        <f t="shared" si="46"/>
        <v>7.6923076923076925</v>
      </c>
    </row>
    <row r="176" spans="1:24" ht="6.75" customHeight="1">
      <c r="B176" s="242" t="str">
        <f t="shared" si="37"/>
        <v/>
      </c>
      <c r="C176" s="204" t="str">
        <f t="shared" si="38"/>
        <v/>
      </c>
      <c r="E176" s="242"/>
      <c r="F176" s="204" t="str">
        <f t="shared" si="39"/>
        <v/>
      </c>
      <c r="H176" s="204" t="str">
        <f t="shared" si="40"/>
        <v/>
      </c>
      <c r="J176" s="242"/>
      <c r="K176" s="204" t="str">
        <f t="shared" si="41"/>
        <v/>
      </c>
      <c r="L176" s="242"/>
      <c r="M176" s="204" t="str">
        <f t="shared" si="42"/>
        <v/>
      </c>
      <c r="O176" s="242"/>
      <c r="P176" s="204" t="str">
        <f t="shared" si="43"/>
        <v/>
      </c>
      <c r="Q176" s="242"/>
      <c r="R176" s="204" t="str">
        <f t="shared" si="44"/>
        <v/>
      </c>
      <c r="T176" s="242"/>
      <c r="U176" s="204" t="str">
        <f t="shared" si="45"/>
        <v/>
      </c>
      <c r="V176" s="242"/>
      <c r="W176" s="204" t="str">
        <f t="shared" si="46"/>
        <v/>
      </c>
    </row>
    <row r="177" spans="1:24">
      <c r="A177" s="14" t="s">
        <v>1298</v>
      </c>
      <c r="B177" s="242">
        <f t="shared" si="37"/>
        <v>39</v>
      </c>
      <c r="C177" s="204">
        <f t="shared" si="38"/>
        <v>2.0889126941617571</v>
      </c>
      <c r="E177" s="343">
        <f>SUM(E178:E190)</f>
        <v>4</v>
      </c>
      <c r="F177" s="204">
        <f t="shared" si="39"/>
        <v>10.256410256410255</v>
      </c>
      <c r="G177" s="343">
        <f t="shared" ref="G177:V177" si="47">SUM(G178:G190)</f>
        <v>2</v>
      </c>
      <c r="H177" s="204">
        <f t="shared" si="40"/>
        <v>5.1282051282051277</v>
      </c>
      <c r="I177" s="343">
        <f t="shared" si="47"/>
        <v>0</v>
      </c>
      <c r="J177" s="343">
        <f t="shared" si="47"/>
        <v>8</v>
      </c>
      <c r="K177" s="204">
        <f t="shared" si="41"/>
        <v>20.512820512820511</v>
      </c>
      <c r="L177" s="343">
        <f t="shared" si="47"/>
        <v>6</v>
      </c>
      <c r="M177" s="204">
        <f t="shared" si="42"/>
        <v>15.384615384615385</v>
      </c>
      <c r="N177" s="343">
        <f t="shared" si="47"/>
        <v>0</v>
      </c>
      <c r="O177" s="343">
        <f t="shared" si="47"/>
        <v>9</v>
      </c>
      <c r="P177" s="204">
        <f t="shared" si="43"/>
        <v>23.076923076923077</v>
      </c>
      <c r="Q177" s="343">
        <f t="shared" si="47"/>
        <v>6</v>
      </c>
      <c r="R177" s="204">
        <f t="shared" si="44"/>
        <v>15.384615384615385</v>
      </c>
      <c r="S177" s="343">
        <f t="shared" si="47"/>
        <v>0</v>
      </c>
      <c r="T177" s="343">
        <f t="shared" si="47"/>
        <v>1</v>
      </c>
      <c r="U177" s="204">
        <f t="shared" si="45"/>
        <v>2.5641025641025639</v>
      </c>
      <c r="V177" s="343">
        <f t="shared" si="47"/>
        <v>3</v>
      </c>
      <c r="W177" s="204">
        <f t="shared" si="46"/>
        <v>7.6923076923076925</v>
      </c>
    </row>
    <row r="178" spans="1:24">
      <c r="A178" s="75" t="s">
        <v>1299</v>
      </c>
      <c r="B178" s="242">
        <f t="shared" si="37"/>
        <v>2</v>
      </c>
      <c r="C178" s="204">
        <f t="shared" si="38"/>
        <v>0.10712372790573112</v>
      </c>
      <c r="E178" s="867"/>
      <c r="F178" s="204">
        <f t="shared" si="39"/>
        <v>0</v>
      </c>
      <c r="G178" s="867"/>
      <c r="H178" s="204">
        <f t="shared" si="40"/>
        <v>0</v>
      </c>
      <c r="I178" s="867"/>
      <c r="J178" s="867"/>
      <c r="K178" s="204">
        <f t="shared" si="41"/>
        <v>0</v>
      </c>
      <c r="L178" s="867"/>
      <c r="M178" s="204">
        <f t="shared" si="42"/>
        <v>0</v>
      </c>
      <c r="N178" s="867"/>
      <c r="O178" s="867">
        <v>2</v>
      </c>
      <c r="P178" s="204">
        <f t="shared" si="43"/>
        <v>100</v>
      </c>
      <c r="Q178" s="867"/>
      <c r="R178" s="204">
        <f t="shared" si="44"/>
        <v>0</v>
      </c>
      <c r="S178" s="867"/>
      <c r="T178" s="867"/>
      <c r="U178" s="204">
        <f t="shared" si="45"/>
        <v>0</v>
      </c>
      <c r="V178" s="867"/>
      <c r="W178" s="204">
        <f t="shared" si="46"/>
        <v>0</v>
      </c>
    </row>
    <row r="179" spans="1:24">
      <c r="A179" s="75" t="s">
        <v>1300</v>
      </c>
      <c r="B179" s="242">
        <f t="shared" si="37"/>
        <v>4</v>
      </c>
      <c r="C179" s="204">
        <f>IF(A179&lt;&gt;0,B179/$B$13*100,"")</f>
        <v>0.21424745581146223</v>
      </c>
      <c r="E179" s="867">
        <v>1</v>
      </c>
      <c r="F179" s="204">
        <f t="shared" si="39"/>
        <v>25</v>
      </c>
      <c r="G179" s="867"/>
      <c r="H179" s="204">
        <f t="shared" si="40"/>
        <v>0</v>
      </c>
      <c r="I179" s="867"/>
      <c r="J179" s="867"/>
      <c r="K179" s="204">
        <f t="shared" si="41"/>
        <v>0</v>
      </c>
      <c r="L179" s="867">
        <v>1</v>
      </c>
      <c r="M179" s="204">
        <f t="shared" si="42"/>
        <v>25</v>
      </c>
      <c r="N179" s="867"/>
      <c r="O179" s="867"/>
      <c r="P179" s="204">
        <f t="shared" si="43"/>
        <v>0</v>
      </c>
      <c r="Q179" s="867">
        <v>2</v>
      </c>
      <c r="R179" s="204">
        <f t="shared" si="44"/>
        <v>50</v>
      </c>
      <c r="S179" s="867"/>
      <c r="T179" s="867"/>
      <c r="U179" s="204">
        <f t="shared" si="45"/>
        <v>0</v>
      </c>
      <c r="V179" s="867"/>
      <c r="W179" s="204">
        <f t="shared" si="46"/>
        <v>0</v>
      </c>
    </row>
    <row r="180" spans="1:24" hidden="1">
      <c r="A180" s="75" t="s">
        <v>1301</v>
      </c>
      <c r="B180" s="242">
        <f t="shared" si="37"/>
        <v>0</v>
      </c>
      <c r="C180" s="204">
        <f t="shared" ref="C180:C192" si="48">IF(A180&lt;&gt;0,B180/$B$13*100,"")</f>
        <v>0</v>
      </c>
      <c r="E180" s="868"/>
      <c r="F180" s="204" t="e">
        <f t="shared" si="39"/>
        <v>#DIV/0!</v>
      </c>
      <c r="G180" s="868"/>
      <c r="H180" s="204" t="e">
        <f t="shared" si="40"/>
        <v>#DIV/0!</v>
      </c>
      <c r="I180" s="868"/>
      <c r="J180" s="868"/>
      <c r="K180" s="204" t="e">
        <f t="shared" si="41"/>
        <v>#DIV/0!</v>
      </c>
      <c r="L180" s="868"/>
      <c r="M180" s="204" t="e">
        <f t="shared" si="42"/>
        <v>#DIV/0!</v>
      </c>
      <c r="N180" s="868"/>
      <c r="O180" s="868"/>
      <c r="P180" s="204" t="e">
        <f t="shared" si="43"/>
        <v>#DIV/0!</v>
      </c>
      <c r="Q180" s="868"/>
      <c r="R180" s="204" t="e">
        <f t="shared" si="44"/>
        <v>#DIV/0!</v>
      </c>
      <c r="S180" s="868"/>
      <c r="T180" s="868"/>
      <c r="U180" s="204" t="e">
        <f t="shared" si="45"/>
        <v>#DIV/0!</v>
      </c>
      <c r="V180" s="868"/>
      <c r="W180" s="204" t="e">
        <f t="shared" si="46"/>
        <v>#DIV/0!</v>
      </c>
    </row>
    <row r="181" spans="1:24">
      <c r="A181" s="75" t="s">
        <v>1302</v>
      </c>
      <c r="B181" s="242">
        <f t="shared" si="37"/>
        <v>5</v>
      </c>
      <c r="C181" s="204">
        <f t="shared" si="48"/>
        <v>0.26780931976432781</v>
      </c>
      <c r="E181" s="867">
        <v>3</v>
      </c>
      <c r="F181" s="204">
        <f t="shared" si="39"/>
        <v>60</v>
      </c>
      <c r="G181" s="867">
        <v>1</v>
      </c>
      <c r="H181" s="204">
        <f t="shared" si="40"/>
        <v>20</v>
      </c>
      <c r="I181" s="867"/>
      <c r="J181" s="867"/>
      <c r="K181" s="204">
        <f t="shared" si="41"/>
        <v>0</v>
      </c>
      <c r="L181" s="867"/>
      <c r="M181" s="204">
        <f t="shared" si="42"/>
        <v>0</v>
      </c>
      <c r="N181" s="867"/>
      <c r="O181" s="867">
        <v>1</v>
      </c>
      <c r="P181" s="204">
        <f t="shared" si="43"/>
        <v>20</v>
      </c>
      <c r="Q181" s="867"/>
      <c r="R181" s="204">
        <f t="shared" si="44"/>
        <v>0</v>
      </c>
      <c r="S181" s="867"/>
      <c r="T181" s="867"/>
      <c r="U181" s="204">
        <f t="shared" si="45"/>
        <v>0</v>
      </c>
      <c r="V181" s="867"/>
      <c r="W181" s="204">
        <f t="shared" si="46"/>
        <v>0</v>
      </c>
    </row>
    <row r="182" spans="1:24">
      <c r="A182" s="75" t="s">
        <v>1280</v>
      </c>
      <c r="B182" s="242">
        <f t="shared" si="37"/>
        <v>1</v>
      </c>
      <c r="C182" s="204">
        <f t="shared" si="48"/>
        <v>5.3561863952865559E-2</v>
      </c>
      <c r="E182" s="867"/>
      <c r="F182" s="204">
        <f t="shared" si="39"/>
        <v>0</v>
      </c>
      <c r="G182" s="867"/>
      <c r="H182" s="204">
        <f t="shared" si="40"/>
        <v>0</v>
      </c>
      <c r="I182" s="867"/>
      <c r="J182" s="867">
        <v>1</v>
      </c>
      <c r="K182" s="204">
        <f t="shared" si="41"/>
        <v>100</v>
      </c>
      <c r="L182" s="867"/>
      <c r="M182" s="204">
        <f t="shared" si="42"/>
        <v>0</v>
      </c>
      <c r="N182" s="867"/>
      <c r="O182" s="867"/>
      <c r="P182" s="204">
        <f t="shared" si="43"/>
        <v>0</v>
      </c>
      <c r="Q182" s="867"/>
      <c r="R182" s="204">
        <f t="shared" si="44"/>
        <v>0</v>
      </c>
      <c r="S182" s="867"/>
      <c r="T182" s="867"/>
      <c r="U182" s="204">
        <f t="shared" si="45"/>
        <v>0</v>
      </c>
      <c r="V182" s="867"/>
      <c r="W182" s="204"/>
    </row>
    <row r="183" spans="1:24">
      <c r="A183" s="75" t="s">
        <v>1246</v>
      </c>
      <c r="B183" s="242">
        <f t="shared" si="37"/>
        <v>16</v>
      </c>
      <c r="C183" s="204">
        <f t="shared" si="48"/>
        <v>0.85698982324584894</v>
      </c>
      <c r="E183" s="867"/>
      <c r="F183" s="204">
        <f t="shared" si="39"/>
        <v>0</v>
      </c>
      <c r="G183" s="867">
        <v>1</v>
      </c>
      <c r="H183" s="204">
        <f t="shared" si="40"/>
        <v>6.25</v>
      </c>
      <c r="I183" s="867"/>
      <c r="J183" s="867">
        <v>3</v>
      </c>
      <c r="K183" s="204">
        <f t="shared" si="41"/>
        <v>18.75</v>
      </c>
      <c r="L183" s="867">
        <v>2</v>
      </c>
      <c r="M183" s="204">
        <f t="shared" si="42"/>
        <v>12.5</v>
      </c>
      <c r="N183" s="867"/>
      <c r="O183" s="867">
        <v>5</v>
      </c>
      <c r="P183" s="204">
        <f t="shared" si="43"/>
        <v>31.25</v>
      </c>
      <c r="Q183" s="867">
        <v>1</v>
      </c>
      <c r="R183" s="204">
        <f t="shared" si="44"/>
        <v>6.25</v>
      </c>
      <c r="S183" s="867"/>
      <c r="T183" s="867">
        <v>1</v>
      </c>
      <c r="U183" s="204">
        <f t="shared" si="45"/>
        <v>6.25</v>
      </c>
      <c r="V183" s="867">
        <v>3</v>
      </c>
      <c r="W183" s="204">
        <f t="shared" si="46"/>
        <v>18.75</v>
      </c>
    </row>
    <row r="184" spans="1:24">
      <c r="A184" s="75" t="s">
        <v>1303</v>
      </c>
      <c r="B184" s="242">
        <f t="shared" si="37"/>
        <v>7</v>
      </c>
      <c r="C184" s="204">
        <f t="shared" si="48"/>
        <v>0.37493304767005892</v>
      </c>
      <c r="E184" s="867"/>
      <c r="F184" s="204">
        <f t="shared" si="39"/>
        <v>0</v>
      </c>
      <c r="G184" s="867"/>
      <c r="H184" s="204">
        <f t="shared" si="40"/>
        <v>0</v>
      </c>
      <c r="I184" s="867"/>
      <c r="J184" s="867">
        <v>2</v>
      </c>
      <c r="K184" s="204">
        <f t="shared" si="41"/>
        <v>28.571428571428569</v>
      </c>
      <c r="L184" s="867">
        <v>2</v>
      </c>
      <c r="M184" s="204">
        <f t="shared" si="42"/>
        <v>28.571428571428569</v>
      </c>
      <c r="N184" s="867"/>
      <c r="O184" s="867">
        <v>1</v>
      </c>
      <c r="P184" s="204">
        <f t="shared" si="43"/>
        <v>14.285714285714285</v>
      </c>
      <c r="Q184" s="867">
        <v>2</v>
      </c>
      <c r="R184" s="204">
        <f t="shared" si="44"/>
        <v>28.571428571428569</v>
      </c>
      <c r="S184" s="867"/>
      <c r="T184" s="867"/>
      <c r="U184" s="204">
        <f t="shared" si="45"/>
        <v>0</v>
      </c>
      <c r="V184" s="867"/>
      <c r="W184" s="204">
        <f t="shared" si="46"/>
        <v>0</v>
      </c>
    </row>
    <row r="185" spans="1:24" hidden="1">
      <c r="A185" s="75" t="s">
        <v>1304</v>
      </c>
      <c r="B185" s="242">
        <f t="shared" si="37"/>
        <v>0</v>
      </c>
      <c r="C185" s="204">
        <f t="shared" si="48"/>
        <v>0</v>
      </c>
      <c r="E185" s="868"/>
      <c r="F185" s="204" t="e">
        <f t="shared" si="39"/>
        <v>#DIV/0!</v>
      </c>
      <c r="G185" s="868"/>
      <c r="H185" s="204" t="e">
        <f t="shared" si="40"/>
        <v>#DIV/0!</v>
      </c>
      <c r="I185" s="868"/>
      <c r="J185" s="868"/>
      <c r="K185" s="204" t="e">
        <f t="shared" si="41"/>
        <v>#DIV/0!</v>
      </c>
      <c r="L185" s="868"/>
      <c r="M185" s="204" t="e">
        <f t="shared" si="42"/>
        <v>#DIV/0!</v>
      </c>
      <c r="N185" s="868"/>
      <c r="O185" s="868"/>
      <c r="P185" s="204" t="e">
        <f t="shared" si="43"/>
        <v>#DIV/0!</v>
      </c>
      <c r="Q185" s="868"/>
      <c r="R185" s="204" t="e">
        <f t="shared" si="44"/>
        <v>#DIV/0!</v>
      </c>
      <c r="S185" s="868"/>
      <c r="T185" s="868"/>
      <c r="U185" s="204" t="e">
        <f t="shared" si="45"/>
        <v>#DIV/0!</v>
      </c>
      <c r="V185" s="868"/>
      <c r="W185" s="204" t="e">
        <f t="shared" si="46"/>
        <v>#DIV/0!</v>
      </c>
      <c r="X185" s="121"/>
    </row>
    <row r="186" spans="1:24">
      <c r="A186" s="75" t="s">
        <v>1194</v>
      </c>
      <c r="B186" s="242">
        <f t="shared" si="37"/>
        <v>1</v>
      </c>
      <c r="C186" s="204">
        <f t="shared" si="48"/>
        <v>5.3561863952865559E-2</v>
      </c>
      <c r="E186" s="867"/>
      <c r="F186" s="204">
        <f t="shared" si="39"/>
        <v>0</v>
      </c>
      <c r="G186" s="867"/>
      <c r="H186" s="204">
        <f t="shared" si="40"/>
        <v>0</v>
      </c>
      <c r="I186" s="867"/>
      <c r="J186" s="867">
        <v>1</v>
      </c>
      <c r="K186" s="204">
        <f t="shared" si="41"/>
        <v>100</v>
      </c>
      <c r="L186" s="867"/>
      <c r="M186" s="204">
        <f t="shared" si="42"/>
        <v>0</v>
      </c>
      <c r="N186" s="867"/>
      <c r="O186" s="867"/>
      <c r="P186" s="204">
        <f t="shared" si="43"/>
        <v>0</v>
      </c>
      <c r="Q186" s="867"/>
      <c r="R186" s="204">
        <f t="shared" si="44"/>
        <v>0</v>
      </c>
      <c r="S186" s="867"/>
      <c r="T186" s="867"/>
      <c r="U186" s="204">
        <f t="shared" si="45"/>
        <v>0</v>
      </c>
      <c r="V186" s="867"/>
      <c r="W186" s="204">
        <f t="shared" si="46"/>
        <v>0</v>
      </c>
      <c r="X186" s="121"/>
    </row>
    <row r="187" spans="1:24" hidden="1">
      <c r="A187" s="75" t="s">
        <v>1305</v>
      </c>
      <c r="B187" s="242">
        <f t="shared" si="37"/>
        <v>0</v>
      </c>
      <c r="C187" s="204">
        <f t="shared" si="48"/>
        <v>0</v>
      </c>
      <c r="E187" s="868"/>
      <c r="F187" s="204" t="e">
        <f t="shared" si="39"/>
        <v>#DIV/0!</v>
      </c>
      <c r="G187" s="868"/>
      <c r="H187" s="204" t="e">
        <f t="shared" si="40"/>
        <v>#DIV/0!</v>
      </c>
      <c r="I187" s="868"/>
      <c r="J187" s="868"/>
      <c r="K187" s="204" t="e">
        <f t="shared" si="41"/>
        <v>#DIV/0!</v>
      </c>
      <c r="L187" s="868"/>
      <c r="M187" s="204" t="e">
        <f t="shared" si="42"/>
        <v>#DIV/0!</v>
      </c>
      <c r="N187" s="868"/>
      <c r="O187" s="868"/>
      <c r="P187" s="204" t="e">
        <f t="shared" si="43"/>
        <v>#DIV/0!</v>
      </c>
      <c r="Q187" s="868"/>
      <c r="R187" s="204" t="e">
        <f t="shared" si="44"/>
        <v>#DIV/0!</v>
      </c>
      <c r="S187" s="868"/>
      <c r="T187" s="868"/>
      <c r="U187" s="204" t="e">
        <f t="shared" si="45"/>
        <v>#DIV/0!</v>
      </c>
      <c r="V187" s="868"/>
      <c r="W187" s="204" t="e">
        <f t="shared" si="46"/>
        <v>#DIV/0!</v>
      </c>
      <c r="X187" s="121"/>
    </row>
    <row r="188" spans="1:24" hidden="1">
      <c r="A188" s="75" t="s">
        <v>1306</v>
      </c>
      <c r="B188" s="242">
        <f t="shared" si="37"/>
        <v>0</v>
      </c>
      <c r="C188" s="204">
        <f t="shared" si="48"/>
        <v>0</v>
      </c>
      <c r="E188" s="868"/>
      <c r="F188" s="204" t="e">
        <f t="shared" si="39"/>
        <v>#DIV/0!</v>
      </c>
      <c r="G188" s="868"/>
      <c r="H188" s="204" t="e">
        <f t="shared" si="40"/>
        <v>#DIV/0!</v>
      </c>
      <c r="I188" s="868"/>
      <c r="J188" s="868"/>
      <c r="K188" s="204" t="e">
        <f t="shared" si="41"/>
        <v>#DIV/0!</v>
      </c>
      <c r="L188" s="868"/>
      <c r="M188" s="204" t="e">
        <f t="shared" si="42"/>
        <v>#DIV/0!</v>
      </c>
      <c r="N188" s="868"/>
      <c r="O188" s="868"/>
      <c r="P188" s="204" t="e">
        <f t="shared" si="43"/>
        <v>#DIV/0!</v>
      </c>
      <c r="Q188" s="868"/>
      <c r="R188" s="204" t="e">
        <f t="shared" si="44"/>
        <v>#DIV/0!</v>
      </c>
      <c r="S188" s="868"/>
      <c r="T188" s="868"/>
      <c r="U188" s="204" t="e">
        <f t="shared" si="45"/>
        <v>#DIV/0!</v>
      </c>
      <c r="V188" s="868"/>
      <c r="W188" s="204" t="e">
        <f t="shared" si="46"/>
        <v>#DIV/0!</v>
      </c>
      <c r="X188" s="121"/>
    </row>
    <row r="189" spans="1:24">
      <c r="A189" s="75" t="s">
        <v>1307</v>
      </c>
      <c r="B189" s="242">
        <f t="shared" si="37"/>
        <v>2</v>
      </c>
      <c r="C189" s="204">
        <f t="shared" si="48"/>
        <v>0.10712372790573112</v>
      </c>
      <c r="E189" s="867"/>
      <c r="F189" s="204">
        <f t="shared" si="39"/>
        <v>0</v>
      </c>
      <c r="G189" s="867"/>
      <c r="H189" s="204">
        <f t="shared" si="40"/>
        <v>0</v>
      </c>
      <c r="I189" s="867"/>
      <c r="J189" s="867">
        <v>1</v>
      </c>
      <c r="K189" s="204">
        <f t="shared" si="41"/>
        <v>50</v>
      </c>
      <c r="L189" s="867">
        <v>1</v>
      </c>
      <c r="M189" s="204">
        <f t="shared" si="42"/>
        <v>50</v>
      </c>
      <c r="N189" s="867"/>
      <c r="O189" s="867"/>
      <c r="P189" s="204">
        <f t="shared" si="43"/>
        <v>0</v>
      </c>
      <c r="Q189" s="867"/>
      <c r="R189" s="204">
        <f t="shared" si="44"/>
        <v>0</v>
      </c>
      <c r="S189" s="867"/>
      <c r="T189" s="867"/>
      <c r="U189" s="204">
        <f t="shared" si="45"/>
        <v>0</v>
      </c>
      <c r="V189" s="867"/>
      <c r="W189" s="204">
        <f t="shared" si="46"/>
        <v>0</v>
      </c>
      <c r="X189" s="121"/>
    </row>
    <row r="190" spans="1:24">
      <c r="A190" s="75" t="s">
        <v>1308</v>
      </c>
      <c r="B190" s="242">
        <f t="shared" si="37"/>
        <v>1</v>
      </c>
      <c r="C190" s="204">
        <f t="shared" si="48"/>
        <v>5.3561863952865559E-2</v>
      </c>
      <c r="E190" s="867"/>
      <c r="F190" s="204">
        <f t="shared" si="39"/>
        <v>0</v>
      </c>
      <c r="G190" s="867"/>
      <c r="H190" s="204">
        <f t="shared" si="40"/>
        <v>0</v>
      </c>
      <c r="I190" s="867"/>
      <c r="J190" s="867"/>
      <c r="K190" s="204">
        <f t="shared" si="41"/>
        <v>0</v>
      </c>
      <c r="L190" s="867"/>
      <c r="M190" s="204">
        <f t="shared" si="42"/>
        <v>0</v>
      </c>
      <c r="N190" s="867"/>
      <c r="O190" s="867"/>
      <c r="P190" s="204">
        <f t="shared" si="43"/>
        <v>0</v>
      </c>
      <c r="Q190" s="867">
        <v>1</v>
      </c>
      <c r="R190" s="204">
        <f t="shared" si="44"/>
        <v>100</v>
      </c>
      <c r="S190" s="867"/>
      <c r="T190" s="867"/>
      <c r="U190" s="204">
        <f t="shared" si="45"/>
        <v>0</v>
      </c>
      <c r="V190" s="867"/>
      <c r="W190" s="204">
        <f t="shared" si="46"/>
        <v>0</v>
      </c>
      <c r="X190" s="121"/>
    </row>
    <row r="191" spans="1:24" ht="9" customHeight="1">
      <c r="A191" s="75" t="s">
        <v>1247</v>
      </c>
      <c r="C191" s="204"/>
      <c r="E191" s="242"/>
      <c r="F191" s="204"/>
      <c r="J191" s="242"/>
      <c r="K191" s="204"/>
      <c r="L191" s="242"/>
      <c r="O191" s="242"/>
      <c r="P191" s="204"/>
      <c r="Q191" s="242"/>
      <c r="R191" s="204"/>
      <c r="T191" s="242"/>
      <c r="U191" s="204"/>
      <c r="V191" s="242"/>
      <c r="W191" s="204"/>
      <c r="X191" s="121"/>
    </row>
    <row r="192" spans="1:24">
      <c r="A192" s="17" t="s">
        <v>1309</v>
      </c>
      <c r="B192" s="242">
        <f t="shared" si="37"/>
        <v>161</v>
      </c>
      <c r="C192" s="204">
        <f t="shared" si="48"/>
        <v>8.623460096411355</v>
      </c>
      <c r="D192" s="204"/>
      <c r="E192" s="242">
        <f>SUM(E193:E197)</f>
        <v>8</v>
      </c>
      <c r="F192" s="204">
        <f t="shared" si="39"/>
        <v>4.9689440993788816</v>
      </c>
      <c r="G192" s="242">
        <f>SUM(G193:G197)</f>
        <v>1</v>
      </c>
      <c r="H192" s="204">
        <f t="shared" si="40"/>
        <v>0.6211180124223602</v>
      </c>
      <c r="I192" s="204"/>
      <c r="J192" s="242">
        <f>SUM(J193:J197)</f>
        <v>20</v>
      </c>
      <c r="K192" s="204">
        <f t="shared" si="41"/>
        <v>12.422360248447205</v>
      </c>
      <c r="L192" s="242">
        <f>SUM(L193:L197)</f>
        <v>23</v>
      </c>
      <c r="M192" s="204">
        <f t="shared" si="42"/>
        <v>14.285714285714285</v>
      </c>
      <c r="N192" s="204"/>
      <c r="O192" s="242">
        <f>SUM(O193:O197)</f>
        <v>39</v>
      </c>
      <c r="P192" s="204">
        <f t="shared" si="43"/>
        <v>24.22360248447205</v>
      </c>
      <c r="Q192" s="242">
        <f>SUM(Q193:Q197)</f>
        <v>46</v>
      </c>
      <c r="R192" s="204">
        <f t="shared" si="44"/>
        <v>28.571428571428569</v>
      </c>
      <c r="S192" s="204"/>
      <c r="T192" s="242">
        <f>SUM(T193:T197)</f>
        <v>15</v>
      </c>
      <c r="U192" s="204">
        <f t="shared" si="45"/>
        <v>9.316770186335404</v>
      </c>
      <c r="V192" s="242">
        <f>SUM(V193:V197)</f>
        <v>9</v>
      </c>
      <c r="W192" s="204">
        <f t="shared" si="46"/>
        <v>5.5900621118012426</v>
      </c>
      <c r="X192" s="121"/>
    </row>
    <row r="193" spans="1:24">
      <c r="A193" s="14" t="s">
        <v>424</v>
      </c>
      <c r="B193" s="242">
        <f t="shared" si="37"/>
        <v>64</v>
      </c>
      <c r="C193" s="204">
        <f>IF(A193&lt;&gt;0,B193/$B$13*100,"")</f>
        <v>3.4279592929833957</v>
      </c>
      <c r="D193" s="204"/>
      <c r="E193" s="867">
        <v>3</v>
      </c>
      <c r="F193" s="204">
        <f t="shared" si="39"/>
        <v>4.6875</v>
      </c>
      <c r="G193" s="867"/>
      <c r="H193" s="204">
        <f t="shared" si="40"/>
        <v>0</v>
      </c>
      <c r="I193" s="867"/>
      <c r="J193" s="867">
        <v>3</v>
      </c>
      <c r="K193" s="204">
        <f t="shared" si="41"/>
        <v>4.6875</v>
      </c>
      <c r="L193" s="867">
        <v>7</v>
      </c>
      <c r="M193" s="204">
        <f t="shared" si="42"/>
        <v>10.9375</v>
      </c>
      <c r="N193" s="867"/>
      <c r="O193" s="867">
        <v>16</v>
      </c>
      <c r="P193" s="204">
        <f t="shared" si="43"/>
        <v>25</v>
      </c>
      <c r="Q193" s="867">
        <v>22</v>
      </c>
      <c r="R193" s="204">
        <f t="shared" si="44"/>
        <v>34.375</v>
      </c>
      <c r="S193" s="867"/>
      <c r="T193" s="867">
        <v>8</v>
      </c>
      <c r="U193" s="204">
        <f t="shared" si="45"/>
        <v>12.5</v>
      </c>
      <c r="V193" s="867">
        <v>5</v>
      </c>
      <c r="W193" s="204">
        <f t="shared" si="46"/>
        <v>7.8125</v>
      </c>
      <c r="X193" s="121"/>
    </row>
    <row r="194" spans="1:24">
      <c r="A194" s="14" t="s">
        <v>425</v>
      </c>
      <c r="B194" s="242">
        <f t="shared" si="37"/>
        <v>24</v>
      </c>
      <c r="C194" s="204">
        <f>IF(A194&lt;&gt;0,B194/$B$13*100,"")</f>
        <v>1.2854847348687735</v>
      </c>
      <c r="D194" s="204"/>
      <c r="E194" s="867"/>
      <c r="F194" s="204">
        <f t="shared" si="39"/>
        <v>0</v>
      </c>
      <c r="G194" s="867"/>
      <c r="H194" s="204">
        <f t="shared" si="40"/>
        <v>0</v>
      </c>
      <c r="I194" s="867"/>
      <c r="J194" s="867">
        <v>8</v>
      </c>
      <c r="K194" s="204">
        <f t="shared" si="41"/>
        <v>33.333333333333329</v>
      </c>
      <c r="L194" s="867">
        <v>2</v>
      </c>
      <c r="M194" s="204">
        <f t="shared" si="42"/>
        <v>8.3333333333333321</v>
      </c>
      <c r="N194" s="867"/>
      <c r="O194" s="867">
        <v>4</v>
      </c>
      <c r="P194" s="204">
        <f t="shared" si="43"/>
        <v>16.666666666666664</v>
      </c>
      <c r="Q194" s="867">
        <v>6</v>
      </c>
      <c r="R194" s="204">
        <f t="shared" si="44"/>
        <v>25</v>
      </c>
      <c r="S194" s="867"/>
      <c r="T194" s="867">
        <v>2</v>
      </c>
      <c r="U194" s="204">
        <f t="shared" si="45"/>
        <v>8.3333333333333321</v>
      </c>
      <c r="V194" s="867">
        <v>2</v>
      </c>
      <c r="W194" s="204">
        <f t="shared" si="46"/>
        <v>8.3333333333333321</v>
      </c>
      <c r="X194" s="121"/>
    </row>
    <row r="195" spans="1:24">
      <c r="A195" s="14" t="s">
        <v>426</v>
      </c>
      <c r="B195" s="242">
        <f t="shared" si="37"/>
        <v>43</v>
      </c>
      <c r="C195" s="204">
        <f>IF(A195&lt;&gt;0,B195/$B$13*100,"")</f>
        <v>2.3031601499732193</v>
      </c>
      <c r="D195" s="204"/>
      <c r="E195" s="867">
        <v>3</v>
      </c>
      <c r="F195" s="204">
        <f t="shared" si="39"/>
        <v>6.9767441860465116</v>
      </c>
      <c r="G195" s="867"/>
      <c r="H195" s="204">
        <f t="shared" si="40"/>
        <v>0</v>
      </c>
      <c r="I195" s="867"/>
      <c r="J195" s="867">
        <v>5</v>
      </c>
      <c r="K195" s="204">
        <f t="shared" si="41"/>
        <v>11.627906976744185</v>
      </c>
      <c r="L195" s="867">
        <v>9</v>
      </c>
      <c r="M195" s="204">
        <f t="shared" si="42"/>
        <v>20.930232558139537</v>
      </c>
      <c r="N195" s="867"/>
      <c r="O195" s="867">
        <v>11</v>
      </c>
      <c r="P195" s="204">
        <f t="shared" si="43"/>
        <v>25.581395348837212</v>
      </c>
      <c r="Q195" s="867">
        <v>14</v>
      </c>
      <c r="R195" s="204">
        <f t="shared" si="44"/>
        <v>32.558139534883722</v>
      </c>
      <c r="S195" s="867"/>
      <c r="T195" s="867">
        <v>1</v>
      </c>
      <c r="U195" s="204">
        <f t="shared" si="45"/>
        <v>2.3255813953488373</v>
      </c>
      <c r="V195" s="867"/>
      <c r="W195" s="204">
        <f t="shared" si="46"/>
        <v>0</v>
      </c>
      <c r="X195" s="121"/>
    </row>
    <row r="196" spans="1:24">
      <c r="A196" s="14" t="s">
        <v>427</v>
      </c>
      <c r="B196" s="242">
        <f t="shared" si="37"/>
        <v>18</v>
      </c>
      <c r="C196" s="204">
        <f>IF(A196&lt;&gt;0,B196/$B$13*100,"")</f>
        <v>0.96411355115158004</v>
      </c>
      <c r="D196" s="204"/>
      <c r="E196" s="867">
        <v>2</v>
      </c>
      <c r="F196" s="204">
        <f t="shared" si="39"/>
        <v>11.111111111111111</v>
      </c>
      <c r="G196" s="867">
        <v>1</v>
      </c>
      <c r="H196" s="204">
        <f t="shared" si="40"/>
        <v>5.5555555555555554</v>
      </c>
      <c r="I196" s="867"/>
      <c r="J196" s="867">
        <v>2</v>
      </c>
      <c r="K196" s="204">
        <f t="shared" si="41"/>
        <v>11.111111111111111</v>
      </c>
      <c r="L196" s="867">
        <v>4</v>
      </c>
      <c r="M196" s="204">
        <f t="shared" si="42"/>
        <v>22.222222222222221</v>
      </c>
      <c r="N196" s="867"/>
      <c r="O196" s="867">
        <v>5</v>
      </c>
      <c r="P196" s="204">
        <f t="shared" si="43"/>
        <v>27.777777777777779</v>
      </c>
      <c r="Q196" s="867">
        <v>2</v>
      </c>
      <c r="R196" s="204">
        <f t="shared" si="44"/>
        <v>11.111111111111111</v>
      </c>
      <c r="S196" s="867"/>
      <c r="T196" s="867">
        <v>2</v>
      </c>
      <c r="U196" s="204">
        <f t="shared" si="45"/>
        <v>11.111111111111111</v>
      </c>
      <c r="V196" s="867"/>
      <c r="W196" s="204">
        <f t="shared" si="46"/>
        <v>0</v>
      </c>
      <c r="X196" s="121"/>
    </row>
    <row r="197" spans="1:24">
      <c r="A197" s="14" t="s">
        <v>587</v>
      </c>
      <c r="B197" s="242">
        <f t="shared" si="37"/>
        <v>12</v>
      </c>
      <c r="C197" s="204">
        <f>IF(A197&lt;&gt;0,B197/$B$13*100,"")</f>
        <v>0.64274236743438673</v>
      </c>
      <c r="D197" s="204"/>
      <c r="E197" s="867"/>
      <c r="F197" s="204">
        <f t="shared" si="39"/>
        <v>0</v>
      </c>
      <c r="G197" s="867"/>
      <c r="H197" s="204">
        <f t="shared" si="40"/>
        <v>0</v>
      </c>
      <c r="I197" s="867"/>
      <c r="J197" s="867">
        <v>2</v>
      </c>
      <c r="K197" s="204">
        <f t="shared" si="41"/>
        <v>16.666666666666664</v>
      </c>
      <c r="L197" s="867">
        <v>1</v>
      </c>
      <c r="M197" s="204">
        <f t="shared" si="42"/>
        <v>8.3333333333333321</v>
      </c>
      <c r="N197" s="867"/>
      <c r="O197" s="867">
        <v>3</v>
      </c>
      <c r="P197" s="204">
        <f t="shared" si="43"/>
        <v>25</v>
      </c>
      <c r="Q197" s="867">
        <v>2</v>
      </c>
      <c r="R197" s="204">
        <f t="shared" si="44"/>
        <v>16.666666666666664</v>
      </c>
      <c r="S197" s="867"/>
      <c r="T197" s="867">
        <v>2</v>
      </c>
      <c r="U197" s="204">
        <f t="shared" si="45"/>
        <v>16.666666666666664</v>
      </c>
      <c r="V197" s="867">
        <v>2</v>
      </c>
      <c r="W197" s="204">
        <f t="shared" si="46"/>
        <v>16.666666666666664</v>
      </c>
      <c r="X197" s="121"/>
    </row>
    <row r="198" spans="1:24" ht="6.75" customHeight="1" thickBot="1">
      <c r="C198" s="14"/>
      <c r="F198" s="204" t="str">
        <f>IF($A198&lt;&gt;"",E198/$B198*100,"")</f>
        <v/>
      </c>
      <c r="X198" s="14"/>
    </row>
    <row r="199" spans="1:24" ht="6.75" customHeight="1">
      <c r="A199" s="376"/>
      <c r="B199" s="441"/>
      <c r="C199" s="376"/>
      <c r="D199" s="376"/>
      <c r="E199" s="376"/>
      <c r="F199" s="441"/>
      <c r="G199" s="441"/>
      <c r="H199" s="222"/>
      <c r="I199" s="376"/>
      <c r="J199" s="376"/>
      <c r="K199" s="480"/>
      <c r="L199" s="480"/>
      <c r="M199" s="222"/>
      <c r="N199" s="376"/>
      <c r="O199" s="376"/>
      <c r="P199" s="376"/>
      <c r="Q199" s="376"/>
      <c r="R199" s="376"/>
      <c r="S199" s="376"/>
      <c r="T199" s="376"/>
      <c r="U199" s="376"/>
      <c r="V199" s="376"/>
      <c r="W199" s="376"/>
      <c r="X199" s="376"/>
    </row>
    <row r="200" spans="1:24" ht="15">
      <c r="A200" s="27" t="s">
        <v>791</v>
      </c>
      <c r="B200" s="155"/>
      <c r="C200" s="139"/>
      <c r="D200" s="111"/>
      <c r="E200" s="111"/>
      <c r="F200" s="155"/>
      <c r="G200" s="155"/>
      <c r="H200" s="139"/>
      <c r="I200" s="111"/>
      <c r="J200" s="111"/>
      <c r="K200" s="155"/>
      <c r="L200" s="155"/>
      <c r="M200" s="139"/>
      <c r="N200" s="111"/>
      <c r="O200" s="111"/>
      <c r="P200" s="111"/>
      <c r="Q200" s="75"/>
      <c r="R200" s="75"/>
      <c r="S200" s="75"/>
      <c r="T200" s="75"/>
      <c r="U200" s="75"/>
      <c r="V200" s="75"/>
      <c r="W200" s="75"/>
      <c r="X200" s="75"/>
    </row>
    <row r="201" spans="1:24" ht="6.75" customHeight="1"/>
    <row r="202" spans="1:24" ht="15">
      <c r="A202" s="27" t="s">
        <v>1988</v>
      </c>
    </row>
    <row r="203" spans="1:24" ht="6.75" customHeight="1"/>
    <row r="204" spans="1:24">
      <c r="A204" s="14" t="s">
        <v>1254</v>
      </c>
    </row>
    <row r="205" spans="1:24">
      <c r="A205" s="14" t="s">
        <v>452</v>
      </c>
      <c r="E205" s="489"/>
      <c r="F205" s="111"/>
      <c r="G205" s="489"/>
      <c r="H205" s="111"/>
      <c r="I205" s="111"/>
      <c r="J205" s="489"/>
      <c r="K205" s="111"/>
      <c r="L205" s="489"/>
      <c r="M205" s="111"/>
      <c r="N205" s="111"/>
      <c r="O205" s="489"/>
      <c r="P205" s="111"/>
      <c r="Q205" s="489"/>
      <c r="R205" s="111"/>
      <c r="S205" s="111"/>
      <c r="T205" s="489"/>
      <c r="U205" s="111"/>
      <c r="V205" s="489"/>
      <c r="W205" s="111"/>
    </row>
  </sheetData>
  <mergeCells count="13">
    <mergeCell ref="Q9:R9"/>
    <mergeCell ref="T9:U9"/>
    <mergeCell ref="V9:W9"/>
    <mergeCell ref="E9:F9"/>
    <mergeCell ref="G9:H9"/>
    <mergeCell ref="J9:K9"/>
    <mergeCell ref="L9:M9"/>
    <mergeCell ref="O9:P9"/>
    <mergeCell ref="B8:C8"/>
    <mergeCell ref="E8:H8"/>
    <mergeCell ref="J8:M8"/>
    <mergeCell ref="O8:R8"/>
    <mergeCell ref="T8:W8"/>
  </mergeCells>
  <conditionalFormatting sqref="A166 B84:W85 F18:F83 H20:H83 K20:K83 M20:M83 P20:P83 R20:R83 U20:U83">
    <cfRule type="cellIs" dxfId="27" priority="1" operator="equal">
      <formula>0</formula>
    </cfRule>
  </conditionalFormatting>
  <conditionalFormatting sqref="A5 W122:W168 A152:A164 F152:F197 H152:H197 K152:K197 M152:M197 P152:P197 R152:R197 U152:U197 B122:D168">
    <cfRule type="cellIs" dxfId="26" priority="10" operator="equal">
      <formula>0</formula>
    </cfRule>
  </conditionalFormatting>
  <conditionalFormatting sqref="B25:E26 B21:D24 B31:E34 B27:D30 B40:E42 B35:D39 B50:E52 B43:D49 W43:W49 B61:E62 B53:D60 W53:W60 B69:E70 B63:D68 W63:W68 B72:E73 B71:D71 W71 B74:D83 W74:W83 B98:E101 B88:D97 W88:W97 B102:D109 W102:W109 B114:D118 W114:W118 B169:E172 B191:E192 B178:D190 W178:W190 B198:W252 B193:D197 W193:W197 B174:E177 B173:D173 W173 B110:E113 B119:E121 B13:W17 B18:E20 G72:G73 G69:G70 G61:G62 G50:G52 G40:G42 G31:G34 G25:G26 G18:W19 G20 I20:J20 I25:J26 I31:J34 I40:J42 I50:J52 I61:J62 I69:J70 I72:J73 L72:L73 L69:L70 L61:L62 L50:L52 L40:L42 L31:L34 L25:L26 L20 N20:O20 N25:O26 N31:O34 N40:O42 N50:O52 N61:O62 N69:O70 N72:O73 Q72:Q73 Q69:Q70 Q61:Q62 Q50:Q52 Q40:Q42 Q31:Q34 Q25:Q26 Q20 S20:T20 S25:T26 S31:T34 S40:T42 S50:T52 S61:T62 S69:T70 S72:T73 V72:W73 V69:W70 V61:W62 V50:W52 V40:W42 V31:W34 V25:V26 V20:W20 B86:E87 G86:W87 G110:G113 G98:G101 F86:F151 I98:J101 I110:J113 H88:H151 L110:L113 L98:L101 K88:K151 N98:O101 N110:O113 M88:M151 Q110:Q113 Q98:Q101 P88:P151 S98:T101 S110:T113 R88:R151 V110:W113 V98:W101 U88:U151 G119:G121 I119:J121 L119:L121 N119:O121 Q119:Q121 S119:T121 V119:W121 G174:G177 G191:G192 G169:G172 I169:J172 I191:J192 I174:J177 L174:L177 L191:L192 L169:L172 N169:O172 N191:O192 N174:O177 Q174:Q177 Q191:Q192 Q169:Q172 S169:T172 S191:T192 S174:T177 V174:W177 V191:W192 V169:W172 W21:W28">
    <cfRule type="cellIs" dxfId="25" priority="9" operator="equal">
      <formula>0</formula>
    </cfRule>
  </conditionalFormatting>
  <conditionalFormatting sqref="A123 A129:A151">
    <cfRule type="cellIs" dxfId="24" priority="8" operator="equal">
      <formula>0</formula>
    </cfRule>
  </conditionalFormatting>
  <conditionalFormatting sqref="A122">
    <cfRule type="cellIs" dxfId="23" priority="7" operator="equal">
      <formula>0</formula>
    </cfRule>
  </conditionalFormatting>
  <conditionalFormatting sqref="A124">
    <cfRule type="cellIs" dxfId="22" priority="6" operator="equal">
      <formula>0</formula>
    </cfRule>
  </conditionalFormatting>
  <conditionalFormatting sqref="A125">
    <cfRule type="cellIs" dxfId="21" priority="5" operator="equal">
      <formula>0</formula>
    </cfRule>
  </conditionalFormatting>
  <conditionalFormatting sqref="A126:A127">
    <cfRule type="cellIs" dxfId="20" priority="4" operator="equal">
      <formula>0</formula>
    </cfRule>
  </conditionalFormatting>
  <conditionalFormatting sqref="A128">
    <cfRule type="cellIs" dxfId="19" priority="3" operator="equal">
      <formula>0</formula>
    </cfRule>
  </conditionalFormatting>
  <conditionalFormatting sqref="A165">
    <cfRule type="cellIs" dxfId="18" priority="2" operator="equal">
      <formula>0</formula>
    </cfRule>
  </conditionalFormatting>
  <pageMargins left="0.70866141732283472" right="0.70866141732283472" top="0.55118110236220474" bottom="0.55118110236220474" header="0.31496062992125984" footer="0.31496062992125984"/>
  <pageSetup scale="70" orientation="landscape" r:id="rId1"/>
  <ignoredErrors>
    <ignoredError sqref="F13:W70 F85:W151 F171:W197 F71:W83" formula="1"/>
  </ignoredError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249977111117893"/>
  </sheetPr>
  <dimension ref="A3:J20"/>
  <sheetViews>
    <sheetView workbookViewId="0">
      <selection activeCell="J8" sqref="J8"/>
    </sheetView>
  </sheetViews>
  <sheetFormatPr baseColWidth="10" defaultRowHeight="15"/>
  <sheetData>
    <row r="3" spans="1:10">
      <c r="C3" s="242"/>
      <c r="D3" s="242"/>
      <c r="G3" s="33"/>
      <c r="H3" s="33"/>
      <c r="I3" s="33"/>
      <c r="J3" s="33"/>
    </row>
    <row r="4" spans="1:10">
      <c r="B4" s="33"/>
      <c r="C4" s="242"/>
      <c r="D4" s="242"/>
      <c r="G4" s="437"/>
      <c r="H4" s="437"/>
      <c r="I4" s="437"/>
      <c r="J4" s="437"/>
    </row>
    <row r="5" spans="1:10">
      <c r="B5" s="33"/>
      <c r="C5" s="242"/>
      <c r="D5" s="242"/>
    </row>
    <row r="6" spans="1:10">
      <c r="B6" s="33"/>
      <c r="C6" s="242"/>
      <c r="D6" s="242"/>
    </row>
    <row r="11" spans="1:10">
      <c r="A11" s="3"/>
      <c r="B11" s="3"/>
    </row>
    <row r="12" spans="1:10">
      <c r="A12" s="242"/>
      <c r="B12" s="242"/>
    </row>
    <row r="13" spans="1:10">
      <c r="A13" s="242"/>
      <c r="B13" s="242"/>
    </row>
    <row r="14" spans="1:10">
      <c r="A14" s="242"/>
      <c r="B14" s="242"/>
    </row>
    <row r="15" spans="1:10">
      <c r="A15" s="242"/>
      <c r="B15" s="242"/>
    </row>
    <row r="18" spans="2:2">
      <c r="B18" s="33"/>
    </row>
    <row r="19" spans="2:2">
      <c r="B19" s="33"/>
    </row>
    <row r="20" spans="2:2">
      <c r="B20" s="33"/>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49"/>
  <sheetViews>
    <sheetView workbookViewId="0">
      <selection activeCell="J8" sqref="J8"/>
    </sheetView>
  </sheetViews>
  <sheetFormatPr baseColWidth="10" defaultColWidth="8.83203125" defaultRowHeight="15"/>
  <cols>
    <col min="1" max="1" width="39.83203125" customWidth="1"/>
    <col min="2" max="2" width="10.5" customWidth="1"/>
    <col min="3" max="3" width="10.6640625" style="35" customWidth="1"/>
    <col min="4" max="4" width="8.83203125" style="35" customWidth="1"/>
    <col min="5" max="5" width="14.83203125" customWidth="1"/>
    <col min="6" max="6" width="2.5" customWidth="1"/>
    <col min="257" max="257" width="39.83203125" customWidth="1"/>
    <col min="258" max="258" width="10.5" customWidth="1"/>
    <col min="259" max="259" width="10.6640625" customWidth="1"/>
    <col min="260" max="260" width="8.83203125" customWidth="1"/>
    <col min="261" max="261" width="14.83203125" customWidth="1"/>
    <col min="262" max="262" width="2.5" customWidth="1"/>
    <col min="513" max="513" width="39.83203125" customWidth="1"/>
    <col min="514" max="514" width="10.5" customWidth="1"/>
    <col min="515" max="515" width="10.6640625" customWidth="1"/>
    <col min="516" max="516" width="8.83203125" customWidth="1"/>
    <col min="517" max="517" width="14.83203125" customWidth="1"/>
    <col min="518" max="518" width="2.5" customWidth="1"/>
    <col min="769" max="769" width="39.83203125" customWidth="1"/>
    <col min="770" max="770" width="10.5" customWidth="1"/>
    <col min="771" max="771" width="10.6640625" customWidth="1"/>
    <col min="772" max="772" width="8.83203125" customWidth="1"/>
    <col min="773" max="773" width="14.83203125" customWidth="1"/>
    <col min="774" max="774" width="2.5" customWidth="1"/>
    <col min="1025" max="1025" width="39.83203125" customWidth="1"/>
    <col min="1026" max="1026" width="10.5" customWidth="1"/>
    <col min="1027" max="1027" width="10.6640625" customWidth="1"/>
    <col min="1028" max="1028" width="8.83203125" customWidth="1"/>
    <col min="1029" max="1029" width="14.83203125" customWidth="1"/>
    <col min="1030" max="1030" width="2.5" customWidth="1"/>
    <col min="1281" max="1281" width="39.83203125" customWidth="1"/>
    <col min="1282" max="1282" width="10.5" customWidth="1"/>
    <col min="1283" max="1283" width="10.6640625" customWidth="1"/>
    <col min="1284" max="1284" width="8.83203125" customWidth="1"/>
    <col min="1285" max="1285" width="14.83203125" customWidth="1"/>
    <col min="1286" max="1286" width="2.5" customWidth="1"/>
    <col min="1537" max="1537" width="39.83203125" customWidth="1"/>
    <col min="1538" max="1538" width="10.5" customWidth="1"/>
    <col min="1539" max="1539" width="10.6640625" customWidth="1"/>
    <col min="1540" max="1540" width="8.83203125" customWidth="1"/>
    <col min="1541" max="1541" width="14.83203125" customWidth="1"/>
    <col min="1542" max="1542" width="2.5" customWidth="1"/>
    <col min="1793" max="1793" width="39.83203125" customWidth="1"/>
    <col min="1794" max="1794" width="10.5" customWidth="1"/>
    <col min="1795" max="1795" width="10.6640625" customWidth="1"/>
    <col min="1796" max="1796" width="8.83203125" customWidth="1"/>
    <col min="1797" max="1797" width="14.83203125" customWidth="1"/>
    <col min="1798" max="1798" width="2.5" customWidth="1"/>
    <col min="2049" max="2049" width="39.83203125" customWidth="1"/>
    <col min="2050" max="2050" width="10.5" customWidth="1"/>
    <col min="2051" max="2051" width="10.6640625" customWidth="1"/>
    <col min="2052" max="2052" width="8.83203125" customWidth="1"/>
    <col min="2053" max="2053" width="14.83203125" customWidth="1"/>
    <col min="2054" max="2054" width="2.5" customWidth="1"/>
    <col min="2305" max="2305" width="39.83203125" customWidth="1"/>
    <col min="2306" max="2306" width="10.5" customWidth="1"/>
    <col min="2307" max="2307" width="10.6640625" customWidth="1"/>
    <col min="2308" max="2308" width="8.83203125" customWidth="1"/>
    <col min="2309" max="2309" width="14.83203125" customWidth="1"/>
    <col min="2310" max="2310" width="2.5" customWidth="1"/>
    <col min="2561" max="2561" width="39.83203125" customWidth="1"/>
    <col min="2562" max="2562" width="10.5" customWidth="1"/>
    <col min="2563" max="2563" width="10.6640625" customWidth="1"/>
    <col min="2564" max="2564" width="8.83203125" customWidth="1"/>
    <col min="2565" max="2565" width="14.83203125" customWidth="1"/>
    <col min="2566" max="2566" width="2.5" customWidth="1"/>
    <col min="2817" max="2817" width="39.83203125" customWidth="1"/>
    <col min="2818" max="2818" width="10.5" customWidth="1"/>
    <col min="2819" max="2819" width="10.6640625" customWidth="1"/>
    <col min="2820" max="2820" width="8.83203125" customWidth="1"/>
    <col min="2821" max="2821" width="14.83203125" customWidth="1"/>
    <col min="2822" max="2822" width="2.5" customWidth="1"/>
    <col min="3073" max="3073" width="39.83203125" customWidth="1"/>
    <col min="3074" max="3074" width="10.5" customWidth="1"/>
    <col min="3075" max="3075" width="10.6640625" customWidth="1"/>
    <col min="3076" max="3076" width="8.83203125" customWidth="1"/>
    <col min="3077" max="3077" width="14.83203125" customWidth="1"/>
    <col min="3078" max="3078" width="2.5" customWidth="1"/>
    <col min="3329" max="3329" width="39.83203125" customWidth="1"/>
    <col min="3330" max="3330" width="10.5" customWidth="1"/>
    <col min="3331" max="3331" width="10.6640625" customWidth="1"/>
    <col min="3332" max="3332" width="8.83203125" customWidth="1"/>
    <col min="3333" max="3333" width="14.83203125" customWidth="1"/>
    <col min="3334" max="3334" width="2.5" customWidth="1"/>
    <col min="3585" max="3585" width="39.83203125" customWidth="1"/>
    <col min="3586" max="3586" width="10.5" customWidth="1"/>
    <col min="3587" max="3587" width="10.6640625" customWidth="1"/>
    <col min="3588" max="3588" width="8.83203125" customWidth="1"/>
    <col min="3589" max="3589" width="14.83203125" customWidth="1"/>
    <col min="3590" max="3590" width="2.5" customWidth="1"/>
    <col min="3841" max="3841" width="39.83203125" customWidth="1"/>
    <col min="3842" max="3842" width="10.5" customWidth="1"/>
    <col min="3843" max="3843" width="10.6640625" customWidth="1"/>
    <col min="3844" max="3844" width="8.83203125" customWidth="1"/>
    <col min="3845" max="3845" width="14.83203125" customWidth="1"/>
    <col min="3846" max="3846" width="2.5" customWidth="1"/>
    <col min="4097" max="4097" width="39.83203125" customWidth="1"/>
    <col min="4098" max="4098" width="10.5" customWidth="1"/>
    <col min="4099" max="4099" width="10.6640625" customWidth="1"/>
    <col min="4100" max="4100" width="8.83203125" customWidth="1"/>
    <col min="4101" max="4101" width="14.83203125" customWidth="1"/>
    <col min="4102" max="4102" width="2.5" customWidth="1"/>
    <col min="4353" max="4353" width="39.83203125" customWidth="1"/>
    <col min="4354" max="4354" width="10.5" customWidth="1"/>
    <col min="4355" max="4355" width="10.6640625" customWidth="1"/>
    <col min="4356" max="4356" width="8.83203125" customWidth="1"/>
    <col min="4357" max="4357" width="14.83203125" customWidth="1"/>
    <col min="4358" max="4358" width="2.5" customWidth="1"/>
    <col min="4609" max="4609" width="39.83203125" customWidth="1"/>
    <col min="4610" max="4610" width="10.5" customWidth="1"/>
    <col min="4611" max="4611" width="10.6640625" customWidth="1"/>
    <col min="4612" max="4612" width="8.83203125" customWidth="1"/>
    <col min="4613" max="4613" width="14.83203125" customWidth="1"/>
    <col min="4614" max="4614" width="2.5" customWidth="1"/>
    <col min="4865" max="4865" width="39.83203125" customWidth="1"/>
    <col min="4866" max="4866" width="10.5" customWidth="1"/>
    <col min="4867" max="4867" width="10.6640625" customWidth="1"/>
    <col min="4868" max="4868" width="8.83203125" customWidth="1"/>
    <col min="4869" max="4869" width="14.83203125" customWidth="1"/>
    <col min="4870" max="4870" width="2.5" customWidth="1"/>
    <col min="5121" max="5121" width="39.83203125" customWidth="1"/>
    <col min="5122" max="5122" width="10.5" customWidth="1"/>
    <col min="5123" max="5123" width="10.6640625" customWidth="1"/>
    <col min="5124" max="5124" width="8.83203125" customWidth="1"/>
    <col min="5125" max="5125" width="14.83203125" customWidth="1"/>
    <col min="5126" max="5126" width="2.5" customWidth="1"/>
    <col min="5377" max="5377" width="39.83203125" customWidth="1"/>
    <col min="5378" max="5378" width="10.5" customWidth="1"/>
    <col min="5379" max="5379" width="10.6640625" customWidth="1"/>
    <col min="5380" max="5380" width="8.83203125" customWidth="1"/>
    <col min="5381" max="5381" width="14.83203125" customWidth="1"/>
    <col min="5382" max="5382" width="2.5" customWidth="1"/>
    <col min="5633" max="5633" width="39.83203125" customWidth="1"/>
    <col min="5634" max="5634" width="10.5" customWidth="1"/>
    <col min="5635" max="5635" width="10.6640625" customWidth="1"/>
    <col min="5636" max="5636" width="8.83203125" customWidth="1"/>
    <col min="5637" max="5637" width="14.83203125" customWidth="1"/>
    <col min="5638" max="5638" width="2.5" customWidth="1"/>
    <col min="5889" max="5889" width="39.83203125" customWidth="1"/>
    <col min="5890" max="5890" width="10.5" customWidth="1"/>
    <col min="5891" max="5891" width="10.6640625" customWidth="1"/>
    <col min="5892" max="5892" width="8.83203125" customWidth="1"/>
    <col min="5893" max="5893" width="14.83203125" customWidth="1"/>
    <col min="5894" max="5894" width="2.5" customWidth="1"/>
    <col min="6145" max="6145" width="39.83203125" customWidth="1"/>
    <col min="6146" max="6146" width="10.5" customWidth="1"/>
    <col min="6147" max="6147" width="10.6640625" customWidth="1"/>
    <col min="6148" max="6148" width="8.83203125" customWidth="1"/>
    <col min="6149" max="6149" width="14.83203125" customWidth="1"/>
    <col min="6150" max="6150" width="2.5" customWidth="1"/>
    <col min="6401" max="6401" width="39.83203125" customWidth="1"/>
    <col min="6402" max="6402" width="10.5" customWidth="1"/>
    <col min="6403" max="6403" width="10.6640625" customWidth="1"/>
    <col min="6404" max="6404" width="8.83203125" customWidth="1"/>
    <col min="6405" max="6405" width="14.83203125" customWidth="1"/>
    <col min="6406" max="6406" width="2.5" customWidth="1"/>
    <col min="6657" max="6657" width="39.83203125" customWidth="1"/>
    <col min="6658" max="6658" width="10.5" customWidth="1"/>
    <col min="6659" max="6659" width="10.6640625" customWidth="1"/>
    <col min="6660" max="6660" width="8.83203125" customWidth="1"/>
    <col min="6661" max="6661" width="14.83203125" customWidth="1"/>
    <col min="6662" max="6662" width="2.5" customWidth="1"/>
    <col min="6913" max="6913" width="39.83203125" customWidth="1"/>
    <col min="6914" max="6914" width="10.5" customWidth="1"/>
    <col min="6915" max="6915" width="10.6640625" customWidth="1"/>
    <col min="6916" max="6916" width="8.83203125" customWidth="1"/>
    <col min="6917" max="6917" width="14.83203125" customWidth="1"/>
    <col min="6918" max="6918" width="2.5" customWidth="1"/>
    <col min="7169" max="7169" width="39.83203125" customWidth="1"/>
    <col min="7170" max="7170" width="10.5" customWidth="1"/>
    <col min="7171" max="7171" width="10.6640625" customWidth="1"/>
    <col min="7172" max="7172" width="8.83203125" customWidth="1"/>
    <col min="7173" max="7173" width="14.83203125" customWidth="1"/>
    <col min="7174" max="7174" width="2.5" customWidth="1"/>
    <col min="7425" max="7425" width="39.83203125" customWidth="1"/>
    <col min="7426" max="7426" width="10.5" customWidth="1"/>
    <col min="7427" max="7427" width="10.6640625" customWidth="1"/>
    <col min="7428" max="7428" width="8.83203125" customWidth="1"/>
    <col min="7429" max="7429" width="14.83203125" customWidth="1"/>
    <col min="7430" max="7430" width="2.5" customWidth="1"/>
    <col min="7681" max="7681" width="39.83203125" customWidth="1"/>
    <col min="7682" max="7682" width="10.5" customWidth="1"/>
    <col min="7683" max="7683" width="10.6640625" customWidth="1"/>
    <col min="7684" max="7684" width="8.83203125" customWidth="1"/>
    <col min="7685" max="7685" width="14.83203125" customWidth="1"/>
    <col min="7686" max="7686" width="2.5" customWidth="1"/>
    <col min="7937" max="7937" width="39.83203125" customWidth="1"/>
    <col min="7938" max="7938" width="10.5" customWidth="1"/>
    <col min="7939" max="7939" width="10.6640625" customWidth="1"/>
    <col min="7940" max="7940" width="8.83203125" customWidth="1"/>
    <col min="7941" max="7941" width="14.83203125" customWidth="1"/>
    <col min="7942" max="7942" width="2.5" customWidth="1"/>
    <col min="8193" max="8193" width="39.83203125" customWidth="1"/>
    <col min="8194" max="8194" width="10.5" customWidth="1"/>
    <col min="8195" max="8195" width="10.6640625" customWidth="1"/>
    <col min="8196" max="8196" width="8.83203125" customWidth="1"/>
    <col min="8197" max="8197" width="14.83203125" customWidth="1"/>
    <col min="8198" max="8198" width="2.5" customWidth="1"/>
    <col min="8449" max="8449" width="39.83203125" customWidth="1"/>
    <col min="8450" max="8450" width="10.5" customWidth="1"/>
    <col min="8451" max="8451" width="10.6640625" customWidth="1"/>
    <col min="8452" max="8452" width="8.83203125" customWidth="1"/>
    <col min="8453" max="8453" width="14.83203125" customWidth="1"/>
    <col min="8454" max="8454" width="2.5" customWidth="1"/>
    <col min="8705" max="8705" width="39.83203125" customWidth="1"/>
    <col min="8706" max="8706" width="10.5" customWidth="1"/>
    <col min="8707" max="8707" width="10.6640625" customWidth="1"/>
    <col min="8708" max="8708" width="8.83203125" customWidth="1"/>
    <col min="8709" max="8709" width="14.83203125" customWidth="1"/>
    <col min="8710" max="8710" width="2.5" customWidth="1"/>
    <col min="8961" max="8961" width="39.83203125" customWidth="1"/>
    <col min="8962" max="8962" width="10.5" customWidth="1"/>
    <col min="8963" max="8963" width="10.6640625" customWidth="1"/>
    <col min="8964" max="8964" width="8.83203125" customWidth="1"/>
    <col min="8965" max="8965" width="14.83203125" customWidth="1"/>
    <col min="8966" max="8966" width="2.5" customWidth="1"/>
    <col min="9217" max="9217" width="39.83203125" customWidth="1"/>
    <col min="9218" max="9218" width="10.5" customWidth="1"/>
    <col min="9219" max="9219" width="10.6640625" customWidth="1"/>
    <col min="9220" max="9220" width="8.83203125" customWidth="1"/>
    <col min="9221" max="9221" width="14.83203125" customWidth="1"/>
    <col min="9222" max="9222" width="2.5" customWidth="1"/>
    <col min="9473" max="9473" width="39.83203125" customWidth="1"/>
    <col min="9474" max="9474" width="10.5" customWidth="1"/>
    <col min="9475" max="9475" width="10.6640625" customWidth="1"/>
    <col min="9476" max="9476" width="8.83203125" customWidth="1"/>
    <col min="9477" max="9477" width="14.83203125" customWidth="1"/>
    <col min="9478" max="9478" width="2.5" customWidth="1"/>
    <col min="9729" max="9729" width="39.83203125" customWidth="1"/>
    <col min="9730" max="9730" width="10.5" customWidth="1"/>
    <col min="9731" max="9731" width="10.6640625" customWidth="1"/>
    <col min="9732" max="9732" width="8.83203125" customWidth="1"/>
    <col min="9733" max="9733" width="14.83203125" customWidth="1"/>
    <col min="9734" max="9734" width="2.5" customWidth="1"/>
    <col min="9985" max="9985" width="39.83203125" customWidth="1"/>
    <col min="9986" max="9986" width="10.5" customWidth="1"/>
    <col min="9987" max="9987" width="10.6640625" customWidth="1"/>
    <col min="9988" max="9988" width="8.83203125" customWidth="1"/>
    <col min="9989" max="9989" width="14.83203125" customWidth="1"/>
    <col min="9990" max="9990" width="2.5" customWidth="1"/>
    <col min="10241" max="10241" width="39.83203125" customWidth="1"/>
    <col min="10242" max="10242" width="10.5" customWidth="1"/>
    <col min="10243" max="10243" width="10.6640625" customWidth="1"/>
    <col min="10244" max="10244" width="8.83203125" customWidth="1"/>
    <col min="10245" max="10245" width="14.83203125" customWidth="1"/>
    <col min="10246" max="10246" width="2.5" customWidth="1"/>
    <col min="10497" max="10497" width="39.83203125" customWidth="1"/>
    <col min="10498" max="10498" width="10.5" customWidth="1"/>
    <col min="10499" max="10499" width="10.6640625" customWidth="1"/>
    <col min="10500" max="10500" width="8.83203125" customWidth="1"/>
    <col min="10501" max="10501" width="14.83203125" customWidth="1"/>
    <col min="10502" max="10502" width="2.5" customWidth="1"/>
    <col min="10753" max="10753" width="39.83203125" customWidth="1"/>
    <col min="10754" max="10754" width="10.5" customWidth="1"/>
    <col min="10755" max="10755" width="10.6640625" customWidth="1"/>
    <col min="10756" max="10756" width="8.83203125" customWidth="1"/>
    <col min="10757" max="10757" width="14.83203125" customWidth="1"/>
    <col min="10758" max="10758" width="2.5" customWidth="1"/>
    <col min="11009" max="11009" width="39.83203125" customWidth="1"/>
    <col min="11010" max="11010" width="10.5" customWidth="1"/>
    <col min="11011" max="11011" width="10.6640625" customWidth="1"/>
    <col min="11012" max="11012" width="8.83203125" customWidth="1"/>
    <col min="11013" max="11013" width="14.83203125" customWidth="1"/>
    <col min="11014" max="11014" width="2.5" customWidth="1"/>
    <col min="11265" max="11265" width="39.83203125" customWidth="1"/>
    <col min="11266" max="11266" width="10.5" customWidth="1"/>
    <col min="11267" max="11267" width="10.6640625" customWidth="1"/>
    <col min="11268" max="11268" width="8.83203125" customWidth="1"/>
    <col min="11269" max="11269" width="14.83203125" customWidth="1"/>
    <col min="11270" max="11270" width="2.5" customWidth="1"/>
    <col min="11521" max="11521" width="39.83203125" customWidth="1"/>
    <col min="11522" max="11522" width="10.5" customWidth="1"/>
    <col min="11523" max="11523" width="10.6640625" customWidth="1"/>
    <col min="11524" max="11524" width="8.83203125" customWidth="1"/>
    <col min="11525" max="11525" width="14.83203125" customWidth="1"/>
    <col min="11526" max="11526" width="2.5" customWidth="1"/>
    <col min="11777" max="11777" width="39.83203125" customWidth="1"/>
    <col min="11778" max="11778" width="10.5" customWidth="1"/>
    <col min="11779" max="11779" width="10.6640625" customWidth="1"/>
    <col min="11780" max="11780" width="8.83203125" customWidth="1"/>
    <col min="11781" max="11781" width="14.83203125" customWidth="1"/>
    <col min="11782" max="11782" width="2.5" customWidth="1"/>
    <col min="12033" max="12033" width="39.83203125" customWidth="1"/>
    <col min="12034" max="12034" width="10.5" customWidth="1"/>
    <col min="12035" max="12035" width="10.6640625" customWidth="1"/>
    <col min="12036" max="12036" width="8.83203125" customWidth="1"/>
    <col min="12037" max="12037" width="14.83203125" customWidth="1"/>
    <col min="12038" max="12038" width="2.5" customWidth="1"/>
    <col min="12289" max="12289" width="39.83203125" customWidth="1"/>
    <col min="12290" max="12290" width="10.5" customWidth="1"/>
    <col min="12291" max="12291" width="10.6640625" customWidth="1"/>
    <col min="12292" max="12292" width="8.83203125" customWidth="1"/>
    <col min="12293" max="12293" width="14.83203125" customWidth="1"/>
    <col min="12294" max="12294" width="2.5" customWidth="1"/>
    <col min="12545" max="12545" width="39.83203125" customWidth="1"/>
    <col min="12546" max="12546" width="10.5" customWidth="1"/>
    <col min="12547" max="12547" width="10.6640625" customWidth="1"/>
    <col min="12548" max="12548" width="8.83203125" customWidth="1"/>
    <col min="12549" max="12549" width="14.83203125" customWidth="1"/>
    <col min="12550" max="12550" width="2.5" customWidth="1"/>
    <col min="12801" max="12801" width="39.83203125" customWidth="1"/>
    <col min="12802" max="12802" width="10.5" customWidth="1"/>
    <col min="12803" max="12803" width="10.6640625" customWidth="1"/>
    <col min="12804" max="12804" width="8.83203125" customWidth="1"/>
    <col min="12805" max="12805" width="14.83203125" customWidth="1"/>
    <col min="12806" max="12806" width="2.5" customWidth="1"/>
    <col min="13057" max="13057" width="39.83203125" customWidth="1"/>
    <col min="13058" max="13058" width="10.5" customWidth="1"/>
    <col min="13059" max="13059" width="10.6640625" customWidth="1"/>
    <col min="13060" max="13060" width="8.83203125" customWidth="1"/>
    <col min="13061" max="13061" width="14.83203125" customWidth="1"/>
    <col min="13062" max="13062" width="2.5" customWidth="1"/>
    <col min="13313" max="13313" width="39.83203125" customWidth="1"/>
    <col min="13314" max="13314" width="10.5" customWidth="1"/>
    <col min="13315" max="13315" width="10.6640625" customWidth="1"/>
    <col min="13316" max="13316" width="8.83203125" customWidth="1"/>
    <col min="13317" max="13317" width="14.83203125" customWidth="1"/>
    <col min="13318" max="13318" width="2.5" customWidth="1"/>
    <col min="13569" max="13569" width="39.83203125" customWidth="1"/>
    <col min="13570" max="13570" width="10.5" customWidth="1"/>
    <col min="13571" max="13571" width="10.6640625" customWidth="1"/>
    <col min="13572" max="13572" width="8.83203125" customWidth="1"/>
    <col min="13573" max="13573" width="14.83203125" customWidth="1"/>
    <col min="13574" max="13574" width="2.5" customWidth="1"/>
    <col min="13825" max="13825" width="39.83203125" customWidth="1"/>
    <col min="13826" max="13826" width="10.5" customWidth="1"/>
    <col min="13827" max="13827" width="10.6640625" customWidth="1"/>
    <col min="13828" max="13828" width="8.83203125" customWidth="1"/>
    <col min="13829" max="13829" width="14.83203125" customWidth="1"/>
    <col min="13830" max="13830" width="2.5" customWidth="1"/>
    <col min="14081" max="14081" width="39.83203125" customWidth="1"/>
    <col min="14082" max="14082" width="10.5" customWidth="1"/>
    <col min="14083" max="14083" width="10.6640625" customWidth="1"/>
    <col min="14084" max="14084" width="8.83203125" customWidth="1"/>
    <col min="14085" max="14085" width="14.83203125" customWidth="1"/>
    <col min="14086" max="14086" width="2.5" customWidth="1"/>
    <col min="14337" max="14337" width="39.83203125" customWidth="1"/>
    <col min="14338" max="14338" width="10.5" customWidth="1"/>
    <col min="14339" max="14339" width="10.6640625" customWidth="1"/>
    <col min="14340" max="14340" width="8.83203125" customWidth="1"/>
    <col min="14341" max="14341" width="14.83203125" customWidth="1"/>
    <col min="14342" max="14342" width="2.5" customWidth="1"/>
    <col min="14593" max="14593" width="39.83203125" customWidth="1"/>
    <col min="14594" max="14594" width="10.5" customWidth="1"/>
    <col min="14595" max="14595" width="10.6640625" customWidth="1"/>
    <col min="14596" max="14596" width="8.83203125" customWidth="1"/>
    <col min="14597" max="14597" width="14.83203125" customWidth="1"/>
    <col min="14598" max="14598" width="2.5" customWidth="1"/>
    <col min="14849" max="14849" width="39.83203125" customWidth="1"/>
    <col min="14850" max="14850" width="10.5" customWidth="1"/>
    <col min="14851" max="14851" width="10.6640625" customWidth="1"/>
    <col min="14852" max="14852" width="8.83203125" customWidth="1"/>
    <col min="14853" max="14853" width="14.83203125" customWidth="1"/>
    <col min="14854" max="14854" width="2.5" customWidth="1"/>
    <col min="15105" max="15105" width="39.83203125" customWidth="1"/>
    <col min="15106" max="15106" width="10.5" customWidth="1"/>
    <col min="15107" max="15107" width="10.6640625" customWidth="1"/>
    <col min="15108" max="15108" width="8.83203125" customWidth="1"/>
    <col min="15109" max="15109" width="14.83203125" customWidth="1"/>
    <col min="15110" max="15110" width="2.5" customWidth="1"/>
    <col min="15361" max="15361" width="39.83203125" customWidth="1"/>
    <col min="15362" max="15362" width="10.5" customWidth="1"/>
    <col min="15363" max="15363" width="10.6640625" customWidth="1"/>
    <col min="15364" max="15364" width="8.83203125" customWidth="1"/>
    <col min="15365" max="15365" width="14.83203125" customWidth="1"/>
    <col min="15366" max="15366" width="2.5" customWidth="1"/>
    <col min="15617" max="15617" width="39.83203125" customWidth="1"/>
    <col min="15618" max="15618" width="10.5" customWidth="1"/>
    <col min="15619" max="15619" width="10.6640625" customWidth="1"/>
    <col min="15620" max="15620" width="8.83203125" customWidth="1"/>
    <col min="15621" max="15621" width="14.83203125" customWidth="1"/>
    <col min="15622" max="15622" width="2.5" customWidth="1"/>
    <col min="15873" max="15873" width="39.83203125" customWidth="1"/>
    <col min="15874" max="15874" width="10.5" customWidth="1"/>
    <col min="15875" max="15875" width="10.6640625" customWidth="1"/>
    <col min="15876" max="15876" width="8.83203125" customWidth="1"/>
    <col min="15877" max="15877" width="14.83203125" customWidth="1"/>
    <col min="15878" max="15878" width="2.5" customWidth="1"/>
    <col min="16129" max="16129" width="39.83203125" customWidth="1"/>
    <col min="16130" max="16130" width="10.5" customWidth="1"/>
    <col min="16131" max="16131" width="10.6640625" customWidth="1"/>
    <col min="16132" max="16132" width="8.83203125" customWidth="1"/>
    <col min="16133" max="16133" width="14.83203125" customWidth="1"/>
    <col min="16134" max="16134" width="2.5" customWidth="1"/>
  </cols>
  <sheetData>
    <row r="1" spans="1:6" ht="16">
      <c r="A1" s="387" t="s">
        <v>1007</v>
      </c>
      <c r="B1" s="387"/>
      <c r="C1" s="505"/>
      <c r="D1" s="505"/>
      <c r="E1" s="387"/>
    </row>
    <row r="2" spans="1:6" ht="16">
      <c r="A2" s="387" t="s">
        <v>1008</v>
      </c>
      <c r="B2" s="387"/>
      <c r="C2" s="505"/>
      <c r="D2" s="505"/>
      <c r="E2" s="387"/>
    </row>
    <row r="3" spans="1:6" ht="11.25" customHeight="1">
      <c r="A3" s="387"/>
      <c r="B3" s="387"/>
      <c r="C3" s="505"/>
      <c r="D3" s="505"/>
      <c r="E3" s="387"/>
    </row>
    <row r="4" spans="1:6" ht="16">
      <c r="A4" s="503" t="s">
        <v>1989</v>
      </c>
      <c r="B4" s="387"/>
      <c r="C4" s="505"/>
      <c r="D4" s="505"/>
      <c r="E4" s="387"/>
    </row>
    <row r="5" spans="1:6" ht="10.5" customHeight="1" thickBot="1">
      <c r="A5" s="387"/>
      <c r="B5" s="387"/>
      <c r="C5" s="505"/>
      <c r="D5" s="505"/>
      <c r="E5" s="387"/>
    </row>
    <row r="6" spans="1:6" ht="14.25" customHeight="1">
      <c r="A6" s="464"/>
      <c r="B6" s="464"/>
      <c r="C6" s="708"/>
      <c r="D6" s="708"/>
      <c r="E6" s="464"/>
      <c r="F6" s="464"/>
    </row>
    <row r="7" spans="1:6" ht="14.25" customHeight="1">
      <c r="A7" s="725" t="s">
        <v>1781</v>
      </c>
      <c r="B7" s="387"/>
      <c r="C7" s="1052" t="s">
        <v>1782</v>
      </c>
      <c r="D7" s="1052"/>
      <c r="E7" s="1052"/>
    </row>
    <row r="8" spans="1:6" ht="14.25" customHeight="1">
      <c r="A8" s="387" t="s">
        <v>1783</v>
      </c>
      <c r="B8" s="387"/>
      <c r="C8" s="726" t="s">
        <v>1172</v>
      </c>
      <c r="D8" s="726"/>
      <c r="E8" s="727" t="s">
        <v>1043</v>
      </c>
    </row>
    <row r="9" spans="1:6" ht="14.25" customHeight="1" thickBot="1">
      <c r="A9" s="463"/>
      <c r="B9" s="463"/>
      <c r="C9" s="710"/>
      <c r="D9" s="710"/>
      <c r="E9" s="463"/>
    </row>
    <row r="10" spans="1:6" ht="16">
      <c r="A10" s="387"/>
      <c r="B10" s="387"/>
      <c r="C10" s="505"/>
      <c r="D10" s="505"/>
      <c r="E10" s="387"/>
      <c r="F10" s="464"/>
    </row>
    <row r="11" spans="1:6" ht="15" customHeight="1">
      <c r="A11" s="501" t="s">
        <v>1784</v>
      </c>
      <c r="B11" s="387"/>
      <c r="C11" s="871">
        <f>SUM(C13:C40)</f>
        <v>21</v>
      </c>
      <c r="D11" s="728"/>
      <c r="E11" s="872">
        <f>SUM(E13:E40)</f>
        <v>99.999999999999972</v>
      </c>
    </row>
    <row r="12" spans="1:6" ht="9.75" customHeight="1">
      <c r="A12" s="387"/>
      <c r="B12" s="387"/>
      <c r="C12" s="718"/>
      <c r="D12" s="505"/>
      <c r="E12" s="387"/>
    </row>
    <row r="13" spans="1:6" ht="19.5" hidden="1" customHeight="1">
      <c r="A13" s="387" t="s">
        <v>1785</v>
      </c>
      <c r="B13" s="387"/>
      <c r="C13" s="718"/>
      <c r="D13" s="505"/>
      <c r="E13" s="729">
        <f t="shared" ref="E13:E40" si="0">C13/$C$11*100</f>
        <v>0</v>
      </c>
    </row>
    <row r="14" spans="1:6" ht="21" customHeight="1">
      <c r="A14" s="387" t="s">
        <v>1786</v>
      </c>
      <c r="B14" s="387"/>
      <c r="C14" s="718">
        <v>2</v>
      </c>
      <c r="D14" s="505"/>
      <c r="E14" s="729">
        <f t="shared" si="0"/>
        <v>9.5238095238095237</v>
      </c>
    </row>
    <row r="15" spans="1:6" ht="19.5" hidden="1" customHeight="1">
      <c r="A15" s="387" t="s">
        <v>1787</v>
      </c>
      <c r="B15" s="387"/>
      <c r="C15" s="718"/>
      <c r="D15" s="505"/>
      <c r="E15" s="729">
        <f t="shared" si="0"/>
        <v>0</v>
      </c>
    </row>
    <row r="16" spans="1:6" ht="21" customHeight="1">
      <c r="A16" s="387" t="s">
        <v>1788</v>
      </c>
      <c r="B16" s="387"/>
      <c r="C16" s="718">
        <v>1</v>
      </c>
      <c r="D16" s="505"/>
      <c r="E16" s="729">
        <f t="shared" si="0"/>
        <v>4.7619047619047619</v>
      </c>
    </row>
    <row r="17" spans="1:5" ht="21" customHeight="1">
      <c r="A17" s="387" t="s">
        <v>1789</v>
      </c>
      <c r="B17" s="387"/>
      <c r="C17" s="718">
        <v>3</v>
      </c>
      <c r="D17" s="505"/>
      <c r="E17" s="729">
        <f t="shared" si="0"/>
        <v>14.285714285714285</v>
      </c>
    </row>
    <row r="18" spans="1:5" ht="21" hidden="1" customHeight="1">
      <c r="A18" s="387" t="s">
        <v>1790</v>
      </c>
      <c r="B18" s="387"/>
      <c r="C18" s="718"/>
      <c r="D18" s="505"/>
      <c r="E18" s="729">
        <f t="shared" si="0"/>
        <v>0</v>
      </c>
    </row>
    <row r="19" spans="1:5" ht="21" customHeight="1">
      <c r="A19" s="387" t="s">
        <v>1791</v>
      </c>
      <c r="B19" s="387"/>
      <c r="C19" s="718">
        <v>3</v>
      </c>
      <c r="D19" s="505"/>
      <c r="E19" s="729">
        <f t="shared" si="0"/>
        <v>14.285714285714285</v>
      </c>
    </row>
    <row r="20" spans="1:5" ht="21" hidden="1" customHeight="1">
      <c r="A20" s="387" t="s">
        <v>1792</v>
      </c>
      <c r="B20" s="387"/>
      <c r="C20" s="718"/>
      <c r="D20" s="505"/>
      <c r="E20" s="729">
        <f t="shared" si="0"/>
        <v>0</v>
      </c>
    </row>
    <row r="21" spans="1:5" ht="21" customHeight="1">
      <c r="A21" s="387" t="s">
        <v>1793</v>
      </c>
      <c r="B21" s="387"/>
      <c r="C21" s="718">
        <v>3</v>
      </c>
      <c r="D21" s="505"/>
      <c r="E21" s="729">
        <f t="shared" si="0"/>
        <v>14.285714285714285</v>
      </c>
    </row>
    <row r="22" spans="1:5" ht="19.5" hidden="1" customHeight="1">
      <c r="A22" s="388" t="s">
        <v>1599</v>
      </c>
      <c r="B22" s="388"/>
      <c r="C22" s="510"/>
      <c r="D22" s="711"/>
      <c r="E22" s="729">
        <f t="shared" si="0"/>
        <v>0</v>
      </c>
    </row>
    <row r="23" spans="1:5" ht="19.5" hidden="1" customHeight="1">
      <c r="A23" s="388" t="s">
        <v>1794</v>
      </c>
      <c r="B23" s="388"/>
      <c r="C23" s="510"/>
      <c r="D23" s="711"/>
      <c r="E23" s="729">
        <f t="shared" si="0"/>
        <v>0</v>
      </c>
    </row>
    <row r="24" spans="1:5" ht="19.5" hidden="1" customHeight="1">
      <c r="A24" s="387" t="s">
        <v>1795</v>
      </c>
      <c r="B24" s="387"/>
      <c r="C24" s="718"/>
      <c r="D24" s="505"/>
      <c r="E24" s="729">
        <f t="shared" si="0"/>
        <v>0</v>
      </c>
    </row>
    <row r="25" spans="1:5" ht="19.5" hidden="1" customHeight="1">
      <c r="A25" s="387" t="s">
        <v>1796</v>
      </c>
      <c r="B25" s="387"/>
      <c r="C25" s="718"/>
      <c r="D25" s="505"/>
      <c r="E25" s="729">
        <f t="shared" si="0"/>
        <v>0</v>
      </c>
    </row>
    <row r="26" spans="1:5" ht="21" customHeight="1">
      <c r="A26" s="387" t="s">
        <v>1503</v>
      </c>
      <c r="B26" s="387"/>
      <c r="C26" s="718">
        <v>2</v>
      </c>
      <c r="D26" s="505"/>
      <c r="E26" s="729">
        <f t="shared" si="0"/>
        <v>9.5238095238095237</v>
      </c>
    </row>
    <row r="27" spans="1:5" ht="21" customHeight="1">
      <c r="A27" s="387" t="s">
        <v>1502</v>
      </c>
      <c r="B27" s="387"/>
      <c r="C27" s="718">
        <v>1</v>
      </c>
      <c r="D27" s="505"/>
      <c r="E27" s="729">
        <f t="shared" si="0"/>
        <v>4.7619047619047619</v>
      </c>
    </row>
    <row r="28" spans="1:5" ht="21" customHeight="1">
      <c r="A28" s="387" t="s">
        <v>1797</v>
      </c>
      <c r="B28" s="387"/>
      <c r="C28" s="718">
        <v>1</v>
      </c>
      <c r="D28" s="505"/>
      <c r="E28" s="729">
        <f t="shared" si="0"/>
        <v>4.7619047619047619</v>
      </c>
    </row>
    <row r="29" spans="1:5" ht="19.5" hidden="1" customHeight="1">
      <c r="A29" s="387" t="s">
        <v>1798</v>
      </c>
      <c r="B29" s="387"/>
      <c r="C29" s="718"/>
      <c r="D29" s="505"/>
      <c r="E29" s="729">
        <f t="shared" si="0"/>
        <v>0</v>
      </c>
    </row>
    <row r="30" spans="1:5" ht="19.5" hidden="1" customHeight="1">
      <c r="A30" s="387" t="s">
        <v>1799</v>
      </c>
      <c r="B30" s="387"/>
      <c r="C30" s="718"/>
      <c r="D30" s="505"/>
      <c r="E30" s="729">
        <f t="shared" si="0"/>
        <v>0</v>
      </c>
    </row>
    <row r="31" spans="1:5" ht="19.5" hidden="1" customHeight="1">
      <c r="A31" s="387" t="s">
        <v>1800</v>
      </c>
      <c r="B31" s="387"/>
      <c r="C31" s="718"/>
      <c r="D31" s="505"/>
      <c r="E31" s="729">
        <f t="shared" si="0"/>
        <v>0</v>
      </c>
    </row>
    <row r="32" spans="1:5" ht="19.5" hidden="1" customHeight="1">
      <c r="A32" s="387" t="s">
        <v>1801</v>
      </c>
      <c r="B32" s="387"/>
      <c r="C32" s="718"/>
      <c r="D32" s="505"/>
      <c r="E32" s="729">
        <f t="shared" si="0"/>
        <v>0</v>
      </c>
    </row>
    <row r="33" spans="1:6" ht="19.5" hidden="1" customHeight="1">
      <c r="A33" s="387" t="s">
        <v>1802</v>
      </c>
      <c r="B33" s="387"/>
      <c r="C33" s="718"/>
      <c r="D33" s="505"/>
      <c r="E33" s="729">
        <f t="shared" si="0"/>
        <v>0</v>
      </c>
    </row>
    <row r="34" spans="1:6" ht="19.5" hidden="1" customHeight="1">
      <c r="A34" s="387" t="s">
        <v>1803</v>
      </c>
      <c r="B34" s="387"/>
      <c r="C34" s="718"/>
      <c r="D34" s="505"/>
      <c r="E34" s="729">
        <f t="shared" si="0"/>
        <v>0</v>
      </c>
    </row>
    <row r="35" spans="1:6" ht="21" customHeight="1">
      <c r="A35" s="387" t="s">
        <v>1804</v>
      </c>
      <c r="B35" s="387"/>
      <c r="C35" s="718">
        <v>2</v>
      </c>
      <c r="D35" s="505"/>
      <c r="E35" s="729">
        <f t="shared" si="0"/>
        <v>9.5238095238095237</v>
      </c>
    </row>
    <row r="36" spans="1:6" ht="21" hidden="1" customHeight="1">
      <c r="A36" s="387" t="s">
        <v>1805</v>
      </c>
      <c r="B36" s="387"/>
      <c r="C36" s="718"/>
      <c r="D36" s="505"/>
      <c r="E36" s="729">
        <f t="shared" si="0"/>
        <v>0</v>
      </c>
    </row>
    <row r="37" spans="1:6" ht="19.5" hidden="1" customHeight="1">
      <c r="A37" s="388" t="s">
        <v>1806</v>
      </c>
      <c r="B37" s="388"/>
      <c r="C37" s="510"/>
      <c r="D37" s="711"/>
      <c r="E37" s="729">
        <f t="shared" si="0"/>
        <v>0</v>
      </c>
    </row>
    <row r="38" spans="1:6" ht="21" customHeight="1">
      <c r="A38" s="388" t="s">
        <v>1807</v>
      </c>
      <c r="B38" s="388"/>
      <c r="C38" s="510">
        <v>1</v>
      </c>
      <c r="D38" s="711"/>
      <c r="E38" s="729">
        <f t="shared" si="0"/>
        <v>4.7619047619047619</v>
      </c>
    </row>
    <row r="39" spans="1:6" ht="21" customHeight="1">
      <c r="A39" s="388" t="s">
        <v>1602</v>
      </c>
      <c r="B39" s="388"/>
      <c r="C39" s="510">
        <v>2</v>
      </c>
      <c r="D39" s="711"/>
      <c r="E39" s="729">
        <f t="shared" si="0"/>
        <v>9.5238095238095237</v>
      </c>
    </row>
    <row r="40" spans="1:6" ht="15.75" hidden="1" customHeight="1">
      <c r="A40" s="388" t="s">
        <v>1808</v>
      </c>
      <c r="B40" s="388"/>
      <c r="C40" s="510"/>
      <c r="D40" s="711"/>
      <c r="E40" s="729">
        <f t="shared" si="0"/>
        <v>0</v>
      </c>
    </row>
    <row r="41" spans="1:6" ht="9.75" customHeight="1" thickBot="1">
      <c r="A41" s="463"/>
      <c r="B41" s="463"/>
      <c r="C41" s="710"/>
      <c r="D41" s="710"/>
      <c r="E41" s="730"/>
    </row>
    <row r="42" spans="1:6" ht="8.25" customHeight="1">
      <c r="A42" s="388"/>
      <c r="B42" s="388"/>
      <c r="C42" s="711"/>
      <c r="D42" s="711"/>
      <c r="E42" s="711"/>
      <c r="F42" s="464"/>
    </row>
    <row r="43" spans="1:6" ht="13.5" customHeight="1">
      <c r="A43" s="388" t="s">
        <v>1990</v>
      </c>
      <c r="B43" s="388"/>
      <c r="C43" s="711"/>
      <c r="D43" s="711"/>
      <c r="E43" s="711"/>
      <c r="F43" s="388"/>
    </row>
    <row r="44" spans="1:6" ht="13.5" customHeight="1">
      <c r="A44" s="388" t="s">
        <v>1991</v>
      </c>
      <c r="B44" s="388"/>
      <c r="C44" s="711"/>
      <c r="D44" s="711"/>
      <c r="E44" s="711"/>
      <c r="F44" s="388"/>
    </row>
    <row r="45" spans="1:6" ht="13.5" customHeight="1">
      <c r="A45" s="388" t="s">
        <v>1992</v>
      </c>
      <c r="B45" s="388"/>
      <c r="C45" s="711"/>
      <c r="D45" s="711"/>
      <c r="E45" s="711"/>
      <c r="F45" s="388"/>
    </row>
    <row r="46" spans="1:6" ht="13.5" customHeight="1">
      <c r="A46" s="388"/>
      <c r="B46" s="388"/>
      <c r="C46" s="711"/>
      <c r="D46" s="711"/>
      <c r="E46" s="711"/>
      <c r="F46" s="388"/>
    </row>
    <row r="47" spans="1:6" ht="14.25" customHeight="1">
      <c r="A47" s="387" t="s">
        <v>1993</v>
      </c>
      <c r="B47" s="387"/>
      <c r="C47" s="505"/>
      <c r="D47" s="72"/>
      <c r="E47" s="33"/>
    </row>
    <row r="48" spans="1:6" ht="14.25" customHeight="1">
      <c r="A48" s="387" t="s">
        <v>1994</v>
      </c>
      <c r="B48" s="387"/>
      <c r="C48" s="505"/>
      <c r="D48" s="72"/>
      <c r="E48" s="33"/>
    </row>
    <row r="49" spans="1:5" ht="14.25" customHeight="1">
      <c r="A49" s="387" t="s">
        <v>471</v>
      </c>
      <c r="B49" s="387"/>
      <c r="C49" s="505"/>
      <c r="D49" s="72"/>
      <c r="E49" s="33"/>
    </row>
  </sheetData>
  <mergeCells count="1">
    <mergeCell ref="C7:E7"/>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36"/>
  <sheetViews>
    <sheetView workbookViewId="0">
      <selection activeCell="J8" sqref="J8"/>
    </sheetView>
  </sheetViews>
  <sheetFormatPr baseColWidth="10" defaultColWidth="8.83203125" defaultRowHeight="15"/>
  <cols>
    <col min="1" max="1" width="31.83203125" customWidth="1"/>
    <col min="2" max="3" width="9" customWidth="1"/>
    <col min="4" max="4" width="2.5" customWidth="1"/>
    <col min="5" max="5" width="9.5" customWidth="1"/>
    <col min="6" max="6" width="10.6640625" customWidth="1"/>
    <col min="7" max="7" width="2.6640625" customWidth="1"/>
    <col min="8" max="8" width="10" customWidth="1"/>
    <col min="9" max="9" width="10.1640625" customWidth="1"/>
    <col min="10" max="10" width="3.1640625" customWidth="1"/>
    <col min="257" max="257" width="31.83203125" customWidth="1"/>
    <col min="258" max="259" width="9" customWidth="1"/>
    <col min="260" max="260" width="2.5" customWidth="1"/>
    <col min="261" max="261" width="9.5" customWidth="1"/>
    <col min="262" max="262" width="10.6640625" customWidth="1"/>
    <col min="263" max="263" width="2.6640625" customWidth="1"/>
    <col min="264" max="264" width="10" customWidth="1"/>
    <col min="265" max="265" width="10.1640625" customWidth="1"/>
    <col min="266" max="266" width="3.1640625" customWidth="1"/>
    <col min="513" max="513" width="31.83203125" customWidth="1"/>
    <col min="514" max="515" width="9" customWidth="1"/>
    <col min="516" max="516" width="2.5" customWidth="1"/>
    <col min="517" max="517" width="9.5" customWidth="1"/>
    <col min="518" max="518" width="10.6640625" customWidth="1"/>
    <col min="519" max="519" width="2.6640625" customWidth="1"/>
    <col min="520" max="520" width="10" customWidth="1"/>
    <col min="521" max="521" width="10.1640625" customWidth="1"/>
    <col min="522" max="522" width="3.1640625" customWidth="1"/>
    <col min="769" max="769" width="31.83203125" customWidth="1"/>
    <col min="770" max="771" width="9" customWidth="1"/>
    <col min="772" max="772" width="2.5" customWidth="1"/>
    <col min="773" max="773" width="9.5" customWidth="1"/>
    <col min="774" max="774" width="10.6640625" customWidth="1"/>
    <col min="775" max="775" width="2.6640625" customWidth="1"/>
    <col min="776" max="776" width="10" customWidth="1"/>
    <col min="777" max="777" width="10.1640625" customWidth="1"/>
    <col min="778" max="778" width="3.1640625" customWidth="1"/>
    <col min="1025" max="1025" width="31.83203125" customWidth="1"/>
    <col min="1026" max="1027" width="9" customWidth="1"/>
    <col min="1028" max="1028" width="2.5" customWidth="1"/>
    <col min="1029" max="1029" width="9.5" customWidth="1"/>
    <col min="1030" max="1030" width="10.6640625" customWidth="1"/>
    <col min="1031" max="1031" width="2.6640625" customWidth="1"/>
    <col min="1032" max="1032" width="10" customWidth="1"/>
    <col min="1033" max="1033" width="10.1640625" customWidth="1"/>
    <col min="1034" max="1034" width="3.1640625" customWidth="1"/>
    <col min="1281" max="1281" width="31.83203125" customWidth="1"/>
    <col min="1282" max="1283" width="9" customWidth="1"/>
    <col min="1284" max="1284" width="2.5" customWidth="1"/>
    <col min="1285" max="1285" width="9.5" customWidth="1"/>
    <col min="1286" max="1286" width="10.6640625" customWidth="1"/>
    <col min="1287" max="1287" width="2.6640625" customWidth="1"/>
    <col min="1288" max="1288" width="10" customWidth="1"/>
    <col min="1289" max="1289" width="10.1640625" customWidth="1"/>
    <col min="1290" max="1290" width="3.1640625" customWidth="1"/>
    <col min="1537" max="1537" width="31.83203125" customWidth="1"/>
    <col min="1538" max="1539" width="9" customWidth="1"/>
    <col min="1540" max="1540" width="2.5" customWidth="1"/>
    <col min="1541" max="1541" width="9.5" customWidth="1"/>
    <col min="1542" max="1542" width="10.6640625" customWidth="1"/>
    <col min="1543" max="1543" width="2.6640625" customWidth="1"/>
    <col min="1544" max="1544" width="10" customWidth="1"/>
    <col min="1545" max="1545" width="10.1640625" customWidth="1"/>
    <col min="1546" max="1546" width="3.1640625" customWidth="1"/>
    <col min="1793" max="1793" width="31.83203125" customWidth="1"/>
    <col min="1794" max="1795" width="9" customWidth="1"/>
    <col min="1796" max="1796" width="2.5" customWidth="1"/>
    <col min="1797" max="1797" width="9.5" customWidth="1"/>
    <col min="1798" max="1798" width="10.6640625" customWidth="1"/>
    <col min="1799" max="1799" width="2.6640625" customWidth="1"/>
    <col min="1800" max="1800" width="10" customWidth="1"/>
    <col min="1801" max="1801" width="10.1640625" customWidth="1"/>
    <col min="1802" max="1802" width="3.1640625" customWidth="1"/>
    <col min="2049" max="2049" width="31.83203125" customWidth="1"/>
    <col min="2050" max="2051" width="9" customWidth="1"/>
    <col min="2052" max="2052" width="2.5" customWidth="1"/>
    <col min="2053" max="2053" width="9.5" customWidth="1"/>
    <col min="2054" max="2054" width="10.6640625" customWidth="1"/>
    <col min="2055" max="2055" width="2.6640625" customWidth="1"/>
    <col min="2056" max="2056" width="10" customWidth="1"/>
    <col min="2057" max="2057" width="10.1640625" customWidth="1"/>
    <col min="2058" max="2058" width="3.1640625" customWidth="1"/>
    <col min="2305" max="2305" width="31.83203125" customWidth="1"/>
    <col min="2306" max="2307" width="9" customWidth="1"/>
    <col min="2308" max="2308" width="2.5" customWidth="1"/>
    <col min="2309" max="2309" width="9.5" customWidth="1"/>
    <col min="2310" max="2310" width="10.6640625" customWidth="1"/>
    <col min="2311" max="2311" width="2.6640625" customWidth="1"/>
    <col min="2312" max="2312" width="10" customWidth="1"/>
    <col min="2313" max="2313" width="10.1640625" customWidth="1"/>
    <col min="2314" max="2314" width="3.1640625" customWidth="1"/>
    <col min="2561" max="2561" width="31.83203125" customWidth="1"/>
    <col min="2562" max="2563" width="9" customWidth="1"/>
    <col min="2564" max="2564" width="2.5" customWidth="1"/>
    <col min="2565" max="2565" width="9.5" customWidth="1"/>
    <col min="2566" max="2566" width="10.6640625" customWidth="1"/>
    <col min="2567" max="2567" width="2.6640625" customWidth="1"/>
    <col min="2568" max="2568" width="10" customWidth="1"/>
    <col min="2569" max="2569" width="10.1640625" customWidth="1"/>
    <col min="2570" max="2570" width="3.1640625" customWidth="1"/>
    <col min="2817" max="2817" width="31.83203125" customWidth="1"/>
    <col min="2818" max="2819" width="9" customWidth="1"/>
    <col min="2820" max="2820" width="2.5" customWidth="1"/>
    <col min="2821" max="2821" width="9.5" customWidth="1"/>
    <col min="2822" max="2822" width="10.6640625" customWidth="1"/>
    <col min="2823" max="2823" width="2.6640625" customWidth="1"/>
    <col min="2824" max="2824" width="10" customWidth="1"/>
    <col min="2825" max="2825" width="10.1640625" customWidth="1"/>
    <col min="2826" max="2826" width="3.1640625" customWidth="1"/>
    <col min="3073" max="3073" width="31.83203125" customWidth="1"/>
    <col min="3074" max="3075" width="9" customWidth="1"/>
    <col min="3076" max="3076" width="2.5" customWidth="1"/>
    <col min="3077" max="3077" width="9.5" customWidth="1"/>
    <col min="3078" max="3078" width="10.6640625" customWidth="1"/>
    <col min="3079" max="3079" width="2.6640625" customWidth="1"/>
    <col min="3080" max="3080" width="10" customWidth="1"/>
    <col min="3081" max="3081" width="10.1640625" customWidth="1"/>
    <col min="3082" max="3082" width="3.1640625" customWidth="1"/>
    <col min="3329" max="3329" width="31.83203125" customWidth="1"/>
    <col min="3330" max="3331" width="9" customWidth="1"/>
    <col min="3332" max="3332" width="2.5" customWidth="1"/>
    <col min="3333" max="3333" width="9.5" customWidth="1"/>
    <col min="3334" max="3334" width="10.6640625" customWidth="1"/>
    <col min="3335" max="3335" width="2.6640625" customWidth="1"/>
    <col min="3336" max="3336" width="10" customWidth="1"/>
    <col min="3337" max="3337" width="10.1640625" customWidth="1"/>
    <col min="3338" max="3338" width="3.1640625" customWidth="1"/>
    <col min="3585" max="3585" width="31.83203125" customWidth="1"/>
    <col min="3586" max="3587" width="9" customWidth="1"/>
    <col min="3588" max="3588" width="2.5" customWidth="1"/>
    <col min="3589" max="3589" width="9.5" customWidth="1"/>
    <col min="3590" max="3590" width="10.6640625" customWidth="1"/>
    <col min="3591" max="3591" width="2.6640625" customWidth="1"/>
    <col min="3592" max="3592" width="10" customWidth="1"/>
    <col min="3593" max="3593" width="10.1640625" customWidth="1"/>
    <col min="3594" max="3594" width="3.1640625" customWidth="1"/>
    <col min="3841" max="3841" width="31.83203125" customWidth="1"/>
    <col min="3842" max="3843" width="9" customWidth="1"/>
    <col min="3844" max="3844" width="2.5" customWidth="1"/>
    <col min="3845" max="3845" width="9.5" customWidth="1"/>
    <col min="3846" max="3846" width="10.6640625" customWidth="1"/>
    <col min="3847" max="3847" width="2.6640625" customWidth="1"/>
    <col min="3848" max="3848" width="10" customWidth="1"/>
    <col min="3849" max="3849" width="10.1640625" customWidth="1"/>
    <col min="3850" max="3850" width="3.1640625" customWidth="1"/>
    <col min="4097" max="4097" width="31.83203125" customWidth="1"/>
    <col min="4098" max="4099" width="9" customWidth="1"/>
    <col min="4100" max="4100" width="2.5" customWidth="1"/>
    <col min="4101" max="4101" width="9.5" customWidth="1"/>
    <col min="4102" max="4102" width="10.6640625" customWidth="1"/>
    <col min="4103" max="4103" width="2.6640625" customWidth="1"/>
    <col min="4104" max="4104" width="10" customWidth="1"/>
    <col min="4105" max="4105" width="10.1640625" customWidth="1"/>
    <col min="4106" max="4106" width="3.1640625" customWidth="1"/>
    <col min="4353" max="4353" width="31.83203125" customWidth="1"/>
    <col min="4354" max="4355" width="9" customWidth="1"/>
    <col min="4356" max="4356" width="2.5" customWidth="1"/>
    <col min="4357" max="4357" width="9.5" customWidth="1"/>
    <col min="4358" max="4358" width="10.6640625" customWidth="1"/>
    <col min="4359" max="4359" width="2.6640625" customWidth="1"/>
    <col min="4360" max="4360" width="10" customWidth="1"/>
    <col min="4361" max="4361" width="10.1640625" customWidth="1"/>
    <col min="4362" max="4362" width="3.1640625" customWidth="1"/>
    <col min="4609" max="4609" width="31.83203125" customWidth="1"/>
    <col min="4610" max="4611" width="9" customWidth="1"/>
    <col min="4612" max="4612" width="2.5" customWidth="1"/>
    <col min="4613" max="4613" width="9.5" customWidth="1"/>
    <col min="4614" max="4614" width="10.6640625" customWidth="1"/>
    <col min="4615" max="4615" width="2.6640625" customWidth="1"/>
    <col min="4616" max="4616" width="10" customWidth="1"/>
    <col min="4617" max="4617" width="10.1640625" customWidth="1"/>
    <col min="4618" max="4618" width="3.1640625" customWidth="1"/>
    <col min="4865" max="4865" width="31.83203125" customWidth="1"/>
    <col min="4866" max="4867" width="9" customWidth="1"/>
    <col min="4868" max="4868" width="2.5" customWidth="1"/>
    <col min="4869" max="4869" width="9.5" customWidth="1"/>
    <col min="4870" max="4870" width="10.6640625" customWidth="1"/>
    <col min="4871" max="4871" width="2.6640625" customWidth="1"/>
    <col min="4872" max="4872" width="10" customWidth="1"/>
    <col min="4873" max="4873" width="10.1640625" customWidth="1"/>
    <col min="4874" max="4874" width="3.1640625" customWidth="1"/>
    <col min="5121" max="5121" width="31.83203125" customWidth="1"/>
    <col min="5122" max="5123" width="9" customWidth="1"/>
    <col min="5124" max="5124" width="2.5" customWidth="1"/>
    <col min="5125" max="5125" width="9.5" customWidth="1"/>
    <col min="5126" max="5126" width="10.6640625" customWidth="1"/>
    <col min="5127" max="5127" width="2.6640625" customWidth="1"/>
    <col min="5128" max="5128" width="10" customWidth="1"/>
    <col min="5129" max="5129" width="10.1640625" customWidth="1"/>
    <col min="5130" max="5130" width="3.1640625" customWidth="1"/>
    <col min="5377" max="5377" width="31.83203125" customWidth="1"/>
    <col min="5378" max="5379" width="9" customWidth="1"/>
    <col min="5380" max="5380" width="2.5" customWidth="1"/>
    <col min="5381" max="5381" width="9.5" customWidth="1"/>
    <col min="5382" max="5382" width="10.6640625" customWidth="1"/>
    <col min="5383" max="5383" width="2.6640625" customWidth="1"/>
    <col min="5384" max="5384" width="10" customWidth="1"/>
    <col min="5385" max="5385" width="10.1640625" customWidth="1"/>
    <col min="5386" max="5386" width="3.1640625" customWidth="1"/>
    <col min="5633" max="5633" width="31.83203125" customWidth="1"/>
    <col min="5634" max="5635" width="9" customWidth="1"/>
    <col min="5636" max="5636" width="2.5" customWidth="1"/>
    <col min="5637" max="5637" width="9.5" customWidth="1"/>
    <col min="5638" max="5638" width="10.6640625" customWidth="1"/>
    <col min="5639" max="5639" width="2.6640625" customWidth="1"/>
    <col min="5640" max="5640" width="10" customWidth="1"/>
    <col min="5641" max="5641" width="10.1640625" customWidth="1"/>
    <col min="5642" max="5642" width="3.1640625" customWidth="1"/>
    <col min="5889" max="5889" width="31.83203125" customWidth="1"/>
    <col min="5890" max="5891" width="9" customWidth="1"/>
    <col min="5892" max="5892" width="2.5" customWidth="1"/>
    <col min="5893" max="5893" width="9.5" customWidth="1"/>
    <col min="5894" max="5894" width="10.6640625" customWidth="1"/>
    <col min="5895" max="5895" width="2.6640625" customWidth="1"/>
    <col min="5896" max="5896" width="10" customWidth="1"/>
    <col min="5897" max="5897" width="10.1640625" customWidth="1"/>
    <col min="5898" max="5898" width="3.1640625" customWidth="1"/>
    <col min="6145" max="6145" width="31.83203125" customWidth="1"/>
    <col min="6146" max="6147" width="9" customWidth="1"/>
    <col min="6148" max="6148" width="2.5" customWidth="1"/>
    <col min="6149" max="6149" width="9.5" customWidth="1"/>
    <col min="6150" max="6150" width="10.6640625" customWidth="1"/>
    <col min="6151" max="6151" width="2.6640625" customWidth="1"/>
    <col min="6152" max="6152" width="10" customWidth="1"/>
    <col min="6153" max="6153" width="10.1640625" customWidth="1"/>
    <col min="6154" max="6154" width="3.1640625" customWidth="1"/>
    <col min="6401" max="6401" width="31.83203125" customWidth="1"/>
    <col min="6402" max="6403" width="9" customWidth="1"/>
    <col min="6404" max="6404" width="2.5" customWidth="1"/>
    <col min="6405" max="6405" width="9.5" customWidth="1"/>
    <col min="6406" max="6406" width="10.6640625" customWidth="1"/>
    <col min="6407" max="6407" width="2.6640625" customWidth="1"/>
    <col min="6408" max="6408" width="10" customWidth="1"/>
    <col min="6409" max="6409" width="10.1640625" customWidth="1"/>
    <col min="6410" max="6410" width="3.1640625" customWidth="1"/>
    <col min="6657" max="6657" width="31.83203125" customWidth="1"/>
    <col min="6658" max="6659" width="9" customWidth="1"/>
    <col min="6660" max="6660" width="2.5" customWidth="1"/>
    <col min="6661" max="6661" width="9.5" customWidth="1"/>
    <col min="6662" max="6662" width="10.6640625" customWidth="1"/>
    <col min="6663" max="6663" width="2.6640625" customWidth="1"/>
    <col min="6664" max="6664" width="10" customWidth="1"/>
    <col min="6665" max="6665" width="10.1640625" customWidth="1"/>
    <col min="6666" max="6666" width="3.1640625" customWidth="1"/>
    <col min="6913" max="6913" width="31.83203125" customWidth="1"/>
    <col min="6914" max="6915" width="9" customWidth="1"/>
    <col min="6916" max="6916" width="2.5" customWidth="1"/>
    <col min="6917" max="6917" width="9.5" customWidth="1"/>
    <col min="6918" max="6918" width="10.6640625" customWidth="1"/>
    <col min="6919" max="6919" width="2.6640625" customWidth="1"/>
    <col min="6920" max="6920" width="10" customWidth="1"/>
    <col min="6921" max="6921" width="10.1640625" customWidth="1"/>
    <col min="6922" max="6922" width="3.1640625" customWidth="1"/>
    <col min="7169" max="7169" width="31.83203125" customWidth="1"/>
    <col min="7170" max="7171" width="9" customWidth="1"/>
    <col min="7172" max="7172" width="2.5" customWidth="1"/>
    <col min="7173" max="7173" width="9.5" customWidth="1"/>
    <col min="7174" max="7174" width="10.6640625" customWidth="1"/>
    <col min="7175" max="7175" width="2.6640625" customWidth="1"/>
    <col min="7176" max="7176" width="10" customWidth="1"/>
    <col min="7177" max="7177" width="10.1640625" customWidth="1"/>
    <col min="7178" max="7178" width="3.1640625" customWidth="1"/>
    <col min="7425" max="7425" width="31.83203125" customWidth="1"/>
    <col min="7426" max="7427" width="9" customWidth="1"/>
    <col min="7428" max="7428" width="2.5" customWidth="1"/>
    <col min="7429" max="7429" width="9.5" customWidth="1"/>
    <col min="7430" max="7430" width="10.6640625" customWidth="1"/>
    <col min="7431" max="7431" width="2.6640625" customWidth="1"/>
    <col min="7432" max="7432" width="10" customWidth="1"/>
    <col min="7433" max="7433" width="10.1640625" customWidth="1"/>
    <col min="7434" max="7434" width="3.1640625" customWidth="1"/>
    <col min="7681" max="7681" width="31.83203125" customWidth="1"/>
    <col min="7682" max="7683" width="9" customWidth="1"/>
    <col min="7684" max="7684" width="2.5" customWidth="1"/>
    <col min="7685" max="7685" width="9.5" customWidth="1"/>
    <col min="7686" max="7686" width="10.6640625" customWidth="1"/>
    <col min="7687" max="7687" width="2.6640625" customWidth="1"/>
    <col min="7688" max="7688" width="10" customWidth="1"/>
    <col min="7689" max="7689" width="10.1640625" customWidth="1"/>
    <col min="7690" max="7690" width="3.1640625" customWidth="1"/>
    <col min="7937" max="7937" width="31.83203125" customWidth="1"/>
    <col min="7938" max="7939" width="9" customWidth="1"/>
    <col min="7940" max="7940" width="2.5" customWidth="1"/>
    <col min="7941" max="7941" width="9.5" customWidth="1"/>
    <col min="7942" max="7942" width="10.6640625" customWidth="1"/>
    <col min="7943" max="7943" width="2.6640625" customWidth="1"/>
    <col min="7944" max="7944" width="10" customWidth="1"/>
    <col min="7945" max="7945" width="10.1640625" customWidth="1"/>
    <col min="7946" max="7946" width="3.1640625" customWidth="1"/>
    <col min="8193" max="8193" width="31.83203125" customWidth="1"/>
    <col min="8194" max="8195" width="9" customWidth="1"/>
    <col min="8196" max="8196" width="2.5" customWidth="1"/>
    <col min="8197" max="8197" width="9.5" customWidth="1"/>
    <col min="8198" max="8198" width="10.6640625" customWidth="1"/>
    <col min="8199" max="8199" width="2.6640625" customWidth="1"/>
    <col min="8200" max="8200" width="10" customWidth="1"/>
    <col min="8201" max="8201" width="10.1640625" customWidth="1"/>
    <col min="8202" max="8202" width="3.1640625" customWidth="1"/>
    <col min="8449" max="8449" width="31.83203125" customWidth="1"/>
    <col min="8450" max="8451" width="9" customWidth="1"/>
    <col min="8452" max="8452" width="2.5" customWidth="1"/>
    <col min="8453" max="8453" width="9.5" customWidth="1"/>
    <col min="8454" max="8454" width="10.6640625" customWidth="1"/>
    <col min="8455" max="8455" width="2.6640625" customWidth="1"/>
    <col min="8456" max="8456" width="10" customWidth="1"/>
    <col min="8457" max="8457" width="10.1640625" customWidth="1"/>
    <col min="8458" max="8458" width="3.1640625" customWidth="1"/>
    <col min="8705" max="8705" width="31.83203125" customWidth="1"/>
    <col min="8706" max="8707" width="9" customWidth="1"/>
    <col min="8708" max="8708" width="2.5" customWidth="1"/>
    <col min="8709" max="8709" width="9.5" customWidth="1"/>
    <col min="8710" max="8710" width="10.6640625" customWidth="1"/>
    <col min="8711" max="8711" width="2.6640625" customWidth="1"/>
    <col min="8712" max="8712" width="10" customWidth="1"/>
    <col min="8713" max="8713" width="10.1640625" customWidth="1"/>
    <col min="8714" max="8714" width="3.1640625" customWidth="1"/>
    <col min="8961" max="8961" width="31.83203125" customWidth="1"/>
    <col min="8962" max="8963" width="9" customWidth="1"/>
    <col min="8964" max="8964" width="2.5" customWidth="1"/>
    <col min="8965" max="8965" width="9.5" customWidth="1"/>
    <col min="8966" max="8966" width="10.6640625" customWidth="1"/>
    <col min="8967" max="8967" width="2.6640625" customWidth="1"/>
    <col min="8968" max="8968" width="10" customWidth="1"/>
    <col min="8969" max="8969" width="10.1640625" customWidth="1"/>
    <col min="8970" max="8970" width="3.1640625" customWidth="1"/>
    <col min="9217" max="9217" width="31.83203125" customWidth="1"/>
    <col min="9218" max="9219" width="9" customWidth="1"/>
    <col min="9220" max="9220" width="2.5" customWidth="1"/>
    <col min="9221" max="9221" width="9.5" customWidth="1"/>
    <col min="9222" max="9222" width="10.6640625" customWidth="1"/>
    <col min="9223" max="9223" width="2.6640625" customWidth="1"/>
    <col min="9224" max="9224" width="10" customWidth="1"/>
    <col min="9225" max="9225" width="10.1640625" customWidth="1"/>
    <col min="9226" max="9226" width="3.1640625" customWidth="1"/>
    <col min="9473" max="9473" width="31.83203125" customWidth="1"/>
    <col min="9474" max="9475" width="9" customWidth="1"/>
    <col min="9476" max="9476" width="2.5" customWidth="1"/>
    <col min="9477" max="9477" width="9.5" customWidth="1"/>
    <col min="9478" max="9478" width="10.6640625" customWidth="1"/>
    <col min="9479" max="9479" width="2.6640625" customWidth="1"/>
    <col min="9480" max="9480" width="10" customWidth="1"/>
    <col min="9481" max="9481" width="10.1640625" customWidth="1"/>
    <col min="9482" max="9482" width="3.1640625" customWidth="1"/>
    <col min="9729" max="9729" width="31.83203125" customWidth="1"/>
    <col min="9730" max="9731" width="9" customWidth="1"/>
    <col min="9732" max="9732" width="2.5" customWidth="1"/>
    <col min="9733" max="9733" width="9.5" customWidth="1"/>
    <col min="9734" max="9734" width="10.6640625" customWidth="1"/>
    <col min="9735" max="9735" width="2.6640625" customWidth="1"/>
    <col min="9736" max="9736" width="10" customWidth="1"/>
    <col min="9737" max="9737" width="10.1640625" customWidth="1"/>
    <col min="9738" max="9738" width="3.1640625" customWidth="1"/>
    <col min="9985" max="9985" width="31.83203125" customWidth="1"/>
    <col min="9986" max="9987" width="9" customWidth="1"/>
    <col min="9988" max="9988" width="2.5" customWidth="1"/>
    <col min="9989" max="9989" width="9.5" customWidth="1"/>
    <col min="9990" max="9990" width="10.6640625" customWidth="1"/>
    <col min="9991" max="9991" width="2.6640625" customWidth="1"/>
    <col min="9992" max="9992" width="10" customWidth="1"/>
    <col min="9993" max="9993" width="10.1640625" customWidth="1"/>
    <col min="9994" max="9994" width="3.1640625" customWidth="1"/>
    <col min="10241" max="10241" width="31.83203125" customWidth="1"/>
    <col min="10242" max="10243" width="9" customWidth="1"/>
    <col min="10244" max="10244" width="2.5" customWidth="1"/>
    <col min="10245" max="10245" width="9.5" customWidth="1"/>
    <col min="10246" max="10246" width="10.6640625" customWidth="1"/>
    <col min="10247" max="10247" width="2.6640625" customWidth="1"/>
    <col min="10248" max="10248" width="10" customWidth="1"/>
    <col min="10249" max="10249" width="10.1640625" customWidth="1"/>
    <col min="10250" max="10250" width="3.1640625" customWidth="1"/>
    <col min="10497" max="10497" width="31.83203125" customWidth="1"/>
    <col min="10498" max="10499" width="9" customWidth="1"/>
    <col min="10500" max="10500" width="2.5" customWidth="1"/>
    <col min="10501" max="10501" width="9.5" customWidth="1"/>
    <col min="10502" max="10502" width="10.6640625" customWidth="1"/>
    <col min="10503" max="10503" width="2.6640625" customWidth="1"/>
    <col min="10504" max="10504" width="10" customWidth="1"/>
    <col min="10505" max="10505" width="10.1640625" customWidth="1"/>
    <col min="10506" max="10506" width="3.1640625" customWidth="1"/>
    <col min="10753" max="10753" width="31.83203125" customWidth="1"/>
    <col min="10754" max="10755" width="9" customWidth="1"/>
    <col min="10756" max="10756" width="2.5" customWidth="1"/>
    <col min="10757" max="10757" width="9.5" customWidth="1"/>
    <col min="10758" max="10758" width="10.6640625" customWidth="1"/>
    <col min="10759" max="10759" width="2.6640625" customWidth="1"/>
    <col min="10760" max="10760" width="10" customWidth="1"/>
    <col min="10761" max="10761" width="10.1640625" customWidth="1"/>
    <col min="10762" max="10762" width="3.1640625" customWidth="1"/>
    <col min="11009" max="11009" width="31.83203125" customWidth="1"/>
    <col min="11010" max="11011" width="9" customWidth="1"/>
    <col min="11012" max="11012" width="2.5" customWidth="1"/>
    <col min="11013" max="11013" width="9.5" customWidth="1"/>
    <col min="11014" max="11014" width="10.6640625" customWidth="1"/>
    <col min="11015" max="11015" width="2.6640625" customWidth="1"/>
    <col min="11016" max="11016" width="10" customWidth="1"/>
    <col min="11017" max="11017" width="10.1640625" customWidth="1"/>
    <col min="11018" max="11018" width="3.1640625" customWidth="1"/>
    <col min="11265" max="11265" width="31.83203125" customWidth="1"/>
    <col min="11266" max="11267" width="9" customWidth="1"/>
    <col min="11268" max="11268" width="2.5" customWidth="1"/>
    <col min="11269" max="11269" width="9.5" customWidth="1"/>
    <col min="11270" max="11270" width="10.6640625" customWidth="1"/>
    <col min="11271" max="11271" width="2.6640625" customWidth="1"/>
    <col min="11272" max="11272" width="10" customWidth="1"/>
    <col min="11273" max="11273" width="10.1640625" customWidth="1"/>
    <col min="11274" max="11274" width="3.1640625" customWidth="1"/>
    <col min="11521" max="11521" width="31.83203125" customWidth="1"/>
    <col min="11522" max="11523" width="9" customWidth="1"/>
    <col min="11524" max="11524" width="2.5" customWidth="1"/>
    <col min="11525" max="11525" width="9.5" customWidth="1"/>
    <col min="11526" max="11526" width="10.6640625" customWidth="1"/>
    <col min="11527" max="11527" width="2.6640625" customWidth="1"/>
    <col min="11528" max="11528" width="10" customWidth="1"/>
    <col min="11529" max="11529" width="10.1640625" customWidth="1"/>
    <col min="11530" max="11530" width="3.1640625" customWidth="1"/>
    <col min="11777" max="11777" width="31.83203125" customWidth="1"/>
    <col min="11778" max="11779" width="9" customWidth="1"/>
    <col min="11780" max="11780" width="2.5" customWidth="1"/>
    <col min="11781" max="11781" width="9.5" customWidth="1"/>
    <col min="11782" max="11782" width="10.6640625" customWidth="1"/>
    <col min="11783" max="11783" width="2.6640625" customWidth="1"/>
    <col min="11784" max="11784" width="10" customWidth="1"/>
    <col min="11785" max="11785" width="10.1640625" customWidth="1"/>
    <col min="11786" max="11786" width="3.1640625" customWidth="1"/>
    <col min="12033" max="12033" width="31.83203125" customWidth="1"/>
    <col min="12034" max="12035" width="9" customWidth="1"/>
    <col min="12036" max="12036" width="2.5" customWidth="1"/>
    <col min="12037" max="12037" width="9.5" customWidth="1"/>
    <col min="12038" max="12038" width="10.6640625" customWidth="1"/>
    <col min="12039" max="12039" width="2.6640625" customWidth="1"/>
    <col min="12040" max="12040" width="10" customWidth="1"/>
    <col min="12041" max="12041" width="10.1640625" customWidth="1"/>
    <col min="12042" max="12042" width="3.1640625" customWidth="1"/>
    <col min="12289" max="12289" width="31.83203125" customWidth="1"/>
    <col min="12290" max="12291" width="9" customWidth="1"/>
    <col min="12292" max="12292" width="2.5" customWidth="1"/>
    <col min="12293" max="12293" width="9.5" customWidth="1"/>
    <col min="12294" max="12294" width="10.6640625" customWidth="1"/>
    <col min="12295" max="12295" width="2.6640625" customWidth="1"/>
    <col min="12296" max="12296" width="10" customWidth="1"/>
    <col min="12297" max="12297" width="10.1640625" customWidth="1"/>
    <col min="12298" max="12298" width="3.1640625" customWidth="1"/>
    <col min="12545" max="12545" width="31.83203125" customWidth="1"/>
    <col min="12546" max="12547" width="9" customWidth="1"/>
    <col min="12548" max="12548" width="2.5" customWidth="1"/>
    <col min="12549" max="12549" width="9.5" customWidth="1"/>
    <col min="12550" max="12550" width="10.6640625" customWidth="1"/>
    <col min="12551" max="12551" width="2.6640625" customWidth="1"/>
    <col min="12552" max="12552" width="10" customWidth="1"/>
    <col min="12553" max="12553" width="10.1640625" customWidth="1"/>
    <col min="12554" max="12554" width="3.1640625" customWidth="1"/>
    <col min="12801" max="12801" width="31.83203125" customWidth="1"/>
    <col min="12802" max="12803" width="9" customWidth="1"/>
    <col min="12804" max="12804" width="2.5" customWidth="1"/>
    <col min="12805" max="12805" width="9.5" customWidth="1"/>
    <col min="12806" max="12806" width="10.6640625" customWidth="1"/>
    <col min="12807" max="12807" width="2.6640625" customWidth="1"/>
    <col min="12808" max="12808" width="10" customWidth="1"/>
    <col min="12809" max="12809" width="10.1640625" customWidth="1"/>
    <col min="12810" max="12810" width="3.1640625" customWidth="1"/>
    <col min="13057" max="13057" width="31.83203125" customWidth="1"/>
    <col min="13058" max="13059" width="9" customWidth="1"/>
    <col min="13060" max="13060" width="2.5" customWidth="1"/>
    <col min="13061" max="13061" width="9.5" customWidth="1"/>
    <col min="13062" max="13062" width="10.6640625" customWidth="1"/>
    <col min="13063" max="13063" width="2.6640625" customWidth="1"/>
    <col min="13064" max="13064" width="10" customWidth="1"/>
    <col min="13065" max="13065" width="10.1640625" customWidth="1"/>
    <col min="13066" max="13066" width="3.1640625" customWidth="1"/>
    <col min="13313" max="13313" width="31.83203125" customWidth="1"/>
    <col min="13314" max="13315" width="9" customWidth="1"/>
    <col min="13316" max="13316" width="2.5" customWidth="1"/>
    <col min="13317" max="13317" width="9.5" customWidth="1"/>
    <col min="13318" max="13318" width="10.6640625" customWidth="1"/>
    <col min="13319" max="13319" width="2.6640625" customWidth="1"/>
    <col min="13320" max="13320" width="10" customWidth="1"/>
    <col min="13321" max="13321" width="10.1640625" customWidth="1"/>
    <col min="13322" max="13322" width="3.1640625" customWidth="1"/>
    <col min="13569" max="13569" width="31.83203125" customWidth="1"/>
    <col min="13570" max="13571" width="9" customWidth="1"/>
    <col min="13572" max="13572" width="2.5" customWidth="1"/>
    <col min="13573" max="13573" width="9.5" customWidth="1"/>
    <col min="13574" max="13574" width="10.6640625" customWidth="1"/>
    <col min="13575" max="13575" width="2.6640625" customWidth="1"/>
    <col min="13576" max="13576" width="10" customWidth="1"/>
    <col min="13577" max="13577" width="10.1640625" customWidth="1"/>
    <col min="13578" max="13578" width="3.1640625" customWidth="1"/>
    <col min="13825" max="13825" width="31.83203125" customWidth="1"/>
    <col min="13826" max="13827" width="9" customWidth="1"/>
    <col min="13828" max="13828" width="2.5" customWidth="1"/>
    <col min="13829" max="13829" width="9.5" customWidth="1"/>
    <col min="13830" max="13830" width="10.6640625" customWidth="1"/>
    <col min="13831" max="13831" width="2.6640625" customWidth="1"/>
    <col min="13832" max="13832" width="10" customWidth="1"/>
    <col min="13833" max="13833" width="10.1640625" customWidth="1"/>
    <col min="13834" max="13834" width="3.1640625" customWidth="1"/>
    <col min="14081" max="14081" width="31.83203125" customWidth="1"/>
    <col min="14082" max="14083" width="9" customWidth="1"/>
    <col min="14084" max="14084" width="2.5" customWidth="1"/>
    <col min="14085" max="14085" width="9.5" customWidth="1"/>
    <col min="14086" max="14086" width="10.6640625" customWidth="1"/>
    <col min="14087" max="14087" width="2.6640625" customWidth="1"/>
    <col min="14088" max="14088" width="10" customWidth="1"/>
    <col min="14089" max="14089" width="10.1640625" customWidth="1"/>
    <col min="14090" max="14090" width="3.1640625" customWidth="1"/>
    <col min="14337" max="14337" width="31.83203125" customWidth="1"/>
    <col min="14338" max="14339" width="9" customWidth="1"/>
    <col min="14340" max="14340" width="2.5" customWidth="1"/>
    <col min="14341" max="14341" width="9.5" customWidth="1"/>
    <col min="14342" max="14342" width="10.6640625" customWidth="1"/>
    <col min="14343" max="14343" width="2.6640625" customWidth="1"/>
    <col min="14344" max="14344" width="10" customWidth="1"/>
    <col min="14345" max="14345" width="10.1640625" customWidth="1"/>
    <col min="14346" max="14346" width="3.1640625" customWidth="1"/>
    <col min="14593" max="14593" width="31.83203125" customWidth="1"/>
    <col min="14594" max="14595" width="9" customWidth="1"/>
    <col min="14596" max="14596" width="2.5" customWidth="1"/>
    <col min="14597" max="14597" width="9.5" customWidth="1"/>
    <col min="14598" max="14598" width="10.6640625" customWidth="1"/>
    <col min="14599" max="14599" width="2.6640625" customWidth="1"/>
    <col min="14600" max="14600" width="10" customWidth="1"/>
    <col min="14601" max="14601" width="10.1640625" customWidth="1"/>
    <col min="14602" max="14602" width="3.1640625" customWidth="1"/>
    <col min="14849" max="14849" width="31.83203125" customWidth="1"/>
    <col min="14850" max="14851" width="9" customWidth="1"/>
    <col min="14852" max="14852" width="2.5" customWidth="1"/>
    <col min="14853" max="14853" width="9.5" customWidth="1"/>
    <col min="14854" max="14854" width="10.6640625" customWidth="1"/>
    <col min="14855" max="14855" width="2.6640625" customWidth="1"/>
    <col min="14856" max="14856" width="10" customWidth="1"/>
    <col min="14857" max="14857" width="10.1640625" customWidth="1"/>
    <col min="14858" max="14858" width="3.1640625" customWidth="1"/>
    <col min="15105" max="15105" width="31.83203125" customWidth="1"/>
    <col min="15106" max="15107" width="9" customWidth="1"/>
    <col min="15108" max="15108" width="2.5" customWidth="1"/>
    <col min="15109" max="15109" width="9.5" customWidth="1"/>
    <col min="15110" max="15110" width="10.6640625" customWidth="1"/>
    <col min="15111" max="15111" width="2.6640625" customWidth="1"/>
    <col min="15112" max="15112" width="10" customWidth="1"/>
    <col min="15113" max="15113" width="10.1640625" customWidth="1"/>
    <col min="15114" max="15114" width="3.1640625" customWidth="1"/>
    <col min="15361" max="15361" width="31.83203125" customWidth="1"/>
    <col min="15362" max="15363" width="9" customWidth="1"/>
    <col min="15364" max="15364" width="2.5" customWidth="1"/>
    <col min="15365" max="15365" width="9.5" customWidth="1"/>
    <col min="15366" max="15366" width="10.6640625" customWidth="1"/>
    <col min="15367" max="15367" width="2.6640625" customWidth="1"/>
    <col min="15368" max="15368" width="10" customWidth="1"/>
    <col min="15369" max="15369" width="10.1640625" customWidth="1"/>
    <col min="15370" max="15370" width="3.1640625" customWidth="1"/>
    <col min="15617" max="15617" width="31.83203125" customWidth="1"/>
    <col min="15618" max="15619" width="9" customWidth="1"/>
    <col min="15620" max="15620" width="2.5" customWidth="1"/>
    <col min="15621" max="15621" width="9.5" customWidth="1"/>
    <col min="15622" max="15622" width="10.6640625" customWidth="1"/>
    <col min="15623" max="15623" width="2.6640625" customWidth="1"/>
    <col min="15624" max="15624" width="10" customWidth="1"/>
    <col min="15625" max="15625" width="10.1640625" customWidth="1"/>
    <col min="15626" max="15626" width="3.1640625" customWidth="1"/>
    <col min="15873" max="15873" width="31.83203125" customWidth="1"/>
    <col min="15874" max="15875" width="9" customWidth="1"/>
    <col min="15876" max="15876" width="2.5" customWidth="1"/>
    <col min="15877" max="15877" width="9.5" customWidth="1"/>
    <col min="15878" max="15878" width="10.6640625" customWidth="1"/>
    <col min="15879" max="15879" width="2.6640625" customWidth="1"/>
    <col min="15880" max="15880" width="10" customWidth="1"/>
    <col min="15881" max="15881" width="10.1640625" customWidth="1"/>
    <col min="15882" max="15882" width="3.1640625" customWidth="1"/>
    <col min="16129" max="16129" width="31.83203125" customWidth="1"/>
    <col min="16130" max="16131" width="9" customWidth="1"/>
    <col min="16132" max="16132" width="2.5" customWidth="1"/>
    <col min="16133" max="16133" width="9.5" customWidth="1"/>
    <col min="16134" max="16134" width="10.6640625" customWidth="1"/>
    <col min="16135" max="16135" width="2.6640625" customWidth="1"/>
    <col min="16136" max="16136" width="10" customWidth="1"/>
    <col min="16137" max="16137" width="10.1640625" customWidth="1"/>
    <col min="16138" max="16138" width="3.1640625" customWidth="1"/>
  </cols>
  <sheetData>
    <row r="1" spans="1:10">
      <c r="A1" s="33" t="s">
        <v>689</v>
      </c>
      <c r="B1" s="33"/>
      <c r="C1" s="33"/>
      <c r="D1" s="33"/>
      <c r="E1" s="33"/>
    </row>
    <row r="2" spans="1:10">
      <c r="A2" s="33" t="s">
        <v>690</v>
      </c>
      <c r="B2" s="33"/>
      <c r="C2" s="33"/>
      <c r="D2" s="33"/>
      <c r="E2" s="33"/>
    </row>
    <row r="3" spans="1:10">
      <c r="A3" s="33"/>
      <c r="B3" s="33"/>
      <c r="C3" s="33"/>
      <c r="D3" s="33"/>
      <c r="E3" s="33"/>
    </row>
    <row r="4" spans="1:10">
      <c r="A4" s="14" t="s">
        <v>1995</v>
      </c>
      <c r="B4" s="33"/>
      <c r="C4" s="33"/>
      <c r="D4" s="33"/>
      <c r="E4" s="33"/>
    </row>
    <row r="5" spans="1:10" ht="16" thickBot="1">
      <c r="A5" s="33"/>
      <c r="B5" s="33"/>
      <c r="C5" s="33"/>
      <c r="D5" s="33"/>
      <c r="E5" s="33"/>
    </row>
    <row r="6" spans="1:10">
      <c r="A6" s="188"/>
      <c r="B6" s="188"/>
      <c r="C6" s="188"/>
      <c r="D6" s="188"/>
      <c r="E6" s="188"/>
      <c r="F6" s="15"/>
      <c r="G6" s="15"/>
      <c r="H6" s="15"/>
      <c r="I6" s="15"/>
      <c r="J6" s="15"/>
    </row>
    <row r="7" spans="1:10">
      <c r="A7" s="83"/>
      <c r="B7" s="57"/>
      <c r="C7" s="57"/>
      <c r="D7" s="57"/>
      <c r="E7" s="1037" t="s">
        <v>1310</v>
      </c>
      <c r="F7" s="1037"/>
      <c r="G7" s="1037"/>
      <c r="H7" s="1037"/>
      <c r="I7" s="1037"/>
      <c r="J7" s="41"/>
    </row>
    <row r="8" spans="1:10" ht="16">
      <c r="A8" s="33" t="s">
        <v>1311</v>
      </c>
      <c r="B8" s="1037" t="s">
        <v>497</v>
      </c>
      <c r="C8" s="1037"/>
      <c r="D8" s="490"/>
      <c r="E8" s="1053" t="s">
        <v>1312</v>
      </c>
      <c r="F8" s="1053"/>
      <c r="H8" s="1053" t="s">
        <v>1313</v>
      </c>
      <c r="I8" s="1053"/>
    </row>
    <row r="9" spans="1:10">
      <c r="B9" t="s">
        <v>1172</v>
      </c>
      <c r="C9" t="s">
        <v>1043</v>
      </c>
      <c r="E9" t="s">
        <v>1172</v>
      </c>
      <c r="F9" t="s">
        <v>1043</v>
      </c>
      <c r="H9" t="s">
        <v>1172</v>
      </c>
      <c r="I9" t="s">
        <v>1043</v>
      </c>
    </row>
    <row r="10" spans="1:10" s="41" customFormat="1" ht="16" thickBot="1">
      <c r="A10" s="199"/>
      <c r="B10" s="23"/>
      <c r="C10" s="23"/>
      <c r="D10" s="23"/>
      <c r="E10" s="23"/>
      <c r="F10" s="23"/>
      <c r="G10" s="23"/>
      <c r="H10" s="23"/>
      <c r="I10" s="23"/>
      <c r="J10" s="23"/>
    </row>
    <row r="11" spans="1:10">
      <c r="A11" s="33"/>
      <c r="B11" s="33"/>
      <c r="C11" s="33"/>
      <c r="D11" s="33"/>
      <c r="E11" s="33"/>
    </row>
    <row r="12" spans="1:10">
      <c r="A12" s="55" t="s">
        <v>148</v>
      </c>
      <c r="B12" s="33">
        <f>SUM(B13:B18)</f>
        <v>261</v>
      </c>
      <c r="C12" s="73">
        <f>SUM(C14:C17)</f>
        <v>100</v>
      </c>
      <c r="D12" s="73"/>
      <c r="E12" s="33">
        <f>SUM(E13:E18)</f>
        <v>168</v>
      </c>
      <c r="F12" s="36">
        <f>E12/$B$12*100</f>
        <v>64.367816091954026</v>
      </c>
      <c r="H12" s="33">
        <f>SUM(H13:H18)</f>
        <v>93</v>
      </c>
      <c r="I12" s="36">
        <f>H12/$B$12*100</f>
        <v>35.632183908045981</v>
      </c>
    </row>
    <row r="13" spans="1:10">
      <c r="A13" s="33"/>
      <c r="B13" s="33"/>
      <c r="C13" s="73"/>
      <c r="D13" s="33"/>
      <c r="F13" s="36"/>
      <c r="I13" s="36"/>
    </row>
    <row r="14" spans="1:10" ht="18" customHeight="1">
      <c r="A14" s="33" t="s">
        <v>1314</v>
      </c>
      <c r="B14" s="33">
        <f>E14+H14</f>
        <v>28</v>
      </c>
      <c r="C14" s="73">
        <f>IF(A14&lt;&gt;0,B14/$B$12*100,"")</f>
        <v>10.727969348659004</v>
      </c>
      <c r="D14" s="73"/>
      <c r="E14">
        <v>26</v>
      </c>
      <c r="F14" s="36">
        <f>E14/B14*100</f>
        <v>92.857142857142861</v>
      </c>
      <c r="H14">
        <v>2</v>
      </c>
      <c r="I14" s="36">
        <f>IF(A14&lt;&gt;"",H14/B14*100,"")</f>
        <v>7.1428571428571423</v>
      </c>
    </row>
    <row r="15" spans="1:10" ht="18" customHeight="1">
      <c r="A15" s="33" t="s">
        <v>1315</v>
      </c>
      <c r="B15" s="33">
        <f>E15+H15</f>
        <v>143</v>
      </c>
      <c r="C15" s="73">
        <f>IF(A15&lt;&gt;0,B15/$B$12*100,"")</f>
        <v>54.78927203065134</v>
      </c>
      <c r="D15" s="73"/>
      <c r="E15">
        <v>73</v>
      </c>
      <c r="F15" s="36">
        <f>E15/B15*100</f>
        <v>51.048951048951054</v>
      </c>
      <c r="H15">
        <v>70</v>
      </c>
      <c r="I15" s="36">
        <f>IF(A15&lt;&gt;"",H15/B15*100,"")</f>
        <v>48.951048951048953</v>
      </c>
    </row>
    <row r="16" spans="1:10" ht="18" customHeight="1">
      <c r="A16" s="33" t="s">
        <v>1316</v>
      </c>
      <c r="B16" s="33">
        <f>E16+H16</f>
        <v>32</v>
      </c>
      <c r="C16" s="73">
        <f>IF(A16&lt;&gt;0,B16/$B$12*100,"")</f>
        <v>12.260536398467432</v>
      </c>
      <c r="D16" s="73"/>
      <c r="E16">
        <v>14</v>
      </c>
      <c r="F16" s="36">
        <f>E16/B16*100</f>
        <v>43.75</v>
      </c>
      <c r="H16">
        <v>18</v>
      </c>
      <c r="I16" s="36">
        <f>IF(A16&lt;&gt;"",H16/B16*100,"")</f>
        <v>56.25</v>
      </c>
    </row>
    <row r="17" spans="1:10" ht="18" customHeight="1">
      <c r="A17" s="33" t="s">
        <v>1996</v>
      </c>
      <c r="B17" s="33">
        <f>E17+H17</f>
        <v>58</v>
      </c>
      <c r="C17" s="73">
        <f>IF(A17&lt;&gt;0,B17/$B$12*100,"")</f>
        <v>22.222222222222221</v>
      </c>
      <c r="D17" s="73"/>
      <c r="E17">
        <v>55</v>
      </c>
      <c r="F17" s="36">
        <f>E17/B17*100</f>
        <v>94.827586206896555</v>
      </c>
      <c r="H17">
        <v>3</v>
      </c>
      <c r="I17" s="36">
        <f>IF(A17&lt;&gt;"",H17/B17*100,"")</f>
        <v>5.1724137931034484</v>
      </c>
    </row>
    <row r="18" spans="1:10" ht="18" customHeight="1" thickBot="1">
      <c r="A18" s="199"/>
      <c r="B18" s="199"/>
      <c r="C18" s="198" t="str">
        <f>IF(A18&lt;&gt;0,B18/$B$12*100,"")</f>
        <v/>
      </c>
      <c r="D18" s="198"/>
      <c r="E18" s="23"/>
      <c r="F18" s="51"/>
      <c r="G18" s="23"/>
      <c r="H18" s="23"/>
      <c r="I18" s="51"/>
      <c r="J18" s="23"/>
    </row>
    <row r="19" spans="1:10">
      <c r="A19" s="33"/>
      <c r="B19" s="33"/>
      <c r="C19" s="33"/>
      <c r="D19" s="33"/>
      <c r="E19" s="33"/>
      <c r="F19" s="36"/>
      <c r="I19" s="36"/>
    </row>
    <row r="20" spans="1:10" ht="16">
      <c r="A20" s="203" t="s">
        <v>1317</v>
      </c>
      <c r="B20" s="33"/>
      <c r="C20" s="33"/>
      <c r="D20" s="33"/>
      <c r="E20" s="33"/>
      <c r="F20" s="36"/>
      <c r="I20" s="36"/>
    </row>
    <row r="21" spans="1:10" ht="16">
      <c r="A21" s="203" t="s">
        <v>1318</v>
      </c>
      <c r="B21" s="33"/>
      <c r="C21" s="33"/>
      <c r="D21" s="33"/>
      <c r="E21" s="33"/>
      <c r="F21" s="36"/>
      <c r="I21" s="36"/>
    </row>
    <row r="22" spans="1:10" ht="16">
      <c r="A22" s="203" t="s">
        <v>1319</v>
      </c>
      <c r="B22" s="33"/>
      <c r="C22" s="33"/>
      <c r="D22" s="33"/>
      <c r="E22" s="33"/>
      <c r="F22" s="36"/>
      <c r="I22" s="36"/>
    </row>
    <row r="23" spans="1:10" ht="16">
      <c r="A23" s="203" t="s">
        <v>1320</v>
      </c>
      <c r="B23" s="33"/>
      <c r="C23" s="33"/>
      <c r="D23" s="33"/>
      <c r="E23" s="33"/>
      <c r="F23" s="36"/>
      <c r="I23" s="36"/>
    </row>
    <row r="24" spans="1:10" ht="16">
      <c r="A24" s="203" t="s">
        <v>1321</v>
      </c>
      <c r="B24" s="33"/>
      <c r="C24" s="33"/>
      <c r="D24" s="33"/>
      <c r="E24" s="33"/>
      <c r="F24" s="36"/>
      <c r="I24" s="36"/>
    </row>
    <row r="25" spans="1:10" ht="16">
      <c r="A25" s="203" t="s">
        <v>1322</v>
      </c>
      <c r="B25" s="33"/>
      <c r="C25" s="33"/>
      <c r="D25" s="33"/>
      <c r="E25" s="33"/>
      <c r="F25" s="36"/>
      <c r="I25" s="36"/>
    </row>
    <row r="26" spans="1:10" ht="16">
      <c r="A26" s="203" t="s">
        <v>1323</v>
      </c>
      <c r="B26" s="33"/>
      <c r="C26" s="33"/>
      <c r="D26" s="33"/>
      <c r="E26" s="33"/>
      <c r="F26" s="36"/>
      <c r="I26" s="36"/>
    </row>
    <row r="27" spans="1:10">
      <c r="A27" s="33"/>
      <c r="B27" s="33"/>
      <c r="C27" s="33"/>
      <c r="D27" s="33"/>
      <c r="E27" s="33"/>
      <c r="F27" s="36"/>
      <c r="I27" s="36"/>
    </row>
    <row r="28" spans="1:10">
      <c r="A28" s="33" t="s">
        <v>1324</v>
      </c>
      <c r="B28" s="33"/>
      <c r="C28" s="33"/>
      <c r="D28" s="33"/>
      <c r="E28" s="33"/>
      <c r="F28" s="36"/>
      <c r="I28" s="36"/>
    </row>
    <row r="29" spans="1:10">
      <c r="A29" s="33" t="s">
        <v>452</v>
      </c>
      <c r="B29" s="33"/>
      <c r="C29" s="33"/>
      <c r="D29" s="33"/>
      <c r="E29" s="33"/>
      <c r="F29" s="36"/>
      <c r="I29" s="36"/>
    </row>
    <row r="30" spans="1:10">
      <c r="F30" s="36"/>
      <c r="I30" s="36"/>
    </row>
    <row r="31" spans="1:10">
      <c r="F31" s="36"/>
      <c r="I31" s="36"/>
    </row>
    <row r="32" spans="1:10">
      <c r="F32" s="36"/>
      <c r="I32" s="36"/>
    </row>
    <row r="33" spans="6:9">
      <c r="F33" s="36"/>
      <c r="I33" s="36"/>
    </row>
    <row r="34" spans="6:9">
      <c r="F34" s="36"/>
      <c r="I34" s="36"/>
    </row>
    <row r="35" spans="6:9">
      <c r="F35" s="36"/>
      <c r="I35" s="36"/>
    </row>
    <row r="36" spans="6:9">
      <c r="F36" s="36"/>
      <c r="I36" s="36"/>
    </row>
  </sheetData>
  <mergeCells count="4">
    <mergeCell ref="E7:I7"/>
    <mergeCell ref="B8:C8"/>
    <mergeCell ref="E8:F8"/>
    <mergeCell ref="H8:I8"/>
  </mergeCells>
  <pageMargins left="0.70866141732283472" right="0.70866141732283472" top="0.74803149606299213" bottom="0.74803149606299213" header="0.31496062992125984" footer="0.31496062992125984"/>
  <pageSetup scale="9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X53"/>
  <sheetViews>
    <sheetView zoomScale="90" zoomScaleNormal="90" workbookViewId="0">
      <selection activeCell="J8" sqref="J8"/>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1.6640625" style="140" customWidth="1"/>
    <col min="10" max="10" width="9.1640625" style="95" customWidth="1"/>
    <col min="11" max="11" width="2.6640625" style="95" customWidth="1"/>
    <col min="12" max="12" width="8.83203125" style="140" customWidth="1"/>
    <col min="13" max="13" width="1.5" style="95" customWidth="1"/>
    <col min="14" max="14" width="9.1640625" style="95" customWidth="1"/>
    <col min="15" max="15" width="2.6640625" style="95" customWidth="1"/>
    <col min="16" max="16" width="10.6640625" style="95" customWidth="1"/>
    <col min="17" max="17" width="2" style="95" customWidth="1"/>
    <col min="18" max="18" width="10.33203125" style="95" customWidth="1"/>
    <col min="19" max="19" width="3" style="95" customWidth="1"/>
    <col min="20" max="20" width="10.1640625" style="95" customWidth="1"/>
    <col min="21" max="21" width="2" style="95" customWidth="1"/>
    <col min="22" max="22" width="10" style="95" customWidth="1"/>
    <col min="23" max="23" width="3" style="95" customWidth="1"/>
    <col min="24" max="24" width="25.1640625" style="95" customWidth="1"/>
    <col min="25"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1.6640625" style="95" customWidth="1"/>
    <col min="266" max="266" width="9.1640625" style="95" customWidth="1"/>
    <col min="267" max="267" width="2.6640625" style="95" customWidth="1"/>
    <col min="268" max="268" width="8.83203125" style="95" customWidth="1"/>
    <col min="269" max="269" width="1.5" style="95" customWidth="1"/>
    <col min="270" max="270" width="9.1640625" style="95" customWidth="1"/>
    <col min="271" max="271" width="2.6640625" style="95" customWidth="1"/>
    <col min="272" max="272" width="10.6640625" style="95" customWidth="1"/>
    <col min="273" max="273" width="2" style="95" customWidth="1"/>
    <col min="274" max="274" width="10.33203125" style="95" customWidth="1"/>
    <col min="275" max="275" width="3" style="95" customWidth="1"/>
    <col min="276" max="276" width="10.1640625" style="95" customWidth="1"/>
    <col min="277" max="277" width="2" style="95" customWidth="1"/>
    <col min="278" max="278" width="10" style="95" customWidth="1"/>
    <col min="279" max="279" width="3" style="95" customWidth="1"/>
    <col min="280" max="280" width="25.1640625" style="95" customWidth="1"/>
    <col min="281"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1.6640625" style="95" customWidth="1"/>
    <col min="522" max="522" width="9.1640625" style="95" customWidth="1"/>
    <col min="523" max="523" width="2.6640625" style="95" customWidth="1"/>
    <col min="524" max="524" width="8.83203125" style="95" customWidth="1"/>
    <col min="525" max="525" width="1.5" style="95" customWidth="1"/>
    <col min="526" max="526" width="9.1640625" style="95" customWidth="1"/>
    <col min="527" max="527" width="2.6640625" style="95" customWidth="1"/>
    <col min="528" max="528" width="10.6640625" style="95" customWidth="1"/>
    <col min="529" max="529" width="2" style="95" customWidth="1"/>
    <col min="530" max="530" width="10.33203125" style="95" customWidth="1"/>
    <col min="531" max="531" width="3" style="95" customWidth="1"/>
    <col min="532" max="532" width="10.1640625" style="95" customWidth="1"/>
    <col min="533" max="533" width="2" style="95" customWidth="1"/>
    <col min="534" max="534" width="10" style="95" customWidth="1"/>
    <col min="535" max="535" width="3" style="95" customWidth="1"/>
    <col min="536" max="536" width="25.1640625" style="95" customWidth="1"/>
    <col min="537"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1.6640625" style="95" customWidth="1"/>
    <col min="778" max="778" width="9.1640625" style="95" customWidth="1"/>
    <col min="779" max="779" width="2.6640625" style="95" customWidth="1"/>
    <col min="780" max="780" width="8.83203125" style="95" customWidth="1"/>
    <col min="781" max="781" width="1.5" style="95" customWidth="1"/>
    <col min="782" max="782" width="9.1640625" style="95" customWidth="1"/>
    <col min="783" max="783" width="2.6640625" style="95" customWidth="1"/>
    <col min="784" max="784" width="10.6640625" style="95" customWidth="1"/>
    <col min="785" max="785" width="2" style="95" customWidth="1"/>
    <col min="786" max="786" width="10.33203125" style="95" customWidth="1"/>
    <col min="787" max="787" width="3" style="95" customWidth="1"/>
    <col min="788" max="788" width="10.1640625" style="95" customWidth="1"/>
    <col min="789" max="789" width="2" style="95" customWidth="1"/>
    <col min="790" max="790" width="10" style="95" customWidth="1"/>
    <col min="791" max="791" width="3" style="95" customWidth="1"/>
    <col min="792" max="792" width="25.1640625" style="95" customWidth="1"/>
    <col min="793"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1.6640625" style="95" customWidth="1"/>
    <col min="1034" max="1034" width="9.1640625" style="95" customWidth="1"/>
    <col min="1035" max="1035" width="2.6640625" style="95" customWidth="1"/>
    <col min="1036" max="1036" width="8.83203125" style="95" customWidth="1"/>
    <col min="1037" max="1037" width="1.5" style="95" customWidth="1"/>
    <col min="1038" max="1038" width="9.1640625" style="95" customWidth="1"/>
    <col min="1039" max="1039" width="2.6640625" style="95" customWidth="1"/>
    <col min="1040" max="1040" width="10.6640625" style="95" customWidth="1"/>
    <col min="1041" max="1041" width="2" style="95" customWidth="1"/>
    <col min="1042" max="1042" width="10.33203125" style="95" customWidth="1"/>
    <col min="1043" max="1043" width="3" style="95" customWidth="1"/>
    <col min="1044" max="1044" width="10.1640625" style="95" customWidth="1"/>
    <col min="1045" max="1045" width="2" style="95" customWidth="1"/>
    <col min="1046" max="1046" width="10" style="95" customWidth="1"/>
    <col min="1047" max="1047" width="3" style="95" customWidth="1"/>
    <col min="1048" max="1048" width="25.1640625" style="95" customWidth="1"/>
    <col min="1049"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1.6640625" style="95" customWidth="1"/>
    <col min="1290" max="1290" width="9.1640625" style="95" customWidth="1"/>
    <col min="1291" max="1291" width="2.6640625" style="95" customWidth="1"/>
    <col min="1292" max="1292" width="8.83203125" style="95" customWidth="1"/>
    <col min="1293" max="1293" width="1.5" style="95" customWidth="1"/>
    <col min="1294" max="1294" width="9.1640625" style="95" customWidth="1"/>
    <col min="1295" max="1295" width="2.6640625" style="95" customWidth="1"/>
    <col min="1296" max="1296" width="10.6640625" style="95" customWidth="1"/>
    <col min="1297" max="1297" width="2" style="95" customWidth="1"/>
    <col min="1298" max="1298" width="10.33203125" style="95" customWidth="1"/>
    <col min="1299" max="1299" width="3" style="95" customWidth="1"/>
    <col min="1300" max="1300" width="10.1640625" style="95" customWidth="1"/>
    <col min="1301" max="1301" width="2" style="95" customWidth="1"/>
    <col min="1302" max="1302" width="10" style="95" customWidth="1"/>
    <col min="1303" max="1303" width="3" style="95" customWidth="1"/>
    <col min="1304" max="1304" width="25.1640625" style="95" customWidth="1"/>
    <col min="1305"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1.6640625" style="95" customWidth="1"/>
    <col min="1546" max="1546" width="9.1640625" style="95" customWidth="1"/>
    <col min="1547" max="1547" width="2.6640625" style="95" customWidth="1"/>
    <col min="1548" max="1548" width="8.83203125" style="95" customWidth="1"/>
    <col min="1549" max="1549" width="1.5" style="95" customWidth="1"/>
    <col min="1550" max="1550" width="9.1640625" style="95" customWidth="1"/>
    <col min="1551" max="1551" width="2.6640625" style="95" customWidth="1"/>
    <col min="1552" max="1552" width="10.6640625" style="95" customWidth="1"/>
    <col min="1553" max="1553" width="2" style="95" customWidth="1"/>
    <col min="1554" max="1554" width="10.33203125" style="95" customWidth="1"/>
    <col min="1555" max="1555" width="3" style="95" customWidth="1"/>
    <col min="1556" max="1556" width="10.1640625" style="95" customWidth="1"/>
    <col min="1557" max="1557" width="2" style="95" customWidth="1"/>
    <col min="1558" max="1558" width="10" style="95" customWidth="1"/>
    <col min="1559" max="1559" width="3" style="95" customWidth="1"/>
    <col min="1560" max="1560" width="25.1640625" style="95" customWidth="1"/>
    <col min="1561"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1.6640625" style="95" customWidth="1"/>
    <col min="1802" max="1802" width="9.1640625" style="95" customWidth="1"/>
    <col min="1803" max="1803" width="2.6640625" style="95" customWidth="1"/>
    <col min="1804" max="1804" width="8.83203125" style="95" customWidth="1"/>
    <col min="1805" max="1805" width="1.5" style="95" customWidth="1"/>
    <col min="1806" max="1806" width="9.1640625" style="95" customWidth="1"/>
    <col min="1807" max="1807" width="2.6640625" style="95" customWidth="1"/>
    <col min="1808" max="1808" width="10.6640625" style="95" customWidth="1"/>
    <col min="1809" max="1809" width="2" style="95" customWidth="1"/>
    <col min="1810" max="1810" width="10.33203125" style="95" customWidth="1"/>
    <col min="1811" max="1811" width="3" style="95" customWidth="1"/>
    <col min="1812" max="1812" width="10.1640625" style="95" customWidth="1"/>
    <col min="1813" max="1813" width="2" style="95" customWidth="1"/>
    <col min="1814" max="1814" width="10" style="95" customWidth="1"/>
    <col min="1815" max="1815" width="3" style="95" customWidth="1"/>
    <col min="1816" max="1816" width="25.1640625" style="95" customWidth="1"/>
    <col min="1817"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1.6640625" style="95" customWidth="1"/>
    <col min="2058" max="2058" width="9.1640625" style="95" customWidth="1"/>
    <col min="2059" max="2059" width="2.6640625" style="95" customWidth="1"/>
    <col min="2060" max="2060" width="8.83203125" style="95" customWidth="1"/>
    <col min="2061" max="2061" width="1.5" style="95" customWidth="1"/>
    <col min="2062" max="2062" width="9.1640625" style="95" customWidth="1"/>
    <col min="2063" max="2063" width="2.6640625" style="95" customWidth="1"/>
    <col min="2064" max="2064" width="10.6640625" style="95" customWidth="1"/>
    <col min="2065" max="2065" width="2" style="95" customWidth="1"/>
    <col min="2066" max="2066" width="10.33203125" style="95" customWidth="1"/>
    <col min="2067" max="2067" width="3" style="95" customWidth="1"/>
    <col min="2068" max="2068" width="10.1640625" style="95" customWidth="1"/>
    <col min="2069" max="2069" width="2" style="95" customWidth="1"/>
    <col min="2070" max="2070" width="10" style="95" customWidth="1"/>
    <col min="2071" max="2071" width="3" style="95" customWidth="1"/>
    <col min="2072" max="2072" width="25.1640625" style="95" customWidth="1"/>
    <col min="2073"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1.6640625" style="95" customWidth="1"/>
    <col min="2314" max="2314" width="9.1640625" style="95" customWidth="1"/>
    <col min="2315" max="2315" width="2.6640625" style="95" customWidth="1"/>
    <col min="2316" max="2316" width="8.83203125" style="95" customWidth="1"/>
    <col min="2317" max="2317" width="1.5" style="95" customWidth="1"/>
    <col min="2318" max="2318" width="9.1640625" style="95" customWidth="1"/>
    <col min="2319" max="2319" width="2.6640625" style="95" customWidth="1"/>
    <col min="2320" max="2320" width="10.6640625" style="95" customWidth="1"/>
    <col min="2321" max="2321" width="2" style="95" customWidth="1"/>
    <col min="2322" max="2322" width="10.33203125" style="95" customWidth="1"/>
    <col min="2323" max="2323" width="3" style="95" customWidth="1"/>
    <col min="2324" max="2324" width="10.1640625" style="95" customWidth="1"/>
    <col min="2325" max="2325" width="2" style="95" customWidth="1"/>
    <col min="2326" max="2326" width="10" style="95" customWidth="1"/>
    <col min="2327" max="2327" width="3" style="95" customWidth="1"/>
    <col min="2328" max="2328" width="25.1640625" style="95" customWidth="1"/>
    <col min="2329"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1.6640625" style="95" customWidth="1"/>
    <col min="2570" max="2570" width="9.1640625" style="95" customWidth="1"/>
    <col min="2571" max="2571" width="2.6640625" style="95" customWidth="1"/>
    <col min="2572" max="2572" width="8.83203125" style="95" customWidth="1"/>
    <col min="2573" max="2573" width="1.5" style="95" customWidth="1"/>
    <col min="2574" max="2574" width="9.1640625" style="95" customWidth="1"/>
    <col min="2575" max="2575" width="2.6640625" style="95" customWidth="1"/>
    <col min="2576" max="2576" width="10.6640625" style="95" customWidth="1"/>
    <col min="2577" max="2577" width="2" style="95" customWidth="1"/>
    <col min="2578" max="2578" width="10.33203125" style="95" customWidth="1"/>
    <col min="2579" max="2579" width="3" style="95" customWidth="1"/>
    <col min="2580" max="2580" width="10.1640625" style="95" customWidth="1"/>
    <col min="2581" max="2581" width="2" style="95" customWidth="1"/>
    <col min="2582" max="2582" width="10" style="95" customWidth="1"/>
    <col min="2583" max="2583" width="3" style="95" customWidth="1"/>
    <col min="2584" max="2584" width="25.1640625" style="95" customWidth="1"/>
    <col min="2585"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1.6640625" style="95" customWidth="1"/>
    <col min="2826" max="2826" width="9.1640625" style="95" customWidth="1"/>
    <col min="2827" max="2827" width="2.6640625" style="95" customWidth="1"/>
    <col min="2828" max="2828" width="8.83203125" style="95" customWidth="1"/>
    <col min="2829" max="2829" width="1.5" style="95" customWidth="1"/>
    <col min="2830" max="2830" width="9.1640625" style="95" customWidth="1"/>
    <col min="2831" max="2831" width="2.6640625" style="95" customWidth="1"/>
    <col min="2832" max="2832" width="10.6640625" style="95" customWidth="1"/>
    <col min="2833" max="2833" width="2" style="95" customWidth="1"/>
    <col min="2834" max="2834" width="10.33203125" style="95" customWidth="1"/>
    <col min="2835" max="2835" width="3" style="95" customWidth="1"/>
    <col min="2836" max="2836" width="10.1640625" style="95" customWidth="1"/>
    <col min="2837" max="2837" width="2" style="95" customWidth="1"/>
    <col min="2838" max="2838" width="10" style="95" customWidth="1"/>
    <col min="2839" max="2839" width="3" style="95" customWidth="1"/>
    <col min="2840" max="2840" width="25.1640625" style="95" customWidth="1"/>
    <col min="2841"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1.6640625" style="95" customWidth="1"/>
    <col min="3082" max="3082" width="9.1640625" style="95" customWidth="1"/>
    <col min="3083" max="3083" width="2.6640625" style="95" customWidth="1"/>
    <col min="3084" max="3084" width="8.83203125" style="95" customWidth="1"/>
    <col min="3085" max="3085" width="1.5" style="95" customWidth="1"/>
    <col min="3086" max="3086" width="9.1640625" style="95" customWidth="1"/>
    <col min="3087" max="3087" width="2.6640625" style="95" customWidth="1"/>
    <col min="3088" max="3088" width="10.6640625" style="95" customWidth="1"/>
    <col min="3089" max="3089" width="2" style="95" customWidth="1"/>
    <col min="3090" max="3090" width="10.33203125" style="95" customWidth="1"/>
    <col min="3091" max="3091" width="3" style="95" customWidth="1"/>
    <col min="3092" max="3092" width="10.1640625" style="95" customWidth="1"/>
    <col min="3093" max="3093" width="2" style="95" customWidth="1"/>
    <col min="3094" max="3094" width="10" style="95" customWidth="1"/>
    <col min="3095" max="3095" width="3" style="95" customWidth="1"/>
    <col min="3096" max="3096" width="25.1640625" style="95" customWidth="1"/>
    <col min="3097"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1.6640625" style="95" customWidth="1"/>
    <col min="3338" max="3338" width="9.1640625" style="95" customWidth="1"/>
    <col min="3339" max="3339" width="2.6640625" style="95" customWidth="1"/>
    <col min="3340" max="3340" width="8.83203125" style="95" customWidth="1"/>
    <col min="3341" max="3341" width="1.5" style="95" customWidth="1"/>
    <col min="3342" max="3342" width="9.1640625" style="95" customWidth="1"/>
    <col min="3343" max="3343" width="2.6640625" style="95" customWidth="1"/>
    <col min="3344" max="3344" width="10.6640625" style="95" customWidth="1"/>
    <col min="3345" max="3345" width="2" style="95" customWidth="1"/>
    <col min="3346" max="3346" width="10.33203125" style="95" customWidth="1"/>
    <col min="3347" max="3347" width="3" style="95" customWidth="1"/>
    <col min="3348" max="3348" width="10.1640625" style="95" customWidth="1"/>
    <col min="3349" max="3349" width="2" style="95" customWidth="1"/>
    <col min="3350" max="3350" width="10" style="95" customWidth="1"/>
    <col min="3351" max="3351" width="3" style="95" customWidth="1"/>
    <col min="3352" max="3352" width="25.1640625" style="95" customWidth="1"/>
    <col min="3353"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1.6640625" style="95" customWidth="1"/>
    <col min="3594" max="3594" width="9.1640625" style="95" customWidth="1"/>
    <col min="3595" max="3595" width="2.6640625" style="95" customWidth="1"/>
    <col min="3596" max="3596" width="8.83203125" style="95" customWidth="1"/>
    <col min="3597" max="3597" width="1.5" style="95" customWidth="1"/>
    <col min="3598" max="3598" width="9.1640625" style="95" customWidth="1"/>
    <col min="3599" max="3599" width="2.6640625" style="95" customWidth="1"/>
    <col min="3600" max="3600" width="10.6640625" style="95" customWidth="1"/>
    <col min="3601" max="3601" width="2" style="95" customWidth="1"/>
    <col min="3602" max="3602" width="10.33203125" style="95" customWidth="1"/>
    <col min="3603" max="3603" width="3" style="95" customWidth="1"/>
    <col min="3604" max="3604" width="10.1640625" style="95" customWidth="1"/>
    <col min="3605" max="3605" width="2" style="95" customWidth="1"/>
    <col min="3606" max="3606" width="10" style="95" customWidth="1"/>
    <col min="3607" max="3607" width="3" style="95" customWidth="1"/>
    <col min="3608" max="3608" width="25.1640625" style="95" customWidth="1"/>
    <col min="3609"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1.6640625" style="95" customWidth="1"/>
    <col min="3850" max="3850" width="9.1640625" style="95" customWidth="1"/>
    <col min="3851" max="3851" width="2.6640625" style="95" customWidth="1"/>
    <col min="3852" max="3852" width="8.83203125" style="95" customWidth="1"/>
    <col min="3853" max="3853" width="1.5" style="95" customWidth="1"/>
    <col min="3854" max="3854" width="9.1640625" style="95" customWidth="1"/>
    <col min="3855" max="3855" width="2.6640625" style="95" customWidth="1"/>
    <col min="3856" max="3856" width="10.6640625" style="95" customWidth="1"/>
    <col min="3857" max="3857" width="2" style="95" customWidth="1"/>
    <col min="3858" max="3858" width="10.33203125" style="95" customWidth="1"/>
    <col min="3859" max="3859" width="3" style="95" customWidth="1"/>
    <col min="3860" max="3860" width="10.1640625" style="95" customWidth="1"/>
    <col min="3861" max="3861" width="2" style="95" customWidth="1"/>
    <col min="3862" max="3862" width="10" style="95" customWidth="1"/>
    <col min="3863" max="3863" width="3" style="95" customWidth="1"/>
    <col min="3864" max="3864" width="25.1640625" style="95" customWidth="1"/>
    <col min="3865"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1.6640625" style="95" customWidth="1"/>
    <col min="4106" max="4106" width="9.1640625" style="95" customWidth="1"/>
    <col min="4107" max="4107" width="2.6640625" style="95" customWidth="1"/>
    <col min="4108" max="4108" width="8.83203125" style="95" customWidth="1"/>
    <col min="4109" max="4109" width="1.5" style="95" customWidth="1"/>
    <col min="4110" max="4110" width="9.1640625" style="95" customWidth="1"/>
    <col min="4111" max="4111" width="2.6640625" style="95" customWidth="1"/>
    <col min="4112" max="4112" width="10.6640625" style="95" customWidth="1"/>
    <col min="4113" max="4113" width="2" style="95" customWidth="1"/>
    <col min="4114" max="4114" width="10.33203125" style="95" customWidth="1"/>
    <col min="4115" max="4115" width="3" style="95" customWidth="1"/>
    <col min="4116" max="4116" width="10.1640625" style="95" customWidth="1"/>
    <col min="4117" max="4117" width="2" style="95" customWidth="1"/>
    <col min="4118" max="4118" width="10" style="95" customWidth="1"/>
    <col min="4119" max="4119" width="3" style="95" customWidth="1"/>
    <col min="4120" max="4120" width="25.1640625" style="95" customWidth="1"/>
    <col min="4121"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1.6640625" style="95" customWidth="1"/>
    <col min="4362" max="4362" width="9.1640625" style="95" customWidth="1"/>
    <col min="4363" max="4363" width="2.6640625" style="95" customWidth="1"/>
    <col min="4364" max="4364" width="8.83203125" style="95" customWidth="1"/>
    <col min="4365" max="4365" width="1.5" style="95" customWidth="1"/>
    <col min="4366" max="4366" width="9.1640625" style="95" customWidth="1"/>
    <col min="4367" max="4367" width="2.6640625" style="95" customWidth="1"/>
    <col min="4368" max="4368" width="10.6640625" style="95" customWidth="1"/>
    <col min="4369" max="4369" width="2" style="95" customWidth="1"/>
    <col min="4370" max="4370" width="10.33203125" style="95" customWidth="1"/>
    <col min="4371" max="4371" width="3" style="95" customWidth="1"/>
    <col min="4372" max="4372" width="10.1640625" style="95" customWidth="1"/>
    <col min="4373" max="4373" width="2" style="95" customWidth="1"/>
    <col min="4374" max="4374" width="10" style="95" customWidth="1"/>
    <col min="4375" max="4375" width="3" style="95" customWidth="1"/>
    <col min="4376" max="4376" width="25.1640625" style="95" customWidth="1"/>
    <col min="4377"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1.6640625" style="95" customWidth="1"/>
    <col min="4618" max="4618" width="9.1640625" style="95" customWidth="1"/>
    <col min="4619" max="4619" width="2.6640625" style="95" customWidth="1"/>
    <col min="4620" max="4620" width="8.83203125" style="95" customWidth="1"/>
    <col min="4621" max="4621" width="1.5" style="95" customWidth="1"/>
    <col min="4622" max="4622" width="9.1640625" style="95" customWidth="1"/>
    <col min="4623" max="4623" width="2.6640625" style="95" customWidth="1"/>
    <col min="4624" max="4624" width="10.6640625" style="95" customWidth="1"/>
    <col min="4625" max="4625" width="2" style="95" customWidth="1"/>
    <col min="4626" max="4626" width="10.33203125" style="95" customWidth="1"/>
    <col min="4627" max="4627" width="3" style="95" customWidth="1"/>
    <col min="4628" max="4628" width="10.1640625" style="95" customWidth="1"/>
    <col min="4629" max="4629" width="2" style="95" customWidth="1"/>
    <col min="4630" max="4630" width="10" style="95" customWidth="1"/>
    <col min="4631" max="4631" width="3" style="95" customWidth="1"/>
    <col min="4632" max="4632" width="25.1640625" style="95" customWidth="1"/>
    <col min="4633"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1.6640625" style="95" customWidth="1"/>
    <col min="4874" max="4874" width="9.1640625" style="95" customWidth="1"/>
    <col min="4875" max="4875" width="2.6640625" style="95" customWidth="1"/>
    <col min="4876" max="4876" width="8.83203125" style="95" customWidth="1"/>
    <col min="4877" max="4877" width="1.5" style="95" customWidth="1"/>
    <col min="4878" max="4878" width="9.1640625" style="95" customWidth="1"/>
    <col min="4879" max="4879" width="2.6640625" style="95" customWidth="1"/>
    <col min="4880" max="4880" width="10.6640625" style="95" customWidth="1"/>
    <col min="4881" max="4881" width="2" style="95" customWidth="1"/>
    <col min="4882" max="4882" width="10.33203125" style="95" customWidth="1"/>
    <col min="4883" max="4883" width="3" style="95" customWidth="1"/>
    <col min="4884" max="4884" width="10.1640625" style="95" customWidth="1"/>
    <col min="4885" max="4885" width="2" style="95" customWidth="1"/>
    <col min="4886" max="4886" width="10" style="95" customWidth="1"/>
    <col min="4887" max="4887" width="3" style="95" customWidth="1"/>
    <col min="4888" max="4888" width="25.1640625" style="95" customWidth="1"/>
    <col min="4889"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1.6640625" style="95" customWidth="1"/>
    <col min="5130" max="5130" width="9.1640625" style="95" customWidth="1"/>
    <col min="5131" max="5131" width="2.6640625" style="95" customWidth="1"/>
    <col min="5132" max="5132" width="8.83203125" style="95" customWidth="1"/>
    <col min="5133" max="5133" width="1.5" style="95" customWidth="1"/>
    <col min="5134" max="5134" width="9.1640625" style="95" customWidth="1"/>
    <col min="5135" max="5135" width="2.6640625" style="95" customWidth="1"/>
    <col min="5136" max="5136" width="10.6640625" style="95" customWidth="1"/>
    <col min="5137" max="5137" width="2" style="95" customWidth="1"/>
    <col min="5138" max="5138" width="10.33203125" style="95" customWidth="1"/>
    <col min="5139" max="5139" width="3" style="95" customWidth="1"/>
    <col min="5140" max="5140" width="10.1640625" style="95" customWidth="1"/>
    <col min="5141" max="5141" width="2" style="95" customWidth="1"/>
    <col min="5142" max="5142" width="10" style="95" customWidth="1"/>
    <col min="5143" max="5143" width="3" style="95" customWidth="1"/>
    <col min="5144" max="5144" width="25.1640625" style="95" customWidth="1"/>
    <col min="5145"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1.6640625" style="95" customWidth="1"/>
    <col min="5386" max="5386" width="9.1640625" style="95" customWidth="1"/>
    <col min="5387" max="5387" width="2.6640625" style="95" customWidth="1"/>
    <col min="5388" max="5388" width="8.83203125" style="95" customWidth="1"/>
    <col min="5389" max="5389" width="1.5" style="95" customWidth="1"/>
    <col min="5390" max="5390" width="9.1640625" style="95" customWidth="1"/>
    <col min="5391" max="5391" width="2.6640625" style="95" customWidth="1"/>
    <col min="5392" max="5392" width="10.6640625" style="95" customWidth="1"/>
    <col min="5393" max="5393" width="2" style="95" customWidth="1"/>
    <col min="5394" max="5394" width="10.33203125" style="95" customWidth="1"/>
    <col min="5395" max="5395" width="3" style="95" customWidth="1"/>
    <col min="5396" max="5396" width="10.1640625" style="95" customWidth="1"/>
    <col min="5397" max="5397" width="2" style="95" customWidth="1"/>
    <col min="5398" max="5398" width="10" style="95" customWidth="1"/>
    <col min="5399" max="5399" width="3" style="95" customWidth="1"/>
    <col min="5400" max="5400" width="25.1640625" style="95" customWidth="1"/>
    <col min="5401"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1.6640625" style="95" customWidth="1"/>
    <col min="5642" max="5642" width="9.1640625" style="95" customWidth="1"/>
    <col min="5643" max="5643" width="2.6640625" style="95" customWidth="1"/>
    <col min="5644" max="5644" width="8.83203125" style="95" customWidth="1"/>
    <col min="5645" max="5645" width="1.5" style="95" customWidth="1"/>
    <col min="5646" max="5646" width="9.1640625" style="95" customWidth="1"/>
    <col min="5647" max="5647" width="2.6640625" style="95" customWidth="1"/>
    <col min="5648" max="5648" width="10.6640625" style="95" customWidth="1"/>
    <col min="5649" max="5649" width="2" style="95" customWidth="1"/>
    <col min="5650" max="5650" width="10.33203125" style="95" customWidth="1"/>
    <col min="5651" max="5651" width="3" style="95" customWidth="1"/>
    <col min="5652" max="5652" width="10.1640625" style="95" customWidth="1"/>
    <col min="5653" max="5653" width="2" style="95" customWidth="1"/>
    <col min="5654" max="5654" width="10" style="95" customWidth="1"/>
    <col min="5655" max="5655" width="3" style="95" customWidth="1"/>
    <col min="5656" max="5656" width="25.1640625" style="95" customWidth="1"/>
    <col min="5657"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1.6640625" style="95" customWidth="1"/>
    <col min="5898" max="5898" width="9.1640625" style="95" customWidth="1"/>
    <col min="5899" max="5899" width="2.6640625" style="95" customWidth="1"/>
    <col min="5900" max="5900" width="8.83203125" style="95" customWidth="1"/>
    <col min="5901" max="5901" width="1.5" style="95" customWidth="1"/>
    <col min="5902" max="5902" width="9.1640625" style="95" customWidth="1"/>
    <col min="5903" max="5903" width="2.6640625" style="95" customWidth="1"/>
    <col min="5904" max="5904" width="10.6640625" style="95" customWidth="1"/>
    <col min="5905" max="5905" width="2" style="95" customWidth="1"/>
    <col min="5906" max="5906" width="10.33203125" style="95" customWidth="1"/>
    <col min="5907" max="5907" width="3" style="95" customWidth="1"/>
    <col min="5908" max="5908" width="10.1640625" style="95" customWidth="1"/>
    <col min="5909" max="5909" width="2" style="95" customWidth="1"/>
    <col min="5910" max="5910" width="10" style="95" customWidth="1"/>
    <col min="5911" max="5911" width="3" style="95" customWidth="1"/>
    <col min="5912" max="5912" width="25.1640625" style="95" customWidth="1"/>
    <col min="5913"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1.6640625" style="95" customWidth="1"/>
    <col min="6154" max="6154" width="9.1640625" style="95" customWidth="1"/>
    <col min="6155" max="6155" width="2.6640625" style="95" customWidth="1"/>
    <col min="6156" max="6156" width="8.83203125" style="95" customWidth="1"/>
    <col min="6157" max="6157" width="1.5" style="95" customWidth="1"/>
    <col min="6158" max="6158" width="9.1640625" style="95" customWidth="1"/>
    <col min="6159" max="6159" width="2.6640625" style="95" customWidth="1"/>
    <col min="6160" max="6160" width="10.6640625" style="95" customWidth="1"/>
    <col min="6161" max="6161" width="2" style="95" customWidth="1"/>
    <col min="6162" max="6162" width="10.33203125" style="95" customWidth="1"/>
    <col min="6163" max="6163" width="3" style="95" customWidth="1"/>
    <col min="6164" max="6164" width="10.1640625" style="95" customWidth="1"/>
    <col min="6165" max="6165" width="2" style="95" customWidth="1"/>
    <col min="6166" max="6166" width="10" style="95" customWidth="1"/>
    <col min="6167" max="6167" width="3" style="95" customWidth="1"/>
    <col min="6168" max="6168" width="25.1640625" style="95" customWidth="1"/>
    <col min="6169"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1.6640625" style="95" customWidth="1"/>
    <col min="6410" max="6410" width="9.1640625" style="95" customWidth="1"/>
    <col min="6411" max="6411" width="2.6640625" style="95" customWidth="1"/>
    <col min="6412" max="6412" width="8.83203125" style="95" customWidth="1"/>
    <col min="6413" max="6413" width="1.5" style="95" customWidth="1"/>
    <col min="6414" max="6414" width="9.1640625" style="95" customWidth="1"/>
    <col min="6415" max="6415" width="2.6640625" style="95" customWidth="1"/>
    <col min="6416" max="6416" width="10.6640625" style="95" customWidth="1"/>
    <col min="6417" max="6417" width="2" style="95" customWidth="1"/>
    <col min="6418" max="6418" width="10.33203125" style="95" customWidth="1"/>
    <col min="6419" max="6419" width="3" style="95" customWidth="1"/>
    <col min="6420" max="6420" width="10.1640625" style="95" customWidth="1"/>
    <col min="6421" max="6421" width="2" style="95" customWidth="1"/>
    <col min="6422" max="6422" width="10" style="95" customWidth="1"/>
    <col min="6423" max="6423" width="3" style="95" customWidth="1"/>
    <col min="6424" max="6424" width="25.1640625" style="95" customWidth="1"/>
    <col min="6425"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1.6640625" style="95" customWidth="1"/>
    <col min="6666" max="6666" width="9.1640625" style="95" customWidth="1"/>
    <col min="6667" max="6667" width="2.6640625" style="95" customWidth="1"/>
    <col min="6668" max="6668" width="8.83203125" style="95" customWidth="1"/>
    <col min="6669" max="6669" width="1.5" style="95" customWidth="1"/>
    <col min="6670" max="6670" width="9.1640625" style="95" customWidth="1"/>
    <col min="6671" max="6671" width="2.6640625" style="95" customWidth="1"/>
    <col min="6672" max="6672" width="10.6640625" style="95" customWidth="1"/>
    <col min="6673" max="6673" width="2" style="95" customWidth="1"/>
    <col min="6674" max="6674" width="10.33203125" style="95" customWidth="1"/>
    <col min="6675" max="6675" width="3" style="95" customWidth="1"/>
    <col min="6676" max="6676" width="10.1640625" style="95" customWidth="1"/>
    <col min="6677" max="6677" width="2" style="95" customWidth="1"/>
    <col min="6678" max="6678" width="10" style="95" customWidth="1"/>
    <col min="6679" max="6679" width="3" style="95" customWidth="1"/>
    <col min="6680" max="6680" width="25.1640625" style="95" customWidth="1"/>
    <col min="6681"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1.6640625" style="95" customWidth="1"/>
    <col min="6922" max="6922" width="9.1640625" style="95" customWidth="1"/>
    <col min="6923" max="6923" width="2.6640625" style="95" customWidth="1"/>
    <col min="6924" max="6924" width="8.83203125" style="95" customWidth="1"/>
    <col min="6925" max="6925" width="1.5" style="95" customWidth="1"/>
    <col min="6926" max="6926" width="9.1640625" style="95" customWidth="1"/>
    <col min="6927" max="6927" width="2.6640625" style="95" customWidth="1"/>
    <col min="6928" max="6928" width="10.6640625" style="95" customWidth="1"/>
    <col min="6929" max="6929" width="2" style="95" customWidth="1"/>
    <col min="6930" max="6930" width="10.33203125" style="95" customWidth="1"/>
    <col min="6931" max="6931" width="3" style="95" customWidth="1"/>
    <col min="6932" max="6932" width="10.1640625" style="95" customWidth="1"/>
    <col min="6933" max="6933" width="2" style="95" customWidth="1"/>
    <col min="6934" max="6934" width="10" style="95" customWidth="1"/>
    <col min="6935" max="6935" width="3" style="95" customWidth="1"/>
    <col min="6936" max="6936" width="25.1640625" style="95" customWidth="1"/>
    <col min="6937"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1.6640625" style="95" customWidth="1"/>
    <col min="7178" max="7178" width="9.1640625" style="95" customWidth="1"/>
    <col min="7179" max="7179" width="2.6640625" style="95" customWidth="1"/>
    <col min="7180" max="7180" width="8.83203125" style="95" customWidth="1"/>
    <col min="7181" max="7181" width="1.5" style="95" customWidth="1"/>
    <col min="7182" max="7182" width="9.1640625" style="95" customWidth="1"/>
    <col min="7183" max="7183" width="2.6640625" style="95" customWidth="1"/>
    <col min="7184" max="7184" width="10.6640625" style="95" customWidth="1"/>
    <col min="7185" max="7185" width="2" style="95" customWidth="1"/>
    <col min="7186" max="7186" width="10.33203125" style="95" customWidth="1"/>
    <col min="7187" max="7187" width="3" style="95" customWidth="1"/>
    <col min="7188" max="7188" width="10.1640625" style="95" customWidth="1"/>
    <col min="7189" max="7189" width="2" style="95" customWidth="1"/>
    <col min="7190" max="7190" width="10" style="95" customWidth="1"/>
    <col min="7191" max="7191" width="3" style="95" customWidth="1"/>
    <col min="7192" max="7192" width="25.1640625" style="95" customWidth="1"/>
    <col min="7193"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1.6640625" style="95" customWidth="1"/>
    <col min="7434" max="7434" width="9.1640625" style="95" customWidth="1"/>
    <col min="7435" max="7435" width="2.6640625" style="95" customWidth="1"/>
    <col min="7436" max="7436" width="8.83203125" style="95" customWidth="1"/>
    <col min="7437" max="7437" width="1.5" style="95" customWidth="1"/>
    <col min="7438" max="7438" width="9.1640625" style="95" customWidth="1"/>
    <col min="7439" max="7439" width="2.6640625" style="95" customWidth="1"/>
    <col min="7440" max="7440" width="10.6640625" style="95" customWidth="1"/>
    <col min="7441" max="7441" width="2" style="95" customWidth="1"/>
    <col min="7442" max="7442" width="10.33203125" style="95" customWidth="1"/>
    <col min="7443" max="7443" width="3" style="95" customWidth="1"/>
    <col min="7444" max="7444" width="10.1640625" style="95" customWidth="1"/>
    <col min="7445" max="7445" width="2" style="95" customWidth="1"/>
    <col min="7446" max="7446" width="10" style="95" customWidth="1"/>
    <col min="7447" max="7447" width="3" style="95" customWidth="1"/>
    <col min="7448" max="7448" width="25.1640625" style="95" customWidth="1"/>
    <col min="7449"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1.6640625" style="95" customWidth="1"/>
    <col min="7690" max="7690" width="9.1640625" style="95" customWidth="1"/>
    <col min="7691" max="7691" width="2.6640625" style="95" customWidth="1"/>
    <col min="7692" max="7692" width="8.83203125" style="95" customWidth="1"/>
    <col min="7693" max="7693" width="1.5" style="95" customWidth="1"/>
    <col min="7694" max="7694" width="9.1640625" style="95" customWidth="1"/>
    <col min="7695" max="7695" width="2.6640625" style="95" customWidth="1"/>
    <col min="7696" max="7696" width="10.6640625" style="95" customWidth="1"/>
    <col min="7697" max="7697" width="2" style="95" customWidth="1"/>
    <col min="7698" max="7698" width="10.33203125" style="95" customWidth="1"/>
    <col min="7699" max="7699" width="3" style="95" customWidth="1"/>
    <col min="7700" max="7700" width="10.1640625" style="95" customWidth="1"/>
    <col min="7701" max="7701" width="2" style="95" customWidth="1"/>
    <col min="7702" max="7702" width="10" style="95" customWidth="1"/>
    <col min="7703" max="7703" width="3" style="95" customWidth="1"/>
    <col min="7704" max="7704" width="25.1640625" style="95" customWidth="1"/>
    <col min="7705"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1.6640625" style="95" customWidth="1"/>
    <col min="7946" max="7946" width="9.1640625" style="95" customWidth="1"/>
    <col min="7947" max="7947" width="2.6640625" style="95" customWidth="1"/>
    <col min="7948" max="7948" width="8.83203125" style="95" customWidth="1"/>
    <col min="7949" max="7949" width="1.5" style="95" customWidth="1"/>
    <col min="7950" max="7950" width="9.1640625" style="95" customWidth="1"/>
    <col min="7951" max="7951" width="2.6640625" style="95" customWidth="1"/>
    <col min="7952" max="7952" width="10.6640625" style="95" customWidth="1"/>
    <col min="7953" max="7953" width="2" style="95" customWidth="1"/>
    <col min="7954" max="7954" width="10.33203125" style="95" customWidth="1"/>
    <col min="7955" max="7955" width="3" style="95" customWidth="1"/>
    <col min="7956" max="7956" width="10.1640625" style="95" customWidth="1"/>
    <col min="7957" max="7957" width="2" style="95" customWidth="1"/>
    <col min="7958" max="7958" width="10" style="95" customWidth="1"/>
    <col min="7959" max="7959" width="3" style="95" customWidth="1"/>
    <col min="7960" max="7960" width="25.1640625" style="95" customWidth="1"/>
    <col min="7961"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1.6640625" style="95" customWidth="1"/>
    <col min="8202" max="8202" width="9.1640625" style="95" customWidth="1"/>
    <col min="8203" max="8203" width="2.6640625" style="95" customWidth="1"/>
    <col min="8204" max="8204" width="8.83203125" style="95" customWidth="1"/>
    <col min="8205" max="8205" width="1.5" style="95" customWidth="1"/>
    <col min="8206" max="8206" width="9.1640625" style="95" customWidth="1"/>
    <col min="8207" max="8207" width="2.6640625" style="95" customWidth="1"/>
    <col min="8208" max="8208" width="10.6640625" style="95" customWidth="1"/>
    <col min="8209" max="8209" width="2" style="95" customWidth="1"/>
    <col min="8210" max="8210" width="10.33203125" style="95" customWidth="1"/>
    <col min="8211" max="8211" width="3" style="95" customWidth="1"/>
    <col min="8212" max="8212" width="10.1640625" style="95" customWidth="1"/>
    <col min="8213" max="8213" width="2" style="95" customWidth="1"/>
    <col min="8214" max="8214" width="10" style="95" customWidth="1"/>
    <col min="8215" max="8215" width="3" style="95" customWidth="1"/>
    <col min="8216" max="8216" width="25.1640625" style="95" customWidth="1"/>
    <col min="8217"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1.6640625" style="95" customWidth="1"/>
    <col min="8458" max="8458" width="9.1640625" style="95" customWidth="1"/>
    <col min="8459" max="8459" width="2.6640625" style="95" customWidth="1"/>
    <col min="8460" max="8460" width="8.83203125" style="95" customWidth="1"/>
    <col min="8461" max="8461" width="1.5" style="95" customWidth="1"/>
    <col min="8462" max="8462" width="9.1640625" style="95" customWidth="1"/>
    <col min="8463" max="8463" width="2.6640625" style="95" customWidth="1"/>
    <col min="8464" max="8464" width="10.6640625" style="95" customWidth="1"/>
    <col min="8465" max="8465" width="2" style="95" customWidth="1"/>
    <col min="8466" max="8466" width="10.33203125" style="95" customWidth="1"/>
    <col min="8467" max="8467" width="3" style="95" customWidth="1"/>
    <col min="8468" max="8468" width="10.1640625" style="95" customWidth="1"/>
    <col min="8469" max="8469" width="2" style="95" customWidth="1"/>
    <col min="8470" max="8470" width="10" style="95" customWidth="1"/>
    <col min="8471" max="8471" width="3" style="95" customWidth="1"/>
    <col min="8472" max="8472" width="25.1640625" style="95" customWidth="1"/>
    <col min="8473"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1.6640625" style="95" customWidth="1"/>
    <col min="8714" max="8714" width="9.1640625" style="95" customWidth="1"/>
    <col min="8715" max="8715" width="2.6640625" style="95" customWidth="1"/>
    <col min="8716" max="8716" width="8.83203125" style="95" customWidth="1"/>
    <col min="8717" max="8717" width="1.5" style="95" customWidth="1"/>
    <col min="8718" max="8718" width="9.1640625" style="95" customWidth="1"/>
    <col min="8719" max="8719" width="2.6640625" style="95" customWidth="1"/>
    <col min="8720" max="8720" width="10.6640625" style="95" customWidth="1"/>
    <col min="8721" max="8721" width="2" style="95" customWidth="1"/>
    <col min="8722" max="8722" width="10.33203125" style="95" customWidth="1"/>
    <col min="8723" max="8723" width="3" style="95" customWidth="1"/>
    <col min="8724" max="8724" width="10.1640625" style="95" customWidth="1"/>
    <col min="8725" max="8725" width="2" style="95" customWidth="1"/>
    <col min="8726" max="8726" width="10" style="95" customWidth="1"/>
    <col min="8727" max="8727" width="3" style="95" customWidth="1"/>
    <col min="8728" max="8728" width="25.1640625" style="95" customWidth="1"/>
    <col min="8729"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1.6640625" style="95" customWidth="1"/>
    <col min="8970" max="8970" width="9.1640625" style="95" customWidth="1"/>
    <col min="8971" max="8971" width="2.6640625" style="95" customWidth="1"/>
    <col min="8972" max="8972" width="8.83203125" style="95" customWidth="1"/>
    <col min="8973" max="8973" width="1.5" style="95" customWidth="1"/>
    <col min="8974" max="8974" width="9.1640625" style="95" customWidth="1"/>
    <col min="8975" max="8975" width="2.6640625" style="95" customWidth="1"/>
    <col min="8976" max="8976" width="10.6640625" style="95" customWidth="1"/>
    <col min="8977" max="8977" width="2" style="95" customWidth="1"/>
    <col min="8978" max="8978" width="10.33203125" style="95" customWidth="1"/>
    <col min="8979" max="8979" width="3" style="95" customWidth="1"/>
    <col min="8980" max="8980" width="10.1640625" style="95" customWidth="1"/>
    <col min="8981" max="8981" width="2" style="95" customWidth="1"/>
    <col min="8982" max="8982" width="10" style="95" customWidth="1"/>
    <col min="8983" max="8983" width="3" style="95" customWidth="1"/>
    <col min="8984" max="8984" width="25.1640625" style="95" customWidth="1"/>
    <col min="8985"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1.6640625" style="95" customWidth="1"/>
    <col min="9226" max="9226" width="9.1640625" style="95" customWidth="1"/>
    <col min="9227" max="9227" width="2.6640625" style="95" customWidth="1"/>
    <col min="9228" max="9228" width="8.83203125" style="95" customWidth="1"/>
    <col min="9229" max="9229" width="1.5" style="95" customWidth="1"/>
    <col min="9230" max="9230" width="9.1640625" style="95" customWidth="1"/>
    <col min="9231" max="9231" width="2.6640625" style="95" customWidth="1"/>
    <col min="9232" max="9232" width="10.6640625" style="95" customWidth="1"/>
    <col min="9233" max="9233" width="2" style="95" customWidth="1"/>
    <col min="9234" max="9234" width="10.33203125" style="95" customWidth="1"/>
    <col min="9235" max="9235" width="3" style="95" customWidth="1"/>
    <col min="9236" max="9236" width="10.1640625" style="95" customWidth="1"/>
    <col min="9237" max="9237" width="2" style="95" customWidth="1"/>
    <col min="9238" max="9238" width="10" style="95" customWidth="1"/>
    <col min="9239" max="9239" width="3" style="95" customWidth="1"/>
    <col min="9240" max="9240" width="25.1640625" style="95" customWidth="1"/>
    <col min="9241"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1.6640625" style="95" customWidth="1"/>
    <col min="9482" max="9482" width="9.1640625" style="95" customWidth="1"/>
    <col min="9483" max="9483" width="2.6640625" style="95" customWidth="1"/>
    <col min="9484" max="9484" width="8.83203125" style="95" customWidth="1"/>
    <col min="9485" max="9485" width="1.5" style="95" customWidth="1"/>
    <col min="9486" max="9486" width="9.1640625" style="95" customWidth="1"/>
    <col min="9487" max="9487" width="2.6640625" style="95" customWidth="1"/>
    <col min="9488" max="9488" width="10.6640625" style="95" customWidth="1"/>
    <col min="9489" max="9489" width="2" style="95" customWidth="1"/>
    <col min="9490" max="9490" width="10.33203125" style="95" customWidth="1"/>
    <col min="9491" max="9491" width="3" style="95" customWidth="1"/>
    <col min="9492" max="9492" width="10.1640625" style="95" customWidth="1"/>
    <col min="9493" max="9493" width="2" style="95" customWidth="1"/>
    <col min="9494" max="9494" width="10" style="95" customWidth="1"/>
    <col min="9495" max="9495" width="3" style="95" customWidth="1"/>
    <col min="9496" max="9496" width="25.1640625" style="95" customWidth="1"/>
    <col min="9497"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1.6640625" style="95" customWidth="1"/>
    <col min="9738" max="9738" width="9.1640625" style="95" customWidth="1"/>
    <col min="9739" max="9739" width="2.6640625" style="95" customWidth="1"/>
    <col min="9740" max="9740" width="8.83203125" style="95" customWidth="1"/>
    <col min="9741" max="9741" width="1.5" style="95" customWidth="1"/>
    <col min="9742" max="9742" width="9.1640625" style="95" customWidth="1"/>
    <col min="9743" max="9743" width="2.6640625" style="95" customWidth="1"/>
    <col min="9744" max="9744" width="10.6640625" style="95" customWidth="1"/>
    <col min="9745" max="9745" width="2" style="95" customWidth="1"/>
    <col min="9746" max="9746" width="10.33203125" style="95" customWidth="1"/>
    <col min="9747" max="9747" width="3" style="95" customWidth="1"/>
    <col min="9748" max="9748" width="10.1640625" style="95" customWidth="1"/>
    <col min="9749" max="9749" width="2" style="95" customWidth="1"/>
    <col min="9750" max="9750" width="10" style="95" customWidth="1"/>
    <col min="9751" max="9751" width="3" style="95" customWidth="1"/>
    <col min="9752" max="9752" width="25.1640625" style="95" customWidth="1"/>
    <col min="9753"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1.6640625" style="95" customWidth="1"/>
    <col min="9994" max="9994" width="9.1640625" style="95" customWidth="1"/>
    <col min="9995" max="9995" width="2.6640625" style="95" customWidth="1"/>
    <col min="9996" max="9996" width="8.83203125" style="95" customWidth="1"/>
    <col min="9997" max="9997" width="1.5" style="95" customWidth="1"/>
    <col min="9998" max="9998" width="9.1640625" style="95" customWidth="1"/>
    <col min="9999" max="9999" width="2.6640625" style="95" customWidth="1"/>
    <col min="10000" max="10000" width="10.6640625" style="95" customWidth="1"/>
    <col min="10001" max="10001" width="2" style="95" customWidth="1"/>
    <col min="10002" max="10002" width="10.33203125" style="95" customWidth="1"/>
    <col min="10003" max="10003" width="3" style="95" customWidth="1"/>
    <col min="10004" max="10004" width="10.1640625" style="95" customWidth="1"/>
    <col min="10005" max="10005" width="2" style="95" customWidth="1"/>
    <col min="10006" max="10006" width="10" style="95" customWidth="1"/>
    <col min="10007" max="10007" width="3" style="95" customWidth="1"/>
    <col min="10008" max="10008" width="25.1640625" style="95" customWidth="1"/>
    <col min="10009"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1.6640625" style="95" customWidth="1"/>
    <col min="10250" max="10250" width="9.1640625" style="95" customWidth="1"/>
    <col min="10251" max="10251" width="2.6640625" style="95" customWidth="1"/>
    <col min="10252" max="10252" width="8.83203125" style="95" customWidth="1"/>
    <col min="10253" max="10253" width="1.5" style="95" customWidth="1"/>
    <col min="10254" max="10254" width="9.1640625" style="95" customWidth="1"/>
    <col min="10255" max="10255" width="2.6640625" style="95" customWidth="1"/>
    <col min="10256" max="10256" width="10.6640625" style="95" customWidth="1"/>
    <col min="10257" max="10257" width="2" style="95" customWidth="1"/>
    <col min="10258" max="10258" width="10.33203125" style="95" customWidth="1"/>
    <col min="10259" max="10259" width="3" style="95" customWidth="1"/>
    <col min="10260" max="10260" width="10.1640625" style="95" customWidth="1"/>
    <col min="10261" max="10261" width="2" style="95" customWidth="1"/>
    <col min="10262" max="10262" width="10" style="95" customWidth="1"/>
    <col min="10263" max="10263" width="3" style="95" customWidth="1"/>
    <col min="10264" max="10264" width="25.1640625" style="95" customWidth="1"/>
    <col min="10265"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1.6640625" style="95" customWidth="1"/>
    <col min="10506" max="10506" width="9.1640625" style="95" customWidth="1"/>
    <col min="10507" max="10507" width="2.6640625" style="95" customWidth="1"/>
    <col min="10508" max="10508" width="8.83203125" style="95" customWidth="1"/>
    <col min="10509" max="10509" width="1.5" style="95" customWidth="1"/>
    <col min="10510" max="10510" width="9.1640625" style="95" customWidth="1"/>
    <col min="10511" max="10511" width="2.6640625" style="95" customWidth="1"/>
    <col min="10512" max="10512" width="10.6640625" style="95" customWidth="1"/>
    <col min="10513" max="10513" width="2" style="95" customWidth="1"/>
    <col min="10514" max="10514" width="10.33203125" style="95" customWidth="1"/>
    <col min="10515" max="10515" width="3" style="95" customWidth="1"/>
    <col min="10516" max="10516" width="10.1640625" style="95" customWidth="1"/>
    <col min="10517" max="10517" width="2" style="95" customWidth="1"/>
    <col min="10518" max="10518" width="10" style="95" customWidth="1"/>
    <col min="10519" max="10519" width="3" style="95" customWidth="1"/>
    <col min="10520" max="10520" width="25.1640625" style="95" customWidth="1"/>
    <col min="10521"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1.6640625" style="95" customWidth="1"/>
    <col min="10762" max="10762" width="9.1640625" style="95" customWidth="1"/>
    <col min="10763" max="10763" width="2.6640625" style="95" customWidth="1"/>
    <col min="10764" max="10764" width="8.83203125" style="95" customWidth="1"/>
    <col min="10765" max="10765" width="1.5" style="95" customWidth="1"/>
    <col min="10766" max="10766" width="9.1640625" style="95" customWidth="1"/>
    <col min="10767" max="10767" width="2.6640625" style="95" customWidth="1"/>
    <col min="10768" max="10768" width="10.6640625" style="95" customWidth="1"/>
    <col min="10769" max="10769" width="2" style="95" customWidth="1"/>
    <col min="10770" max="10770" width="10.33203125" style="95" customWidth="1"/>
    <col min="10771" max="10771" width="3" style="95" customWidth="1"/>
    <col min="10772" max="10772" width="10.1640625" style="95" customWidth="1"/>
    <col min="10773" max="10773" width="2" style="95" customWidth="1"/>
    <col min="10774" max="10774" width="10" style="95" customWidth="1"/>
    <col min="10775" max="10775" width="3" style="95" customWidth="1"/>
    <col min="10776" max="10776" width="25.1640625" style="95" customWidth="1"/>
    <col min="10777"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1.6640625" style="95" customWidth="1"/>
    <col min="11018" max="11018" width="9.1640625" style="95" customWidth="1"/>
    <col min="11019" max="11019" width="2.6640625" style="95" customWidth="1"/>
    <col min="11020" max="11020" width="8.83203125" style="95" customWidth="1"/>
    <col min="11021" max="11021" width="1.5" style="95" customWidth="1"/>
    <col min="11022" max="11022" width="9.1640625" style="95" customWidth="1"/>
    <col min="11023" max="11023" width="2.6640625" style="95" customWidth="1"/>
    <col min="11024" max="11024" width="10.6640625" style="95" customWidth="1"/>
    <col min="11025" max="11025" width="2" style="95" customWidth="1"/>
    <col min="11026" max="11026" width="10.33203125" style="95" customWidth="1"/>
    <col min="11027" max="11027" width="3" style="95" customWidth="1"/>
    <col min="11028" max="11028" width="10.1640625" style="95" customWidth="1"/>
    <col min="11029" max="11029" width="2" style="95" customWidth="1"/>
    <col min="11030" max="11030" width="10" style="95" customWidth="1"/>
    <col min="11031" max="11031" width="3" style="95" customWidth="1"/>
    <col min="11032" max="11032" width="25.1640625" style="95" customWidth="1"/>
    <col min="11033"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1.6640625" style="95" customWidth="1"/>
    <col min="11274" max="11274" width="9.1640625" style="95" customWidth="1"/>
    <col min="11275" max="11275" width="2.6640625" style="95" customWidth="1"/>
    <col min="11276" max="11276" width="8.83203125" style="95" customWidth="1"/>
    <col min="11277" max="11277" width="1.5" style="95" customWidth="1"/>
    <col min="11278" max="11278" width="9.1640625" style="95" customWidth="1"/>
    <col min="11279" max="11279" width="2.6640625" style="95" customWidth="1"/>
    <col min="11280" max="11280" width="10.6640625" style="95" customWidth="1"/>
    <col min="11281" max="11281" width="2" style="95" customWidth="1"/>
    <col min="11282" max="11282" width="10.33203125" style="95" customWidth="1"/>
    <col min="11283" max="11283" width="3" style="95" customWidth="1"/>
    <col min="11284" max="11284" width="10.1640625" style="95" customWidth="1"/>
    <col min="11285" max="11285" width="2" style="95" customWidth="1"/>
    <col min="11286" max="11286" width="10" style="95" customWidth="1"/>
    <col min="11287" max="11287" width="3" style="95" customWidth="1"/>
    <col min="11288" max="11288" width="25.1640625" style="95" customWidth="1"/>
    <col min="11289"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1.6640625" style="95" customWidth="1"/>
    <col min="11530" max="11530" width="9.1640625" style="95" customWidth="1"/>
    <col min="11531" max="11531" width="2.6640625" style="95" customWidth="1"/>
    <col min="11532" max="11532" width="8.83203125" style="95" customWidth="1"/>
    <col min="11533" max="11533" width="1.5" style="95" customWidth="1"/>
    <col min="11534" max="11534" width="9.1640625" style="95" customWidth="1"/>
    <col min="11535" max="11535" width="2.6640625" style="95" customWidth="1"/>
    <col min="11536" max="11536" width="10.6640625" style="95" customWidth="1"/>
    <col min="11537" max="11537" width="2" style="95" customWidth="1"/>
    <col min="11538" max="11538" width="10.33203125" style="95" customWidth="1"/>
    <col min="11539" max="11539" width="3" style="95" customWidth="1"/>
    <col min="11540" max="11540" width="10.1640625" style="95" customWidth="1"/>
    <col min="11541" max="11541" width="2" style="95" customWidth="1"/>
    <col min="11542" max="11542" width="10" style="95" customWidth="1"/>
    <col min="11543" max="11543" width="3" style="95" customWidth="1"/>
    <col min="11544" max="11544" width="25.1640625" style="95" customWidth="1"/>
    <col min="11545"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1.6640625" style="95" customWidth="1"/>
    <col min="11786" max="11786" width="9.1640625" style="95" customWidth="1"/>
    <col min="11787" max="11787" width="2.6640625" style="95" customWidth="1"/>
    <col min="11788" max="11788" width="8.83203125" style="95" customWidth="1"/>
    <col min="11789" max="11789" width="1.5" style="95" customWidth="1"/>
    <col min="11790" max="11790" width="9.1640625" style="95" customWidth="1"/>
    <col min="11791" max="11791" width="2.6640625" style="95" customWidth="1"/>
    <col min="11792" max="11792" width="10.6640625" style="95" customWidth="1"/>
    <col min="11793" max="11793" width="2" style="95" customWidth="1"/>
    <col min="11794" max="11794" width="10.33203125" style="95" customWidth="1"/>
    <col min="11795" max="11795" width="3" style="95" customWidth="1"/>
    <col min="11796" max="11796" width="10.1640625" style="95" customWidth="1"/>
    <col min="11797" max="11797" width="2" style="95" customWidth="1"/>
    <col min="11798" max="11798" width="10" style="95" customWidth="1"/>
    <col min="11799" max="11799" width="3" style="95" customWidth="1"/>
    <col min="11800" max="11800" width="25.1640625" style="95" customWidth="1"/>
    <col min="11801"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1.6640625" style="95" customWidth="1"/>
    <col min="12042" max="12042" width="9.1640625" style="95" customWidth="1"/>
    <col min="12043" max="12043" width="2.6640625" style="95" customWidth="1"/>
    <col min="12044" max="12044" width="8.83203125" style="95" customWidth="1"/>
    <col min="12045" max="12045" width="1.5" style="95" customWidth="1"/>
    <col min="12046" max="12046" width="9.1640625" style="95" customWidth="1"/>
    <col min="12047" max="12047" width="2.6640625" style="95" customWidth="1"/>
    <col min="12048" max="12048" width="10.6640625" style="95" customWidth="1"/>
    <col min="12049" max="12049" width="2" style="95" customWidth="1"/>
    <col min="12050" max="12050" width="10.33203125" style="95" customWidth="1"/>
    <col min="12051" max="12051" width="3" style="95" customWidth="1"/>
    <col min="12052" max="12052" width="10.1640625" style="95" customWidth="1"/>
    <col min="12053" max="12053" width="2" style="95" customWidth="1"/>
    <col min="12054" max="12054" width="10" style="95" customWidth="1"/>
    <col min="12055" max="12055" width="3" style="95" customWidth="1"/>
    <col min="12056" max="12056" width="25.1640625" style="95" customWidth="1"/>
    <col min="12057"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1.6640625" style="95" customWidth="1"/>
    <col min="12298" max="12298" width="9.1640625" style="95" customWidth="1"/>
    <col min="12299" max="12299" width="2.6640625" style="95" customWidth="1"/>
    <col min="12300" max="12300" width="8.83203125" style="95" customWidth="1"/>
    <col min="12301" max="12301" width="1.5" style="95" customWidth="1"/>
    <col min="12302" max="12302" width="9.1640625" style="95" customWidth="1"/>
    <col min="12303" max="12303" width="2.6640625" style="95" customWidth="1"/>
    <col min="12304" max="12304" width="10.6640625" style="95" customWidth="1"/>
    <col min="12305" max="12305" width="2" style="95" customWidth="1"/>
    <col min="12306" max="12306" width="10.33203125" style="95" customWidth="1"/>
    <col min="12307" max="12307" width="3" style="95" customWidth="1"/>
    <col min="12308" max="12308" width="10.1640625" style="95" customWidth="1"/>
    <col min="12309" max="12309" width="2" style="95" customWidth="1"/>
    <col min="12310" max="12310" width="10" style="95" customWidth="1"/>
    <col min="12311" max="12311" width="3" style="95" customWidth="1"/>
    <col min="12312" max="12312" width="25.1640625" style="95" customWidth="1"/>
    <col min="12313"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1.6640625" style="95" customWidth="1"/>
    <col min="12554" max="12554" width="9.1640625" style="95" customWidth="1"/>
    <col min="12555" max="12555" width="2.6640625" style="95" customWidth="1"/>
    <col min="12556" max="12556" width="8.83203125" style="95" customWidth="1"/>
    <col min="12557" max="12557" width="1.5" style="95" customWidth="1"/>
    <col min="12558" max="12558" width="9.1640625" style="95" customWidth="1"/>
    <col min="12559" max="12559" width="2.6640625" style="95" customWidth="1"/>
    <col min="12560" max="12560" width="10.6640625" style="95" customWidth="1"/>
    <col min="12561" max="12561" width="2" style="95" customWidth="1"/>
    <col min="12562" max="12562" width="10.33203125" style="95" customWidth="1"/>
    <col min="12563" max="12563" width="3" style="95" customWidth="1"/>
    <col min="12564" max="12564" width="10.1640625" style="95" customWidth="1"/>
    <col min="12565" max="12565" width="2" style="95" customWidth="1"/>
    <col min="12566" max="12566" width="10" style="95" customWidth="1"/>
    <col min="12567" max="12567" width="3" style="95" customWidth="1"/>
    <col min="12568" max="12568" width="25.1640625" style="95" customWidth="1"/>
    <col min="12569"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1.6640625" style="95" customWidth="1"/>
    <col min="12810" max="12810" width="9.1640625" style="95" customWidth="1"/>
    <col min="12811" max="12811" width="2.6640625" style="95" customWidth="1"/>
    <col min="12812" max="12812" width="8.83203125" style="95" customWidth="1"/>
    <col min="12813" max="12813" width="1.5" style="95" customWidth="1"/>
    <col min="12814" max="12814" width="9.1640625" style="95" customWidth="1"/>
    <col min="12815" max="12815" width="2.6640625" style="95" customWidth="1"/>
    <col min="12816" max="12816" width="10.6640625" style="95" customWidth="1"/>
    <col min="12817" max="12817" width="2" style="95" customWidth="1"/>
    <col min="12818" max="12818" width="10.33203125" style="95" customWidth="1"/>
    <col min="12819" max="12819" width="3" style="95" customWidth="1"/>
    <col min="12820" max="12820" width="10.1640625" style="95" customWidth="1"/>
    <col min="12821" max="12821" width="2" style="95" customWidth="1"/>
    <col min="12822" max="12822" width="10" style="95" customWidth="1"/>
    <col min="12823" max="12823" width="3" style="95" customWidth="1"/>
    <col min="12824" max="12824" width="25.1640625" style="95" customWidth="1"/>
    <col min="12825"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1.6640625" style="95" customWidth="1"/>
    <col min="13066" max="13066" width="9.1640625" style="95" customWidth="1"/>
    <col min="13067" max="13067" width="2.6640625" style="95" customWidth="1"/>
    <col min="13068" max="13068" width="8.83203125" style="95" customWidth="1"/>
    <col min="13069" max="13069" width="1.5" style="95" customWidth="1"/>
    <col min="13070" max="13070" width="9.1640625" style="95" customWidth="1"/>
    <col min="13071" max="13071" width="2.6640625" style="95" customWidth="1"/>
    <col min="13072" max="13072" width="10.6640625" style="95" customWidth="1"/>
    <col min="13073" max="13073" width="2" style="95" customWidth="1"/>
    <col min="13074" max="13074" width="10.33203125" style="95" customWidth="1"/>
    <col min="13075" max="13075" width="3" style="95" customWidth="1"/>
    <col min="13076" max="13076" width="10.1640625" style="95" customWidth="1"/>
    <col min="13077" max="13077" width="2" style="95" customWidth="1"/>
    <col min="13078" max="13078" width="10" style="95" customWidth="1"/>
    <col min="13079" max="13079" width="3" style="95" customWidth="1"/>
    <col min="13080" max="13080" width="25.1640625" style="95" customWidth="1"/>
    <col min="13081"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1.6640625" style="95" customWidth="1"/>
    <col min="13322" max="13322" width="9.1640625" style="95" customWidth="1"/>
    <col min="13323" max="13323" width="2.6640625" style="95" customWidth="1"/>
    <col min="13324" max="13324" width="8.83203125" style="95" customWidth="1"/>
    <col min="13325" max="13325" width="1.5" style="95" customWidth="1"/>
    <col min="13326" max="13326" width="9.1640625" style="95" customWidth="1"/>
    <col min="13327" max="13327" width="2.6640625" style="95" customWidth="1"/>
    <col min="13328" max="13328" width="10.6640625" style="95" customWidth="1"/>
    <col min="13329" max="13329" width="2" style="95" customWidth="1"/>
    <col min="13330" max="13330" width="10.33203125" style="95" customWidth="1"/>
    <col min="13331" max="13331" width="3" style="95" customWidth="1"/>
    <col min="13332" max="13332" width="10.1640625" style="95" customWidth="1"/>
    <col min="13333" max="13333" width="2" style="95" customWidth="1"/>
    <col min="13334" max="13334" width="10" style="95" customWidth="1"/>
    <col min="13335" max="13335" width="3" style="95" customWidth="1"/>
    <col min="13336" max="13336" width="25.1640625" style="95" customWidth="1"/>
    <col min="13337"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1.6640625" style="95" customWidth="1"/>
    <col min="13578" max="13578" width="9.1640625" style="95" customWidth="1"/>
    <col min="13579" max="13579" width="2.6640625" style="95" customWidth="1"/>
    <col min="13580" max="13580" width="8.83203125" style="95" customWidth="1"/>
    <col min="13581" max="13581" width="1.5" style="95" customWidth="1"/>
    <col min="13582" max="13582" width="9.1640625" style="95" customWidth="1"/>
    <col min="13583" max="13583" width="2.6640625" style="95" customWidth="1"/>
    <col min="13584" max="13584" width="10.6640625" style="95" customWidth="1"/>
    <col min="13585" max="13585" width="2" style="95" customWidth="1"/>
    <col min="13586" max="13586" width="10.33203125" style="95" customWidth="1"/>
    <col min="13587" max="13587" width="3" style="95" customWidth="1"/>
    <col min="13588" max="13588" width="10.1640625" style="95" customWidth="1"/>
    <col min="13589" max="13589" width="2" style="95" customWidth="1"/>
    <col min="13590" max="13590" width="10" style="95" customWidth="1"/>
    <col min="13591" max="13591" width="3" style="95" customWidth="1"/>
    <col min="13592" max="13592" width="25.1640625" style="95" customWidth="1"/>
    <col min="13593"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1.6640625" style="95" customWidth="1"/>
    <col min="13834" max="13834" width="9.1640625" style="95" customWidth="1"/>
    <col min="13835" max="13835" width="2.6640625" style="95" customWidth="1"/>
    <col min="13836" max="13836" width="8.83203125" style="95" customWidth="1"/>
    <col min="13837" max="13837" width="1.5" style="95" customWidth="1"/>
    <col min="13838" max="13838" width="9.1640625" style="95" customWidth="1"/>
    <col min="13839" max="13839" width="2.6640625" style="95" customWidth="1"/>
    <col min="13840" max="13840" width="10.6640625" style="95" customWidth="1"/>
    <col min="13841" max="13841" width="2" style="95" customWidth="1"/>
    <col min="13842" max="13842" width="10.33203125" style="95" customWidth="1"/>
    <col min="13843" max="13843" width="3" style="95" customWidth="1"/>
    <col min="13844" max="13844" width="10.1640625" style="95" customWidth="1"/>
    <col min="13845" max="13845" width="2" style="95" customWidth="1"/>
    <col min="13846" max="13846" width="10" style="95" customWidth="1"/>
    <col min="13847" max="13847" width="3" style="95" customWidth="1"/>
    <col min="13848" max="13848" width="25.1640625" style="95" customWidth="1"/>
    <col min="13849"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1.6640625" style="95" customWidth="1"/>
    <col min="14090" max="14090" width="9.1640625" style="95" customWidth="1"/>
    <col min="14091" max="14091" width="2.6640625" style="95" customWidth="1"/>
    <col min="14092" max="14092" width="8.83203125" style="95" customWidth="1"/>
    <col min="14093" max="14093" width="1.5" style="95" customWidth="1"/>
    <col min="14094" max="14094" width="9.1640625" style="95" customWidth="1"/>
    <col min="14095" max="14095" width="2.6640625" style="95" customWidth="1"/>
    <col min="14096" max="14096" width="10.6640625" style="95" customWidth="1"/>
    <col min="14097" max="14097" width="2" style="95" customWidth="1"/>
    <col min="14098" max="14098" width="10.33203125" style="95" customWidth="1"/>
    <col min="14099" max="14099" width="3" style="95" customWidth="1"/>
    <col min="14100" max="14100" width="10.1640625" style="95" customWidth="1"/>
    <col min="14101" max="14101" width="2" style="95" customWidth="1"/>
    <col min="14102" max="14102" width="10" style="95" customWidth="1"/>
    <col min="14103" max="14103" width="3" style="95" customWidth="1"/>
    <col min="14104" max="14104" width="25.1640625" style="95" customWidth="1"/>
    <col min="14105"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1.6640625" style="95" customWidth="1"/>
    <col min="14346" max="14346" width="9.1640625" style="95" customWidth="1"/>
    <col min="14347" max="14347" width="2.6640625" style="95" customWidth="1"/>
    <col min="14348" max="14348" width="8.83203125" style="95" customWidth="1"/>
    <col min="14349" max="14349" width="1.5" style="95" customWidth="1"/>
    <col min="14350" max="14350" width="9.1640625" style="95" customWidth="1"/>
    <col min="14351" max="14351" width="2.6640625" style="95" customWidth="1"/>
    <col min="14352" max="14352" width="10.6640625" style="95" customWidth="1"/>
    <col min="14353" max="14353" width="2" style="95" customWidth="1"/>
    <col min="14354" max="14354" width="10.33203125" style="95" customWidth="1"/>
    <col min="14355" max="14355" width="3" style="95" customWidth="1"/>
    <col min="14356" max="14356" width="10.1640625" style="95" customWidth="1"/>
    <col min="14357" max="14357" width="2" style="95" customWidth="1"/>
    <col min="14358" max="14358" width="10" style="95" customWidth="1"/>
    <col min="14359" max="14359" width="3" style="95" customWidth="1"/>
    <col min="14360" max="14360" width="25.1640625" style="95" customWidth="1"/>
    <col min="14361"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1.6640625" style="95" customWidth="1"/>
    <col min="14602" max="14602" width="9.1640625" style="95" customWidth="1"/>
    <col min="14603" max="14603" width="2.6640625" style="95" customWidth="1"/>
    <col min="14604" max="14604" width="8.83203125" style="95" customWidth="1"/>
    <col min="14605" max="14605" width="1.5" style="95" customWidth="1"/>
    <col min="14606" max="14606" width="9.1640625" style="95" customWidth="1"/>
    <col min="14607" max="14607" width="2.6640625" style="95" customWidth="1"/>
    <col min="14608" max="14608" width="10.6640625" style="95" customWidth="1"/>
    <col min="14609" max="14609" width="2" style="95" customWidth="1"/>
    <col min="14610" max="14610" width="10.33203125" style="95" customWidth="1"/>
    <col min="14611" max="14611" width="3" style="95" customWidth="1"/>
    <col min="14612" max="14612" width="10.1640625" style="95" customWidth="1"/>
    <col min="14613" max="14613" width="2" style="95" customWidth="1"/>
    <col min="14614" max="14614" width="10" style="95" customWidth="1"/>
    <col min="14615" max="14615" width="3" style="95" customWidth="1"/>
    <col min="14616" max="14616" width="25.1640625" style="95" customWidth="1"/>
    <col min="14617"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1.6640625" style="95" customWidth="1"/>
    <col min="14858" max="14858" width="9.1640625" style="95" customWidth="1"/>
    <col min="14859" max="14859" width="2.6640625" style="95" customWidth="1"/>
    <col min="14860" max="14860" width="8.83203125" style="95" customWidth="1"/>
    <col min="14861" max="14861" width="1.5" style="95" customWidth="1"/>
    <col min="14862" max="14862" width="9.1640625" style="95" customWidth="1"/>
    <col min="14863" max="14863" width="2.6640625" style="95" customWidth="1"/>
    <col min="14864" max="14864" width="10.6640625" style="95" customWidth="1"/>
    <col min="14865" max="14865" width="2" style="95" customWidth="1"/>
    <col min="14866" max="14866" width="10.33203125" style="95" customWidth="1"/>
    <col min="14867" max="14867" width="3" style="95" customWidth="1"/>
    <col min="14868" max="14868" width="10.1640625" style="95" customWidth="1"/>
    <col min="14869" max="14869" width="2" style="95" customWidth="1"/>
    <col min="14870" max="14870" width="10" style="95" customWidth="1"/>
    <col min="14871" max="14871" width="3" style="95" customWidth="1"/>
    <col min="14872" max="14872" width="25.1640625" style="95" customWidth="1"/>
    <col min="14873"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1.6640625" style="95" customWidth="1"/>
    <col min="15114" max="15114" width="9.1640625" style="95" customWidth="1"/>
    <col min="15115" max="15115" width="2.6640625" style="95" customWidth="1"/>
    <col min="15116" max="15116" width="8.83203125" style="95" customWidth="1"/>
    <col min="15117" max="15117" width="1.5" style="95" customWidth="1"/>
    <col min="15118" max="15118" width="9.1640625" style="95" customWidth="1"/>
    <col min="15119" max="15119" width="2.6640625" style="95" customWidth="1"/>
    <col min="15120" max="15120" width="10.6640625" style="95" customWidth="1"/>
    <col min="15121" max="15121" width="2" style="95" customWidth="1"/>
    <col min="15122" max="15122" width="10.33203125" style="95" customWidth="1"/>
    <col min="15123" max="15123" width="3" style="95" customWidth="1"/>
    <col min="15124" max="15124" width="10.1640625" style="95" customWidth="1"/>
    <col min="15125" max="15125" width="2" style="95" customWidth="1"/>
    <col min="15126" max="15126" width="10" style="95" customWidth="1"/>
    <col min="15127" max="15127" width="3" style="95" customWidth="1"/>
    <col min="15128" max="15128" width="25.1640625" style="95" customWidth="1"/>
    <col min="15129"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1.6640625" style="95" customWidth="1"/>
    <col min="15370" max="15370" width="9.1640625" style="95" customWidth="1"/>
    <col min="15371" max="15371" width="2.6640625" style="95" customWidth="1"/>
    <col min="15372" max="15372" width="8.83203125" style="95" customWidth="1"/>
    <col min="15373" max="15373" width="1.5" style="95" customWidth="1"/>
    <col min="15374" max="15374" width="9.1640625" style="95" customWidth="1"/>
    <col min="15375" max="15375" width="2.6640625" style="95" customWidth="1"/>
    <col min="15376" max="15376" width="10.6640625" style="95" customWidth="1"/>
    <col min="15377" max="15377" width="2" style="95" customWidth="1"/>
    <col min="15378" max="15378" width="10.33203125" style="95" customWidth="1"/>
    <col min="15379" max="15379" width="3" style="95" customWidth="1"/>
    <col min="15380" max="15380" width="10.1640625" style="95" customWidth="1"/>
    <col min="15381" max="15381" width="2" style="95" customWidth="1"/>
    <col min="15382" max="15382" width="10" style="95" customWidth="1"/>
    <col min="15383" max="15383" width="3" style="95" customWidth="1"/>
    <col min="15384" max="15384" width="25.1640625" style="95" customWidth="1"/>
    <col min="15385"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1.6640625" style="95" customWidth="1"/>
    <col min="15626" max="15626" width="9.1640625" style="95" customWidth="1"/>
    <col min="15627" max="15627" width="2.6640625" style="95" customWidth="1"/>
    <col min="15628" max="15628" width="8.83203125" style="95" customWidth="1"/>
    <col min="15629" max="15629" width="1.5" style="95" customWidth="1"/>
    <col min="15630" max="15630" width="9.1640625" style="95" customWidth="1"/>
    <col min="15631" max="15631" width="2.6640625" style="95" customWidth="1"/>
    <col min="15632" max="15632" width="10.6640625" style="95" customWidth="1"/>
    <col min="15633" max="15633" width="2" style="95" customWidth="1"/>
    <col min="15634" max="15634" width="10.33203125" style="95" customWidth="1"/>
    <col min="15635" max="15635" width="3" style="95" customWidth="1"/>
    <col min="15636" max="15636" width="10.1640625" style="95" customWidth="1"/>
    <col min="15637" max="15637" width="2" style="95" customWidth="1"/>
    <col min="15638" max="15638" width="10" style="95" customWidth="1"/>
    <col min="15639" max="15639" width="3" style="95" customWidth="1"/>
    <col min="15640" max="15640" width="25.1640625" style="95" customWidth="1"/>
    <col min="15641"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1.6640625" style="95" customWidth="1"/>
    <col min="15882" max="15882" width="9.1640625" style="95" customWidth="1"/>
    <col min="15883" max="15883" width="2.6640625" style="95" customWidth="1"/>
    <col min="15884" max="15884" width="8.83203125" style="95" customWidth="1"/>
    <col min="15885" max="15885" width="1.5" style="95" customWidth="1"/>
    <col min="15886" max="15886" width="9.1640625" style="95" customWidth="1"/>
    <col min="15887" max="15887" width="2.6640625" style="95" customWidth="1"/>
    <col min="15888" max="15888" width="10.6640625" style="95" customWidth="1"/>
    <col min="15889" max="15889" width="2" style="95" customWidth="1"/>
    <col min="15890" max="15890" width="10.33203125" style="95" customWidth="1"/>
    <col min="15891" max="15891" width="3" style="95" customWidth="1"/>
    <col min="15892" max="15892" width="10.1640625" style="95" customWidth="1"/>
    <col min="15893" max="15893" width="2" style="95" customWidth="1"/>
    <col min="15894" max="15894" width="10" style="95" customWidth="1"/>
    <col min="15895" max="15895" width="3" style="95" customWidth="1"/>
    <col min="15896" max="15896" width="25.1640625" style="95" customWidth="1"/>
    <col min="15897"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1.6640625" style="95" customWidth="1"/>
    <col min="16138" max="16138" width="9.1640625" style="95" customWidth="1"/>
    <col min="16139" max="16139" width="2.6640625" style="95" customWidth="1"/>
    <col min="16140" max="16140" width="8.83203125" style="95" customWidth="1"/>
    <col min="16141" max="16141" width="1.5" style="95" customWidth="1"/>
    <col min="16142" max="16142" width="9.1640625" style="95" customWidth="1"/>
    <col min="16143" max="16143" width="2.6640625" style="95" customWidth="1"/>
    <col min="16144" max="16144" width="10.6640625" style="95" customWidth="1"/>
    <col min="16145" max="16145" width="2" style="95" customWidth="1"/>
    <col min="16146" max="16146" width="10.33203125" style="95" customWidth="1"/>
    <col min="16147" max="16147" width="3" style="95" customWidth="1"/>
    <col min="16148" max="16148" width="10.1640625" style="95" customWidth="1"/>
    <col min="16149" max="16149" width="2" style="95" customWidth="1"/>
    <col min="16150" max="16150" width="10" style="95" customWidth="1"/>
    <col min="16151" max="16151" width="3" style="95" customWidth="1"/>
    <col min="16152" max="16152" width="25.1640625" style="95" customWidth="1"/>
    <col min="16153" max="16384" width="9.1640625" style="95"/>
  </cols>
  <sheetData>
    <row r="1" spans="1:24">
      <c r="A1" s="14" t="s">
        <v>674</v>
      </c>
      <c r="B1" s="58"/>
      <c r="C1" s="14"/>
      <c r="D1" s="14"/>
      <c r="E1" s="58"/>
      <c r="F1" s="14"/>
      <c r="G1" s="14"/>
      <c r="H1" s="58"/>
      <c r="I1" s="58"/>
      <c r="J1" s="14"/>
      <c r="K1" s="14"/>
      <c r="L1" s="58"/>
      <c r="M1" s="14"/>
      <c r="N1" s="14"/>
      <c r="O1" s="33"/>
      <c r="P1" s="33"/>
      <c r="Q1" s="33"/>
      <c r="R1" s="33"/>
      <c r="S1" s="33"/>
      <c r="T1" s="33"/>
      <c r="U1" s="33"/>
      <c r="V1" s="33"/>
      <c r="W1" s="33"/>
    </row>
    <row r="2" spans="1:24">
      <c r="A2" s="14" t="s">
        <v>675</v>
      </c>
      <c r="B2" s="58"/>
      <c r="C2" s="14"/>
      <c r="D2" s="14"/>
      <c r="E2" s="58"/>
      <c r="F2" s="14"/>
      <c r="G2" s="14"/>
      <c r="H2" s="58"/>
      <c r="I2" s="58"/>
      <c r="J2" s="14"/>
      <c r="K2" s="14"/>
      <c r="L2" s="58"/>
      <c r="M2" s="14"/>
      <c r="N2" s="14"/>
      <c r="O2" s="33"/>
      <c r="P2" s="33"/>
      <c r="Q2" s="33"/>
      <c r="R2" s="33"/>
      <c r="S2" s="33"/>
      <c r="T2" s="33"/>
      <c r="U2" s="33"/>
      <c r="V2" s="33"/>
      <c r="W2" s="33"/>
    </row>
    <row r="3" spans="1:24">
      <c r="A3" s="14"/>
      <c r="B3" s="58"/>
      <c r="C3" s="14"/>
      <c r="D3" s="14"/>
      <c r="E3" s="58"/>
      <c r="F3" s="14"/>
      <c r="G3" s="14"/>
      <c r="H3" s="58"/>
      <c r="I3" s="58"/>
      <c r="J3" s="14"/>
      <c r="K3" s="14"/>
      <c r="L3" s="58"/>
      <c r="M3" s="14"/>
      <c r="N3" s="14"/>
      <c r="O3" s="33"/>
      <c r="P3" s="33"/>
      <c r="Q3" s="33"/>
      <c r="R3" s="33"/>
      <c r="S3" s="33"/>
      <c r="T3" s="33"/>
      <c r="U3" s="33"/>
      <c r="V3" s="33"/>
      <c r="W3" s="33"/>
    </row>
    <row r="4" spans="1:24" ht="12.5" customHeight="1">
      <c r="A4" s="14" t="s">
        <v>1997</v>
      </c>
      <c r="B4" s="58"/>
      <c r="C4" s="14"/>
      <c r="D4" s="14"/>
      <c r="E4" s="58"/>
      <c r="F4" s="14"/>
      <c r="G4" s="14"/>
      <c r="H4" s="58"/>
      <c r="I4" s="58"/>
      <c r="J4" s="14"/>
      <c r="K4" s="14"/>
      <c r="L4" s="58"/>
      <c r="M4" s="14"/>
      <c r="N4" s="14"/>
      <c r="O4" s="33"/>
      <c r="P4" s="33"/>
      <c r="Q4" s="33"/>
      <c r="R4" s="33"/>
      <c r="S4" s="33"/>
      <c r="T4" s="33"/>
      <c r="U4" s="33"/>
      <c r="V4" s="33"/>
      <c r="W4" s="33"/>
    </row>
    <row r="5" spans="1:24" ht="14" thickBot="1">
      <c r="A5" s="14"/>
      <c r="B5" s="58"/>
      <c r="C5" s="14"/>
      <c r="D5" s="14"/>
      <c r="E5" s="58"/>
      <c r="F5" s="14"/>
      <c r="G5" s="14"/>
      <c r="H5" s="58"/>
      <c r="I5" s="58"/>
      <c r="J5" s="14"/>
      <c r="K5" s="14"/>
      <c r="L5" s="58"/>
      <c r="M5" s="14"/>
      <c r="N5" s="14"/>
      <c r="O5" s="33"/>
      <c r="P5" s="72"/>
      <c r="Q5" s="72"/>
      <c r="R5" s="33"/>
      <c r="S5" s="33"/>
      <c r="T5" s="72"/>
      <c r="U5" s="72"/>
      <c r="V5" s="33"/>
      <c r="W5" s="33"/>
    </row>
    <row r="6" spans="1:24" ht="20" customHeight="1">
      <c r="A6" s="376"/>
      <c r="B6" s="186"/>
      <c r="C6" s="376"/>
      <c r="D6" s="376"/>
      <c r="E6" s="186"/>
      <c r="F6" s="376"/>
      <c r="G6" s="376"/>
      <c r="H6" s="186"/>
      <c r="I6" s="186"/>
      <c r="J6" s="376"/>
      <c r="K6" s="376"/>
      <c r="L6" s="186"/>
      <c r="M6" s="376"/>
      <c r="N6" s="376"/>
      <c r="O6" s="188"/>
      <c r="P6" s="189"/>
      <c r="Q6" s="189"/>
      <c r="R6" s="188"/>
      <c r="S6" s="188"/>
      <c r="T6" s="189"/>
      <c r="U6" s="189"/>
      <c r="V6" s="188"/>
      <c r="W6" s="188"/>
    </row>
    <row r="7" spans="1:24" ht="20" customHeight="1">
      <c r="A7" s="83" t="s">
        <v>1325</v>
      </c>
      <c r="B7" s="72" t="s">
        <v>1326</v>
      </c>
      <c r="C7" s="33"/>
      <c r="D7" s="33"/>
      <c r="E7" s="1021" t="s">
        <v>1327</v>
      </c>
      <c r="F7" s="1021"/>
      <c r="G7" s="33"/>
      <c r="H7" s="1021" t="s">
        <v>1328</v>
      </c>
      <c r="I7" s="1021"/>
      <c r="J7" s="1021"/>
      <c r="K7" s="33"/>
      <c r="L7" s="1021" t="s">
        <v>1329</v>
      </c>
      <c r="M7" s="1021"/>
      <c r="N7" s="1021"/>
      <c r="O7" s="33"/>
      <c r="P7" s="1021" t="s">
        <v>1330</v>
      </c>
      <c r="Q7" s="1021"/>
      <c r="R7" s="1021"/>
      <c r="S7" s="33"/>
      <c r="T7" s="1021" t="s">
        <v>1331</v>
      </c>
      <c r="U7" s="1021"/>
      <c r="V7" s="1021"/>
      <c r="W7" s="33"/>
    </row>
    <row r="8" spans="1:24" ht="20" customHeight="1">
      <c r="A8" s="61" t="s">
        <v>1332</v>
      </c>
      <c r="B8" s="196" t="s">
        <v>1333</v>
      </c>
      <c r="C8" s="225" t="s">
        <v>1334</v>
      </c>
      <c r="D8" s="794"/>
      <c r="E8" s="196" t="s">
        <v>1333</v>
      </c>
      <c r="F8" s="225" t="s">
        <v>1334</v>
      </c>
      <c r="G8" s="794"/>
      <c r="H8" s="196" t="s">
        <v>1333</v>
      </c>
      <c r="I8" s="196"/>
      <c r="J8" s="225" t="s">
        <v>1334</v>
      </c>
      <c r="K8" s="794"/>
      <c r="L8" s="196" t="s">
        <v>152</v>
      </c>
      <c r="M8" s="225"/>
      <c r="N8" s="225" t="s">
        <v>153</v>
      </c>
      <c r="O8" s="794"/>
      <c r="P8" s="196" t="s">
        <v>152</v>
      </c>
      <c r="Q8" s="196"/>
      <c r="R8" s="225" t="s">
        <v>153</v>
      </c>
      <c r="S8" s="33"/>
      <c r="T8" s="196" t="s">
        <v>152</v>
      </c>
      <c r="U8" s="196"/>
      <c r="V8" s="225" t="s">
        <v>153</v>
      </c>
      <c r="W8" s="33"/>
    </row>
    <row r="9" spans="1:24" ht="20" customHeight="1" thickBot="1">
      <c r="A9" s="199"/>
      <c r="B9" s="199"/>
      <c r="C9" s="199"/>
      <c r="D9" s="199"/>
      <c r="E9" s="199"/>
      <c r="F9" s="199"/>
      <c r="G9" s="199"/>
      <c r="H9" s="199"/>
      <c r="I9" s="199"/>
      <c r="J9" s="199"/>
      <c r="K9" s="199"/>
      <c r="L9" s="199"/>
      <c r="M9" s="199"/>
      <c r="N9" s="199"/>
      <c r="O9" s="199"/>
      <c r="P9" s="199"/>
      <c r="Q9" s="199"/>
      <c r="R9" s="199"/>
      <c r="S9" s="33"/>
      <c r="T9" s="199"/>
      <c r="U9" s="199"/>
      <c r="V9" s="199"/>
      <c r="W9" s="33"/>
    </row>
    <row r="10" spans="1:24" ht="20" customHeight="1">
      <c r="A10" s="33"/>
      <c r="B10" s="72"/>
      <c r="C10" s="73"/>
      <c r="D10" s="33"/>
      <c r="E10" s="72"/>
      <c r="F10" s="33"/>
      <c r="G10" s="33"/>
      <c r="H10" s="72"/>
      <c r="I10" s="72"/>
      <c r="J10" s="33"/>
      <c r="K10" s="33"/>
      <c r="L10" s="72"/>
      <c r="M10" s="33"/>
      <c r="N10" s="33"/>
      <c r="O10" s="33"/>
      <c r="P10" s="72"/>
      <c r="Q10" s="72"/>
      <c r="R10" s="33"/>
      <c r="S10" s="188"/>
      <c r="T10" s="72"/>
      <c r="U10" s="72"/>
      <c r="V10" s="33"/>
      <c r="W10" s="188"/>
    </row>
    <row r="11" spans="1:24" ht="20" customHeight="1">
      <c r="A11" s="55" t="s">
        <v>148</v>
      </c>
      <c r="B11" s="72">
        <f>SUM(B13:B37)</f>
        <v>592413</v>
      </c>
      <c r="C11" s="73">
        <f>IF(A11&lt;&gt;0,B11/$B$11*100,"")</f>
        <v>100</v>
      </c>
      <c r="D11" s="33"/>
      <c r="E11" s="72">
        <f>SUM(E13:E37)</f>
        <v>200944</v>
      </c>
      <c r="F11" s="73">
        <f>IF($A11&lt;&gt;"",E11/$B11*100,"")</f>
        <v>33.919579752638782</v>
      </c>
      <c r="G11" s="33"/>
      <c r="H11" s="72">
        <f>SUM(H13:H37)</f>
        <v>83106</v>
      </c>
      <c r="I11" s="72"/>
      <c r="J11" s="73">
        <f>IF($A11&lt;&gt;"",H11/$B11*100,"")</f>
        <v>14.028388978634837</v>
      </c>
      <c r="K11" s="33"/>
      <c r="L11" s="72">
        <f>SUM(L13:L37)</f>
        <v>199209</v>
      </c>
      <c r="M11" s="33"/>
      <c r="N11" s="73">
        <f t="shared" ref="N11:N37" si="0">IF($A11&lt;&gt;"",L11/$B11*100,"")</f>
        <v>33.626709744722014</v>
      </c>
      <c r="O11" s="33"/>
      <c r="P11" s="72">
        <f>SUM(P13:P37)</f>
        <v>12080</v>
      </c>
      <c r="Q11" s="72"/>
      <c r="R11" s="73">
        <f>IF($A11&lt;&gt;"",P11/$B11*100,"")</f>
        <v>2.0391179801928723</v>
      </c>
      <c r="S11" s="72"/>
      <c r="T11" s="72">
        <f>SUM(T13:T37)</f>
        <v>97074</v>
      </c>
      <c r="U11" s="72"/>
      <c r="V11" s="73">
        <f>IF($A11&lt;&gt;"",T11/$B11*100,"")</f>
        <v>16.386203543811494</v>
      </c>
      <c r="W11" s="33"/>
    </row>
    <row r="12" spans="1:24" ht="13.5" customHeight="1">
      <c r="A12" s="33"/>
      <c r="B12" s="72"/>
      <c r="C12" s="73" t="str">
        <f t="shared" ref="C12:C37" si="1">IF(A12&lt;&gt;0,B12/$B$11*100,"")</f>
        <v/>
      </c>
      <c r="D12" s="33"/>
      <c r="E12" s="72"/>
      <c r="F12" s="73" t="str">
        <f t="shared" ref="F12:F22" si="2">IF($A12&lt;&gt;"",E12/$B12*100,"")</f>
        <v/>
      </c>
      <c r="G12" s="33"/>
      <c r="H12" s="72"/>
      <c r="I12" s="72"/>
      <c r="J12" s="73" t="str">
        <f t="shared" ref="J12:J37" si="3">IF($A12&lt;&gt;"",H12/$B12*100,"")</f>
        <v/>
      </c>
      <c r="K12" s="33"/>
      <c r="L12" s="72"/>
      <c r="M12" s="33"/>
      <c r="N12" s="73" t="str">
        <f t="shared" si="0"/>
        <v/>
      </c>
      <c r="O12" s="33"/>
      <c r="P12" s="72"/>
      <c r="Q12" s="72"/>
      <c r="R12" s="73" t="str">
        <f t="shared" ref="R12:R37" si="4">IF($A12&lt;&gt;"",P12/$B12*100,"")</f>
        <v/>
      </c>
      <c r="S12" s="33"/>
      <c r="T12" s="72"/>
      <c r="U12" s="72"/>
      <c r="V12" s="73" t="str">
        <f t="shared" ref="V12:V37" si="5">IF($A12&lt;&gt;"",T12/$B12*100,"")</f>
        <v/>
      </c>
      <c r="W12" s="33"/>
    </row>
    <row r="13" spans="1:24" ht="20" customHeight="1">
      <c r="A13" s="772" t="s">
        <v>1335</v>
      </c>
      <c r="B13" s="72">
        <f>E13+H13+L13+P13+T13</f>
        <v>212230</v>
      </c>
      <c r="C13" s="73">
        <f t="shared" si="1"/>
        <v>35.824669613934873</v>
      </c>
      <c r="D13" s="33"/>
      <c r="E13" s="737">
        <v>117858</v>
      </c>
      <c r="F13" s="73">
        <f t="shared" si="2"/>
        <v>55.533147999811526</v>
      </c>
      <c r="G13" s="33"/>
      <c r="H13" s="737">
        <v>18026</v>
      </c>
      <c r="I13" s="33"/>
      <c r="J13" s="73">
        <f t="shared" si="3"/>
        <v>8.4936154172360183</v>
      </c>
      <c r="K13" s="33"/>
      <c r="L13" s="737">
        <v>51874</v>
      </c>
      <c r="M13" s="33"/>
      <c r="N13" s="73">
        <f t="shared" si="0"/>
        <v>24.442350280356216</v>
      </c>
      <c r="O13" s="33"/>
      <c r="P13" s="737">
        <v>1936</v>
      </c>
      <c r="Q13" s="72"/>
      <c r="R13" s="73">
        <f t="shared" si="4"/>
        <v>0.91221787683173927</v>
      </c>
      <c r="S13" s="33"/>
      <c r="T13" s="737">
        <v>22536</v>
      </c>
      <c r="U13" s="72"/>
      <c r="V13" s="73">
        <f t="shared" si="5"/>
        <v>10.618668425764501</v>
      </c>
      <c r="W13" s="33"/>
      <c r="X13" s="873"/>
    </row>
    <row r="14" spans="1:24" ht="13.5" customHeight="1">
      <c r="A14" s="772"/>
      <c r="B14" s="72"/>
      <c r="C14" s="73" t="str">
        <f t="shared" si="1"/>
        <v/>
      </c>
      <c r="D14" s="33"/>
      <c r="E14" s="737"/>
      <c r="F14" s="73" t="str">
        <f t="shared" si="2"/>
        <v/>
      </c>
      <c r="G14" s="33"/>
      <c r="H14" s="737"/>
      <c r="I14" s="72"/>
      <c r="J14" s="73" t="str">
        <f t="shared" si="3"/>
        <v/>
      </c>
      <c r="K14" s="33"/>
      <c r="L14" s="737"/>
      <c r="M14" s="33"/>
      <c r="N14" s="73" t="str">
        <f t="shared" si="0"/>
        <v/>
      </c>
      <c r="O14" s="33"/>
      <c r="P14" s="737"/>
      <c r="Q14" s="72"/>
      <c r="R14" s="73" t="str">
        <f t="shared" si="4"/>
        <v/>
      </c>
      <c r="S14" s="33"/>
      <c r="T14" s="737"/>
      <c r="U14" s="72"/>
      <c r="V14" s="73" t="str">
        <f t="shared" si="5"/>
        <v/>
      </c>
      <c r="W14" s="33"/>
      <c r="X14" s="873"/>
    </row>
    <row r="15" spans="1:24" ht="20" customHeight="1">
      <c r="A15" s="772" t="s">
        <v>1336</v>
      </c>
      <c r="B15" s="72">
        <f>E15+H15+L15+P15+T15</f>
        <v>126653</v>
      </c>
      <c r="C15" s="73">
        <f t="shared" si="1"/>
        <v>21.379172975609919</v>
      </c>
      <c r="D15" s="33"/>
      <c r="E15" s="207">
        <v>35640</v>
      </c>
      <c r="F15" s="289">
        <f t="shared" si="2"/>
        <v>28.13987825002171</v>
      </c>
      <c r="G15" s="77"/>
      <c r="H15" s="207">
        <v>27193</v>
      </c>
      <c r="I15" s="288"/>
      <c r="J15" s="289">
        <f t="shared" si="3"/>
        <v>21.47047444592706</v>
      </c>
      <c r="K15" s="77"/>
      <c r="L15" s="207">
        <v>25350</v>
      </c>
      <c r="M15" s="77"/>
      <c r="N15" s="289">
        <f t="shared" si="0"/>
        <v>20.015317442145072</v>
      </c>
      <c r="O15" s="77"/>
      <c r="P15" s="207">
        <v>5706</v>
      </c>
      <c r="Q15" s="288"/>
      <c r="R15" s="289">
        <f t="shared" si="4"/>
        <v>4.5052229319479205</v>
      </c>
      <c r="S15" s="77"/>
      <c r="T15" s="207">
        <v>32764</v>
      </c>
      <c r="U15" s="288"/>
      <c r="V15" s="289">
        <f t="shared" si="5"/>
        <v>25.869106929958228</v>
      </c>
      <c r="W15" s="33"/>
      <c r="X15" s="873"/>
    </row>
    <row r="16" spans="1:24" ht="13.5" customHeight="1">
      <c r="A16" s="772"/>
      <c r="B16" s="72"/>
      <c r="C16" s="73" t="str">
        <f t="shared" si="1"/>
        <v/>
      </c>
      <c r="D16" s="33"/>
      <c r="E16" s="207"/>
      <c r="F16" s="289" t="str">
        <f t="shared" si="2"/>
        <v/>
      </c>
      <c r="G16" s="77"/>
      <c r="H16" s="207"/>
      <c r="I16" s="288"/>
      <c r="J16" s="289" t="str">
        <f t="shared" si="3"/>
        <v/>
      </c>
      <c r="K16" s="77"/>
      <c r="L16" s="207"/>
      <c r="M16" s="77"/>
      <c r="N16" s="289" t="str">
        <f t="shared" si="0"/>
        <v/>
      </c>
      <c r="O16" s="77"/>
      <c r="P16" s="747"/>
      <c r="Q16" s="288"/>
      <c r="R16" s="289" t="str">
        <f t="shared" si="4"/>
        <v/>
      </c>
      <c r="S16" s="77"/>
      <c r="T16" s="207"/>
      <c r="U16" s="288"/>
      <c r="V16" s="289" t="str">
        <f t="shared" si="5"/>
        <v/>
      </c>
      <c r="W16" s="33"/>
      <c r="X16" s="873"/>
    </row>
    <row r="17" spans="1:24" ht="20" customHeight="1">
      <c r="A17" s="772" t="s">
        <v>1337</v>
      </c>
      <c r="B17" s="72">
        <f>E17+H17+L17+P17+T17</f>
        <v>58945</v>
      </c>
      <c r="C17" s="73">
        <f t="shared" si="1"/>
        <v>9.9499842170917923</v>
      </c>
      <c r="D17" s="33"/>
      <c r="E17" s="207">
        <v>11921</v>
      </c>
      <c r="F17" s="289">
        <f t="shared" si="2"/>
        <v>20.223937568920181</v>
      </c>
      <c r="G17" s="77"/>
      <c r="H17" s="207">
        <v>20778</v>
      </c>
      <c r="I17" s="288"/>
      <c r="J17" s="289">
        <f t="shared" si="3"/>
        <v>35.2498091441174</v>
      </c>
      <c r="K17" s="77"/>
      <c r="L17" s="207">
        <v>6492</v>
      </c>
      <c r="M17" s="77"/>
      <c r="N17" s="289">
        <f t="shared" si="0"/>
        <v>11.013656798710663</v>
      </c>
      <c r="O17" s="77"/>
      <c r="P17" s="207">
        <v>2118</v>
      </c>
      <c r="Q17" s="288"/>
      <c r="R17" s="289">
        <f t="shared" si="4"/>
        <v>3.5931800831283405</v>
      </c>
      <c r="S17" s="77"/>
      <c r="T17" s="207">
        <v>17636</v>
      </c>
      <c r="U17" s="288"/>
      <c r="V17" s="289">
        <f t="shared" si="5"/>
        <v>29.919416405123421</v>
      </c>
      <c r="W17" s="33"/>
      <c r="X17" s="873"/>
    </row>
    <row r="18" spans="1:24" ht="13.5" customHeight="1">
      <c r="A18" s="772"/>
      <c r="B18" s="72">
        <f>E18+H20+L18</f>
        <v>0</v>
      </c>
      <c r="C18" s="73" t="str">
        <f t="shared" si="1"/>
        <v/>
      </c>
      <c r="D18" s="33"/>
      <c r="E18" s="207"/>
      <c r="F18" s="289" t="str">
        <f t="shared" si="2"/>
        <v/>
      </c>
      <c r="G18" s="77"/>
      <c r="H18" s="747"/>
      <c r="I18" s="288"/>
      <c r="J18" s="289" t="str">
        <f t="shared" si="3"/>
        <v/>
      </c>
      <c r="K18" s="77"/>
      <c r="L18" s="747"/>
      <c r="M18" s="77"/>
      <c r="N18" s="289" t="str">
        <f t="shared" si="0"/>
        <v/>
      </c>
      <c r="O18" s="77"/>
      <c r="P18" s="747"/>
      <c r="Q18" s="288"/>
      <c r="R18" s="289" t="str">
        <f t="shared" si="4"/>
        <v/>
      </c>
      <c r="S18" s="77"/>
      <c r="T18" s="207"/>
      <c r="U18" s="288"/>
      <c r="V18" s="289" t="str">
        <f t="shared" si="5"/>
        <v/>
      </c>
      <c r="W18" s="33"/>
      <c r="X18" s="873"/>
    </row>
    <row r="19" spans="1:24" ht="20" customHeight="1">
      <c r="A19" s="234" t="s">
        <v>1338</v>
      </c>
      <c r="B19" s="72">
        <f>E19+H19+L19+P19+T19</f>
        <v>97981</v>
      </c>
      <c r="C19" s="73">
        <f t="shared" si="1"/>
        <v>16.539306193483263</v>
      </c>
      <c r="D19" s="33"/>
      <c r="E19" s="207">
        <v>6393</v>
      </c>
      <c r="F19" s="289">
        <f t="shared" si="2"/>
        <v>6.5247343872791657</v>
      </c>
      <c r="G19" s="77"/>
      <c r="H19" s="207">
        <v>3382</v>
      </c>
      <c r="I19" s="288"/>
      <c r="J19" s="289">
        <f t="shared" si="3"/>
        <v>3.4516896132923733</v>
      </c>
      <c r="K19" s="77"/>
      <c r="L19" s="207">
        <v>75749</v>
      </c>
      <c r="M19" s="77"/>
      <c r="N19" s="289">
        <f t="shared" si="0"/>
        <v>77.309886610669423</v>
      </c>
      <c r="O19" s="77"/>
      <c r="P19" s="747">
        <v>2320</v>
      </c>
      <c r="Q19" s="288"/>
      <c r="R19" s="289">
        <f t="shared" si="4"/>
        <v>2.367806003204703</v>
      </c>
      <c r="S19" s="77"/>
      <c r="T19" s="207">
        <v>10137</v>
      </c>
      <c r="U19" s="288"/>
      <c r="V19" s="289">
        <f t="shared" si="5"/>
        <v>10.345883385554343</v>
      </c>
      <c r="W19" s="33"/>
      <c r="X19" s="874"/>
    </row>
    <row r="20" spans="1:24" ht="13.5" customHeight="1">
      <c r="A20" s="772"/>
      <c r="B20" s="72">
        <f>E20+H22+L20</f>
        <v>0</v>
      </c>
      <c r="C20" s="73" t="str">
        <f t="shared" si="1"/>
        <v/>
      </c>
      <c r="D20" s="33"/>
      <c r="E20" s="207"/>
      <c r="F20" s="289" t="str">
        <f t="shared" si="2"/>
        <v/>
      </c>
      <c r="G20" s="77"/>
      <c r="H20" s="747"/>
      <c r="I20" s="288"/>
      <c r="J20" s="289" t="str">
        <f t="shared" si="3"/>
        <v/>
      </c>
      <c r="K20" s="77"/>
      <c r="L20" s="747"/>
      <c r="M20" s="77"/>
      <c r="N20" s="289" t="str">
        <f t="shared" si="0"/>
        <v/>
      </c>
      <c r="O20" s="77"/>
      <c r="P20" s="747"/>
      <c r="Q20" s="288"/>
      <c r="R20" s="289" t="str">
        <f t="shared" si="4"/>
        <v/>
      </c>
      <c r="S20" s="77"/>
      <c r="T20" s="207"/>
      <c r="U20" s="288"/>
      <c r="V20" s="289" t="str">
        <f t="shared" si="5"/>
        <v/>
      </c>
      <c r="W20" s="33"/>
      <c r="X20" s="873"/>
    </row>
    <row r="21" spans="1:24" ht="20" customHeight="1">
      <c r="A21" s="772" t="s">
        <v>1339</v>
      </c>
      <c r="B21" s="72">
        <f>E21+H21+L21+P21+T21</f>
        <v>51251</v>
      </c>
      <c r="C21" s="73">
        <f t="shared" si="1"/>
        <v>8.6512281128199415</v>
      </c>
      <c r="D21" s="33"/>
      <c r="E21" s="207">
        <v>7307</v>
      </c>
      <c r="F21" s="289">
        <f t="shared" si="2"/>
        <v>14.257282784726153</v>
      </c>
      <c r="G21" s="77"/>
      <c r="H21" s="207">
        <v>1459</v>
      </c>
      <c r="I21" s="288"/>
      <c r="J21" s="289">
        <f t="shared" si="3"/>
        <v>2.8467737214883613</v>
      </c>
      <c r="K21" s="77"/>
      <c r="L21" s="207">
        <v>38115</v>
      </c>
      <c r="M21" s="77"/>
      <c r="N21" s="289">
        <f t="shared" si="0"/>
        <v>74.369280599402941</v>
      </c>
      <c r="O21" s="77"/>
      <c r="P21" s="747">
        <v>0</v>
      </c>
      <c r="Q21" s="288"/>
      <c r="R21" s="289">
        <f t="shared" si="4"/>
        <v>0</v>
      </c>
      <c r="S21" s="77"/>
      <c r="T21" s="207">
        <v>4370</v>
      </c>
      <c r="U21" s="288"/>
      <c r="V21" s="289">
        <f t="shared" si="5"/>
        <v>8.5266628943825484</v>
      </c>
      <c r="W21" s="33"/>
      <c r="X21" s="873"/>
    </row>
    <row r="22" spans="1:24" ht="13.5" customHeight="1">
      <c r="A22" s="772"/>
      <c r="B22" s="72">
        <f>E22+H22+L22+P22</f>
        <v>0</v>
      </c>
      <c r="C22" s="73" t="str">
        <f t="shared" si="1"/>
        <v/>
      </c>
      <c r="D22" s="33"/>
      <c r="E22" s="207"/>
      <c r="F22" s="289" t="str">
        <f t="shared" si="2"/>
        <v/>
      </c>
      <c r="G22" s="77"/>
      <c r="H22" s="747"/>
      <c r="I22" s="288"/>
      <c r="J22" s="289" t="str">
        <f t="shared" si="3"/>
        <v/>
      </c>
      <c r="K22" s="77"/>
      <c r="L22" s="747"/>
      <c r="M22" s="77"/>
      <c r="N22" s="289" t="str">
        <f t="shared" si="0"/>
        <v/>
      </c>
      <c r="O22" s="77"/>
      <c r="P22" s="747"/>
      <c r="Q22" s="288"/>
      <c r="R22" s="289" t="str">
        <f t="shared" si="4"/>
        <v/>
      </c>
      <c r="S22" s="77"/>
      <c r="T22" s="207"/>
      <c r="U22" s="288"/>
      <c r="V22" s="289" t="str">
        <f t="shared" si="5"/>
        <v/>
      </c>
      <c r="W22" s="33"/>
      <c r="X22" s="873"/>
    </row>
    <row r="23" spans="1:24" ht="20" customHeight="1">
      <c r="A23" s="772" t="s">
        <v>1340</v>
      </c>
      <c r="B23" s="72">
        <f>E23+H23+L23+P23+T23</f>
        <v>15278</v>
      </c>
      <c r="C23" s="73">
        <f t="shared" si="1"/>
        <v>2.5789440812406208</v>
      </c>
      <c r="D23" s="33"/>
      <c r="E23" s="207">
        <v>3446</v>
      </c>
      <c r="F23" s="289">
        <f>IF($A23&lt;&gt;"",E23/$B23*100,"")</f>
        <v>22.555308286424925</v>
      </c>
      <c r="G23" s="77"/>
      <c r="H23" s="207">
        <v>2306</v>
      </c>
      <c r="I23" s="288"/>
      <c r="J23" s="289">
        <f t="shared" si="3"/>
        <v>15.093598638565256</v>
      </c>
      <c r="K23" s="77"/>
      <c r="L23" s="207">
        <v>1061</v>
      </c>
      <c r="M23" s="77"/>
      <c r="N23" s="289">
        <f t="shared" si="0"/>
        <v>6.944626259981673</v>
      </c>
      <c r="O23" s="77"/>
      <c r="P23" s="747">
        <v>0</v>
      </c>
      <c r="Q23" s="288"/>
      <c r="R23" s="289">
        <f t="shared" si="4"/>
        <v>0</v>
      </c>
      <c r="S23" s="77"/>
      <c r="T23" s="207">
        <v>8465</v>
      </c>
      <c r="U23" s="288"/>
      <c r="V23" s="289">
        <f t="shared" si="5"/>
        <v>55.406466815028146</v>
      </c>
      <c r="W23" s="33"/>
      <c r="X23" s="873"/>
    </row>
    <row r="24" spans="1:24" ht="13.5" customHeight="1">
      <c r="A24" s="772"/>
      <c r="B24" s="72">
        <f t="shared" ref="B24:B37" si="6">E24+H24+L24+P24+T24</f>
        <v>0</v>
      </c>
      <c r="C24" s="73" t="str">
        <f t="shared" si="1"/>
        <v/>
      </c>
      <c r="D24" s="33"/>
      <c r="E24" s="207"/>
      <c r="F24" s="289" t="str">
        <f t="shared" ref="F24:F37" si="7">IF($A24&lt;&gt;"",E24/$B24*100,"")</f>
        <v/>
      </c>
      <c r="G24" s="77"/>
      <c r="H24" s="747"/>
      <c r="I24" s="288"/>
      <c r="J24" s="289" t="str">
        <f t="shared" si="3"/>
        <v/>
      </c>
      <c r="K24" s="77"/>
      <c r="L24" s="747"/>
      <c r="M24" s="77"/>
      <c r="N24" s="289" t="str">
        <f t="shared" si="0"/>
        <v/>
      </c>
      <c r="O24" s="77"/>
      <c r="P24" s="747"/>
      <c r="Q24" s="288"/>
      <c r="R24" s="289" t="str">
        <f t="shared" si="4"/>
        <v/>
      </c>
      <c r="S24" s="77"/>
      <c r="T24" s="207"/>
      <c r="U24" s="288"/>
      <c r="V24" s="289" t="str">
        <f t="shared" si="5"/>
        <v/>
      </c>
      <c r="W24" s="33"/>
      <c r="X24" s="873"/>
    </row>
    <row r="25" spans="1:24" ht="20" customHeight="1">
      <c r="A25" s="772" t="s">
        <v>1341</v>
      </c>
      <c r="B25" s="72">
        <f t="shared" si="6"/>
        <v>2132</v>
      </c>
      <c r="C25" s="73">
        <f t="shared" si="1"/>
        <v>0.35988406736516587</v>
      </c>
      <c r="D25" s="33"/>
      <c r="E25" s="207">
        <v>1210</v>
      </c>
      <c r="F25" s="289">
        <f t="shared" si="7"/>
        <v>56.754221388367732</v>
      </c>
      <c r="G25" s="77"/>
      <c r="H25" s="207">
        <v>705</v>
      </c>
      <c r="I25" s="288"/>
      <c r="J25" s="289">
        <f t="shared" si="3"/>
        <v>33.067542213883677</v>
      </c>
      <c r="K25" s="77"/>
      <c r="L25" s="747">
        <v>0</v>
      </c>
      <c r="M25" s="77"/>
      <c r="N25" s="289">
        <f t="shared" si="0"/>
        <v>0</v>
      </c>
      <c r="O25" s="77"/>
      <c r="P25" s="747">
        <v>0</v>
      </c>
      <c r="Q25" s="288"/>
      <c r="R25" s="289">
        <f t="shared" si="4"/>
        <v>0</v>
      </c>
      <c r="S25" s="77"/>
      <c r="T25" s="207">
        <v>217</v>
      </c>
      <c r="U25" s="288"/>
      <c r="V25" s="289">
        <f t="shared" si="5"/>
        <v>10.178236397748593</v>
      </c>
      <c r="W25" s="33"/>
      <c r="X25" s="873"/>
    </row>
    <row r="26" spans="1:24" ht="13.5" customHeight="1">
      <c r="A26" s="772"/>
      <c r="B26" s="72">
        <f t="shared" si="6"/>
        <v>0</v>
      </c>
      <c r="C26" s="73" t="str">
        <f t="shared" si="1"/>
        <v/>
      </c>
      <c r="D26" s="33"/>
      <c r="E26" s="207"/>
      <c r="F26" s="289" t="str">
        <f t="shared" si="7"/>
        <v/>
      </c>
      <c r="G26" s="77"/>
      <c r="H26" s="747"/>
      <c r="I26" s="288"/>
      <c r="J26" s="289" t="str">
        <f t="shared" si="3"/>
        <v/>
      </c>
      <c r="K26" s="77"/>
      <c r="L26" s="747"/>
      <c r="M26" s="77"/>
      <c r="N26" s="289" t="str">
        <f t="shared" si="0"/>
        <v/>
      </c>
      <c r="O26" s="77"/>
      <c r="P26" s="747"/>
      <c r="Q26" s="288"/>
      <c r="R26" s="289" t="str">
        <f t="shared" si="4"/>
        <v/>
      </c>
      <c r="S26" s="77"/>
      <c r="T26" s="207"/>
      <c r="U26" s="288"/>
      <c r="V26" s="289" t="str">
        <f t="shared" si="5"/>
        <v/>
      </c>
      <c r="W26" s="33"/>
      <c r="X26" s="873"/>
    </row>
    <row r="27" spans="1:24" ht="20" customHeight="1">
      <c r="A27" s="234" t="s">
        <v>1342</v>
      </c>
      <c r="B27" s="72">
        <f t="shared" si="6"/>
        <v>1351</v>
      </c>
      <c r="C27" s="73">
        <f t="shared" si="1"/>
        <v>0.22805036351329225</v>
      </c>
      <c r="D27" s="33"/>
      <c r="E27" s="207">
        <v>1351</v>
      </c>
      <c r="F27" s="289">
        <f t="shared" si="7"/>
        <v>100</v>
      </c>
      <c r="G27" s="77"/>
      <c r="H27" s="207">
        <v>0</v>
      </c>
      <c r="I27" s="288"/>
      <c r="J27" s="289">
        <f t="shared" si="3"/>
        <v>0</v>
      </c>
      <c r="K27" s="77"/>
      <c r="L27" s="747">
        <v>0</v>
      </c>
      <c r="M27" s="77"/>
      <c r="N27" s="289">
        <f t="shared" si="0"/>
        <v>0</v>
      </c>
      <c r="O27" s="77"/>
      <c r="P27" s="747">
        <v>0</v>
      </c>
      <c r="Q27" s="288"/>
      <c r="R27" s="289">
        <f t="shared" si="4"/>
        <v>0</v>
      </c>
      <c r="S27" s="77"/>
      <c r="T27" s="207">
        <v>0</v>
      </c>
      <c r="U27" s="288"/>
      <c r="V27" s="289">
        <f t="shared" si="5"/>
        <v>0</v>
      </c>
      <c r="W27" s="33"/>
      <c r="X27" s="874"/>
    </row>
    <row r="28" spans="1:24" ht="13.5" customHeight="1">
      <c r="A28" s="772"/>
      <c r="B28" s="72">
        <f t="shared" si="6"/>
        <v>0</v>
      </c>
      <c r="C28" s="73" t="str">
        <f t="shared" si="1"/>
        <v/>
      </c>
      <c r="D28" s="33"/>
      <c r="E28" s="207"/>
      <c r="F28" s="289" t="str">
        <f t="shared" si="7"/>
        <v/>
      </c>
      <c r="G28" s="77"/>
      <c r="H28" s="747"/>
      <c r="I28" s="288"/>
      <c r="J28" s="289" t="str">
        <f t="shared" si="3"/>
        <v/>
      </c>
      <c r="K28" s="77"/>
      <c r="L28" s="747"/>
      <c r="M28" s="77"/>
      <c r="N28" s="289" t="str">
        <f t="shared" si="0"/>
        <v/>
      </c>
      <c r="O28" s="77"/>
      <c r="P28" s="747"/>
      <c r="Q28" s="288"/>
      <c r="R28" s="289" t="str">
        <f t="shared" si="4"/>
        <v/>
      </c>
      <c r="S28" s="77"/>
      <c r="T28" s="207"/>
      <c r="U28" s="288"/>
      <c r="V28" s="289" t="str">
        <f t="shared" si="5"/>
        <v/>
      </c>
      <c r="W28" s="33"/>
      <c r="X28" s="873"/>
    </row>
    <row r="29" spans="1:24" ht="20" customHeight="1">
      <c r="A29" s="234" t="s">
        <v>1343</v>
      </c>
      <c r="B29" s="72">
        <f t="shared" si="6"/>
        <v>14162</v>
      </c>
      <c r="C29" s="73">
        <f t="shared" si="1"/>
        <v>2.3905619896930013</v>
      </c>
      <c r="D29" s="33"/>
      <c r="E29" s="207">
        <v>7362</v>
      </c>
      <c r="F29" s="289">
        <f t="shared" si="7"/>
        <v>51.984183024996469</v>
      </c>
      <c r="G29" s="77"/>
      <c r="H29" s="207">
        <v>5780</v>
      </c>
      <c r="I29" s="288"/>
      <c r="J29" s="289">
        <f t="shared" si="3"/>
        <v>40.813444428753002</v>
      </c>
      <c r="K29" s="77"/>
      <c r="L29" s="747">
        <v>568</v>
      </c>
      <c r="M29" s="77"/>
      <c r="N29" s="289">
        <f t="shared" si="0"/>
        <v>4.0107329473238247</v>
      </c>
      <c r="O29" s="77"/>
      <c r="P29" s="747">
        <v>0</v>
      </c>
      <c r="Q29" s="288"/>
      <c r="R29" s="289">
        <f t="shared" si="4"/>
        <v>0</v>
      </c>
      <c r="S29" s="77"/>
      <c r="T29" s="207">
        <v>452</v>
      </c>
      <c r="U29" s="288"/>
      <c r="V29" s="289">
        <f t="shared" si="5"/>
        <v>3.191639598926705</v>
      </c>
      <c r="W29" s="33"/>
      <c r="X29" s="874"/>
    </row>
    <row r="30" spans="1:24" ht="13.5" customHeight="1">
      <c r="A30" s="772"/>
      <c r="B30" s="72">
        <f t="shared" si="6"/>
        <v>0</v>
      </c>
      <c r="C30" s="73" t="str">
        <f t="shared" si="1"/>
        <v/>
      </c>
      <c r="D30" s="33"/>
      <c r="E30" s="207"/>
      <c r="F30" s="289" t="str">
        <f t="shared" si="7"/>
        <v/>
      </c>
      <c r="G30" s="77"/>
      <c r="H30" s="747"/>
      <c r="I30" s="288"/>
      <c r="J30" s="289" t="str">
        <f t="shared" si="3"/>
        <v/>
      </c>
      <c r="K30" s="77"/>
      <c r="L30" s="747"/>
      <c r="M30" s="77"/>
      <c r="N30" s="289" t="str">
        <f t="shared" si="0"/>
        <v/>
      </c>
      <c r="O30" s="77"/>
      <c r="P30" s="747"/>
      <c r="Q30" s="288"/>
      <c r="R30" s="289" t="str">
        <f t="shared" si="4"/>
        <v/>
      </c>
      <c r="S30" s="77"/>
      <c r="T30" s="207"/>
      <c r="U30" s="288"/>
      <c r="V30" s="289" t="str">
        <f t="shared" si="5"/>
        <v/>
      </c>
      <c r="W30" s="33"/>
      <c r="X30" s="873"/>
    </row>
    <row r="31" spans="1:24" ht="20" customHeight="1">
      <c r="A31" s="234" t="s">
        <v>1344</v>
      </c>
      <c r="B31" s="72">
        <f t="shared" si="6"/>
        <v>3294</v>
      </c>
      <c r="C31" s="73">
        <f t="shared" si="1"/>
        <v>0.55603101214861927</v>
      </c>
      <c r="D31" s="33"/>
      <c r="E31" s="207">
        <v>1725</v>
      </c>
      <c r="F31" s="289">
        <f t="shared" si="7"/>
        <v>52.367941712204001</v>
      </c>
      <c r="G31" s="77"/>
      <c r="H31" s="207">
        <v>1449</v>
      </c>
      <c r="I31" s="288"/>
      <c r="J31" s="289">
        <f t="shared" si="3"/>
        <v>43.989071038251367</v>
      </c>
      <c r="K31" s="77"/>
      <c r="L31" s="747">
        <v>0</v>
      </c>
      <c r="M31" s="77"/>
      <c r="N31" s="289">
        <f t="shared" si="0"/>
        <v>0</v>
      </c>
      <c r="O31" s="77"/>
      <c r="P31" s="747">
        <v>0</v>
      </c>
      <c r="Q31" s="288"/>
      <c r="R31" s="289">
        <f t="shared" si="4"/>
        <v>0</v>
      </c>
      <c r="S31" s="77"/>
      <c r="T31" s="207">
        <v>120</v>
      </c>
      <c r="U31" s="288"/>
      <c r="V31" s="289">
        <f t="shared" si="5"/>
        <v>3.6429872495446269</v>
      </c>
      <c r="W31" s="33"/>
      <c r="X31" s="874"/>
    </row>
    <row r="32" spans="1:24" ht="13.5" customHeight="1">
      <c r="A32" s="234"/>
      <c r="B32" s="72">
        <f t="shared" si="6"/>
        <v>0</v>
      </c>
      <c r="C32" s="73" t="str">
        <f t="shared" si="1"/>
        <v/>
      </c>
      <c r="D32" s="33"/>
      <c r="E32" s="207"/>
      <c r="F32" s="289" t="str">
        <f t="shared" si="7"/>
        <v/>
      </c>
      <c r="G32" s="77"/>
      <c r="H32" s="747"/>
      <c r="I32" s="288"/>
      <c r="J32" s="289" t="str">
        <f t="shared" si="3"/>
        <v/>
      </c>
      <c r="K32" s="77"/>
      <c r="L32" s="747"/>
      <c r="M32" s="77"/>
      <c r="N32" s="289" t="str">
        <f t="shared" si="0"/>
        <v/>
      </c>
      <c r="O32" s="77"/>
      <c r="P32" s="747"/>
      <c r="Q32" s="288"/>
      <c r="R32" s="289" t="str">
        <f t="shared" si="4"/>
        <v/>
      </c>
      <c r="S32" s="77"/>
      <c r="T32" s="207"/>
      <c r="U32" s="288"/>
      <c r="V32" s="289" t="str">
        <f t="shared" si="5"/>
        <v/>
      </c>
      <c r="W32" s="33"/>
      <c r="X32" s="874"/>
    </row>
    <row r="33" spans="1:24" ht="20" customHeight="1">
      <c r="A33" s="234" t="s">
        <v>1345</v>
      </c>
      <c r="B33" s="72">
        <f t="shared" si="6"/>
        <v>4170</v>
      </c>
      <c r="C33" s="73">
        <f t="shared" si="1"/>
        <v>0.70390082594406267</v>
      </c>
      <c r="D33" s="33"/>
      <c r="E33" s="207">
        <v>4067</v>
      </c>
      <c r="F33" s="289">
        <f t="shared" si="7"/>
        <v>97.529976019184645</v>
      </c>
      <c r="G33" s="77"/>
      <c r="H33" s="207">
        <v>103</v>
      </c>
      <c r="I33" s="288"/>
      <c r="J33" s="289">
        <f t="shared" si="3"/>
        <v>2.4700239808153479</v>
      </c>
      <c r="K33" s="77"/>
      <c r="L33" s="747">
        <v>0</v>
      </c>
      <c r="M33" s="77"/>
      <c r="N33" s="289">
        <f t="shared" si="0"/>
        <v>0</v>
      </c>
      <c r="O33" s="77"/>
      <c r="P33" s="747">
        <v>0</v>
      </c>
      <c r="Q33" s="288"/>
      <c r="R33" s="289">
        <f t="shared" si="4"/>
        <v>0</v>
      </c>
      <c r="S33" s="77"/>
      <c r="T33" s="207">
        <v>0</v>
      </c>
      <c r="U33" s="288"/>
      <c r="V33" s="289">
        <f t="shared" si="5"/>
        <v>0</v>
      </c>
      <c r="W33" s="33"/>
      <c r="X33" s="874"/>
    </row>
    <row r="34" spans="1:24" ht="13.5" customHeight="1">
      <c r="A34" s="234"/>
      <c r="B34" s="72">
        <f t="shared" si="6"/>
        <v>0</v>
      </c>
      <c r="C34" s="73" t="str">
        <f t="shared" si="1"/>
        <v/>
      </c>
      <c r="D34" s="33"/>
      <c r="E34" s="207"/>
      <c r="F34" s="289" t="str">
        <f t="shared" si="7"/>
        <v/>
      </c>
      <c r="G34" s="77"/>
      <c r="H34" s="747"/>
      <c r="I34" s="288"/>
      <c r="J34" s="289" t="str">
        <f t="shared" si="3"/>
        <v/>
      </c>
      <c r="K34" s="77"/>
      <c r="L34" s="747"/>
      <c r="M34" s="77"/>
      <c r="N34" s="289" t="str">
        <f t="shared" si="0"/>
        <v/>
      </c>
      <c r="O34" s="77"/>
      <c r="P34" s="747"/>
      <c r="Q34" s="288"/>
      <c r="R34" s="289" t="str">
        <f t="shared" si="4"/>
        <v/>
      </c>
      <c r="S34" s="77"/>
      <c r="T34" s="207"/>
      <c r="U34" s="288"/>
      <c r="V34" s="289" t="str">
        <f t="shared" si="5"/>
        <v/>
      </c>
      <c r="W34" s="33"/>
      <c r="X34" s="874"/>
    </row>
    <row r="35" spans="1:24" ht="20" customHeight="1">
      <c r="A35" s="234" t="s">
        <v>1346</v>
      </c>
      <c r="B35" s="72">
        <f t="shared" si="6"/>
        <v>183</v>
      </c>
      <c r="C35" s="73">
        <f t="shared" si="1"/>
        <v>3.0890611786034406E-2</v>
      </c>
      <c r="D35" s="33"/>
      <c r="E35" s="207">
        <v>183</v>
      </c>
      <c r="F35" s="289">
        <f t="shared" si="7"/>
        <v>100</v>
      </c>
      <c r="G35" s="77"/>
      <c r="H35" s="207">
        <v>0</v>
      </c>
      <c r="I35" s="288"/>
      <c r="J35" s="289">
        <f t="shared" si="3"/>
        <v>0</v>
      </c>
      <c r="K35" s="77"/>
      <c r="L35" s="747">
        <v>0</v>
      </c>
      <c r="M35" s="77"/>
      <c r="N35" s="289">
        <f t="shared" si="0"/>
        <v>0</v>
      </c>
      <c r="O35" s="77"/>
      <c r="P35" s="747">
        <v>0</v>
      </c>
      <c r="Q35" s="288"/>
      <c r="R35" s="289">
        <f t="shared" si="4"/>
        <v>0</v>
      </c>
      <c r="S35" s="77"/>
      <c r="T35" s="207">
        <v>0</v>
      </c>
      <c r="U35" s="288"/>
      <c r="V35" s="289">
        <f t="shared" si="5"/>
        <v>0</v>
      </c>
      <c r="W35" s="33"/>
      <c r="X35" s="874"/>
    </row>
    <row r="36" spans="1:24" ht="13.5" customHeight="1">
      <c r="A36" s="234"/>
      <c r="B36" s="72">
        <f t="shared" si="6"/>
        <v>0</v>
      </c>
      <c r="C36" s="73"/>
      <c r="D36" s="33"/>
      <c r="E36" s="747"/>
      <c r="F36" s="288"/>
      <c r="G36" s="77"/>
      <c r="H36" s="747"/>
      <c r="I36" s="288"/>
      <c r="J36" s="289" t="str">
        <f t="shared" si="3"/>
        <v/>
      </c>
      <c r="K36" s="77"/>
      <c r="L36" s="747"/>
      <c r="M36" s="77"/>
      <c r="N36" s="289" t="str">
        <f t="shared" si="0"/>
        <v/>
      </c>
      <c r="O36" s="77"/>
      <c r="P36" s="206"/>
      <c r="Q36" s="288"/>
      <c r="R36" s="289" t="str">
        <f t="shared" si="4"/>
        <v/>
      </c>
      <c r="S36" s="77"/>
      <c r="T36" s="206"/>
      <c r="U36" s="288"/>
      <c r="V36" s="289" t="str">
        <f t="shared" si="5"/>
        <v/>
      </c>
      <c r="W36" s="33"/>
      <c r="X36" s="874"/>
    </row>
    <row r="37" spans="1:24" ht="16.5" customHeight="1">
      <c r="A37" s="234" t="s">
        <v>1347</v>
      </c>
      <c r="B37" s="72">
        <f t="shared" si="6"/>
        <v>4783</v>
      </c>
      <c r="C37" s="73">
        <f t="shared" si="1"/>
        <v>0.80737593536941299</v>
      </c>
      <c r="D37" s="33"/>
      <c r="E37" s="875">
        <v>2481</v>
      </c>
      <c r="F37" s="537">
        <f t="shared" si="7"/>
        <v>51.871210537319676</v>
      </c>
      <c r="G37" s="301"/>
      <c r="H37" s="875">
        <v>1925</v>
      </c>
      <c r="I37" s="379"/>
      <c r="J37" s="537">
        <f t="shared" si="3"/>
        <v>40.246707087601926</v>
      </c>
      <c r="K37" s="301"/>
      <c r="L37" s="875">
        <v>0</v>
      </c>
      <c r="M37" s="301"/>
      <c r="N37" s="537">
        <f t="shared" si="0"/>
        <v>0</v>
      </c>
      <c r="O37" s="301"/>
      <c r="P37" s="876">
        <v>0</v>
      </c>
      <c r="Q37" s="379"/>
      <c r="R37" s="379">
        <f t="shared" si="4"/>
        <v>0</v>
      </c>
      <c r="S37" s="379"/>
      <c r="T37" s="876">
        <v>377</v>
      </c>
      <c r="U37" s="379"/>
      <c r="V37" s="537">
        <f t="shared" si="5"/>
        <v>7.8820823750784026</v>
      </c>
      <c r="W37" s="33"/>
      <c r="X37" s="874"/>
    </row>
    <row r="38" spans="1:24" ht="13.5" customHeight="1" thickBot="1">
      <c r="A38" s="33"/>
      <c r="B38" s="72"/>
      <c r="C38" s="33"/>
      <c r="D38" s="33"/>
      <c r="E38" s="72"/>
      <c r="F38" s="33"/>
      <c r="G38" s="33"/>
      <c r="H38" s="72"/>
      <c r="I38" s="72"/>
      <c r="J38" s="33"/>
      <c r="K38" s="33"/>
      <c r="L38" s="72"/>
      <c r="M38" s="33"/>
      <c r="N38" s="33"/>
      <c r="O38" s="33"/>
      <c r="P38" s="72"/>
      <c r="Q38" s="72"/>
      <c r="R38" s="33"/>
      <c r="S38" s="33"/>
      <c r="T38" s="72"/>
      <c r="U38" s="72"/>
      <c r="V38" s="33"/>
      <c r="W38" s="33"/>
    </row>
    <row r="39" spans="1:24">
      <c r="A39" s="188"/>
      <c r="B39" s="189"/>
      <c r="C39" s="188"/>
      <c r="D39" s="188"/>
      <c r="E39" s="189"/>
      <c r="F39" s="188"/>
      <c r="G39" s="188"/>
      <c r="H39" s="189"/>
      <c r="I39" s="189"/>
      <c r="J39" s="188"/>
      <c r="K39" s="188"/>
      <c r="L39" s="189"/>
      <c r="M39" s="188"/>
      <c r="N39" s="188"/>
      <c r="O39" s="188"/>
      <c r="P39" s="189"/>
      <c r="Q39" s="189"/>
      <c r="R39" s="188"/>
      <c r="S39" s="188"/>
      <c r="T39" s="189"/>
      <c r="U39" s="189"/>
      <c r="V39" s="188"/>
      <c r="W39" s="188"/>
    </row>
    <row r="40" spans="1:24" ht="15">
      <c r="A40" s="203" t="s">
        <v>1348</v>
      </c>
      <c r="B40" s="72"/>
      <c r="C40" s="33"/>
      <c r="D40" s="33"/>
      <c r="E40" s="72"/>
      <c r="F40" s="33"/>
      <c r="G40" s="33"/>
      <c r="H40" s="72"/>
      <c r="I40" s="72"/>
      <c r="J40" s="33"/>
      <c r="K40" s="33"/>
      <c r="L40" s="72"/>
      <c r="M40" s="33"/>
      <c r="N40" s="33"/>
      <c r="O40" s="33"/>
      <c r="P40" s="33"/>
      <c r="Q40" s="33"/>
      <c r="R40" s="33"/>
      <c r="S40" s="33"/>
      <c r="T40" s="33"/>
      <c r="U40" s="33"/>
      <c r="V40" s="33"/>
      <c r="W40" s="33"/>
    </row>
    <row r="41" spans="1:24" ht="15">
      <c r="A41" s="203" t="s">
        <v>1349</v>
      </c>
      <c r="B41" s="72"/>
      <c r="C41" s="33"/>
      <c r="D41" s="33"/>
      <c r="E41" s="72"/>
      <c r="F41" s="33"/>
      <c r="G41" s="33"/>
      <c r="H41" s="72"/>
      <c r="I41" s="72"/>
      <c r="J41" s="33"/>
      <c r="K41" s="33"/>
      <c r="L41" s="72"/>
      <c r="M41" s="33"/>
      <c r="N41" s="33"/>
      <c r="O41" s="33"/>
      <c r="P41" s="33"/>
      <c r="Q41" s="33"/>
      <c r="R41" s="33"/>
      <c r="S41" s="33"/>
      <c r="T41" s="33"/>
      <c r="U41" s="33"/>
      <c r="V41" s="33"/>
      <c r="W41" s="33"/>
    </row>
    <row r="42" spans="1:24" ht="27.75" customHeight="1">
      <c r="A42" s="1054" t="s">
        <v>2000</v>
      </c>
      <c r="B42" s="1054"/>
      <c r="C42" s="1054"/>
      <c r="D42" s="1054"/>
      <c r="E42" s="1054"/>
      <c r="F42" s="1054"/>
      <c r="G42" s="1054"/>
      <c r="H42" s="1054"/>
      <c r="I42" s="1054"/>
      <c r="J42" s="1054"/>
      <c r="K42" s="1054"/>
      <c r="L42" s="1054"/>
      <c r="M42" s="1054"/>
      <c r="N42" s="1054"/>
      <c r="O42" s="1054"/>
      <c r="P42" s="1054"/>
      <c r="Q42" s="1054"/>
      <c r="R42" s="1054"/>
      <c r="S42" s="1054"/>
      <c r="T42" s="1054"/>
      <c r="U42" s="1054"/>
      <c r="V42" s="1054"/>
      <c r="W42" s="33"/>
    </row>
    <row r="43" spans="1:24" ht="15">
      <c r="A43" s="203" t="s">
        <v>1350</v>
      </c>
      <c r="B43" s="72"/>
      <c r="C43" s="33"/>
      <c r="D43" s="33"/>
      <c r="E43" s="72"/>
      <c r="F43" s="33"/>
      <c r="G43" s="33"/>
      <c r="H43" s="72"/>
      <c r="I43" s="72"/>
      <c r="J43" s="33"/>
      <c r="K43" s="33"/>
      <c r="L43" s="72"/>
      <c r="M43" s="33"/>
      <c r="N43" s="33"/>
      <c r="O43" s="33"/>
      <c r="P43" s="33"/>
      <c r="Q43" s="33"/>
      <c r="R43" s="33"/>
      <c r="S43" s="33"/>
      <c r="T43" s="33"/>
      <c r="U43" s="33"/>
      <c r="V43" s="33"/>
      <c r="W43" s="33"/>
    </row>
    <row r="44" spans="1:24">
      <c r="A44" s="33" t="s">
        <v>1998</v>
      </c>
      <c r="B44" s="72"/>
      <c r="C44" s="33"/>
      <c r="D44" s="33"/>
      <c r="E44" s="72"/>
      <c r="F44" s="33"/>
      <c r="G44" s="33"/>
      <c r="H44" s="72"/>
      <c r="I44" s="72"/>
      <c r="J44" s="33"/>
      <c r="K44" s="33"/>
      <c r="L44" s="72"/>
      <c r="M44" s="33"/>
      <c r="N44" s="33"/>
      <c r="O44" s="33"/>
      <c r="P44" s="33"/>
      <c r="Q44" s="33"/>
      <c r="R44" s="33"/>
      <c r="S44" s="33"/>
      <c r="T44" s="33"/>
      <c r="U44" s="33"/>
      <c r="V44" s="33"/>
      <c r="W44" s="33"/>
    </row>
    <row r="45" spans="1:24" ht="15">
      <c r="A45" s="203" t="s">
        <v>1999</v>
      </c>
      <c r="B45" s="72"/>
      <c r="C45" s="33"/>
      <c r="D45" s="33"/>
      <c r="E45" s="72"/>
      <c r="F45" s="33"/>
      <c r="G45" s="33"/>
      <c r="H45" s="72"/>
      <c r="I45" s="72"/>
      <c r="J45" s="33"/>
      <c r="K45" s="33"/>
      <c r="L45" s="72"/>
      <c r="M45" s="33"/>
      <c r="N45" s="33"/>
      <c r="O45" s="33"/>
      <c r="P45" s="33"/>
      <c r="Q45" s="33"/>
      <c r="R45" s="33"/>
      <c r="S45" s="33"/>
      <c r="T45" s="33"/>
      <c r="U45" s="33"/>
      <c r="V45" s="33"/>
      <c r="W45" s="33"/>
    </row>
    <row r="46" spans="1:24" ht="15">
      <c r="A46" s="203" t="s">
        <v>1351</v>
      </c>
      <c r="B46" s="72"/>
      <c r="C46" s="33"/>
      <c r="D46" s="33"/>
      <c r="E46" s="72"/>
      <c r="F46" s="33"/>
      <c r="G46" s="33"/>
      <c r="H46" s="72"/>
      <c r="I46" s="72"/>
      <c r="J46" s="33"/>
      <c r="K46" s="33"/>
      <c r="L46" s="72"/>
      <c r="M46" s="33"/>
      <c r="N46" s="33"/>
      <c r="O46" s="33"/>
      <c r="P46" s="33"/>
      <c r="Q46" s="33"/>
      <c r="R46" s="33"/>
      <c r="S46" s="33"/>
      <c r="T46" s="33"/>
      <c r="U46" s="33"/>
      <c r="V46" s="33"/>
      <c r="W46" s="33"/>
    </row>
    <row r="47" spans="1:24">
      <c r="A47" s="33"/>
      <c r="B47" s="72"/>
      <c r="C47" s="33"/>
      <c r="D47" s="33"/>
      <c r="E47" s="72"/>
      <c r="F47" s="33"/>
      <c r="G47" s="33"/>
      <c r="H47" s="72"/>
      <c r="I47" s="72"/>
      <c r="J47" s="33"/>
      <c r="K47" s="33"/>
      <c r="L47" s="72"/>
      <c r="M47" s="33"/>
      <c r="N47" s="33"/>
      <c r="O47" s="33"/>
      <c r="P47" s="33"/>
      <c r="Q47" s="33"/>
      <c r="R47" s="33"/>
      <c r="S47" s="33"/>
      <c r="T47" s="33"/>
      <c r="U47" s="33"/>
      <c r="V47" s="33"/>
      <c r="W47" s="33"/>
    </row>
    <row r="48" spans="1:24">
      <c r="A48" s="33" t="s">
        <v>1352</v>
      </c>
      <c r="B48" s="72"/>
      <c r="C48" s="33"/>
      <c r="D48" s="33"/>
      <c r="E48" s="72"/>
      <c r="F48" s="33"/>
      <c r="G48" s="33"/>
      <c r="H48" s="72"/>
      <c r="I48" s="72"/>
      <c r="J48" s="33"/>
      <c r="K48" s="33"/>
      <c r="L48" s="72"/>
      <c r="M48" s="33"/>
      <c r="N48" s="33"/>
      <c r="O48" s="33"/>
      <c r="P48" s="33"/>
      <c r="Q48" s="33"/>
      <c r="R48" s="33"/>
      <c r="S48" s="33"/>
      <c r="T48" s="33"/>
      <c r="U48" s="33"/>
      <c r="V48" s="33"/>
      <c r="W48" s="33"/>
    </row>
    <row r="49" spans="1:23">
      <c r="A49" s="33" t="s">
        <v>1353</v>
      </c>
      <c r="B49" s="72"/>
      <c r="C49" s="33"/>
      <c r="D49" s="33"/>
      <c r="E49" s="72"/>
      <c r="F49" s="33"/>
      <c r="G49" s="33"/>
      <c r="H49" s="72"/>
      <c r="I49" s="72"/>
      <c r="J49" s="33"/>
      <c r="K49" s="33"/>
      <c r="L49" s="72"/>
      <c r="M49" s="33"/>
      <c r="N49" s="33"/>
      <c r="O49" s="33"/>
      <c r="P49" s="33"/>
      <c r="Q49" s="33"/>
      <c r="R49" s="33"/>
      <c r="S49" s="33"/>
      <c r="T49" s="33"/>
      <c r="U49" s="33"/>
      <c r="V49" s="33"/>
      <c r="W49" s="33"/>
    </row>
    <row r="50" spans="1:23">
      <c r="A50" s="33"/>
      <c r="B50" s="72"/>
      <c r="C50" s="33"/>
      <c r="D50" s="33"/>
      <c r="E50" s="72"/>
      <c r="F50" s="33"/>
      <c r="G50" s="33"/>
      <c r="H50" s="72"/>
      <c r="I50" s="72"/>
      <c r="J50" s="33"/>
      <c r="K50" s="33"/>
      <c r="L50" s="72"/>
      <c r="M50" s="33"/>
      <c r="N50" s="33"/>
      <c r="O50" s="33"/>
      <c r="P50" s="33"/>
      <c r="Q50" s="33"/>
      <c r="R50" s="33"/>
      <c r="S50" s="33"/>
      <c r="T50" s="33"/>
      <c r="U50" s="33"/>
      <c r="V50" s="33"/>
      <c r="W50" s="33"/>
    </row>
    <row r="53" spans="1:23">
      <c r="F53" s="95" t="s">
        <v>128</v>
      </c>
    </row>
  </sheetData>
  <mergeCells count="6">
    <mergeCell ref="A42:V42"/>
    <mergeCell ref="E7:F7"/>
    <mergeCell ref="H7:J7"/>
    <mergeCell ref="L7:N7"/>
    <mergeCell ref="P7:R7"/>
    <mergeCell ref="T7:V7"/>
  </mergeCells>
  <conditionalFormatting sqref="A1:XFD1048576">
    <cfRule type="cellIs" dxfId="17" priority="1" operator="equal">
      <formula>0</formula>
    </cfRule>
  </conditionalFormatting>
  <pageMargins left="0.70866141732283472" right="0.70866141732283472" top="0.55118110236220474" bottom="0.55118110236220474" header="0.31496062992125984" footer="0.31496062992125984"/>
  <pageSetup scale="7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5" tint="-0.249977111117893"/>
  </sheetPr>
  <dimension ref="B1:V41"/>
  <sheetViews>
    <sheetView workbookViewId="0">
      <selection activeCell="J8" sqref="J8"/>
    </sheetView>
  </sheetViews>
  <sheetFormatPr baseColWidth="10" defaultRowHeight="15"/>
  <cols>
    <col min="9" max="10" width="11.5" bestFit="1" customWidth="1"/>
    <col min="11" max="11" width="12.5" bestFit="1" customWidth="1"/>
    <col min="12" max="13" width="11.5" bestFit="1" customWidth="1"/>
    <col min="265" max="266" width="11.5" bestFit="1" customWidth="1"/>
    <col min="267" max="267" width="12.5" bestFit="1" customWidth="1"/>
    <col min="268" max="269" width="11.5" bestFit="1" customWidth="1"/>
    <col min="521" max="522" width="11.5" bestFit="1" customWidth="1"/>
    <col min="523" max="523" width="12.5" bestFit="1" customWidth="1"/>
    <col min="524" max="525" width="11.5" bestFit="1" customWidth="1"/>
    <col min="777" max="778" width="11.5" bestFit="1" customWidth="1"/>
    <col min="779" max="779" width="12.5" bestFit="1" customWidth="1"/>
    <col min="780" max="781" width="11.5" bestFit="1" customWidth="1"/>
    <col min="1033" max="1034" width="11.5" bestFit="1" customWidth="1"/>
    <col min="1035" max="1035" width="12.5" bestFit="1" customWidth="1"/>
    <col min="1036" max="1037" width="11.5" bestFit="1" customWidth="1"/>
    <col min="1289" max="1290" width="11.5" bestFit="1" customWidth="1"/>
    <col min="1291" max="1291" width="12.5" bestFit="1" customWidth="1"/>
    <col min="1292" max="1293" width="11.5" bestFit="1" customWidth="1"/>
    <col min="1545" max="1546" width="11.5" bestFit="1" customWidth="1"/>
    <col min="1547" max="1547" width="12.5" bestFit="1" customWidth="1"/>
    <col min="1548" max="1549" width="11.5" bestFit="1" customWidth="1"/>
    <col min="1801" max="1802" width="11.5" bestFit="1" customWidth="1"/>
    <col min="1803" max="1803" width="12.5" bestFit="1" customWidth="1"/>
    <col min="1804" max="1805" width="11.5" bestFit="1" customWidth="1"/>
    <col min="2057" max="2058" width="11.5" bestFit="1" customWidth="1"/>
    <col min="2059" max="2059" width="12.5" bestFit="1" customWidth="1"/>
    <col min="2060" max="2061" width="11.5" bestFit="1" customWidth="1"/>
    <col min="2313" max="2314" width="11.5" bestFit="1" customWidth="1"/>
    <col min="2315" max="2315" width="12.5" bestFit="1" customWidth="1"/>
    <col min="2316" max="2317" width="11.5" bestFit="1" customWidth="1"/>
    <col min="2569" max="2570" width="11.5" bestFit="1" customWidth="1"/>
    <col min="2571" max="2571" width="12.5" bestFit="1" customWidth="1"/>
    <col min="2572" max="2573" width="11.5" bestFit="1" customWidth="1"/>
    <col min="2825" max="2826" width="11.5" bestFit="1" customWidth="1"/>
    <col min="2827" max="2827" width="12.5" bestFit="1" customWidth="1"/>
    <col min="2828" max="2829" width="11.5" bestFit="1" customWidth="1"/>
    <col min="3081" max="3082" width="11.5" bestFit="1" customWidth="1"/>
    <col min="3083" max="3083" width="12.5" bestFit="1" customWidth="1"/>
    <col min="3084" max="3085" width="11.5" bestFit="1" customWidth="1"/>
    <col min="3337" max="3338" width="11.5" bestFit="1" customWidth="1"/>
    <col min="3339" max="3339" width="12.5" bestFit="1" customWidth="1"/>
    <col min="3340" max="3341" width="11.5" bestFit="1" customWidth="1"/>
    <col min="3593" max="3594" width="11.5" bestFit="1" customWidth="1"/>
    <col min="3595" max="3595" width="12.5" bestFit="1" customWidth="1"/>
    <col min="3596" max="3597" width="11.5" bestFit="1" customWidth="1"/>
    <col min="3849" max="3850" width="11.5" bestFit="1" customWidth="1"/>
    <col min="3851" max="3851" width="12.5" bestFit="1" customWidth="1"/>
    <col min="3852" max="3853" width="11.5" bestFit="1" customWidth="1"/>
    <col min="4105" max="4106" width="11.5" bestFit="1" customWidth="1"/>
    <col min="4107" max="4107" width="12.5" bestFit="1" customWidth="1"/>
    <col min="4108" max="4109" width="11.5" bestFit="1" customWidth="1"/>
    <col min="4361" max="4362" width="11.5" bestFit="1" customWidth="1"/>
    <col min="4363" max="4363" width="12.5" bestFit="1" customWidth="1"/>
    <col min="4364" max="4365" width="11.5" bestFit="1" customWidth="1"/>
    <col min="4617" max="4618" width="11.5" bestFit="1" customWidth="1"/>
    <col min="4619" max="4619" width="12.5" bestFit="1" customWidth="1"/>
    <col min="4620" max="4621" width="11.5" bestFit="1" customWidth="1"/>
    <col min="4873" max="4874" width="11.5" bestFit="1" customWidth="1"/>
    <col min="4875" max="4875" width="12.5" bestFit="1" customWidth="1"/>
    <col min="4876" max="4877" width="11.5" bestFit="1" customWidth="1"/>
    <col min="5129" max="5130" width="11.5" bestFit="1" customWidth="1"/>
    <col min="5131" max="5131" width="12.5" bestFit="1" customWidth="1"/>
    <col min="5132" max="5133" width="11.5" bestFit="1" customWidth="1"/>
    <col min="5385" max="5386" width="11.5" bestFit="1" customWidth="1"/>
    <col min="5387" max="5387" width="12.5" bestFit="1" customWidth="1"/>
    <col min="5388" max="5389" width="11.5" bestFit="1" customWidth="1"/>
    <col min="5641" max="5642" width="11.5" bestFit="1" customWidth="1"/>
    <col min="5643" max="5643" width="12.5" bestFit="1" customWidth="1"/>
    <col min="5644" max="5645" width="11.5" bestFit="1" customWidth="1"/>
    <col min="5897" max="5898" width="11.5" bestFit="1" customWidth="1"/>
    <col min="5899" max="5899" width="12.5" bestFit="1" customWidth="1"/>
    <col min="5900" max="5901" width="11.5" bestFit="1" customWidth="1"/>
    <col min="6153" max="6154" width="11.5" bestFit="1" customWidth="1"/>
    <col min="6155" max="6155" width="12.5" bestFit="1" customWidth="1"/>
    <col min="6156" max="6157" width="11.5" bestFit="1" customWidth="1"/>
    <col min="6409" max="6410" width="11.5" bestFit="1" customWidth="1"/>
    <col min="6411" max="6411" width="12.5" bestFit="1" customWidth="1"/>
    <col min="6412" max="6413" width="11.5" bestFit="1" customWidth="1"/>
    <col min="6665" max="6666" width="11.5" bestFit="1" customWidth="1"/>
    <col min="6667" max="6667" width="12.5" bestFit="1" customWidth="1"/>
    <col min="6668" max="6669" width="11.5" bestFit="1" customWidth="1"/>
    <col min="6921" max="6922" width="11.5" bestFit="1" customWidth="1"/>
    <col min="6923" max="6923" width="12.5" bestFit="1" customWidth="1"/>
    <col min="6924" max="6925" width="11.5" bestFit="1" customWidth="1"/>
    <col min="7177" max="7178" width="11.5" bestFit="1" customWidth="1"/>
    <col min="7179" max="7179" width="12.5" bestFit="1" customWidth="1"/>
    <col min="7180" max="7181" width="11.5" bestFit="1" customWidth="1"/>
    <col min="7433" max="7434" width="11.5" bestFit="1" customWidth="1"/>
    <col min="7435" max="7435" width="12.5" bestFit="1" customWidth="1"/>
    <col min="7436" max="7437" width="11.5" bestFit="1" customWidth="1"/>
    <col min="7689" max="7690" width="11.5" bestFit="1" customWidth="1"/>
    <col min="7691" max="7691" width="12.5" bestFit="1" customWidth="1"/>
    <col min="7692" max="7693" width="11.5" bestFit="1" customWidth="1"/>
    <col min="7945" max="7946" width="11.5" bestFit="1" customWidth="1"/>
    <col min="7947" max="7947" width="12.5" bestFit="1" customWidth="1"/>
    <col min="7948" max="7949" width="11.5" bestFit="1" customWidth="1"/>
    <col min="8201" max="8202" width="11.5" bestFit="1" customWidth="1"/>
    <col min="8203" max="8203" width="12.5" bestFit="1" customWidth="1"/>
    <col min="8204" max="8205" width="11.5" bestFit="1" customWidth="1"/>
    <col min="8457" max="8458" width="11.5" bestFit="1" customWidth="1"/>
    <col min="8459" max="8459" width="12.5" bestFit="1" customWidth="1"/>
    <col min="8460" max="8461" width="11.5" bestFit="1" customWidth="1"/>
    <col min="8713" max="8714" width="11.5" bestFit="1" customWidth="1"/>
    <col min="8715" max="8715" width="12.5" bestFit="1" customWidth="1"/>
    <col min="8716" max="8717" width="11.5" bestFit="1" customWidth="1"/>
    <col min="8969" max="8970" width="11.5" bestFit="1" customWidth="1"/>
    <col min="8971" max="8971" width="12.5" bestFit="1" customWidth="1"/>
    <col min="8972" max="8973" width="11.5" bestFit="1" customWidth="1"/>
    <col min="9225" max="9226" width="11.5" bestFit="1" customWidth="1"/>
    <col min="9227" max="9227" width="12.5" bestFit="1" customWidth="1"/>
    <col min="9228" max="9229" width="11.5" bestFit="1" customWidth="1"/>
    <col min="9481" max="9482" width="11.5" bestFit="1" customWidth="1"/>
    <col min="9483" max="9483" width="12.5" bestFit="1" customWidth="1"/>
    <col min="9484" max="9485" width="11.5" bestFit="1" customWidth="1"/>
    <col min="9737" max="9738" width="11.5" bestFit="1" customWidth="1"/>
    <col min="9739" max="9739" width="12.5" bestFit="1" customWidth="1"/>
    <col min="9740" max="9741" width="11.5" bestFit="1" customWidth="1"/>
    <col min="9993" max="9994" width="11.5" bestFit="1" customWidth="1"/>
    <col min="9995" max="9995" width="12.5" bestFit="1" customWidth="1"/>
    <col min="9996" max="9997" width="11.5" bestFit="1" customWidth="1"/>
    <col min="10249" max="10250" width="11.5" bestFit="1" customWidth="1"/>
    <col min="10251" max="10251" width="12.5" bestFit="1" customWidth="1"/>
    <col min="10252" max="10253" width="11.5" bestFit="1" customWidth="1"/>
    <col min="10505" max="10506" width="11.5" bestFit="1" customWidth="1"/>
    <col min="10507" max="10507" width="12.5" bestFit="1" customWidth="1"/>
    <col min="10508" max="10509" width="11.5" bestFit="1" customWidth="1"/>
    <col min="10761" max="10762" width="11.5" bestFit="1" customWidth="1"/>
    <col min="10763" max="10763" width="12.5" bestFit="1" customWidth="1"/>
    <col min="10764" max="10765" width="11.5" bestFit="1" customWidth="1"/>
    <col min="11017" max="11018" width="11.5" bestFit="1" customWidth="1"/>
    <col min="11019" max="11019" width="12.5" bestFit="1" customWidth="1"/>
    <col min="11020" max="11021" width="11.5" bestFit="1" customWidth="1"/>
    <col min="11273" max="11274" width="11.5" bestFit="1" customWidth="1"/>
    <col min="11275" max="11275" width="12.5" bestFit="1" customWidth="1"/>
    <col min="11276" max="11277" width="11.5" bestFit="1" customWidth="1"/>
    <col min="11529" max="11530" width="11.5" bestFit="1" customWidth="1"/>
    <col min="11531" max="11531" width="12.5" bestFit="1" customWidth="1"/>
    <col min="11532" max="11533" width="11.5" bestFit="1" customWidth="1"/>
    <col min="11785" max="11786" width="11.5" bestFit="1" customWidth="1"/>
    <col min="11787" max="11787" width="12.5" bestFit="1" customWidth="1"/>
    <col min="11788" max="11789" width="11.5" bestFit="1" customWidth="1"/>
    <col min="12041" max="12042" width="11.5" bestFit="1" customWidth="1"/>
    <col min="12043" max="12043" width="12.5" bestFit="1" customWidth="1"/>
    <col min="12044" max="12045" width="11.5" bestFit="1" customWidth="1"/>
    <col min="12297" max="12298" width="11.5" bestFit="1" customWidth="1"/>
    <col min="12299" max="12299" width="12.5" bestFit="1" customWidth="1"/>
    <col min="12300" max="12301" width="11.5" bestFit="1" customWidth="1"/>
    <col min="12553" max="12554" width="11.5" bestFit="1" customWidth="1"/>
    <col min="12555" max="12555" width="12.5" bestFit="1" customWidth="1"/>
    <col min="12556" max="12557" width="11.5" bestFit="1" customWidth="1"/>
    <col min="12809" max="12810" width="11.5" bestFit="1" customWidth="1"/>
    <col min="12811" max="12811" width="12.5" bestFit="1" customWidth="1"/>
    <col min="12812" max="12813" width="11.5" bestFit="1" customWidth="1"/>
    <col min="13065" max="13066" width="11.5" bestFit="1" customWidth="1"/>
    <col min="13067" max="13067" width="12.5" bestFit="1" customWidth="1"/>
    <col min="13068" max="13069" width="11.5" bestFit="1" customWidth="1"/>
    <col min="13321" max="13322" width="11.5" bestFit="1" customWidth="1"/>
    <col min="13323" max="13323" width="12.5" bestFit="1" customWidth="1"/>
    <col min="13324" max="13325" width="11.5" bestFit="1" customWidth="1"/>
    <col min="13577" max="13578" width="11.5" bestFit="1" customWidth="1"/>
    <col min="13579" max="13579" width="12.5" bestFit="1" customWidth="1"/>
    <col min="13580" max="13581" width="11.5" bestFit="1" customWidth="1"/>
    <col min="13833" max="13834" width="11.5" bestFit="1" customWidth="1"/>
    <col min="13835" max="13835" width="12.5" bestFit="1" customWidth="1"/>
    <col min="13836" max="13837" width="11.5" bestFit="1" customWidth="1"/>
    <col min="14089" max="14090" width="11.5" bestFit="1" customWidth="1"/>
    <col min="14091" max="14091" width="12.5" bestFit="1" customWidth="1"/>
    <col min="14092" max="14093" width="11.5" bestFit="1" customWidth="1"/>
    <col min="14345" max="14346" width="11.5" bestFit="1" customWidth="1"/>
    <col min="14347" max="14347" width="12.5" bestFit="1" customWidth="1"/>
    <col min="14348" max="14349" width="11.5" bestFit="1" customWidth="1"/>
    <col min="14601" max="14602" width="11.5" bestFit="1" customWidth="1"/>
    <col min="14603" max="14603" width="12.5" bestFit="1" customWidth="1"/>
    <col min="14604" max="14605" width="11.5" bestFit="1" customWidth="1"/>
    <col min="14857" max="14858" width="11.5" bestFit="1" customWidth="1"/>
    <col min="14859" max="14859" width="12.5" bestFit="1" customWidth="1"/>
    <col min="14860" max="14861" width="11.5" bestFit="1" customWidth="1"/>
    <col min="15113" max="15114" width="11.5" bestFit="1" customWidth="1"/>
    <col min="15115" max="15115" width="12.5" bestFit="1" customWidth="1"/>
    <col min="15116" max="15117" width="11.5" bestFit="1" customWidth="1"/>
    <col min="15369" max="15370" width="11.5" bestFit="1" customWidth="1"/>
    <col min="15371" max="15371" width="12.5" bestFit="1" customWidth="1"/>
    <col min="15372" max="15373" width="11.5" bestFit="1" customWidth="1"/>
    <col min="15625" max="15626" width="11.5" bestFit="1" customWidth="1"/>
    <col min="15627" max="15627" width="12.5" bestFit="1" customWidth="1"/>
    <col min="15628" max="15629" width="11.5" bestFit="1" customWidth="1"/>
    <col min="15881" max="15882" width="11.5" bestFit="1" customWidth="1"/>
    <col min="15883" max="15883" width="12.5" bestFit="1" customWidth="1"/>
    <col min="15884" max="15885" width="11.5" bestFit="1" customWidth="1"/>
    <col min="16137" max="16138" width="11.5" bestFit="1" customWidth="1"/>
    <col min="16139" max="16139" width="12.5" bestFit="1" customWidth="1"/>
    <col min="16140" max="16141" width="11.5" bestFit="1" customWidth="1"/>
  </cols>
  <sheetData>
    <row r="1" spans="2:14" ht="12.75" customHeight="1"/>
    <row r="2" spans="2:14" ht="12.75" customHeight="1">
      <c r="J2" s="431"/>
    </row>
    <row r="3" spans="2:14" ht="12.75" customHeight="1">
      <c r="B3" s="33"/>
      <c r="E3" s="33"/>
      <c r="F3" s="33"/>
      <c r="H3" s="33"/>
      <c r="I3" s="33"/>
      <c r="J3" s="33"/>
      <c r="K3" s="33"/>
      <c r="L3" s="33"/>
      <c r="M3" s="33"/>
    </row>
    <row r="4" spans="2:14" ht="12.75" customHeight="1">
      <c r="B4" s="72"/>
      <c r="C4" s="72"/>
      <c r="D4" s="72"/>
      <c r="E4" s="72"/>
      <c r="F4" s="72"/>
      <c r="G4" s="28"/>
      <c r="H4" s="28"/>
      <c r="I4" s="386"/>
      <c r="J4" s="386"/>
      <c r="K4" s="722"/>
      <c r="L4" s="386"/>
      <c r="M4" s="386"/>
      <c r="N4" s="70"/>
    </row>
    <row r="5" spans="2:14">
      <c r="B5" s="33"/>
      <c r="C5" s="33"/>
      <c r="D5" s="33"/>
      <c r="E5" s="33"/>
      <c r="F5" s="33"/>
    </row>
    <row r="6" spans="2:14">
      <c r="B6" s="72"/>
      <c r="C6" s="72"/>
      <c r="D6" s="72"/>
      <c r="E6" s="72"/>
      <c r="F6" s="72"/>
    </row>
    <row r="40" spans="2:22">
      <c r="B40" s="33"/>
    </row>
    <row r="41" spans="2:22">
      <c r="B41" s="723"/>
      <c r="C41" s="723"/>
      <c r="D41" s="723"/>
      <c r="E41" s="723"/>
      <c r="F41" s="723"/>
      <c r="G41" s="723"/>
      <c r="I41" s="723"/>
      <c r="J41" s="723"/>
      <c r="K41" s="723"/>
      <c r="M41" s="723"/>
      <c r="N41" s="723"/>
      <c r="O41" s="723"/>
      <c r="Q41" s="723"/>
      <c r="R41" s="723"/>
      <c r="S41" s="723"/>
      <c r="U41" s="723"/>
      <c r="V41" s="723"/>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75"/>
  <sheetViews>
    <sheetView workbookViewId="0">
      <selection activeCell="J8" sqref="J8"/>
    </sheetView>
  </sheetViews>
  <sheetFormatPr baseColWidth="10" defaultColWidth="8.83203125" defaultRowHeight="14"/>
  <cols>
    <col min="1" max="1" width="30.1640625" style="177" customWidth="1"/>
    <col min="2" max="2" width="2.6640625" style="177" customWidth="1"/>
    <col min="3" max="4" width="8.83203125" style="177"/>
    <col min="5" max="5" width="2.83203125" style="177" customWidth="1"/>
    <col min="6" max="7" width="8.83203125" style="177"/>
    <col min="8" max="8" width="2.83203125" style="177" customWidth="1"/>
    <col min="9" max="10" width="8.83203125" style="177"/>
    <col min="11" max="11" width="2.5" style="177" customWidth="1"/>
    <col min="12" max="13" width="8.83203125" style="177"/>
    <col min="14" max="14" width="2.33203125" style="177" customWidth="1"/>
    <col min="15" max="16" width="8.83203125" style="177"/>
    <col min="17" max="17" width="2.5" style="177" customWidth="1"/>
    <col min="18" max="256" width="8.83203125" style="177"/>
    <col min="257" max="257" width="30.1640625" style="177" customWidth="1"/>
    <col min="258" max="258" width="2.6640625" style="177" customWidth="1"/>
    <col min="259" max="260" width="8.83203125" style="177"/>
    <col min="261" max="261" width="2.83203125" style="177" customWidth="1"/>
    <col min="262" max="263" width="8.83203125" style="177"/>
    <col min="264" max="264" width="2.83203125" style="177" customWidth="1"/>
    <col min="265" max="266" width="8.83203125" style="177"/>
    <col min="267" max="267" width="2.5" style="177" customWidth="1"/>
    <col min="268" max="269" width="8.83203125" style="177"/>
    <col min="270" max="270" width="2.33203125" style="177" customWidth="1"/>
    <col min="271" max="272" width="8.83203125" style="177"/>
    <col min="273" max="273" width="2.5" style="177" customWidth="1"/>
    <col min="274" max="512" width="8.83203125" style="177"/>
    <col min="513" max="513" width="30.1640625" style="177" customWidth="1"/>
    <col min="514" max="514" width="2.6640625" style="177" customWidth="1"/>
    <col min="515" max="516" width="8.83203125" style="177"/>
    <col min="517" max="517" width="2.83203125" style="177" customWidth="1"/>
    <col min="518" max="519" width="8.83203125" style="177"/>
    <col min="520" max="520" width="2.83203125" style="177" customWidth="1"/>
    <col min="521" max="522" width="8.83203125" style="177"/>
    <col min="523" max="523" width="2.5" style="177" customWidth="1"/>
    <col min="524" max="525" width="8.83203125" style="177"/>
    <col min="526" max="526" width="2.33203125" style="177" customWidth="1"/>
    <col min="527" max="528" width="8.83203125" style="177"/>
    <col min="529" max="529" width="2.5" style="177" customWidth="1"/>
    <col min="530" max="768" width="8.83203125" style="177"/>
    <col min="769" max="769" width="30.1640625" style="177" customWidth="1"/>
    <col min="770" max="770" width="2.6640625" style="177" customWidth="1"/>
    <col min="771" max="772" width="8.83203125" style="177"/>
    <col min="773" max="773" width="2.83203125" style="177" customWidth="1"/>
    <col min="774" max="775" width="8.83203125" style="177"/>
    <col min="776" max="776" width="2.83203125" style="177" customWidth="1"/>
    <col min="777" max="778" width="8.83203125" style="177"/>
    <col min="779" max="779" width="2.5" style="177" customWidth="1"/>
    <col min="780" max="781" width="8.83203125" style="177"/>
    <col min="782" max="782" width="2.33203125" style="177" customWidth="1"/>
    <col min="783" max="784" width="8.83203125" style="177"/>
    <col min="785" max="785" width="2.5" style="177" customWidth="1"/>
    <col min="786" max="1024" width="8.83203125" style="177"/>
    <col min="1025" max="1025" width="30.1640625" style="177" customWidth="1"/>
    <col min="1026" max="1026" width="2.6640625" style="177" customWidth="1"/>
    <col min="1027" max="1028" width="8.83203125" style="177"/>
    <col min="1029" max="1029" width="2.83203125" style="177" customWidth="1"/>
    <col min="1030" max="1031" width="8.83203125" style="177"/>
    <col min="1032" max="1032" width="2.83203125" style="177" customWidth="1"/>
    <col min="1033" max="1034" width="8.83203125" style="177"/>
    <col min="1035" max="1035" width="2.5" style="177" customWidth="1"/>
    <col min="1036" max="1037" width="8.83203125" style="177"/>
    <col min="1038" max="1038" width="2.33203125" style="177" customWidth="1"/>
    <col min="1039" max="1040" width="8.83203125" style="177"/>
    <col min="1041" max="1041" width="2.5" style="177" customWidth="1"/>
    <col min="1042" max="1280" width="8.83203125" style="177"/>
    <col min="1281" max="1281" width="30.1640625" style="177" customWidth="1"/>
    <col min="1282" max="1282" width="2.6640625" style="177" customWidth="1"/>
    <col min="1283" max="1284" width="8.83203125" style="177"/>
    <col min="1285" max="1285" width="2.83203125" style="177" customWidth="1"/>
    <col min="1286" max="1287" width="8.83203125" style="177"/>
    <col min="1288" max="1288" width="2.83203125" style="177" customWidth="1"/>
    <col min="1289" max="1290" width="8.83203125" style="177"/>
    <col min="1291" max="1291" width="2.5" style="177" customWidth="1"/>
    <col min="1292" max="1293" width="8.83203125" style="177"/>
    <col min="1294" max="1294" width="2.33203125" style="177" customWidth="1"/>
    <col min="1295" max="1296" width="8.83203125" style="177"/>
    <col min="1297" max="1297" width="2.5" style="177" customWidth="1"/>
    <col min="1298" max="1536" width="8.83203125" style="177"/>
    <col min="1537" max="1537" width="30.1640625" style="177" customWidth="1"/>
    <col min="1538" max="1538" width="2.6640625" style="177" customWidth="1"/>
    <col min="1539" max="1540" width="8.83203125" style="177"/>
    <col min="1541" max="1541" width="2.83203125" style="177" customWidth="1"/>
    <col min="1542" max="1543" width="8.83203125" style="177"/>
    <col min="1544" max="1544" width="2.83203125" style="177" customWidth="1"/>
    <col min="1545" max="1546" width="8.83203125" style="177"/>
    <col min="1547" max="1547" width="2.5" style="177" customWidth="1"/>
    <col min="1548" max="1549" width="8.83203125" style="177"/>
    <col min="1550" max="1550" width="2.33203125" style="177" customWidth="1"/>
    <col min="1551" max="1552" width="8.83203125" style="177"/>
    <col min="1553" max="1553" width="2.5" style="177" customWidth="1"/>
    <col min="1554" max="1792" width="8.83203125" style="177"/>
    <col min="1793" max="1793" width="30.1640625" style="177" customWidth="1"/>
    <col min="1794" max="1794" width="2.6640625" style="177" customWidth="1"/>
    <col min="1795" max="1796" width="8.83203125" style="177"/>
    <col min="1797" max="1797" width="2.83203125" style="177" customWidth="1"/>
    <col min="1798" max="1799" width="8.83203125" style="177"/>
    <col min="1800" max="1800" width="2.83203125" style="177" customWidth="1"/>
    <col min="1801" max="1802" width="8.83203125" style="177"/>
    <col min="1803" max="1803" width="2.5" style="177" customWidth="1"/>
    <col min="1804" max="1805" width="8.83203125" style="177"/>
    <col min="1806" max="1806" width="2.33203125" style="177" customWidth="1"/>
    <col min="1807" max="1808" width="8.83203125" style="177"/>
    <col min="1809" max="1809" width="2.5" style="177" customWidth="1"/>
    <col min="1810" max="2048" width="8.83203125" style="177"/>
    <col min="2049" max="2049" width="30.1640625" style="177" customWidth="1"/>
    <col min="2050" max="2050" width="2.6640625" style="177" customWidth="1"/>
    <col min="2051" max="2052" width="8.83203125" style="177"/>
    <col min="2053" max="2053" width="2.83203125" style="177" customWidth="1"/>
    <col min="2054" max="2055" width="8.83203125" style="177"/>
    <col min="2056" max="2056" width="2.83203125" style="177" customWidth="1"/>
    <col min="2057" max="2058" width="8.83203125" style="177"/>
    <col min="2059" max="2059" width="2.5" style="177" customWidth="1"/>
    <col min="2060" max="2061" width="8.83203125" style="177"/>
    <col min="2062" max="2062" width="2.33203125" style="177" customWidth="1"/>
    <col min="2063" max="2064" width="8.83203125" style="177"/>
    <col min="2065" max="2065" width="2.5" style="177" customWidth="1"/>
    <col min="2066" max="2304" width="8.83203125" style="177"/>
    <col min="2305" max="2305" width="30.1640625" style="177" customWidth="1"/>
    <col min="2306" max="2306" width="2.6640625" style="177" customWidth="1"/>
    <col min="2307" max="2308" width="8.83203125" style="177"/>
    <col min="2309" max="2309" width="2.83203125" style="177" customWidth="1"/>
    <col min="2310" max="2311" width="8.83203125" style="177"/>
    <col min="2312" max="2312" width="2.83203125" style="177" customWidth="1"/>
    <col min="2313" max="2314" width="8.83203125" style="177"/>
    <col min="2315" max="2315" width="2.5" style="177" customWidth="1"/>
    <col min="2316" max="2317" width="8.83203125" style="177"/>
    <col min="2318" max="2318" width="2.33203125" style="177" customWidth="1"/>
    <col min="2319" max="2320" width="8.83203125" style="177"/>
    <col min="2321" max="2321" width="2.5" style="177" customWidth="1"/>
    <col min="2322" max="2560" width="8.83203125" style="177"/>
    <col min="2561" max="2561" width="30.1640625" style="177" customWidth="1"/>
    <col min="2562" max="2562" width="2.6640625" style="177" customWidth="1"/>
    <col min="2563" max="2564" width="8.83203125" style="177"/>
    <col min="2565" max="2565" width="2.83203125" style="177" customWidth="1"/>
    <col min="2566" max="2567" width="8.83203125" style="177"/>
    <col min="2568" max="2568" width="2.83203125" style="177" customWidth="1"/>
    <col min="2569" max="2570" width="8.83203125" style="177"/>
    <col min="2571" max="2571" width="2.5" style="177" customWidth="1"/>
    <col min="2572" max="2573" width="8.83203125" style="177"/>
    <col min="2574" max="2574" width="2.33203125" style="177" customWidth="1"/>
    <col min="2575" max="2576" width="8.83203125" style="177"/>
    <col min="2577" max="2577" width="2.5" style="177" customWidth="1"/>
    <col min="2578" max="2816" width="8.83203125" style="177"/>
    <col min="2817" max="2817" width="30.1640625" style="177" customWidth="1"/>
    <col min="2818" max="2818" width="2.6640625" style="177" customWidth="1"/>
    <col min="2819" max="2820" width="8.83203125" style="177"/>
    <col min="2821" max="2821" width="2.83203125" style="177" customWidth="1"/>
    <col min="2822" max="2823" width="8.83203125" style="177"/>
    <col min="2824" max="2824" width="2.83203125" style="177" customWidth="1"/>
    <col min="2825" max="2826" width="8.83203125" style="177"/>
    <col min="2827" max="2827" width="2.5" style="177" customWidth="1"/>
    <col min="2828" max="2829" width="8.83203125" style="177"/>
    <col min="2830" max="2830" width="2.33203125" style="177" customWidth="1"/>
    <col min="2831" max="2832" width="8.83203125" style="177"/>
    <col min="2833" max="2833" width="2.5" style="177" customWidth="1"/>
    <col min="2834" max="3072" width="8.83203125" style="177"/>
    <col min="3073" max="3073" width="30.1640625" style="177" customWidth="1"/>
    <col min="3074" max="3074" width="2.6640625" style="177" customWidth="1"/>
    <col min="3075" max="3076" width="8.83203125" style="177"/>
    <col min="3077" max="3077" width="2.83203125" style="177" customWidth="1"/>
    <col min="3078" max="3079" width="8.83203125" style="177"/>
    <col min="3080" max="3080" width="2.83203125" style="177" customWidth="1"/>
    <col min="3081" max="3082" width="8.83203125" style="177"/>
    <col min="3083" max="3083" width="2.5" style="177" customWidth="1"/>
    <col min="3084" max="3085" width="8.83203125" style="177"/>
    <col min="3086" max="3086" width="2.33203125" style="177" customWidth="1"/>
    <col min="3087" max="3088" width="8.83203125" style="177"/>
    <col min="3089" max="3089" width="2.5" style="177" customWidth="1"/>
    <col min="3090" max="3328" width="8.83203125" style="177"/>
    <col min="3329" max="3329" width="30.1640625" style="177" customWidth="1"/>
    <col min="3330" max="3330" width="2.6640625" style="177" customWidth="1"/>
    <col min="3331" max="3332" width="8.83203125" style="177"/>
    <col min="3333" max="3333" width="2.83203125" style="177" customWidth="1"/>
    <col min="3334" max="3335" width="8.83203125" style="177"/>
    <col min="3336" max="3336" width="2.83203125" style="177" customWidth="1"/>
    <col min="3337" max="3338" width="8.83203125" style="177"/>
    <col min="3339" max="3339" width="2.5" style="177" customWidth="1"/>
    <col min="3340" max="3341" width="8.83203125" style="177"/>
    <col min="3342" max="3342" width="2.33203125" style="177" customWidth="1"/>
    <col min="3343" max="3344" width="8.83203125" style="177"/>
    <col min="3345" max="3345" width="2.5" style="177" customWidth="1"/>
    <col min="3346" max="3584" width="8.83203125" style="177"/>
    <col min="3585" max="3585" width="30.1640625" style="177" customWidth="1"/>
    <col min="3586" max="3586" width="2.6640625" style="177" customWidth="1"/>
    <col min="3587" max="3588" width="8.83203125" style="177"/>
    <col min="3589" max="3589" width="2.83203125" style="177" customWidth="1"/>
    <col min="3590" max="3591" width="8.83203125" style="177"/>
    <col min="3592" max="3592" width="2.83203125" style="177" customWidth="1"/>
    <col min="3593" max="3594" width="8.83203125" style="177"/>
    <col min="3595" max="3595" width="2.5" style="177" customWidth="1"/>
    <col min="3596" max="3597" width="8.83203125" style="177"/>
    <col min="3598" max="3598" width="2.33203125" style="177" customWidth="1"/>
    <col min="3599" max="3600" width="8.83203125" style="177"/>
    <col min="3601" max="3601" width="2.5" style="177" customWidth="1"/>
    <col min="3602" max="3840" width="8.83203125" style="177"/>
    <col min="3841" max="3841" width="30.1640625" style="177" customWidth="1"/>
    <col min="3842" max="3842" width="2.6640625" style="177" customWidth="1"/>
    <col min="3843" max="3844" width="8.83203125" style="177"/>
    <col min="3845" max="3845" width="2.83203125" style="177" customWidth="1"/>
    <col min="3846" max="3847" width="8.83203125" style="177"/>
    <col min="3848" max="3848" width="2.83203125" style="177" customWidth="1"/>
    <col min="3849" max="3850" width="8.83203125" style="177"/>
    <col min="3851" max="3851" width="2.5" style="177" customWidth="1"/>
    <col min="3852" max="3853" width="8.83203125" style="177"/>
    <col min="3854" max="3854" width="2.33203125" style="177" customWidth="1"/>
    <col min="3855" max="3856" width="8.83203125" style="177"/>
    <col min="3857" max="3857" width="2.5" style="177" customWidth="1"/>
    <col min="3858" max="4096" width="8.83203125" style="177"/>
    <col min="4097" max="4097" width="30.1640625" style="177" customWidth="1"/>
    <col min="4098" max="4098" width="2.6640625" style="177" customWidth="1"/>
    <col min="4099" max="4100" width="8.83203125" style="177"/>
    <col min="4101" max="4101" width="2.83203125" style="177" customWidth="1"/>
    <col min="4102" max="4103" width="8.83203125" style="177"/>
    <col min="4104" max="4104" width="2.83203125" style="177" customWidth="1"/>
    <col min="4105" max="4106" width="8.83203125" style="177"/>
    <col min="4107" max="4107" width="2.5" style="177" customWidth="1"/>
    <col min="4108" max="4109" width="8.83203125" style="177"/>
    <col min="4110" max="4110" width="2.33203125" style="177" customWidth="1"/>
    <col min="4111" max="4112" width="8.83203125" style="177"/>
    <col min="4113" max="4113" width="2.5" style="177" customWidth="1"/>
    <col min="4114" max="4352" width="8.83203125" style="177"/>
    <col min="4353" max="4353" width="30.1640625" style="177" customWidth="1"/>
    <col min="4354" max="4354" width="2.6640625" style="177" customWidth="1"/>
    <col min="4355" max="4356" width="8.83203125" style="177"/>
    <col min="4357" max="4357" width="2.83203125" style="177" customWidth="1"/>
    <col min="4358" max="4359" width="8.83203125" style="177"/>
    <col min="4360" max="4360" width="2.83203125" style="177" customWidth="1"/>
    <col min="4361" max="4362" width="8.83203125" style="177"/>
    <col min="4363" max="4363" width="2.5" style="177" customWidth="1"/>
    <col min="4364" max="4365" width="8.83203125" style="177"/>
    <col min="4366" max="4366" width="2.33203125" style="177" customWidth="1"/>
    <col min="4367" max="4368" width="8.83203125" style="177"/>
    <col min="4369" max="4369" width="2.5" style="177" customWidth="1"/>
    <col min="4370" max="4608" width="8.83203125" style="177"/>
    <col min="4609" max="4609" width="30.1640625" style="177" customWidth="1"/>
    <col min="4610" max="4610" width="2.6640625" style="177" customWidth="1"/>
    <col min="4611" max="4612" width="8.83203125" style="177"/>
    <col min="4613" max="4613" width="2.83203125" style="177" customWidth="1"/>
    <col min="4614" max="4615" width="8.83203125" style="177"/>
    <col min="4616" max="4616" width="2.83203125" style="177" customWidth="1"/>
    <col min="4617" max="4618" width="8.83203125" style="177"/>
    <col min="4619" max="4619" width="2.5" style="177" customWidth="1"/>
    <col min="4620" max="4621" width="8.83203125" style="177"/>
    <col min="4622" max="4622" width="2.33203125" style="177" customWidth="1"/>
    <col min="4623" max="4624" width="8.83203125" style="177"/>
    <col min="4625" max="4625" width="2.5" style="177" customWidth="1"/>
    <col min="4626" max="4864" width="8.83203125" style="177"/>
    <col min="4865" max="4865" width="30.1640625" style="177" customWidth="1"/>
    <col min="4866" max="4866" width="2.6640625" style="177" customWidth="1"/>
    <col min="4867" max="4868" width="8.83203125" style="177"/>
    <col min="4869" max="4869" width="2.83203125" style="177" customWidth="1"/>
    <col min="4870" max="4871" width="8.83203125" style="177"/>
    <col min="4872" max="4872" width="2.83203125" style="177" customWidth="1"/>
    <col min="4873" max="4874" width="8.83203125" style="177"/>
    <col min="4875" max="4875" width="2.5" style="177" customWidth="1"/>
    <col min="4876" max="4877" width="8.83203125" style="177"/>
    <col min="4878" max="4878" width="2.33203125" style="177" customWidth="1"/>
    <col min="4879" max="4880" width="8.83203125" style="177"/>
    <col min="4881" max="4881" width="2.5" style="177" customWidth="1"/>
    <col min="4882" max="5120" width="8.83203125" style="177"/>
    <col min="5121" max="5121" width="30.1640625" style="177" customWidth="1"/>
    <col min="5122" max="5122" width="2.6640625" style="177" customWidth="1"/>
    <col min="5123" max="5124" width="8.83203125" style="177"/>
    <col min="5125" max="5125" width="2.83203125" style="177" customWidth="1"/>
    <col min="5126" max="5127" width="8.83203125" style="177"/>
    <col min="5128" max="5128" width="2.83203125" style="177" customWidth="1"/>
    <col min="5129" max="5130" width="8.83203125" style="177"/>
    <col min="5131" max="5131" width="2.5" style="177" customWidth="1"/>
    <col min="5132" max="5133" width="8.83203125" style="177"/>
    <col min="5134" max="5134" width="2.33203125" style="177" customWidth="1"/>
    <col min="5135" max="5136" width="8.83203125" style="177"/>
    <col min="5137" max="5137" width="2.5" style="177" customWidth="1"/>
    <col min="5138" max="5376" width="8.83203125" style="177"/>
    <col min="5377" max="5377" width="30.1640625" style="177" customWidth="1"/>
    <col min="5378" max="5378" width="2.6640625" style="177" customWidth="1"/>
    <col min="5379" max="5380" width="8.83203125" style="177"/>
    <col min="5381" max="5381" width="2.83203125" style="177" customWidth="1"/>
    <col min="5382" max="5383" width="8.83203125" style="177"/>
    <col min="5384" max="5384" width="2.83203125" style="177" customWidth="1"/>
    <col min="5385" max="5386" width="8.83203125" style="177"/>
    <col min="5387" max="5387" width="2.5" style="177" customWidth="1"/>
    <col min="5388" max="5389" width="8.83203125" style="177"/>
    <col min="5390" max="5390" width="2.33203125" style="177" customWidth="1"/>
    <col min="5391" max="5392" width="8.83203125" style="177"/>
    <col min="5393" max="5393" width="2.5" style="177" customWidth="1"/>
    <col min="5394" max="5632" width="8.83203125" style="177"/>
    <col min="5633" max="5633" width="30.1640625" style="177" customWidth="1"/>
    <col min="5634" max="5634" width="2.6640625" style="177" customWidth="1"/>
    <col min="5635" max="5636" width="8.83203125" style="177"/>
    <col min="5637" max="5637" width="2.83203125" style="177" customWidth="1"/>
    <col min="5638" max="5639" width="8.83203125" style="177"/>
    <col min="5640" max="5640" width="2.83203125" style="177" customWidth="1"/>
    <col min="5641" max="5642" width="8.83203125" style="177"/>
    <col min="5643" max="5643" width="2.5" style="177" customWidth="1"/>
    <col min="5644" max="5645" width="8.83203125" style="177"/>
    <col min="5646" max="5646" width="2.33203125" style="177" customWidth="1"/>
    <col min="5647" max="5648" width="8.83203125" style="177"/>
    <col min="5649" max="5649" width="2.5" style="177" customWidth="1"/>
    <col min="5650" max="5888" width="8.83203125" style="177"/>
    <col min="5889" max="5889" width="30.1640625" style="177" customWidth="1"/>
    <col min="5890" max="5890" width="2.6640625" style="177" customWidth="1"/>
    <col min="5891" max="5892" width="8.83203125" style="177"/>
    <col min="5893" max="5893" width="2.83203125" style="177" customWidth="1"/>
    <col min="5894" max="5895" width="8.83203125" style="177"/>
    <col min="5896" max="5896" width="2.83203125" style="177" customWidth="1"/>
    <col min="5897" max="5898" width="8.83203125" style="177"/>
    <col min="5899" max="5899" width="2.5" style="177" customWidth="1"/>
    <col min="5900" max="5901" width="8.83203125" style="177"/>
    <col min="5902" max="5902" width="2.33203125" style="177" customWidth="1"/>
    <col min="5903" max="5904" width="8.83203125" style="177"/>
    <col min="5905" max="5905" width="2.5" style="177" customWidth="1"/>
    <col min="5906" max="6144" width="8.83203125" style="177"/>
    <col min="6145" max="6145" width="30.1640625" style="177" customWidth="1"/>
    <col min="6146" max="6146" width="2.6640625" style="177" customWidth="1"/>
    <col min="6147" max="6148" width="8.83203125" style="177"/>
    <col min="6149" max="6149" width="2.83203125" style="177" customWidth="1"/>
    <col min="6150" max="6151" width="8.83203125" style="177"/>
    <col min="6152" max="6152" width="2.83203125" style="177" customWidth="1"/>
    <col min="6153" max="6154" width="8.83203125" style="177"/>
    <col min="6155" max="6155" width="2.5" style="177" customWidth="1"/>
    <col min="6156" max="6157" width="8.83203125" style="177"/>
    <col min="6158" max="6158" width="2.33203125" style="177" customWidth="1"/>
    <col min="6159" max="6160" width="8.83203125" style="177"/>
    <col min="6161" max="6161" width="2.5" style="177" customWidth="1"/>
    <col min="6162" max="6400" width="8.83203125" style="177"/>
    <col min="6401" max="6401" width="30.1640625" style="177" customWidth="1"/>
    <col min="6402" max="6402" width="2.6640625" style="177" customWidth="1"/>
    <col min="6403" max="6404" width="8.83203125" style="177"/>
    <col min="6405" max="6405" width="2.83203125" style="177" customWidth="1"/>
    <col min="6406" max="6407" width="8.83203125" style="177"/>
    <col min="6408" max="6408" width="2.83203125" style="177" customWidth="1"/>
    <col min="6409" max="6410" width="8.83203125" style="177"/>
    <col min="6411" max="6411" width="2.5" style="177" customWidth="1"/>
    <col min="6412" max="6413" width="8.83203125" style="177"/>
    <col min="6414" max="6414" width="2.33203125" style="177" customWidth="1"/>
    <col min="6415" max="6416" width="8.83203125" style="177"/>
    <col min="6417" max="6417" width="2.5" style="177" customWidth="1"/>
    <col min="6418" max="6656" width="8.83203125" style="177"/>
    <col min="6657" max="6657" width="30.1640625" style="177" customWidth="1"/>
    <col min="6658" max="6658" width="2.6640625" style="177" customWidth="1"/>
    <col min="6659" max="6660" width="8.83203125" style="177"/>
    <col min="6661" max="6661" width="2.83203125" style="177" customWidth="1"/>
    <col min="6662" max="6663" width="8.83203125" style="177"/>
    <col min="6664" max="6664" width="2.83203125" style="177" customWidth="1"/>
    <col min="6665" max="6666" width="8.83203125" style="177"/>
    <col min="6667" max="6667" width="2.5" style="177" customWidth="1"/>
    <col min="6668" max="6669" width="8.83203125" style="177"/>
    <col min="6670" max="6670" width="2.33203125" style="177" customWidth="1"/>
    <col min="6671" max="6672" width="8.83203125" style="177"/>
    <col min="6673" max="6673" width="2.5" style="177" customWidth="1"/>
    <col min="6674" max="6912" width="8.83203125" style="177"/>
    <col min="6913" max="6913" width="30.1640625" style="177" customWidth="1"/>
    <col min="6914" max="6914" width="2.6640625" style="177" customWidth="1"/>
    <col min="6915" max="6916" width="8.83203125" style="177"/>
    <col min="6917" max="6917" width="2.83203125" style="177" customWidth="1"/>
    <col min="6918" max="6919" width="8.83203125" style="177"/>
    <col min="6920" max="6920" width="2.83203125" style="177" customWidth="1"/>
    <col min="6921" max="6922" width="8.83203125" style="177"/>
    <col min="6923" max="6923" width="2.5" style="177" customWidth="1"/>
    <col min="6924" max="6925" width="8.83203125" style="177"/>
    <col min="6926" max="6926" width="2.33203125" style="177" customWidth="1"/>
    <col min="6927" max="6928" width="8.83203125" style="177"/>
    <col min="6929" max="6929" width="2.5" style="177" customWidth="1"/>
    <col min="6930" max="7168" width="8.83203125" style="177"/>
    <col min="7169" max="7169" width="30.1640625" style="177" customWidth="1"/>
    <col min="7170" max="7170" width="2.6640625" style="177" customWidth="1"/>
    <col min="7171" max="7172" width="8.83203125" style="177"/>
    <col min="7173" max="7173" width="2.83203125" style="177" customWidth="1"/>
    <col min="7174" max="7175" width="8.83203125" style="177"/>
    <col min="7176" max="7176" width="2.83203125" style="177" customWidth="1"/>
    <col min="7177" max="7178" width="8.83203125" style="177"/>
    <col min="7179" max="7179" width="2.5" style="177" customWidth="1"/>
    <col min="7180" max="7181" width="8.83203125" style="177"/>
    <col min="7182" max="7182" width="2.33203125" style="177" customWidth="1"/>
    <col min="7183" max="7184" width="8.83203125" style="177"/>
    <col min="7185" max="7185" width="2.5" style="177" customWidth="1"/>
    <col min="7186" max="7424" width="8.83203125" style="177"/>
    <col min="7425" max="7425" width="30.1640625" style="177" customWidth="1"/>
    <col min="7426" max="7426" width="2.6640625" style="177" customWidth="1"/>
    <col min="7427" max="7428" width="8.83203125" style="177"/>
    <col min="7429" max="7429" width="2.83203125" style="177" customWidth="1"/>
    <col min="7430" max="7431" width="8.83203125" style="177"/>
    <col min="7432" max="7432" width="2.83203125" style="177" customWidth="1"/>
    <col min="7433" max="7434" width="8.83203125" style="177"/>
    <col min="7435" max="7435" width="2.5" style="177" customWidth="1"/>
    <col min="7436" max="7437" width="8.83203125" style="177"/>
    <col min="7438" max="7438" width="2.33203125" style="177" customWidth="1"/>
    <col min="7439" max="7440" width="8.83203125" style="177"/>
    <col min="7441" max="7441" width="2.5" style="177" customWidth="1"/>
    <col min="7442" max="7680" width="8.83203125" style="177"/>
    <col min="7681" max="7681" width="30.1640625" style="177" customWidth="1"/>
    <col min="7682" max="7682" width="2.6640625" style="177" customWidth="1"/>
    <col min="7683" max="7684" width="8.83203125" style="177"/>
    <col min="7685" max="7685" width="2.83203125" style="177" customWidth="1"/>
    <col min="7686" max="7687" width="8.83203125" style="177"/>
    <col min="7688" max="7688" width="2.83203125" style="177" customWidth="1"/>
    <col min="7689" max="7690" width="8.83203125" style="177"/>
    <col min="7691" max="7691" width="2.5" style="177" customWidth="1"/>
    <col min="7692" max="7693" width="8.83203125" style="177"/>
    <col min="7694" max="7694" width="2.33203125" style="177" customWidth="1"/>
    <col min="7695" max="7696" width="8.83203125" style="177"/>
    <col min="7697" max="7697" width="2.5" style="177" customWidth="1"/>
    <col min="7698" max="7936" width="8.83203125" style="177"/>
    <col min="7937" max="7937" width="30.1640625" style="177" customWidth="1"/>
    <col min="7938" max="7938" width="2.6640625" style="177" customWidth="1"/>
    <col min="7939" max="7940" width="8.83203125" style="177"/>
    <col min="7941" max="7941" width="2.83203125" style="177" customWidth="1"/>
    <col min="7942" max="7943" width="8.83203125" style="177"/>
    <col min="7944" max="7944" width="2.83203125" style="177" customWidth="1"/>
    <col min="7945" max="7946" width="8.83203125" style="177"/>
    <col min="7947" max="7947" width="2.5" style="177" customWidth="1"/>
    <col min="7948" max="7949" width="8.83203125" style="177"/>
    <col min="7950" max="7950" width="2.33203125" style="177" customWidth="1"/>
    <col min="7951" max="7952" width="8.83203125" style="177"/>
    <col min="7953" max="7953" width="2.5" style="177" customWidth="1"/>
    <col min="7954" max="8192" width="8.83203125" style="177"/>
    <col min="8193" max="8193" width="30.1640625" style="177" customWidth="1"/>
    <col min="8194" max="8194" width="2.6640625" style="177" customWidth="1"/>
    <col min="8195" max="8196" width="8.83203125" style="177"/>
    <col min="8197" max="8197" width="2.83203125" style="177" customWidth="1"/>
    <col min="8198" max="8199" width="8.83203125" style="177"/>
    <col min="8200" max="8200" width="2.83203125" style="177" customWidth="1"/>
    <col min="8201" max="8202" width="8.83203125" style="177"/>
    <col min="8203" max="8203" width="2.5" style="177" customWidth="1"/>
    <col min="8204" max="8205" width="8.83203125" style="177"/>
    <col min="8206" max="8206" width="2.33203125" style="177" customWidth="1"/>
    <col min="8207" max="8208" width="8.83203125" style="177"/>
    <col min="8209" max="8209" width="2.5" style="177" customWidth="1"/>
    <col min="8210" max="8448" width="8.83203125" style="177"/>
    <col min="8449" max="8449" width="30.1640625" style="177" customWidth="1"/>
    <col min="8450" max="8450" width="2.6640625" style="177" customWidth="1"/>
    <col min="8451" max="8452" width="8.83203125" style="177"/>
    <col min="8453" max="8453" width="2.83203125" style="177" customWidth="1"/>
    <col min="8454" max="8455" width="8.83203125" style="177"/>
    <col min="8456" max="8456" width="2.83203125" style="177" customWidth="1"/>
    <col min="8457" max="8458" width="8.83203125" style="177"/>
    <col min="8459" max="8459" width="2.5" style="177" customWidth="1"/>
    <col min="8460" max="8461" width="8.83203125" style="177"/>
    <col min="8462" max="8462" width="2.33203125" style="177" customWidth="1"/>
    <col min="8463" max="8464" width="8.83203125" style="177"/>
    <col min="8465" max="8465" width="2.5" style="177" customWidth="1"/>
    <col min="8466" max="8704" width="8.83203125" style="177"/>
    <col min="8705" max="8705" width="30.1640625" style="177" customWidth="1"/>
    <col min="8706" max="8706" width="2.6640625" style="177" customWidth="1"/>
    <col min="8707" max="8708" width="8.83203125" style="177"/>
    <col min="8709" max="8709" width="2.83203125" style="177" customWidth="1"/>
    <col min="8710" max="8711" width="8.83203125" style="177"/>
    <col min="8712" max="8712" width="2.83203125" style="177" customWidth="1"/>
    <col min="8713" max="8714" width="8.83203125" style="177"/>
    <col min="8715" max="8715" width="2.5" style="177" customWidth="1"/>
    <col min="8716" max="8717" width="8.83203125" style="177"/>
    <col min="8718" max="8718" width="2.33203125" style="177" customWidth="1"/>
    <col min="8719" max="8720" width="8.83203125" style="177"/>
    <col min="8721" max="8721" width="2.5" style="177" customWidth="1"/>
    <col min="8722" max="8960" width="8.83203125" style="177"/>
    <col min="8961" max="8961" width="30.1640625" style="177" customWidth="1"/>
    <col min="8962" max="8962" width="2.6640625" style="177" customWidth="1"/>
    <col min="8963" max="8964" width="8.83203125" style="177"/>
    <col min="8965" max="8965" width="2.83203125" style="177" customWidth="1"/>
    <col min="8966" max="8967" width="8.83203125" style="177"/>
    <col min="8968" max="8968" width="2.83203125" style="177" customWidth="1"/>
    <col min="8969" max="8970" width="8.83203125" style="177"/>
    <col min="8971" max="8971" width="2.5" style="177" customWidth="1"/>
    <col min="8972" max="8973" width="8.83203125" style="177"/>
    <col min="8974" max="8974" width="2.33203125" style="177" customWidth="1"/>
    <col min="8975" max="8976" width="8.83203125" style="177"/>
    <col min="8977" max="8977" width="2.5" style="177" customWidth="1"/>
    <col min="8978" max="9216" width="8.83203125" style="177"/>
    <col min="9217" max="9217" width="30.1640625" style="177" customWidth="1"/>
    <col min="9218" max="9218" width="2.6640625" style="177" customWidth="1"/>
    <col min="9219" max="9220" width="8.83203125" style="177"/>
    <col min="9221" max="9221" width="2.83203125" style="177" customWidth="1"/>
    <col min="9222" max="9223" width="8.83203125" style="177"/>
    <col min="9224" max="9224" width="2.83203125" style="177" customWidth="1"/>
    <col min="9225" max="9226" width="8.83203125" style="177"/>
    <col min="9227" max="9227" width="2.5" style="177" customWidth="1"/>
    <col min="9228" max="9229" width="8.83203125" style="177"/>
    <col min="9230" max="9230" width="2.33203125" style="177" customWidth="1"/>
    <col min="9231" max="9232" width="8.83203125" style="177"/>
    <col min="9233" max="9233" width="2.5" style="177" customWidth="1"/>
    <col min="9234" max="9472" width="8.83203125" style="177"/>
    <col min="9473" max="9473" width="30.1640625" style="177" customWidth="1"/>
    <col min="9474" max="9474" width="2.6640625" style="177" customWidth="1"/>
    <col min="9475" max="9476" width="8.83203125" style="177"/>
    <col min="9477" max="9477" width="2.83203125" style="177" customWidth="1"/>
    <col min="9478" max="9479" width="8.83203125" style="177"/>
    <col min="9480" max="9480" width="2.83203125" style="177" customWidth="1"/>
    <col min="9481" max="9482" width="8.83203125" style="177"/>
    <col min="9483" max="9483" width="2.5" style="177" customWidth="1"/>
    <col min="9484" max="9485" width="8.83203125" style="177"/>
    <col min="9486" max="9486" width="2.33203125" style="177" customWidth="1"/>
    <col min="9487" max="9488" width="8.83203125" style="177"/>
    <col min="9489" max="9489" width="2.5" style="177" customWidth="1"/>
    <col min="9490" max="9728" width="8.83203125" style="177"/>
    <col min="9729" max="9729" width="30.1640625" style="177" customWidth="1"/>
    <col min="9730" max="9730" width="2.6640625" style="177" customWidth="1"/>
    <col min="9731" max="9732" width="8.83203125" style="177"/>
    <col min="9733" max="9733" width="2.83203125" style="177" customWidth="1"/>
    <col min="9734" max="9735" width="8.83203125" style="177"/>
    <col min="9736" max="9736" width="2.83203125" style="177" customWidth="1"/>
    <col min="9737" max="9738" width="8.83203125" style="177"/>
    <col min="9739" max="9739" width="2.5" style="177" customWidth="1"/>
    <col min="9740" max="9741" width="8.83203125" style="177"/>
    <col min="9742" max="9742" width="2.33203125" style="177" customWidth="1"/>
    <col min="9743" max="9744" width="8.83203125" style="177"/>
    <col min="9745" max="9745" width="2.5" style="177" customWidth="1"/>
    <col min="9746" max="9984" width="8.83203125" style="177"/>
    <col min="9985" max="9985" width="30.1640625" style="177" customWidth="1"/>
    <col min="9986" max="9986" width="2.6640625" style="177" customWidth="1"/>
    <col min="9987" max="9988" width="8.83203125" style="177"/>
    <col min="9989" max="9989" width="2.83203125" style="177" customWidth="1"/>
    <col min="9990" max="9991" width="8.83203125" style="177"/>
    <col min="9992" max="9992" width="2.83203125" style="177" customWidth="1"/>
    <col min="9993" max="9994" width="8.83203125" style="177"/>
    <col min="9995" max="9995" width="2.5" style="177" customWidth="1"/>
    <col min="9996" max="9997" width="8.83203125" style="177"/>
    <col min="9998" max="9998" width="2.33203125" style="177" customWidth="1"/>
    <col min="9999" max="10000" width="8.83203125" style="177"/>
    <col min="10001" max="10001" width="2.5" style="177" customWidth="1"/>
    <col min="10002" max="10240" width="8.83203125" style="177"/>
    <col min="10241" max="10241" width="30.1640625" style="177" customWidth="1"/>
    <col min="10242" max="10242" width="2.6640625" style="177" customWidth="1"/>
    <col min="10243" max="10244" width="8.83203125" style="177"/>
    <col min="10245" max="10245" width="2.83203125" style="177" customWidth="1"/>
    <col min="10246" max="10247" width="8.83203125" style="177"/>
    <col min="10248" max="10248" width="2.83203125" style="177" customWidth="1"/>
    <col min="10249" max="10250" width="8.83203125" style="177"/>
    <col min="10251" max="10251" width="2.5" style="177" customWidth="1"/>
    <col min="10252" max="10253" width="8.83203125" style="177"/>
    <col min="10254" max="10254" width="2.33203125" style="177" customWidth="1"/>
    <col min="10255" max="10256" width="8.83203125" style="177"/>
    <col min="10257" max="10257" width="2.5" style="177" customWidth="1"/>
    <col min="10258" max="10496" width="8.83203125" style="177"/>
    <col min="10497" max="10497" width="30.1640625" style="177" customWidth="1"/>
    <col min="10498" max="10498" width="2.6640625" style="177" customWidth="1"/>
    <col min="10499" max="10500" width="8.83203125" style="177"/>
    <col min="10501" max="10501" width="2.83203125" style="177" customWidth="1"/>
    <col min="10502" max="10503" width="8.83203125" style="177"/>
    <col min="10504" max="10504" width="2.83203125" style="177" customWidth="1"/>
    <col min="10505" max="10506" width="8.83203125" style="177"/>
    <col min="10507" max="10507" width="2.5" style="177" customWidth="1"/>
    <col min="10508" max="10509" width="8.83203125" style="177"/>
    <col min="10510" max="10510" width="2.33203125" style="177" customWidth="1"/>
    <col min="10511" max="10512" width="8.83203125" style="177"/>
    <col min="10513" max="10513" width="2.5" style="177" customWidth="1"/>
    <col min="10514" max="10752" width="8.83203125" style="177"/>
    <col min="10753" max="10753" width="30.1640625" style="177" customWidth="1"/>
    <col min="10754" max="10754" width="2.6640625" style="177" customWidth="1"/>
    <col min="10755" max="10756" width="8.83203125" style="177"/>
    <col min="10757" max="10757" width="2.83203125" style="177" customWidth="1"/>
    <col min="10758" max="10759" width="8.83203125" style="177"/>
    <col min="10760" max="10760" width="2.83203125" style="177" customWidth="1"/>
    <col min="10761" max="10762" width="8.83203125" style="177"/>
    <col min="10763" max="10763" width="2.5" style="177" customWidth="1"/>
    <col min="10764" max="10765" width="8.83203125" style="177"/>
    <col min="10766" max="10766" width="2.33203125" style="177" customWidth="1"/>
    <col min="10767" max="10768" width="8.83203125" style="177"/>
    <col min="10769" max="10769" width="2.5" style="177" customWidth="1"/>
    <col min="10770" max="11008" width="8.83203125" style="177"/>
    <col min="11009" max="11009" width="30.1640625" style="177" customWidth="1"/>
    <col min="11010" max="11010" width="2.6640625" style="177" customWidth="1"/>
    <col min="11011" max="11012" width="8.83203125" style="177"/>
    <col min="11013" max="11013" width="2.83203125" style="177" customWidth="1"/>
    <col min="11014" max="11015" width="8.83203125" style="177"/>
    <col min="11016" max="11016" width="2.83203125" style="177" customWidth="1"/>
    <col min="11017" max="11018" width="8.83203125" style="177"/>
    <col min="11019" max="11019" width="2.5" style="177" customWidth="1"/>
    <col min="11020" max="11021" width="8.83203125" style="177"/>
    <col min="11022" max="11022" width="2.33203125" style="177" customWidth="1"/>
    <col min="11023" max="11024" width="8.83203125" style="177"/>
    <col min="11025" max="11025" width="2.5" style="177" customWidth="1"/>
    <col min="11026" max="11264" width="8.83203125" style="177"/>
    <col min="11265" max="11265" width="30.1640625" style="177" customWidth="1"/>
    <col min="11266" max="11266" width="2.6640625" style="177" customWidth="1"/>
    <col min="11267" max="11268" width="8.83203125" style="177"/>
    <col min="11269" max="11269" width="2.83203125" style="177" customWidth="1"/>
    <col min="11270" max="11271" width="8.83203125" style="177"/>
    <col min="11272" max="11272" width="2.83203125" style="177" customWidth="1"/>
    <col min="11273" max="11274" width="8.83203125" style="177"/>
    <col min="11275" max="11275" width="2.5" style="177" customWidth="1"/>
    <col min="11276" max="11277" width="8.83203125" style="177"/>
    <col min="11278" max="11278" width="2.33203125" style="177" customWidth="1"/>
    <col min="11279" max="11280" width="8.83203125" style="177"/>
    <col min="11281" max="11281" width="2.5" style="177" customWidth="1"/>
    <col min="11282" max="11520" width="8.83203125" style="177"/>
    <col min="11521" max="11521" width="30.1640625" style="177" customWidth="1"/>
    <col min="11522" max="11522" width="2.6640625" style="177" customWidth="1"/>
    <col min="11523" max="11524" width="8.83203125" style="177"/>
    <col min="11525" max="11525" width="2.83203125" style="177" customWidth="1"/>
    <col min="11526" max="11527" width="8.83203125" style="177"/>
    <col min="11528" max="11528" width="2.83203125" style="177" customWidth="1"/>
    <col min="11529" max="11530" width="8.83203125" style="177"/>
    <col min="11531" max="11531" width="2.5" style="177" customWidth="1"/>
    <col min="11532" max="11533" width="8.83203125" style="177"/>
    <col min="11534" max="11534" width="2.33203125" style="177" customWidth="1"/>
    <col min="11535" max="11536" width="8.83203125" style="177"/>
    <col min="11537" max="11537" width="2.5" style="177" customWidth="1"/>
    <col min="11538" max="11776" width="8.83203125" style="177"/>
    <col min="11777" max="11777" width="30.1640625" style="177" customWidth="1"/>
    <col min="11778" max="11778" width="2.6640625" style="177" customWidth="1"/>
    <col min="11779" max="11780" width="8.83203125" style="177"/>
    <col min="11781" max="11781" width="2.83203125" style="177" customWidth="1"/>
    <col min="11782" max="11783" width="8.83203125" style="177"/>
    <col min="11784" max="11784" width="2.83203125" style="177" customWidth="1"/>
    <col min="11785" max="11786" width="8.83203125" style="177"/>
    <col min="11787" max="11787" width="2.5" style="177" customWidth="1"/>
    <col min="11788" max="11789" width="8.83203125" style="177"/>
    <col min="11790" max="11790" width="2.33203125" style="177" customWidth="1"/>
    <col min="11791" max="11792" width="8.83203125" style="177"/>
    <col min="11793" max="11793" width="2.5" style="177" customWidth="1"/>
    <col min="11794" max="12032" width="8.83203125" style="177"/>
    <col min="12033" max="12033" width="30.1640625" style="177" customWidth="1"/>
    <col min="12034" max="12034" width="2.6640625" style="177" customWidth="1"/>
    <col min="12035" max="12036" width="8.83203125" style="177"/>
    <col min="12037" max="12037" width="2.83203125" style="177" customWidth="1"/>
    <col min="12038" max="12039" width="8.83203125" style="177"/>
    <col min="12040" max="12040" width="2.83203125" style="177" customWidth="1"/>
    <col min="12041" max="12042" width="8.83203125" style="177"/>
    <col min="12043" max="12043" width="2.5" style="177" customWidth="1"/>
    <col min="12044" max="12045" width="8.83203125" style="177"/>
    <col min="12046" max="12046" width="2.33203125" style="177" customWidth="1"/>
    <col min="12047" max="12048" width="8.83203125" style="177"/>
    <col min="12049" max="12049" width="2.5" style="177" customWidth="1"/>
    <col min="12050" max="12288" width="8.83203125" style="177"/>
    <col min="12289" max="12289" width="30.1640625" style="177" customWidth="1"/>
    <col min="12290" max="12290" width="2.6640625" style="177" customWidth="1"/>
    <col min="12291" max="12292" width="8.83203125" style="177"/>
    <col min="12293" max="12293" width="2.83203125" style="177" customWidth="1"/>
    <col min="12294" max="12295" width="8.83203125" style="177"/>
    <col min="12296" max="12296" width="2.83203125" style="177" customWidth="1"/>
    <col min="12297" max="12298" width="8.83203125" style="177"/>
    <col min="12299" max="12299" width="2.5" style="177" customWidth="1"/>
    <col min="12300" max="12301" width="8.83203125" style="177"/>
    <col min="12302" max="12302" width="2.33203125" style="177" customWidth="1"/>
    <col min="12303" max="12304" width="8.83203125" style="177"/>
    <col min="12305" max="12305" width="2.5" style="177" customWidth="1"/>
    <col min="12306" max="12544" width="8.83203125" style="177"/>
    <col min="12545" max="12545" width="30.1640625" style="177" customWidth="1"/>
    <col min="12546" max="12546" width="2.6640625" style="177" customWidth="1"/>
    <col min="12547" max="12548" width="8.83203125" style="177"/>
    <col min="12549" max="12549" width="2.83203125" style="177" customWidth="1"/>
    <col min="12550" max="12551" width="8.83203125" style="177"/>
    <col min="12552" max="12552" width="2.83203125" style="177" customWidth="1"/>
    <col min="12553" max="12554" width="8.83203125" style="177"/>
    <col min="12555" max="12555" width="2.5" style="177" customWidth="1"/>
    <col min="12556" max="12557" width="8.83203125" style="177"/>
    <col min="12558" max="12558" width="2.33203125" style="177" customWidth="1"/>
    <col min="12559" max="12560" width="8.83203125" style="177"/>
    <col min="12561" max="12561" width="2.5" style="177" customWidth="1"/>
    <col min="12562" max="12800" width="8.83203125" style="177"/>
    <col min="12801" max="12801" width="30.1640625" style="177" customWidth="1"/>
    <col min="12802" max="12802" width="2.6640625" style="177" customWidth="1"/>
    <col min="12803" max="12804" width="8.83203125" style="177"/>
    <col min="12805" max="12805" width="2.83203125" style="177" customWidth="1"/>
    <col min="12806" max="12807" width="8.83203125" style="177"/>
    <col min="12808" max="12808" width="2.83203125" style="177" customWidth="1"/>
    <col min="12809" max="12810" width="8.83203125" style="177"/>
    <col min="12811" max="12811" width="2.5" style="177" customWidth="1"/>
    <col min="12812" max="12813" width="8.83203125" style="177"/>
    <col min="12814" max="12814" width="2.33203125" style="177" customWidth="1"/>
    <col min="12815" max="12816" width="8.83203125" style="177"/>
    <col min="12817" max="12817" width="2.5" style="177" customWidth="1"/>
    <col min="12818" max="13056" width="8.83203125" style="177"/>
    <col min="13057" max="13057" width="30.1640625" style="177" customWidth="1"/>
    <col min="13058" max="13058" width="2.6640625" style="177" customWidth="1"/>
    <col min="13059" max="13060" width="8.83203125" style="177"/>
    <col min="13061" max="13061" width="2.83203125" style="177" customWidth="1"/>
    <col min="13062" max="13063" width="8.83203125" style="177"/>
    <col min="13064" max="13064" width="2.83203125" style="177" customWidth="1"/>
    <col min="13065" max="13066" width="8.83203125" style="177"/>
    <col min="13067" max="13067" width="2.5" style="177" customWidth="1"/>
    <col min="13068" max="13069" width="8.83203125" style="177"/>
    <col min="13070" max="13070" width="2.33203125" style="177" customWidth="1"/>
    <col min="13071" max="13072" width="8.83203125" style="177"/>
    <col min="13073" max="13073" width="2.5" style="177" customWidth="1"/>
    <col min="13074" max="13312" width="8.83203125" style="177"/>
    <col min="13313" max="13313" width="30.1640625" style="177" customWidth="1"/>
    <col min="13314" max="13314" width="2.6640625" style="177" customWidth="1"/>
    <col min="13315" max="13316" width="8.83203125" style="177"/>
    <col min="13317" max="13317" width="2.83203125" style="177" customWidth="1"/>
    <col min="13318" max="13319" width="8.83203125" style="177"/>
    <col min="13320" max="13320" width="2.83203125" style="177" customWidth="1"/>
    <col min="13321" max="13322" width="8.83203125" style="177"/>
    <col min="13323" max="13323" width="2.5" style="177" customWidth="1"/>
    <col min="13324" max="13325" width="8.83203125" style="177"/>
    <col min="13326" max="13326" width="2.33203125" style="177" customWidth="1"/>
    <col min="13327" max="13328" width="8.83203125" style="177"/>
    <col min="13329" max="13329" width="2.5" style="177" customWidth="1"/>
    <col min="13330" max="13568" width="8.83203125" style="177"/>
    <col min="13569" max="13569" width="30.1640625" style="177" customWidth="1"/>
    <col min="13570" max="13570" width="2.6640625" style="177" customWidth="1"/>
    <col min="13571" max="13572" width="8.83203125" style="177"/>
    <col min="13573" max="13573" width="2.83203125" style="177" customWidth="1"/>
    <col min="13574" max="13575" width="8.83203125" style="177"/>
    <col min="13576" max="13576" width="2.83203125" style="177" customWidth="1"/>
    <col min="13577" max="13578" width="8.83203125" style="177"/>
    <col min="13579" max="13579" width="2.5" style="177" customWidth="1"/>
    <col min="13580" max="13581" width="8.83203125" style="177"/>
    <col min="13582" max="13582" width="2.33203125" style="177" customWidth="1"/>
    <col min="13583" max="13584" width="8.83203125" style="177"/>
    <col min="13585" max="13585" width="2.5" style="177" customWidth="1"/>
    <col min="13586" max="13824" width="8.83203125" style="177"/>
    <col min="13825" max="13825" width="30.1640625" style="177" customWidth="1"/>
    <col min="13826" max="13826" width="2.6640625" style="177" customWidth="1"/>
    <col min="13827" max="13828" width="8.83203125" style="177"/>
    <col min="13829" max="13829" width="2.83203125" style="177" customWidth="1"/>
    <col min="13830" max="13831" width="8.83203125" style="177"/>
    <col min="13832" max="13832" width="2.83203125" style="177" customWidth="1"/>
    <col min="13833" max="13834" width="8.83203125" style="177"/>
    <col min="13835" max="13835" width="2.5" style="177" customWidth="1"/>
    <col min="13836" max="13837" width="8.83203125" style="177"/>
    <col min="13838" max="13838" width="2.33203125" style="177" customWidth="1"/>
    <col min="13839" max="13840" width="8.83203125" style="177"/>
    <col min="13841" max="13841" width="2.5" style="177" customWidth="1"/>
    <col min="13842" max="14080" width="8.83203125" style="177"/>
    <col min="14081" max="14081" width="30.1640625" style="177" customWidth="1"/>
    <col min="14082" max="14082" width="2.6640625" style="177" customWidth="1"/>
    <col min="14083" max="14084" width="8.83203125" style="177"/>
    <col min="14085" max="14085" width="2.83203125" style="177" customWidth="1"/>
    <col min="14086" max="14087" width="8.83203125" style="177"/>
    <col min="14088" max="14088" width="2.83203125" style="177" customWidth="1"/>
    <col min="14089" max="14090" width="8.83203125" style="177"/>
    <col min="14091" max="14091" width="2.5" style="177" customWidth="1"/>
    <col min="14092" max="14093" width="8.83203125" style="177"/>
    <col min="14094" max="14094" width="2.33203125" style="177" customWidth="1"/>
    <col min="14095" max="14096" width="8.83203125" style="177"/>
    <col min="14097" max="14097" width="2.5" style="177" customWidth="1"/>
    <col min="14098" max="14336" width="8.83203125" style="177"/>
    <col min="14337" max="14337" width="30.1640625" style="177" customWidth="1"/>
    <col min="14338" max="14338" width="2.6640625" style="177" customWidth="1"/>
    <col min="14339" max="14340" width="8.83203125" style="177"/>
    <col min="14341" max="14341" width="2.83203125" style="177" customWidth="1"/>
    <col min="14342" max="14343" width="8.83203125" style="177"/>
    <col min="14344" max="14344" width="2.83203125" style="177" customWidth="1"/>
    <col min="14345" max="14346" width="8.83203125" style="177"/>
    <col min="14347" max="14347" width="2.5" style="177" customWidth="1"/>
    <col min="14348" max="14349" width="8.83203125" style="177"/>
    <col min="14350" max="14350" width="2.33203125" style="177" customWidth="1"/>
    <col min="14351" max="14352" width="8.83203125" style="177"/>
    <col min="14353" max="14353" width="2.5" style="177" customWidth="1"/>
    <col min="14354" max="14592" width="8.83203125" style="177"/>
    <col min="14593" max="14593" width="30.1640625" style="177" customWidth="1"/>
    <col min="14594" max="14594" width="2.6640625" style="177" customWidth="1"/>
    <col min="14595" max="14596" width="8.83203125" style="177"/>
    <col min="14597" max="14597" width="2.83203125" style="177" customWidth="1"/>
    <col min="14598" max="14599" width="8.83203125" style="177"/>
    <col min="14600" max="14600" width="2.83203125" style="177" customWidth="1"/>
    <col min="14601" max="14602" width="8.83203125" style="177"/>
    <col min="14603" max="14603" width="2.5" style="177" customWidth="1"/>
    <col min="14604" max="14605" width="8.83203125" style="177"/>
    <col min="14606" max="14606" width="2.33203125" style="177" customWidth="1"/>
    <col min="14607" max="14608" width="8.83203125" style="177"/>
    <col min="14609" max="14609" width="2.5" style="177" customWidth="1"/>
    <col min="14610" max="14848" width="8.83203125" style="177"/>
    <col min="14849" max="14849" width="30.1640625" style="177" customWidth="1"/>
    <col min="14850" max="14850" width="2.6640625" style="177" customWidth="1"/>
    <col min="14851" max="14852" width="8.83203125" style="177"/>
    <col min="14853" max="14853" width="2.83203125" style="177" customWidth="1"/>
    <col min="14854" max="14855" width="8.83203125" style="177"/>
    <col min="14856" max="14856" width="2.83203125" style="177" customWidth="1"/>
    <col min="14857" max="14858" width="8.83203125" style="177"/>
    <col min="14859" max="14859" width="2.5" style="177" customWidth="1"/>
    <col min="14860" max="14861" width="8.83203125" style="177"/>
    <col min="14862" max="14862" width="2.33203125" style="177" customWidth="1"/>
    <col min="14863" max="14864" width="8.83203125" style="177"/>
    <col min="14865" max="14865" width="2.5" style="177" customWidth="1"/>
    <col min="14866" max="15104" width="8.83203125" style="177"/>
    <col min="15105" max="15105" width="30.1640625" style="177" customWidth="1"/>
    <col min="15106" max="15106" width="2.6640625" style="177" customWidth="1"/>
    <col min="15107" max="15108" width="8.83203125" style="177"/>
    <col min="15109" max="15109" width="2.83203125" style="177" customWidth="1"/>
    <col min="15110" max="15111" width="8.83203125" style="177"/>
    <col min="15112" max="15112" width="2.83203125" style="177" customWidth="1"/>
    <col min="15113" max="15114" width="8.83203125" style="177"/>
    <col min="15115" max="15115" width="2.5" style="177" customWidth="1"/>
    <col min="15116" max="15117" width="8.83203125" style="177"/>
    <col min="15118" max="15118" width="2.33203125" style="177" customWidth="1"/>
    <col min="15119" max="15120" width="8.83203125" style="177"/>
    <col min="15121" max="15121" width="2.5" style="177" customWidth="1"/>
    <col min="15122" max="15360" width="8.83203125" style="177"/>
    <col min="15361" max="15361" width="30.1640625" style="177" customWidth="1"/>
    <col min="15362" max="15362" width="2.6640625" style="177" customWidth="1"/>
    <col min="15363" max="15364" width="8.83203125" style="177"/>
    <col min="15365" max="15365" width="2.83203125" style="177" customWidth="1"/>
    <col min="15366" max="15367" width="8.83203125" style="177"/>
    <col min="15368" max="15368" width="2.83203125" style="177" customWidth="1"/>
    <col min="15369" max="15370" width="8.83203125" style="177"/>
    <col min="15371" max="15371" width="2.5" style="177" customWidth="1"/>
    <col min="15372" max="15373" width="8.83203125" style="177"/>
    <col min="15374" max="15374" width="2.33203125" style="177" customWidth="1"/>
    <col min="15375" max="15376" width="8.83203125" style="177"/>
    <col min="15377" max="15377" width="2.5" style="177" customWidth="1"/>
    <col min="15378" max="15616" width="8.83203125" style="177"/>
    <col min="15617" max="15617" width="30.1640625" style="177" customWidth="1"/>
    <col min="15618" max="15618" width="2.6640625" style="177" customWidth="1"/>
    <col min="15619" max="15620" width="8.83203125" style="177"/>
    <col min="15621" max="15621" width="2.83203125" style="177" customWidth="1"/>
    <col min="15622" max="15623" width="8.83203125" style="177"/>
    <col min="15624" max="15624" width="2.83203125" style="177" customWidth="1"/>
    <col min="15625" max="15626" width="8.83203125" style="177"/>
    <col min="15627" max="15627" width="2.5" style="177" customWidth="1"/>
    <col min="15628" max="15629" width="8.83203125" style="177"/>
    <col min="15630" max="15630" width="2.33203125" style="177" customWidth="1"/>
    <col min="15631" max="15632" width="8.83203125" style="177"/>
    <col min="15633" max="15633" width="2.5" style="177" customWidth="1"/>
    <col min="15634" max="15872" width="8.83203125" style="177"/>
    <col min="15873" max="15873" width="30.1640625" style="177" customWidth="1"/>
    <col min="15874" max="15874" width="2.6640625" style="177" customWidth="1"/>
    <col min="15875" max="15876" width="8.83203125" style="177"/>
    <col min="15877" max="15877" width="2.83203125" style="177" customWidth="1"/>
    <col min="15878" max="15879" width="8.83203125" style="177"/>
    <col min="15880" max="15880" width="2.83203125" style="177" customWidth="1"/>
    <col min="15881" max="15882" width="8.83203125" style="177"/>
    <col min="15883" max="15883" width="2.5" style="177" customWidth="1"/>
    <col min="15884" max="15885" width="8.83203125" style="177"/>
    <col min="15886" max="15886" width="2.33203125" style="177" customWidth="1"/>
    <col min="15887" max="15888" width="8.83203125" style="177"/>
    <col min="15889" max="15889" width="2.5" style="177" customWidth="1"/>
    <col min="15890" max="16128" width="8.83203125" style="177"/>
    <col min="16129" max="16129" width="30.1640625" style="177" customWidth="1"/>
    <col min="16130" max="16130" width="2.6640625" style="177" customWidth="1"/>
    <col min="16131" max="16132" width="8.83203125" style="177"/>
    <col min="16133" max="16133" width="2.83203125" style="177" customWidth="1"/>
    <col min="16134" max="16135" width="8.83203125" style="177"/>
    <col min="16136" max="16136" width="2.83203125" style="177" customWidth="1"/>
    <col min="16137" max="16138" width="8.83203125" style="177"/>
    <col min="16139" max="16139" width="2.5" style="177" customWidth="1"/>
    <col min="16140" max="16141" width="8.83203125" style="177"/>
    <col min="16142" max="16142" width="2.33203125" style="177" customWidth="1"/>
    <col min="16143" max="16144" width="8.83203125" style="177"/>
    <col min="16145" max="16145" width="2.5" style="177" customWidth="1"/>
    <col min="16146" max="16384" width="8.83203125" style="177"/>
  </cols>
  <sheetData>
    <row r="1" spans="1:17">
      <c r="A1" s="177" t="s">
        <v>674</v>
      </c>
    </row>
    <row r="2" spans="1:17">
      <c r="A2" s="177" t="s">
        <v>675</v>
      </c>
    </row>
    <row r="4" spans="1:17">
      <c r="A4" s="182" t="s">
        <v>2001</v>
      </c>
    </row>
    <row r="5" spans="1:17" ht="15" thickBot="1"/>
    <row r="6" spans="1:17" ht="20" customHeight="1">
      <c r="A6" s="679"/>
      <c r="B6" s="679"/>
      <c r="C6" s="679"/>
      <c r="D6" s="679"/>
      <c r="E6" s="679"/>
      <c r="F6" s="679"/>
      <c r="G6" s="679"/>
      <c r="H6" s="679"/>
      <c r="I6" s="679"/>
      <c r="J6" s="679"/>
      <c r="K6" s="679"/>
      <c r="L6" s="679"/>
      <c r="M6" s="679"/>
      <c r="N6" s="679"/>
      <c r="O6" s="679"/>
      <c r="P6" s="679"/>
      <c r="Q6" s="679"/>
    </row>
    <row r="7" spans="1:17" ht="20" customHeight="1">
      <c r="A7" s="877" t="s">
        <v>1354</v>
      </c>
      <c r="C7" s="1055">
        <v>2015</v>
      </c>
      <c r="D7" s="1055"/>
      <c r="F7" s="1055">
        <v>2016</v>
      </c>
      <c r="G7" s="1055"/>
      <c r="I7" s="1055">
        <v>2017</v>
      </c>
      <c r="J7" s="1055"/>
      <c r="L7" s="1055">
        <v>2018</v>
      </c>
      <c r="M7" s="1055"/>
      <c r="O7" s="1055">
        <v>2019</v>
      </c>
      <c r="P7" s="1055"/>
    </row>
    <row r="8" spans="1:17" ht="20" customHeight="1">
      <c r="A8" s="177" t="s">
        <v>1355</v>
      </c>
      <c r="C8" s="492" t="s">
        <v>1356</v>
      </c>
      <c r="D8" s="492" t="s">
        <v>153</v>
      </c>
      <c r="F8" s="492" t="s">
        <v>1356</v>
      </c>
      <c r="G8" s="492" t="s">
        <v>153</v>
      </c>
      <c r="I8" s="492" t="s">
        <v>1356</v>
      </c>
      <c r="J8" s="492" t="s">
        <v>153</v>
      </c>
      <c r="L8" s="492" t="s">
        <v>1356</v>
      </c>
      <c r="M8" s="492" t="s">
        <v>153</v>
      </c>
      <c r="O8" s="492" t="s">
        <v>1356</v>
      </c>
      <c r="P8" s="492" t="s">
        <v>153</v>
      </c>
    </row>
    <row r="9" spans="1:17" ht="20" customHeight="1" thickBot="1">
      <c r="A9" s="185"/>
      <c r="C9" s="185"/>
      <c r="D9" s="185"/>
      <c r="F9" s="185"/>
      <c r="G9" s="185"/>
      <c r="I9" s="185"/>
      <c r="J9" s="185"/>
      <c r="L9" s="185"/>
      <c r="M9" s="185"/>
      <c r="O9" s="185"/>
      <c r="P9" s="185"/>
    </row>
    <row r="10" spans="1:17" ht="20" customHeight="1">
      <c r="A10" s="659"/>
      <c r="B10" s="679"/>
      <c r="E10" s="679"/>
      <c r="H10" s="679"/>
      <c r="K10" s="679"/>
      <c r="N10" s="679"/>
      <c r="Q10" s="679"/>
    </row>
    <row r="11" spans="1:17" ht="20" customHeight="1">
      <c r="A11" s="667" t="s">
        <v>148</v>
      </c>
      <c r="C11" s="183">
        <f>SUM(C13:C21)</f>
        <v>707045</v>
      </c>
      <c r="D11" s="494">
        <f>SUM(D13:D21)</f>
        <v>100</v>
      </c>
      <c r="F11" s="183">
        <f>SUM(F13:F21)</f>
        <v>591161</v>
      </c>
      <c r="G11" s="494">
        <f>SUM(G13:G21)</f>
        <v>99.999999999999986</v>
      </c>
      <c r="I11" s="183">
        <f>SUM(I13:I21)</f>
        <v>538659</v>
      </c>
      <c r="J11" s="494">
        <f>SUM(J13:J21)</f>
        <v>100</v>
      </c>
      <c r="L11" s="183">
        <f>SUM(L13:L21)</f>
        <v>503788</v>
      </c>
      <c r="M11" s="494">
        <f>SUM(M13:M21)</f>
        <v>99.999999999999986</v>
      </c>
      <c r="O11" s="183">
        <f>SUM(O13:O21)</f>
        <v>592413</v>
      </c>
      <c r="P11" s="494">
        <f>SUM(P13:P21)</f>
        <v>99.999999999999986</v>
      </c>
    </row>
    <row r="12" spans="1:17" ht="20" customHeight="1">
      <c r="A12" s="659"/>
      <c r="C12" s="495"/>
      <c r="D12" s="494"/>
      <c r="F12" s="495"/>
      <c r="G12" s="494"/>
      <c r="I12" s="495"/>
      <c r="J12" s="494"/>
      <c r="L12" s="495"/>
      <c r="M12" s="494"/>
      <c r="O12" s="495"/>
      <c r="P12" s="494"/>
    </row>
    <row r="13" spans="1:17" ht="20" customHeight="1">
      <c r="A13" s="177" t="s">
        <v>2002</v>
      </c>
      <c r="C13" s="495">
        <v>294230</v>
      </c>
      <c r="D13" s="184">
        <f t="shared" ref="D13:D21" si="0">IF($A13&lt;&gt;"",C13/C$11*100,"")</f>
        <v>41.614041539081668</v>
      </c>
      <c r="F13" s="495">
        <v>224350</v>
      </c>
      <c r="G13" s="184">
        <f t="shared" ref="G13:G21" si="1">IF($A13&lt;&gt;"",F13/F$11*100,"")</f>
        <v>37.950744382663942</v>
      </c>
      <c r="I13" s="495">
        <v>202285</v>
      </c>
      <c r="J13" s="184">
        <f t="shared" ref="J13:J21" si="2">IF($A13&lt;&gt;"",I13/I$11*100,"")</f>
        <v>37.553442901724466</v>
      </c>
      <c r="L13" s="495">
        <v>200904</v>
      </c>
      <c r="M13" s="184">
        <f t="shared" ref="M13:M21" si="3">IF($A13&lt;&gt;"",L13/L$11*100,"")</f>
        <v>39.878679126934344</v>
      </c>
      <c r="O13" s="495">
        <v>200944</v>
      </c>
      <c r="P13" s="184">
        <f t="shared" ref="P13:P21" si="4">IF($A13&lt;&gt;"",O13/O$11*100,"")</f>
        <v>33.919579752638782</v>
      </c>
    </row>
    <row r="14" spans="1:17" ht="20" customHeight="1">
      <c r="C14" s="495"/>
      <c r="D14" s="184" t="str">
        <f t="shared" si="0"/>
        <v/>
      </c>
      <c r="F14" s="495"/>
      <c r="G14" s="184" t="str">
        <f t="shared" si="1"/>
        <v/>
      </c>
      <c r="I14" s="495"/>
      <c r="J14" s="184" t="str">
        <f t="shared" si="2"/>
        <v/>
      </c>
      <c r="L14" s="495"/>
      <c r="M14" s="184" t="str">
        <f t="shared" si="3"/>
        <v/>
      </c>
      <c r="O14" s="495"/>
      <c r="P14" s="184" t="str">
        <f t="shared" si="4"/>
        <v/>
      </c>
    </row>
    <row r="15" spans="1:17" ht="20" customHeight="1">
      <c r="A15" s="177" t="s">
        <v>2003</v>
      </c>
      <c r="C15" s="495">
        <v>137725</v>
      </c>
      <c r="D15" s="184">
        <f t="shared" si="0"/>
        <v>19.478958199265957</v>
      </c>
      <c r="F15" s="495">
        <v>116212</v>
      </c>
      <c r="G15" s="184">
        <f t="shared" si="1"/>
        <v>19.658265683967649</v>
      </c>
      <c r="I15" s="495">
        <v>105815</v>
      </c>
      <c r="J15" s="184">
        <f t="shared" si="2"/>
        <v>19.644153351192497</v>
      </c>
      <c r="L15" s="495">
        <v>100560</v>
      </c>
      <c r="M15" s="184">
        <f t="shared" si="3"/>
        <v>19.960777152294217</v>
      </c>
      <c r="O15" s="495">
        <v>83106</v>
      </c>
      <c r="P15" s="184">
        <f t="shared" si="4"/>
        <v>14.028388978634837</v>
      </c>
    </row>
    <row r="16" spans="1:17" ht="20" customHeight="1">
      <c r="C16" s="495"/>
      <c r="D16" s="184" t="str">
        <f t="shared" si="0"/>
        <v/>
      </c>
      <c r="F16" s="495"/>
      <c r="G16" s="184" t="str">
        <f t="shared" si="1"/>
        <v/>
      </c>
      <c r="I16" s="495"/>
      <c r="J16" s="184" t="str">
        <f t="shared" si="2"/>
        <v/>
      </c>
      <c r="L16" s="495"/>
      <c r="M16" s="184" t="str">
        <f t="shared" si="3"/>
        <v/>
      </c>
      <c r="O16" s="495"/>
      <c r="P16" s="184" t="str">
        <f t="shared" si="4"/>
        <v/>
      </c>
    </row>
    <row r="17" spans="1:17" ht="20" customHeight="1">
      <c r="A17" s="177" t="s">
        <v>2004</v>
      </c>
      <c r="C17" s="495">
        <v>154745</v>
      </c>
      <c r="D17" s="184">
        <f t="shared" si="0"/>
        <v>21.886160003960146</v>
      </c>
      <c r="F17" s="495">
        <v>113740</v>
      </c>
      <c r="G17" s="184">
        <f t="shared" si="1"/>
        <v>19.240105487337626</v>
      </c>
      <c r="I17" s="495">
        <v>122179</v>
      </c>
      <c r="J17" s="184">
        <f t="shared" si="2"/>
        <v>22.682067875966055</v>
      </c>
      <c r="L17" s="495">
        <v>98806</v>
      </c>
      <c r="M17" s="184">
        <f t="shared" si="3"/>
        <v>19.612614830047558</v>
      </c>
      <c r="O17" s="495">
        <v>199209</v>
      </c>
      <c r="P17" s="184">
        <f t="shared" si="4"/>
        <v>33.626709744722014</v>
      </c>
    </row>
    <row r="18" spans="1:17" ht="20" customHeight="1">
      <c r="C18" s="495"/>
      <c r="D18" s="184" t="str">
        <f t="shared" si="0"/>
        <v/>
      </c>
      <c r="F18" s="495"/>
      <c r="G18" s="184" t="str">
        <f t="shared" si="1"/>
        <v/>
      </c>
      <c r="I18" s="495"/>
      <c r="J18" s="184" t="str">
        <f t="shared" si="2"/>
        <v/>
      </c>
      <c r="L18" s="495"/>
      <c r="M18" s="184" t="str">
        <f t="shared" si="3"/>
        <v/>
      </c>
      <c r="O18" s="495"/>
      <c r="P18" s="184" t="str">
        <f t="shared" si="4"/>
        <v/>
      </c>
    </row>
    <row r="19" spans="1:17" ht="20" customHeight="1">
      <c r="A19" s="177" t="s">
        <v>2005</v>
      </c>
      <c r="C19" s="495">
        <v>34222</v>
      </c>
      <c r="D19" s="184">
        <f t="shared" si="0"/>
        <v>4.8401445452552521</v>
      </c>
      <c r="F19" s="495">
        <v>49980</v>
      </c>
      <c r="G19" s="184">
        <f t="shared" si="1"/>
        <v>8.454549606621546</v>
      </c>
      <c r="I19" s="495">
        <v>17839</v>
      </c>
      <c r="J19" s="184">
        <f t="shared" si="2"/>
        <v>3.3117426795059588</v>
      </c>
      <c r="L19" s="495">
        <v>17232</v>
      </c>
      <c r="M19" s="184">
        <f t="shared" si="3"/>
        <v>3.4204863950709421</v>
      </c>
      <c r="O19" s="495">
        <v>12080</v>
      </c>
      <c r="P19" s="184">
        <f t="shared" si="4"/>
        <v>2.0391179801928723</v>
      </c>
    </row>
    <row r="20" spans="1:17" ht="20" customHeight="1">
      <c r="C20" s="495"/>
      <c r="D20" s="184" t="str">
        <f t="shared" si="0"/>
        <v/>
      </c>
      <c r="F20" s="495"/>
      <c r="G20" s="184" t="str">
        <f t="shared" si="1"/>
        <v/>
      </c>
      <c r="I20" s="495"/>
      <c r="J20" s="184" t="str">
        <f t="shared" si="2"/>
        <v/>
      </c>
      <c r="L20" s="495"/>
      <c r="M20" s="184" t="str">
        <f t="shared" si="3"/>
        <v/>
      </c>
      <c r="O20" s="495"/>
      <c r="P20" s="184" t="str">
        <f t="shared" si="4"/>
        <v/>
      </c>
    </row>
    <row r="21" spans="1:17" ht="20" customHeight="1">
      <c r="A21" s="177" t="s">
        <v>2006</v>
      </c>
      <c r="C21" s="495">
        <v>86123</v>
      </c>
      <c r="D21" s="184">
        <f t="shared" si="0"/>
        <v>12.180695712436973</v>
      </c>
      <c r="F21" s="495">
        <v>86879</v>
      </c>
      <c r="G21" s="184">
        <f t="shared" si="1"/>
        <v>14.69633483940923</v>
      </c>
      <c r="I21" s="495">
        <v>90541</v>
      </c>
      <c r="J21" s="184">
        <f t="shared" si="2"/>
        <v>16.808593191611017</v>
      </c>
      <c r="L21" s="495">
        <v>86286</v>
      </c>
      <c r="M21" s="184">
        <f t="shared" si="3"/>
        <v>17.127442495652932</v>
      </c>
      <c r="O21" s="495">
        <v>97074</v>
      </c>
      <c r="P21" s="184">
        <f t="shared" si="4"/>
        <v>16.386203543811494</v>
      </c>
    </row>
    <row r="22" spans="1:17" ht="20" customHeight="1" thickBot="1"/>
    <row r="23" spans="1:17" ht="20" customHeight="1">
      <c r="A23" s="679"/>
      <c r="B23" s="679"/>
      <c r="C23" s="679"/>
      <c r="D23" s="679"/>
      <c r="E23" s="679"/>
      <c r="F23" s="679"/>
      <c r="G23" s="679"/>
      <c r="H23" s="679"/>
      <c r="I23" s="679"/>
      <c r="J23" s="679"/>
      <c r="K23" s="679"/>
      <c r="L23" s="679"/>
      <c r="M23" s="679"/>
      <c r="N23" s="679"/>
      <c r="O23" s="679"/>
      <c r="P23" s="679"/>
      <c r="Q23" s="679"/>
    </row>
    <row r="24" spans="1:17" ht="15">
      <c r="A24" s="474" t="s">
        <v>2007</v>
      </c>
    </row>
    <row r="25" spans="1:17" ht="20" customHeight="1">
      <c r="A25" s="474" t="s">
        <v>2008</v>
      </c>
    </row>
    <row r="26" spans="1:17" ht="20" customHeight="1">
      <c r="A26" s="177" t="s">
        <v>2009</v>
      </c>
    </row>
    <row r="27" spans="1:17" ht="20" customHeight="1">
      <c r="A27" s="474" t="s">
        <v>2010</v>
      </c>
    </row>
    <row r="28" spans="1:17" ht="20" customHeight="1">
      <c r="A28" s="177" t="s">
        <v>2011</v>
      </c>
    </row>
    <row r="29" spans="1:17" ht="20" customHeight="1">
      <c r="A29" s="474" t="s">
        <v>2012</v>
      </c>
    </row>
    <row r="30" spans="1:17" ht="19.5" customHeight="1">
      <c r="A30" s="177" t="s">
        <v>2013</v>
      </c>
    </row>
    <row r="31" spans="1:17" ht="19.5" customHeight="1">
      <c r="A31" s="474" t="s">
        <v>2014</v>
      </c>
    </row>
    <row r="32" spans="1:17" ht="19.5" customHeight="1"/>
    <row r="33" spans="1:1" ht="19.5" customHeight="1">
      <c r="A33" s="177" t="s">
        <v>1357</v>
      </c>
    </row>
    <row r="34" spans="1:1" ht="20" customHeight="1">
      <c r="A34" s="177" t="s">
        <v>452</v>
      </c>
    </row>
    <row r="35" spans="1:1" ht="20" customHeight="1"/>
    <row r="36" spans="1:1" ht="20" customHeight="1"/>
    <row r="37" spans="1:1" ht="20" hidden="1" customHeight="1"/>
    <row r="38" spans="1:1" ht="20" hidden="1" customHeight="1"/>
    <row r="39" spans="1:1" ht="20" hidden="1" customHeight="1"/>
    <row r="40" spans="1:1" ht="20" hidden="1" customHeight="1"/>
    <row r="41" spans="1:1" ht="20" hidden="1" customHeight="1"/>
    <row r="42" spans="1:1" ht="20" hidden="1" customHeight="1"/>
    <row r="43" spans="1:1" ht="20" hidden="1" customHeight="1"/>
    <row r="44" spans="1:1" ht="20" hidden="1" customHeight="1"/>
    <row r="45" spans="1:1" ht="20" hidden="1" customHeight="1"/>
    <row r="46" spans="1:1" ht="20" hidden="1" customHeight="1"/>
    <row r="47" spans="1:1" ht="20" hidden="1" customHeight="1"/>
    <row r="48" spans="1:1" ht="20" hidden="1" customHeight="1"/>
    <row r="49" ht="20" hidden="1" customHeight="1"/>
    <row r="50" ht="20" hidden="1" customHeight="1"/>
    <row r="51" ht="20" hidden="1" customHeight="1"/>
    <row r="52" ht="20" hidden="1" customHeight="1"/>
    <row r="53" ht="20" hidden="1" customHeight="1"/>
    <row r="54" ht="20" customHeight="1"/>
    <row r="55" ht="20" customHeight="1"/>
    <row r="56" ht="20" hidden="1" customHeight="1"/>
    <row r="57" ht="20" hidden="1" customHeight="1"/>
    <row r="58" ht="20" hidden="1" customHeight="1"/>
    <row r="59" ht="20" hidden="1" customHeight="1"/>
    <row r="60" ht="20" hidden="1" customHeight="1"/>
    <row r="61" ht="20" hidden="1" customHeight="1"/>
    <row r="62" ht="20" hidden="1" customHeight="1"/>
    <row r="63" ht="20" hidden="1" customHeight="1"/>
    <row r="64" ht="20" hidden="1" customHeight="1"/>
    <row r="65" spans="1:1" ht="20" hidden="1" customHeight="1"/>
    <row r="66" spans="1:1" ht="20" customHeight="1"/>
    <row r="67" spans="1:1" ht="20" customHeight="1"/>
    <row r="68" spans="1:1" ht="20" customHeight="1"/>
    <row r="69" spans="1:1" ht="20" customHeight="1"/>
    <row r="70" spans="1:1" ht="20" hidden="1" customHeight="1">
      <c r="A70" s="177" t="s">
        <v>424</v>
      </c>
    </row>
    <row r="71" spans="1:1" ht="20" hidden="1" customHeight="1">
      <c r="A71" s="177" t="s">
        <v>425</v>
      </c>
    </row>
    <row r="72" spans="1:1" ht="20" hidden="1" customHeight="1">
      <c r="A72" s="177" t="s">
        <v>426</v>
      </c>
    </row>
    <row r="73" spans="1:1" ht="20" hidden="1" customHeight="1">
      <c r="A73" s="177" t="s">
        <v>522</v>
      </c>
    </row>
    <row r="74" spans="1:1" ht="20" hidden="1" customHeight="1">
      <c r="A74" s="177" t="s">
        <v>587</v>
      </c>
    </row>
    <row r="75" spans="1:1" ht="20" customHeight="1"/>
  </sheetData>
  <mergeCells count="5">
    <mergeCell ref="C7:D7"/>
    <mergeCell ref="F7:G7"/>
    <mergeCell ref="I7:J7"/>
    <mergeCell ref="L7:M7"/>
    <mergeCell ref="O7:P7"/>
  </mergeCells>
  <pageMargins left="0.7" right="0.7" top="0.75" bottom="0.75" header="0.3" footer="0.3"/>
  <pageSetup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33"/>
  <sheetViews>
    <sheetView workbookViewId="0">
      <selection activeCell="J8" sqref="J8"/>
    </sheetView>
  </sheetViews>
  <sheetFormatPr baseColWidth="10" defaultColWidth="9.1640625" defaultRowHeight="16"/>
  <cols>
    <col min="1" max="1" width="22.6640625" style="387" customWidth="1"/>
    <col min="2" max="2" width="7.5" customWidth="1"/>
    <col min="3" max="3" width="8" customWidth="1"/>
    <col min="4" max="4" width="2.6640625" customWidth="1"/>
    <col min="5" max="5" width="7.1640625" customWidth="1"/>
    <col min="6" max="6" width="9.5" customWidth="1"/>
    <col min="7" max="7" width="2.6640625" customWidth="1"/>
    <col min="8" max="8" width="10.33203125" style="35" customWidth="1"/>
    <col min="9" max="9" width="7.1640625" customWidth="1"/>
    <col min="10" max="10" width="2.6640625" customWidth="1"/>
    <col min="11" max="11" width="6.5" customWidth="1"/>
    <col min="12" max="12" width="7.5" customWidth="1"/>
    <col min="13" max="13" width="2.33203125" customWidth="1"/>
    <col min="257" max="257" width="22.6640625" customWidth="1"/>
    <col min="258" max="258" width="7.5" customWidth="1"/>
    <col min="259" max="259" width="8" customWidth="1"/>
    <col min="260" max="260" width="2.6640625" customWidth="1"/>
    <col min="261" max="261" width="7.1640625" customWidth="1"/>
    <col min="262" max="262" width="9.5" customWidth="1"/>
    <col min="263" max="263" width="2.6640625" customWidth="1"/>
    <col min="264" max="264" width="10.33203125" customWidth="1"/>
    <col min="265" max="265" width="7.1640625" customWidth="1"/>
    <col min="266" max="266" width="2.6640625" customWidth="1"/>
    <col min="267" max="267" width="6.5" customWidth="1"/>
    <col min="268" max="268" width="7.5" customWidth="1"/>
    <col min="269" max="269" width="2.33203125" customWidth="1"/>
    <col min="513" max="513" width="22.6640625" customWidth="1"/>
    <col min="514" max="514" width="7.5" customWidth="1"/>
    <col min="515" max="515" width="8" customWidth="1"/>
    <col min="516" max="516" width="2.6640625" customWidth="1"/>
    <col min="517" max="517" width="7.1640625" customWidth="1"/>
    <col min="518" max="518" width="9.5" customWidth="1"/>
    <col min="519" max="519" width="2.6640625" customWidth="1"/>
    <col min="520" max="520" width="10.33203125" customWidth="1"/>
    <col min="521" max="521" width="7.1640625" customWidth="1"/>
    <col min="522" max="522" width="2.6640625" customWidth="1"/>
    <col min="523" max="523" width="6.5" customWidth="1"/>
    <col min="524" max="524" width="7.5" customWidth="1"/>
    <col min="525" max="525" width="2.33203125" customWidth="1"/>
    <col min="769" max="769" width="22.6640625" customWidth="1"/>
    <col min="770" max="770" width="7.5" customWidth="1"/>
    <col min="771" max="771" width="8" customWidth="1"/>
    <col min="772" max="772" width="2.6640625" customWidth="1"/>
    <col min="773" max="773" width="7.1640625" customWidth="1"/>
    <col min="774" max="774" width="9.5" customWidth="1"/>
    <col min="775" max="775" width="2.6640625" customWidth="1"/>
    <col min="776" max="776" width="10.33203125" customWidth="1"/>
    <col min="777" max="777" width="7.1640625" customWidth="1"/>
    <col min="778" max="778" width="2.6640625" customWidth="1"/>
    <col min="779" max="779" width="6.5" customWidth="1"/>
    <col min="780" max="780" width="7.5" customWidth="1"/>
    <col min="781" max="781" width="2.33203125" customWidth="1"/>
    <col min="1025" max="1025" width="22.6640625" customWidth="1"/>
    <col min="1026" max="1026" width="7.5" customWidth="1"/>
    <col min="1027" max="1027" width="8" customWidth="1"/>
    <col min="1028" max="1028" width="2.6640625" customWidth="1"/>
    <col min="1029" max="1029" width="7.1640625" customWidth="1"/>
    <col min="1030" max="1030" width="9.5" customWidth="1"/>
    <col min="1031" max="1031" width="2.6640625" customWidth="1"/>
    <col min="1032" max="1032" width="10.33203125" customWidth="1"/>
    <col min="1033" max="1033" width="7.1640625" customWidth="1"/>
    <col min="1034" max="1034" width="2.6640625" customWidth="1"/>
    <col min="1035" max="1035" width="6.5" customWidth="1"/>
    <col min="1036" max="1036" width="7.5" customWidth="1"/>
    <col min="1037" max="1037" width="2.33203125" customWidth="1"/>
    <col min="1281" max="1281" width="22.6640625" customWidth="1"/>
    <col min="1282" max="1282" width="7.5" customWidth="1"/>
    <col min="1283" max="1283" width="8" customWidth="1"/>
    <col min="1284" max="1284" width="2.6640625" customWidth="1"/>
    <col min="1285" max="1285" width="7.1640625" customWidth="1"/>
    <col min="1286" max="1286" width="9.5" customWidth="1"/>
    <col min="1287" max="1287" width="2.6640625" customWidth="1"/>
    <col min="1288" max="1288" width="10.33203125" customWidth="1"/>
    <col min="1289" max="1289" width="7.1640625" customWidth="1"/>
    <col min="1290" max="1290" width="2.6640625" customWidth="1"/>
    <col min="1291" max="1291" width="6.5" customWidth="1"/>
    <col min="1292" max="1292" width="7.5" customWidth="1"/>
    <col min="1293" max="1293" width="2.33203125" customWidth="1"/>
    <col min="1537" max="1537" width="22.6640625" customWidth="1"/>
    <col min="1538" max="1538" width="7.5" customWidth="1"/>
    <col min="1539" max="1539" width="8" customWidth="1"/>
    <col min="1540" max="1540" width="2.6640625" customWidth="1"/>
    <col min="1541" max="1541" width="7.1640625" customWidth="1"/>
    <col min="1542" max="1542" width="9.5" customWidth="1"/>
    <col min="1543" max="1543" width="2.6640625" customWidth="1"/>
    <col min="1544" max="1544" width="10.33203125" customWidth="1"/>
    <col min="1545" max="1545" width="7.1640625" customWidth="1"/>
    <col min="1546" max="1546" width="2.6640625" customWidth="1"/>
    <col min="1547" max="1547" width="6.5" customWidth="1"/>
    <col min="1548" max="1548" width="7.5" customWidth="1"/>
    <col min="1549" max="1549" width="2.33203125" customWidth="1"/>
    <col min="1793" max="1793" width="22.6640625" customWidth="1"/>
    <col min="1794" max="1794" width="7.5" customWidth="1"/>
    <col min="1795" max="1795" width="8" customWidth="1"/>
    <col min="1796" max="1796" width="2.6640625" customWidth="1"/>
    <col min="1797" max="1797" width="7.1640625" customWidth="1"/>
    <col min="1798" max="1798" width="9.5" customWidth="1"/>
    <col min="1799" max="1799" width="2.6640625" customWidth="1"/>
    <col min="1800" max="1800" width="10.33203125" customWidth="1"/>
    <col min="1801" max="1801" width="7.1640625" customWidth="1"/>
    <col min="1802" max="1802" width="2.6640625" customWidth="1"/>
    <col min="1803" max="1803" width="6.5" customWidth="1"/>
    <col min="1804" max="1804" width="7.5" customWidth="1"/>
    <col min="1805" max="1805" width="2.33203125" customWidth="1"/>
    <col min="2049" max="2049" width="22.6640625" customWidth="1"/>
    <col min="2050" max="2050" width="7.5" customWidth="1"/>
    <col min="2051" max="2051" width="8" customWidth="1"/>
    <col min="2052" max="2052" width="2.6640625" customWidth="1"/>
    <col min="2053" max="2053" width="7.1640625" customWidth="1"/>
    <col min="2054" max="2054" width="9.5" customWidth="1"/>
    <col min="2055" max="2055" width="2.6640625" customWidth="1"/>
    <col min="2056" max="2056" width="10.33203125" customWidth="1"/>
    <col min="2057" max="2057" width="7.1640625" customWidth="1"/>
    <col min="2058" max="2058" width="2.6640625" customWidth="1"/>
    <col min="2059" max="2059" width="6.5" customWidth="1"/>
    <col min="2060" max="2060" width="7.5" customWidth="1"/>
    <col min="2061" max="2061" width="2.33203125" customWidth="1"/>
    <col min="2305" max="2305" width="22.6640625" customWidth="1"/>
    <col min="2306" max="2306" width="7.5" customWidth="1"/>
    <col min="2307" max="2307" width="8" customWidth="1"/>
    <col min="2308" max="2308" width="2.6640625" customWidth="1"/>
    <col min="2309" max="2309" width="7.1640625" customWidth="1"/>
    <col min="2310" max="2310" width="9.5" customWidth="1"/>
    <col min="2311" max="2311" width="2.6640625" customWidth="1"/>
    <col min="2312" max="2312" width="10.33203125" customWidth="1"/>
    <col min="2313" max="2313" width="7.1640625" customWidth="1"/>
    <col min="2314" max="2314" width="2.6640625" customWidth="1"/>
    <col min="2315" max="2315" width="6.5" customWidth="1"/>
    <col min="2316" max="2316" width="7.5" customWidth="1"/>
    <col min="2317" max="2317" width="2.33203125" customWidth="1"/>
    <col min="2561" max="2561" width="22.6640625" customWidth="1"/>
    <col min="2562" max="2562" width="7.5" customWidth="1"/>
    <col min="2563" max="2563" width="8" customWidth="1"/>
    <col min="2564" max="2564" width="2.6640625" customWidth="1"/>
    <col min="2565" max="2565" width="7.1640625" customWidth="1"/>
    <col min="2566" max="2566" width="9.5" customWidth="1"/>
    <col min="2567" max="2567" width="2.6640625" customWidth="1"/>
    <col min="2568" max="2568" width="10.33203125" customWidth="1"/>
    <col min="2569" max="2569" width="7.1640625" customWidth="1"/>
    <col min="2570" max="2570" width="2.6640625" customWidth="1"/>
    <col min="2571" max="2571" width="6.5" customWidth="1"/>
    <col min="2572" max="2572" width="7.5" customWidth="1"/>
    <col min="2573" max="2573" width="2.33203125" customWidth="1"/>
    <col min="2817" max="2817" width="22.6640625" customWidth="1"/>
    <col min="2818" max="2818" width="7.5" customWidth="1"/>
    <col min="2819" max="2819" width="8" customWidth="1"/>
    <col min="2820" max="2820" width="2.6640625" customWidth="1"/>
    <col min="2821" max="2821" width="7.1640625" customWidth="1"/>
    <col min="2822" max="2822" width="9.5" customWidth="1"/>
    <col min="2823" max="2823" width="2.6640625" customWidth="1"/>
    <col min="2824" max="2824" width="10.33203125" customWidth="1"/>
    <col min="2825" max="2825" width="7.1640625" customWidth="1"/>
    <col min="2826" max="2826" width="2.6640625" customWidth="1"/>
    <col min="2827" max="2827" width="6.5" customWidth="1"/>
    <col min="2828" max="2828" width="7.5" customWidth="1"/>
    <col min="2829" max="2829" width="2.33203125" customWidth="1"/>
    <col min="3073" max="3073" width="22.6640625" customWidth="1"/>
    <col min="3074" max="3074" width="7.5" customWidth="1"/>
    <col min="3075" max="3075" width="8" customWidth="1"/>
    <col min="3076" max="3076" width="2.6640625" customWidth="1"/>
    <col min="3077" max="3077" width="7.1640625" customWidth="1"/>
    <col min="3078" max="3078" width="9.5" customWidth="1"/>
    <col min="3079" max="3079" width="2.6640625" customWidth="1"/>
    <col min="3080" max="3080" width="10.33203125" customWidth="1"/>
    <col min="3081" max="3081" width="7.1640625" customWidth="1"/>
    <col min="3082" max="3082" width="2.6640625" customWidth="1"/>
    <col min="3083" max="3083" width="6.5" customWidth="1"/>
    <col min="3084" max="3084" width="7.5" customWidth="1"/>
    <col min="3085" max="3085" width="2.33203125" customWidth="1"/>
    <col min="3329" max="3329" width="22.6640625" customWidth="1"/>
    <col min="3330" max="3330" width="7.5" customWidth="1"/>
    <col min="3331" max="3331" width="8" customWidth="1"/>
    <col min="3332" max="3332" width="2.6640625" customWidth="1"/>
    <col min="3333" max="3333" width="7.1640625" customWidth="1"/>
    <col min="3334" max="3334" width="9.5" customWidth="1"/>
    <col min="3335" max="3335" width="2.6640625" customWidth="1"/>
    <col min="3336" max="3336" width="10.33203125" customWidth="1"/>
    <col min="3337" max="3337" width="7.1640625" customWidth="1"/>
    <col min="3338" max="3338" width="2.6640625" customWidth="1"/>
    <col min="3339" max="3339" width="6.5" customWidth="1"/>
    <col min="3340" max="3340" width="7.5" customWidth="1"/>
    <col min="3341" max="3341" width="2.33203125" customWidth="1"/>
    <col min="3585" max="3585" width="22.6640625" customWidth="1"/>
    <col min="3586" max="3586" width="7.5" customWidth="1"/>
    <col min="3587" max="3587" width="8" customWidth="1"/>
    <col min="3588" max="3588" width="2.6640625" customWidth="1"/>
    <col min="3589" max="3589" width="7.1640625" customWidth="1"/>
    <col min="3590" max="3590" width="9.5" customWidth="1"/>
    <col min="3591" max="3591" width="2.6640625" customWidth="1"/>
    <col min="3592" max="3592" width="10.33203125" customWidth="1"/>
    <col min="3593" max="3593" width="7.1640625" customWidth="1"/>
    <col min="3594" max="3594" width="2.6640625" customWidth="1"/>
    <col min="3595" max="3595" width="6.5" customWidth="1"/>
    <col min="3596" max="3596" width="7.5" customWidth="1"/>
    <col min="3597" max="3597" width="2.33203125" customWidth="1"/>
    <col min="3841" max="3841" width="22.6640625" customWidth="1"/>
    <col min="3842" max="3842" width="7.5" customWidth="1"/>
    <col min="3843" max="3843" width="8" customWidth="1"/>
    <col min="3844" max="3844" width="2.6640625" customWidth="1"/>
    <col min="3845" max="3845" width="7.1640625" customWidth="1"/>
    <col min="3846" max="3846" width="9.5" customWidth="1"/>
    <col min="3847" max="3847" width="2.6640625" customWidth="1"/>
    <col min="3848" max="3848" width="10.33203125" customWidth="1"/>
    <col min="3849" max="3849" width="7.1640625" customWidth="1"/>
    <col min="3850" max="3850" width="2.6640625" customWidth="1"/>
    <col min="3851" max="3851" width="6.5" customWidth="1"/>
    <col min="3852" max="3852" width="7.5" customWidth="1"/>
    <col min="3853" max="3853" width="2.33203125" customWidth="1"/>
    <col min="4097" max="4097" width="22.6640625" customWidth="1"/>
    <col min="4098" max="4098" width="7.5" customWidth="1"/>
    <col min="4099" max="4099" width="8" customWidth="1"/>
    <col min="4100" max="4100" width="2.6640625" customWidth="1"/>
    <col min="4101" max="4101" width="7.1640625" customWidth="1"/>
    <col min="4102" max="4102" width="9.5" customWidth="1"/>
    <col min="4103" max="4103" width="2.6640625" customWidth="1"/>
    <col min="4104" max="4104" width="10.33203125" customWidth="1"/>
    <col min="4105" max="4105" width="7.1640625" customWidth="1"/>
    <col min="4106" max="4106" width="2.6640625" customWidth="1"/>
    <col min="4107" max="4107" width="6.5" customWidth="1"/>
    <col min="4108" max="4108" width="7.5" customWidth="1"/>
    <col min="4109" max="4109" width="2.33203125" customWidth="1"/>
    <col min="4353" max="4353" width="22.6640625" customWidth="1"/>
    <col min="4354" max="4354" width="7.5" customWidth="1"/>
    <col min="4355" max="4355" width="8" customWidth="1"/>
    <col min="4356" max="4356" width="2.6640625" customWidth="1"/>
    <col min="4357" max="4357" width="7.1640625" customWidth="1"/>
    <col min="4358" max="4358" width="9.5" customWidth="1"/>
    <col min="4359" max="4359" width="2.6640625" customWidth="1"/>
    <col min="4360" max="4360" width="10.33203125" customWidth="1"/>
    <col min="4361" max="4361" width="7.1640625" customWidth="1"/>
    <col min="4362" max="4362" width="2.6640625" customWidth="1"/>
    <col min="4363" max="4363" width="6.5" customWidth="1"/>
    <col min="4364" max="4364" width="7.5" customWidth="1"/>
    <col min="4365" max="4365" width="2.33203125" customWidth="1"/>
    <col min="4609" max="4609" width="22.6640625" customWidth="1"/>
    <col min="4610" max="4610" width="7.5" customWidth="1"/>
    <col min="4611" max="4611" width="8" customWidth="1"/>
    <col min="4612" max="4612" width="2.6640625" customWidth="1"/>
    <col min="4613" max="4613" width="7.1640625" customWidth="1"/>
    <col min="4614" max="4614" width="9.5" customWidth="1"/>
    <col min="4615" max="4615" width="2.6640625" customWidth="1"/>
    <col min="4616" max="4616" width="10.33203125" customWidth="1"/>
    <col min="4617" max="4617" width="7.1640625" customWidth="1"/>
    <col min="4618" max="4618" width="2.6640625" customWidth="1"/>
    <col min="4619" max="4619" width="6.5" customWidth="1"/>
    <col min="4620" max="4620" width="7.5" customWidth="1"/>
    <col min="4621" max="4621" width="2.33203125" customWidth="1"/>
    <col min="4865" max="4865" width="22.6640625" customWidth="1"/>
    <col min="4866" max="4866" width="7.5" customWidth="1"/>
    <col min="4867" max="4867" width="8" customWidth="1"/>
    <col min="4868" max="4868" width="2.6640625" customWidth="1"/>
    <col min="4869" max="4869" width="7.1640625" customWidth="1"/>
    <col min="4870" max="4870" width="9.5" customWidth="1"/>
    <col min="4871" max="4871" width="2.6640625" customWidth="1"/>
    <col min="4872" max="4872" width="10.33203125" customWidth="1"/>
    <col min="4873" max="4873" width="7.1640625" customWidth="1"/>
    <col min="4874" max="4874" width="2.6640625" customWidth="1"/>
    <col min="4875" max="4875" width="6.5" customWidth="1"/>
    <col min="4876" max="4876" width="7.5" customWidth="1"/>
    <col min="4877" max="4877" width="2.33203125" customWidth="1"/>
    <col min="5121" max="5121" width="22.6640625" customWidth="1"/>
    <col min="5122" max="5122" width="7.5" customWidth="1"/>
    <col min="5123" max="5123" width="8" customWidth="1"/>
    <col min="5124" max="5124" width="2.6640625" customWidth="1"/>
    <col min="5125" max="5125" width="7.1640625" customWidth="1"/>
    <col min="5126" max="5126" width="9.5" customWidth="1"/>
    <col min="5127" max="5127" width="2.6640625" customWidth="1"/>
    <col min="5128" max="5128" width="10.33203125" customWidth="1"/>
    <col min="5129" max="5129" width="7.1640625" customWidth="1"/>
    <col min="5130" max="5130" width="2.6640625" customWidth="1"/>
    <col min="5131" max="5131" width="6.5" customWidth="1"/>
    <col min="5132" max="5132" width="7.5" customWidth="1"/>
    <col min="5133" max="5133" width="2.33203125" customWidth="1"/>
    <col min="5377" max="5377" width="22.6640625" customWidth="1"/>
    <col min="5378" max="5378" width="7.5" customWidth="1"/>
    <col min="5379" max="5379" width="8" customWidth="1"/>
    <col min="5380" max="5380" width="2.6640625" customWidth="1"/>
    <col min="5381" max="5381" width="7.1640625" customWidth="1"/>
    <col min="5382" max="5382" width="9.5" customWidth="1"/>
    <col min="5383" max="5383" width="2.6640625" customWidth="1"/>
    <col min="5384" max="5384" width="10.33203125" customWidth="1"/>
    <col min="5385" max="5385" width="7.1640625" customWidth="1"/>
    <col min="5386" max="5386" width="2.6640625" customWidth="1"/>
    <col min="5387" max="5387" width="6.5" customWidth="1"/>
    <col min="5388" max="5388" width="7.5" customWidth="1"/>
    <col min="5389" max="5389" width="2.33203125" customWidth="1"/>
    <col min="5633" max="5633" width="22.6640625" customWidth="1"/>
    <col min="5634" max="5634" width="7.5" customWidth="1"/>
    <col min="5635" max="5635" width="8" customWidth="1"/>
    <col min="5636" max="5636" width="2.6640625" customWidth="1"/>
    <col min="5637" max="5637" width="7.1640625" customWidth="1"/>
    <col min="5638" max="5638" width="9.5" customWidth="1"/>
    <col min="5639" max="5639" width="2.6640625" customWidth="1"/>
    <col min="5640" max="5640" width="10.33203125" customWidth="1"/>
    <col min="5641" max="5641" width="7.1640625" customWidth="1"/>
    <col min="5642" max="5642" width="2.6640625" customWidth="1"/>
    <col min="5643" max="5643" width="6.5" customWidth="1"/>
    <col min="5644" max="5644" width="7.5" customWidth="1"/>
    <col min="5645" max="5645" width="2.33203125" customWidth="1"/>
    <col min="5889" max="5889" width="22.6640625" customWidth="1"/>
    <col min="5890" max="5890" width="7.5" customWidth="1"/>
    <col min="5891" max="5891" width="8" customWidth="1"/>
    <col min="5892" max="5892" width="2.6640625" customWidth="1"/>
    <col min="5893" max="5893" width="7.1640625" customWidth="1"/>
    <col min="5894" max="5894" width="9.5" customWidth="1"/>
    <col min="5895" max="5895" width="2.6640625" customWidth="1"/>
    <col min="5896" max="5896" width="10.33203125" customWidth="1"/>
    <col min="5897" max="5897" width="7.1640625" customWidth="1"/>
    <col min="5898" max="5898" width="2.6640625" customWidth="1"/>
    <col min="5899" max="5899" width="6.5" customWidth="1"/>
    <col min="5900" max="5900" width="7.5" customWidth="1"/>
    <col min="5901" max="5901" width="2.33203125" customWidth="1"/>
    <col min="6145" max="6145" width="22.6640625" customWidth="1"/>
    <col min="6146" max="6146" width="7.5" customWidth="1"/>
    <col min="6147" max="6147" width="8" customWidth="1"/>
    <col min="6148" max="6148" width="2.6640625" customWidth="1"/>
    <col min="6149" max="6149" width="7.1640625" customWidth="1"/>
    <col min="6150" max="6150" width="9.5" customWidth="1"/>
    <col min="6151" max="6151" width="2.6640625" customWidth="1"/>
    <col min="6152" max="6152" width="10.33203125" customWidth="1"/>
    <col min="6153" max="6153" width="7.1640625" customWidth="1"/>
    <col min="6154" max="6154" width="2.6640625" customWidth="1"/>
    <col min="6155" max="6155" width="6.5" customWidth="1"/>
    <col min="6156" max="6156" width="7.5" customWidth="1"/>
    <col min="6157" max="6157" width="2.33203125" customWidth="1"/>
    <col min="6401" max="6401" width="22.6640625" customWidth="1"/>
    <col min="6402" max="6402" width="7.5" customWidth="1"/>
    <col min="6403" max="6403" width="8" customWidth="1"/>
    <col min="6404" max="6404" width="2.6640625" customWidth="1"/>
    <col min="6405" max="6405" width="7.1640625" customWidth="1"/>
    <col min="6406" max="6406" width="9.5" customWidth="1"/>
    <col min="6407" max="6407" width="2.6640625" customWidth="1"/>
    <col min="6408" max="6408" width="10.33203125" customWidth="1"/>
    <col min="6409" max="6409" width="7.1640625" customWidth="1"/>
    <col min="6410" max="6410" width="2.6640625" customWidth="1"/>
    <col min="6411" max="6411" width="6.5" customWidth="1"/>
    <col min="6412" max="6412" width="7.5" customWidth="1"/>
    <col min="6413" max="6413" width="2.33203125" customWidth="1"/>
    <col min="6657" max="6657" width="22.6640625" customWidth="1"/>
    <col min="6658" max="6658" width="7.5" customWidth="1"/>
    <col min="6659" max="6659" width="8" customWidth="1"/>
    <col min="6660" max="6660" width="2.6640625" customWidth="1"/>
    <col min="6661" max="6661" width="7.1640625" customWidth="1"/>
    <col min="6662" max="6662" width="9.5" customWidth="1"/>
    <col min="6663" max="6663" width="2.6640625" customWidth="1"/>
    <col min="6664" max="6664" width="10.33203125" customWidth="1"/>
    <col min="6665" max="6665" width="7.1640625" customWidth="1"/>
    <col min="6666" max="6666" width="2.6640625" customWidth="1"/>
    <col min="6667" max="6667" width="6.5" customWidth="1"/>
    <col min="6668" max="6668" width="7.5" customWidth="1"/>
    <col min="6669" max="6669" width="2.33203125" customWidth="1"/>
    <col min="6913" max="6913" width="22.6640625" customWidth="1"/>
    <col min="6914" max="6914" width="7.5" customWidth="1"/>
    <col min="6915" max="6915" width="8" customWidth="1"/>
    <col min="6916" max="6916" width="2.6640625" customWidth="1"/>
    <col min="6917" max="6917" width="7.1640625" customWidth="1"/>
    <col min="6918" max="6918" width="9.5" customWidth="1"/>
    <col min="6919" max="6919" width="2.6640625" customWidth="1"/>
    <col min="6920" max="6920" width="10.33203125" customWidth="1"/>
    <col min="6921" max="6921" width="7.1640625" customWidth="1"/>
    <col min="6922" max="6922" width="2.6640625" customWidth="1"/>
    <col min="6923" max="6923" width="6.5" customWidth="1"/>
    <col min="6924" max="6924" width="7.5" customWidth="1"/>
    <col min="6925" max="6925" width="2.33203125" customWidth="1"/>
    <col min="7169" max="7169" width="22.6640625" customWidth="1"/>
    <col min="7170" max="7170" width="7.5" customWidth="1"/>
    <col min="7171" max="7171" width="8" customWidth="1"/>
    <col min="7172" max="7172" width="2.6640625" customWidth="1"/>
    <col min="7173" max="7173" width="7.1640625" customWidth="1"/>
    <col min="7174" max="7174" width="9.5" customWidth="1"/>
    <col min="7175" max="7175" width="2.6640625" customWidth="1"/>
    <col min="7176" max="7176" width="10.33203125" customWidth="1"/>
    <col min="7177" max="7177" width="7.1640625" customWidth="1"/>
    <col min="7178" max="7178" width="2.6640625" customWidth="1"/>
    <col min="7179" max="7179" width="6.5" customWidth="1"/>
    <col min="7180" max="7180" width="7.5" customWidth="1"/>
    <col min="7181" max="7181" width="2.33203125" customWidth="1"/>
    <col min="7425" max="7425" width="22.6640625" customWidth="1"/>
    <col min="7426" max="7426" width="7.5" customWidth="1"/>
    <col min="7427" max="7427" width="8" customWidth="1"/>
    <col min="7428" max="7428" width="2.6640625" customWidth="1"/>
    <col min="7429" max="7429" width="7.1640625" customWidth="1"/>
    <col min="7430" max="7430" width="9.5" customWidth="1"/>
    <col min="7431" max="7431" width="2.6640625" customWidth="1"/>
    <col min="7432" max="7432" width="10.33203125" customWidth="1"/>
    <col min="7433" max="7433" width="7.1640625" customWidth="1"/>
    <col min="7434" max="7434" width="2.6640625" customWidth="1"/>
    <col min="7435" max="7435" width="6.5" customWidth="1"/>
    <col min="7436" max="7436" width="7.5" customWidth="1"/>
    <col min="7437" max="7437" width="2.33203125" customWidth="1"/>
    <col min="7681" max="7681" width="22.6640625" customWidth="1"/>
    <col min="7682" max="7682" width="7.5" customWidth="1"/>
    <col min="7683" max="7683" width="8" customWidth="1"/>
    <col min="7684" max="7684" width="2.6640625" customWidth="1"/>
    <col min="7685" max="7685" width="7.1640625" customWidth="1"/>
    <col min="7686" max="7686" width="9.5" customWidth="1"/>
    <col min="7687" max="7687" width="2.6640625" customWidth="1"/>
    <col min="7688" max="7688" width="10.33203125" customWidth="1"/>
    <col min="7689" max="7689" width="7.1640625" customWidth="1"/>
    <col min="7690" max="7690" width="2.6640625" customWidth="1"/>
    <col min="7691" max="7691" width="6.5" customWidth="1"/>
    <col min="7692" max="7692" width="7.5" customWidth="1"/>
    <col min="7693" max="7693" width="2.33203125" customWidth="1"/>
    <col min="7937" max="7937" width="22.6640625" customWidth="1"/>
    <col min="7938" max="7938" width="7.5" customWidth="1"/>
    <col min="7939" max="7939" width="8" customWidth="1"/>
    <col min="7940" max="7940" width="2.6640625" customWidth="1"/>
    <col min="7941" max="7941" width="7.1640625" customWidth="1"/>
    <col min="7942" max="7942" width="9.5" customWidth="1"/>
    <col min="7943" max="7943" width="2.6640625" customWidth="1"/>
    <col min="7944" max="7944" width="10.33203125" customWidth="1"/>
    <col min="7945" max="7945" width="7.1640625" customWidth="1"/>
    <col min="7946" max="7946" width="2.6640625" customWidth="1"/>
    <col min="7947" max="7947" width="6.5" customWidth="1"/>
    <col min="7948" max="7948" width="7.5" customWidth="1"/>
    <col min="7949" max="7949" width="2.33203125" customWidth="1"/>
    <col min="8193" max="8193" width="22.6640625" customWidth="1"/>
    <col min="8194" max="8194" width="7.5" customWidth="1"/>
    <col min="8195" max="8195" width="8" customWidth="1"/>
    <col min="8196" max="8196" width="2.6640625" customWidth="1"/>
    <col min="8197" max="8197" width="7.1640625" customWidth="1"/>
    <col min="8198" max="8198" width="9.5" customWidth="1"/>
    <col min="8199" max="8199" width="2.6640625" customWidth="1"/>
    <col min="8200" max="8200" width="10.33203125" customWidth="1"/>
    <col min="8201" max="8201" width="7.1640625" customWidth="1"/>
    <col min="8202" max="8202" width="2.6640625" customWidth="1"/>
    <col min="8203" max="8203" width="6.5" customWidth="1"/>
    <col min="8204" max="8204" width="7.5" customWidth="1"/>
    <col min="8205" max="8205" width="2.33203125" customWidth="1"/>
    <col min="8449" max="8449" width="22.6640625" customWidth="1"/>
    <col min="8450" max="8450" width="7.5" customWidth="1"/>
    <col min="8451" max="8451" width="8" customWidth="1"/>
    <col min="8452" max="8452" width="2.6640625" customWidth="1"/>
    <col min="8453" max="8453" width="7.1640625" customWidth="1"/>
    <col min="8454" max="8454" width="9.5" customWidth="1"/>
    <col min="8455" max="8455" width="2.6640625" customWidth="1"/>
    <col min="8456" max="8456" width="10.33203125" customWidth="1"/>
    <col min="8457" max="8457" width="7.1640625" customWidth="1"/>
    <col min="8458" max="8458" width="2.6640625" customWidth="1"/>
    <col min="8459" max="8459" width="6.5" customWidth="1"/>
    <col min="8460" max="8460" width="7.5" customWidth="1"/>
    <col min="8461" max="8461" width="2.33203125" customWidth="1"/>
    <col min="8705" max="8705" width="22.6640625" customWidth="1"/>
    <col min="8706" max="8706" width="7.5" customWidth="1"/>
    <col min="8707" max="8707" width="8" customWidth="1"/>
    <col min="8708" max="8708" width="2.6640625" customWidth="1"/>
    <col min="8709" max="8709" width="7.1640625" customWidth="1"/>
    <col min="8710" max="8710" width="9.5" customWidth="1"/>
    <col min="8711" max="8711" width="2.6640625" customWidth="1"/>
    <col min="8712" max="8712" width="10.33203125" customWidth="1"/>
    <col min="8713" max="8713" width="7.1640625" customWidth="1"/>
    <col min="8714" max="8714" width="2.6640625" customWidth="1"/>
    <col min="8715" max="8715" width="6.5" customWidth="1"/>
    <col min="8716" max="8716" width="7.5" customWidth="1"/>
    <col min="8717" max="8717" width="2.33203125" customWidth="1"/>
    <col min="8961" max="8961" width="22.6640625" customWidth="1"/>
    <col min="8962" max="8962" width="7.5" customWidth="1"/>
    <col min="8963" max="8963" width="8" customWidth="1"/>
    <col min="8964" max="8964" width="2.6640625" customWidth="1"/>
    <col min="8965" max="8965" width="7.1640625" customWidth="1"/>
    <col min="8966" max="8966" width="9.5" customWidth="1"/>
    <col min="8967" max="8967" width="2.6640625" customWidth="1"/>
    <col min="8968" max="8968" width="10.33203125" customWidth="1"/>
    <col min="8969" max="8969" width="7.1640625" customWidth="1"/>
    <col min="8970" max="8970" width="2.6640625" customWidth="1"/>
    <col min="8971" max="8971" width="6.5" customWidth="1"/>
    <col min="8972" max="8972" width="7.5" customWidth="1"/>
    <col min="8973" max="8973" width="2.33203125" customWidth="1"/>
    <col min="9217" max="9217" width="22.6640625" customWidth="1"/>
    <col min="9218" max="9218" width="7.5" customWidth="1"/>
    <col min="9219" max="9219" width="8" customWidth="1"/>
    <col min="9220" max="9220" width="2.6640625" customWidth="1"/>
    <col min="9221" max="9221" width="7.1640625" customWidth="1"/>
    <col min="9222" max="9222" width="9.5" customWidth="1"/>
    <col min="9223" max="9223" width="2.6640625" customWidth="1"/>
    <col min="9224" max="9224" width="10.33203125" customWidth="1"/>
    <col min="9225" max="9225" width="7.1640625" customWidth="1"/>
    <col min="9226" max="9226" width="2.6640625" customWidth="1"/>
    <col min="9227" max="9227" width="6.5" customWidth="1"/>
    <col min="9228" max="9228" width="7.5" customWidth="1"/>
    <col min="9229" max="9229" width="2.33203125" customWidth="1"/>
    <col min="9473" max="9473" width="22.6640625" customWidth="1"/>
    <col min="9474" max="9474" width="7.5" customWidth="1"/>
    <col min="9475" max="9475" width="8" customWidth="1"/>
    <col min="9476" max="9476" width="2.6640625" customWidth="1"/>
    <col min="9477" max="9477" width="7.1640625" customWidth="1"/>
    <col min="9478" max="9478" width="9.5" customWidth="1"/>
    <col min="9479" max="9479" width="2.6640625" customWidth="1"/>
    <col min="9480" max="9480" width="10.33203125" customWidth="1"/>
    <col min="9481" max="9481" width="7.1640625" customWidth="1"/>
    <col min="9482" max="9482" width="2.6640625" customWidth="1"/>
    <col min="9483" max="9483" width="6.5" customWidth="1"/>
    <col min="9484" max="9484" width="7.5" customWidth="1"/>
    <col min="9485" max="9485" width="2.33203125" customWidth="1"/>
    <col min="9729" max="9729" width="22.6640625" customWidth="1"/>
    <col min="9730" max="9730" width="7.5" customWidth="1"/>
    <col min="9731" max="9731" width="8" customWidth="1"/>
    <col min="9732" max="9732" width="2.6640625" customWidth="1"/>
    <col min="9733" max="9733" width="7.1640625" customWidth="1"/>
    <col min="9734" max="9734" width="9.5" customWidth="1"/>
    <col min="9735" max="9735" width="2.6640625" customWidth="1"/>
    <col min="9736" max="9736" width="10.33203125" customWidth="1"/>
    <col min="9737" max="9737" width="7.1640625" customWidth="1"/>
    <col min="9738" max="9738" width="2.6640625" customWidth="1"/>
    <col min="9739" max="9739" width="6.5" customWidth="1"/>
    <col min="9740" max="9740" width="7.5" customWidth="1"/>
    <col min="9741" max="9741" width="2.33203125" customWidth="1"/>
    <col min="9985" max="9985" width="22.6640625" customWidth="1"/>
    <col min="9986" max="9986" width="7.5" customWidth="1"/>
    <col min="9987" max="9987" width="8" customWidth="1"/>
    <col min="9988" max="9988" width="2.6640625" customWidth="1"/>
    <col min="9989" max="9989" width="7.1640625" customWidth="1"/>
    <col min="9990" max="9990" width="9.5" customWidth="1"/>
    <col min="9991" max="9991" width="2.6640625" customWidth="1"/>
    <col min="9992" max="9992" width="10.33203125" customWidth="1"/>
    <col min="9993" max="9993" width="7.1640625" customWidth="1"/>
    <col min="9994" max="9994" width="2.6640625" customWidth="1"/>
    <col min="9995" max="9995" width="6.5" customWidth="1"/>
    <col min="9996" max="9996" width="7.5" customWidth="1"/>
    <col min="9997" max="9997" width="2.33203125" customWidth="1"/>
    <col min="10241" max="10241" width="22.6640625" customWidth="1"/>
    <col min="10242" max="10242" width="7.5" customWidth="1"/>
    <col min="10243" max="10243" width="8" customWidth="1"/>
    <col min="10244" max="10244" width="2.6640625" customWidth="1"/>
    <col min="10245" max="10245" width="7.1640625" customWidth="1"/>
    <col min="10246" max="10246" width="9.5" customWidth="1"/>
    <col min="10247" max="10247" width="2.6640625" customWidth="1"/>
    <col min="10248" max="10248" width="10.33203125" customWidth="1"/>
    <col min="10249" max="10249" width="7.1640625" customWidth="1"/>
    <col min="10250" max="10250" width="2.6640625" customWidth="1"/>
    <col min="10251" max="10251" width="6.5" customWidth="1"/>
    <col min="10252" max="10252" width="7.5" customWidth="1"/>
    <col min="10253" max="10253" width="2.33203125" customWidth="1"/>
    <col min="10497" max="10497" width="22.6640625" customWidth="1"/>
    <col min="10498" max="10498" width="7.5" customWidth="1"/>
    <col min="10499" max="10499" width="8" customWidth="1"/>
    <col min="10500" max="10500" width="2.6640625" customWidth="1"/>
    <col min="10501" max="10501" width="7.1640625" customWidth="1"/>
    <col min="10502" max="10502" width="9.5" customWidth="1"/>
    <col min="10503" max="10503" width="2.6640625" customWidth="1"/>
    <col min="10504" max="10504" width="10.33203125" customWidth="1"/>
    <col min="10505" max="10505" width="7.1640625" customWidth="1"/>
    <col min="10506" max="10506" width="2.6640625" customWidth="1"/>
    <col min="10507" max="10507" width="6.5" customWidth="1"/>
    <col min="10508" max="10508" width="7.5" customWidth="1"/>
    <col min="10509" max="10509" width="2.33203125" customWidth="1"/>
    <col min="10753" max="10753" width="22.6640625" customWidth="1"/>
    <col min="10754" max="10754" width="7.5" customWidth="1"/>
    <col min="10755" max="10755" width="8" customWidth="1"/>
    <col min="10756" max="10756" width="2.6640625" customWidth="1"/>
    <col min="10757" max="10757" width="7.1640625" customWidth="1"/>
    <col min="10758" max="10758" width="9.5" customWidth="1"/>
    <col min="10759" max="10759" width="2.6640625" customWidth="1"/>
    <col min="10760" max="10760" width="10.33203125" customWidth="1"/>
    <col min="10761" max="10761" width="7.1640625" customWidth="1"/>
    <col min="10762" max="10762" width="2.6640625" customWidth="1"/>
    <col min="10763" max="10763" width="6.5" customWidth="1"/>
    <col min="10764" max="10764" width="7.5" customWidth="1"/>
    <col min="10765" max="10765" width="2.33203125" customWidth="1"/>
    <col min="11009" max="11009" width="22.6640625" customWidth="1"/>
    <col min="11010" max="11010" width="7.5" customWidth="1"/>
    <col min="11011" max="11011" width="8" customWidth="1"/>
    <col min="11012" max="11012" width="2.6640625" customWidth="1"/>
    <col min="11013" max="11013" width="7.1640625" customWidth="1"/>
    <col min="11014" max="11014" width="9.5" customWidth="1"/>
    <col min="11015" max="11015" width="2.6640625" customWidth="1"/>
    <col min="11016" max="11016" width="10.33203125" customWidth="1"/>
    <col min="11017" max="11017" width="7.1640625" customWidth="1"/>
    <col min="11018" max="11018" width="2.6640625" customWidth="1"/>
    <col min="11019" max="11019" width="6.5" customWidth="1"/>
    <col min="11020" max="11020" width="7.5" customWidth="1"/>
    <col min="11021" max="11021" width="2.33203125" customWidth="1"/>
    <col min="11265" max="11265" width="22.6640625" customWidth="1"/>
    <col min="11266" max="11266" width="7.5" customWidth="1"/>
    <col min="11267" max="11267" width="8" customWidth="1"/>
    <col min="11268" max="11268" width="2.6640625" customWidth="1"/>
    <col min="11269" max="11269" width="7.1640625" customWidth="1"/>
    <col min="11270" max="11270" width="9.5" customWidth="1"/>
    <col min="11271" max="11271" width="2.6640625" customWidth="1"/>
    <col min="11272" max="11272" width="10.33203125" customWidth="1"/>
    <col min="11273" max="11273" width="7.1640625" customWidth="1"/>
    <col min="11274" max="11274" width="2.6640625" customWidth="1"/>
    <col min="11275" max="11275" width="6.5" customWidth="1"/>
    <col min="11276" max="11276" width="7.5" customWidth="1"/>
    <col min="11277" max="11277" width="2.33203125" customWidth="1"/>
    <col min="11521" max="11521" width="22.6640625" customWidth="1"/>
    <col min="11522" max="11522" width="7.5" customWidth="1"/>
    <col min="11523" max="11523" width="8" customWidth="1"/>
    <col min="11524" max="11524" width="2.6640625" customWidth="1"/>
    <col min="11525" max="11525" width="7.1640625" customWidth="1"/>
    <col min="11526" max="11526" width="9.5" customWidth="1"/>
    <col min="11527" max="11527" width="2.6640625" customWidth="1"/>
    <col min="11528" max="11528" width="10.33203125" customWidth="1"/>
    <col min="11529" max="11529" width="7.1640625" customWidth="1"/>
    <col min="11530" max="11530" width="2.6640625" customWidth="1"/>
    <col min="11531" max="11531" width="6.5" customWidth="1"/>
    <col min="11532" max="11532" width="7.5" customWidth="1"/>
    <col min="11533" max="11533" width="2.33203125" customWidth="1"/>
    <col min="11777" max="11777" width="22.6640625" customWidth="1"/>
    <col min="11778" max="11778" width="7.5" customWidth="1"/>
    <col min="11779" max="11779" width="8" customWidth="1"/>
    <col min="11780" max="11780" width="2.6640625" customWidth="1"/>
    <col min="11781" max="11781" width="7.1640625" customWidth="1"/>
    <col min="11782" max="11782" width="9.5" customWidth="1"/>
    <col min="11783" max="11783" width="2.6640625" customWidth="1"/>
    <col min="11784" max="11784" width="10.33203125" customWidth="1"/>
    <col min="11785" max="11785" width="7.1640625" customWidth="1"/>
    <col min="11786" max="11786" width="2.6640625" customWidth="1"/>
    <col min="11787" max="11787" width="6.5" customWidth="1"/>
    <col min="11788" max="11788" width="7.5" customWidth="1"/>
    <col min="11789" max="11789" width="2.33203125" customWidth="1"/>
    <col min="12033" max="12033" width="22.6640625" customWidth="1"/>
    <col min="12034" max="12034" width="7.5" customWidth="1"/>
    <col min="12035" max="12035" width="8" customWidth="1"/>
    <col min="12036" max="12036" width="2.6640625" customWidth="1"/>
    <col min="12037" max="12037" width="7.1640625" customWidth="1"/>
    <col min="12038" max="12038" width="9.5" customWidth="1"/>
    <col min="12039" max="12039" width="2.6640625" customWidth="1"/>
    <col min="12040" max="12040" width="10.33203125" customWidth="1"/>
    <col min="12041" max="12041" width="7.1640625" customWidth="1"/>
    <col min="12042" max="12042" width="2.6640625" customWidth="1"/>
    <col min="12043" max="12043" width="6.5" customWidth="1"/>
    <col min="12044" max="12044" width="7.5" customWidth="1"/>
    <col min="12045" max="12045" width="2.33203125" customWidth="1"/>
    <col min="12289" max="12289" width="22.6640625" customWidth="1"/>
    <col min="12290" max="12290" width="7.5" customWidth="1"/>
    <col min="12291" max="12291" width="8" customWidth="1"/>
    <col min="12292" max="12292" width="2.6640625" customWidth="1"/>
    <col min="12293" max="12293" width="7.1640625" customWidth="1"/>
    <col min="12294" max="12294" width="9.5" customWidth="1"/>
    <col min="12295" max="12295" width="2.6640625" customWidth="1"/>
    <col min="12296" max="12296" width="10.33203125" customWidth="1"/>
    <col min="12297" max="12297" width="7.1640625" customWidth="1"/>
    <col min="12298" max="12298" width="2.6640625" customWidth="1"/>
    <col min="12299" max="12299" width="6.5" customWidth="1"/>
    <col min="12300" max="12300" width="7.5" customWidth="1"/>
    <col min="12301" max="12301" width="2.33203125" customWidth="1"/>
    <col min="12545" max="12545" width="22.6640625" customWidth="1"/>
    <col min="12546" max="12546" width="7.5" customWidth="1"/>
    <col min="12547" max="12547" width="8" customWidth="1"/>
    <col min="12548" max="12548" width="2.6640625" customWidth="1"/>
    <col min="12549" max="12549" width="7.1640625" customWidth="1"/>
    <col min="12550" max="12550" width="9.5" customWidth="1"/>
    <col min="12551" max="12551" width="2.6640625" customWidth="1"/>
    <col min="12552" max="12552" width="10.33203125" customWidth="1"/>
    <col min="12553" max="12553" width="7.1640625" customWidth="1"/>
    <col min="12554" max="12554" width="2.6640625" customWidth="1"/>
    <col min="12555" max="12555" width="6.5" customWidth="1"/>
    <col min="12556" max="12556" width="7.5" customWidth="1"/>
    <col min="12557" max="12557" width="2.33203125" customWidth="1"/>
    <col min="12801" max="12801" width="22.6640625" customWidth="1"/>
    <col min="12802" max="12802" width="7.5" customWidth="1"/>
    <col min="12803" max="12803" width="8" customWidth="1"/>
    <col min="12804" max="12804" width="2.6640625" customWidth="1"/>
    <col min="12805" max="12805" width="7.1640625" customWidth="1"/>
    <col min="12806" max="12806" width="9.5" customWidth="1"/>
    <col min="12807" max="12807" width="2.6640625" customWidth="1"/>
    <col min="12808" max="12808" width="10.33203125" customWidth="1"/>
    <col min="12809" max="12809" width="7.1640625" customWidth="1"/>
    <col min="12810" max="12810" width="2.6640625" customWidth="1"/>
    <col min="12811" max="12811" width="6.5" customWidth="1"/>
    <col min="12812" max="12812" width="7.5" customWidth="1"/>
    <col min="12813" max="12813" width="2.33203125" customWidth="1"/>
    <col min="13057" max="13057" width="22.6640625" customWidth="1"/>
    <col min="13058" max="13058" width="7.5" customWidth="1"/>
    <col min="13059" max="13059" width="8" customWidth="1"/>
    <col min="13060" max="13060" width="2.6640625" customWidth="1"/>
    <col min="13061" max="13061" width="7.1640625" customWidth="1"/>
    <col min="13062" max="13062" width="9.5" customWidth="1"/>
    <col min="13063" max="13063" width="2.6640625" customWidth="1"/>
    <col min="13064" max="13064" width="10.33203125" customWidth="1"/>
    <col min="13065" max="13065" width="7.1640625" customWidth="1"/>
    <col min="13066" max="13066" width="2.6640625" customWidth="1"/>
    <col min="13067" max="13067" width="6.5" customWidth="1"/>
    <col min="13068" max="13068" width="7.5" customWidth="1"/>
    <col min="13069" max="13069" width="2.33203125" customWidth="1"/>
    <col min="13313" max="13313" width="22.6640625" customWidth="1"/>
    <col min="13314" max="13314" width="7.5" customWidth="1"/>
    <col min="13315" max="13315" width="8" customWidth="1"/>
    <col min="13316" max="13316" width="2.6640625" customWidth="1"/>
    <col min="13317" max="13317" width="7.1640625" customWidth="1"/>
    <col min="13318" max="13318" width="9.5" customWidth="1"/>
    <col min="13319" max="13319" width="2.6640625" customWidth="1"/>
    <col min="13320" max="13320" width="10.33203125" customWidth="1"/>
    <col min="13321" max="13321" width="7.1640625" customWidth="1"/>
    <col min="13322" max="13322" width="2.6640625" customWidth="1"/>
    <col min="13323" max="13323" width="6.5" customWidth="1"/>
    <col min="13324" max="13324" width="7.5" customWidth="1"/>
    <col min="13325" max="13325" width="2.33203125" customWidth="1"/>
    <col min="13569" max="13569" width="22.6640625" customWidth="1"/>
    <col min="13570" max="13570" width="7.5" customWidth="1"/>
    <col min="13571" max="13571" width="8" customWidth="1"/>
    <col min="13572" max="13572" width="2.6640625" customWidth="1"/>
    <col min="13573" max="13573" width="7.1640625" customWidth="1"/>
    <col min="13574" max="13574" width="9.5" customWidth="1"/>
    <col min="13575" max="13575" width="2.6640625" customWidth="1"/>
    <col min="13576" max="13576" width="10.33203125" customWidth="1"/>
    <col min="13577" max="13577" width="7.1640625" customWidth="1"/>
    <col min="13578" max="13578" width="2.6640625" customWidth="1"/>
    <col min="13579" max="13579" width="6.5" customWidth="1"/>
    <col min="13580" max="13580" width="7.5" customWidth="1"/>
    <col min="13581" max="13581" width="2.33203125" customWidth="1"/>
    <col min="13825" max="13825" width="22.6640625" customWidth="1"/>
    <col min="13826" max="13826" width="7.5" customWidth="1"/>
    <col min="13827" max="13827" width="8" customWidth="1"/>
    <col min="13828" max="13828" width="2.6640625" customWidth="1"/>
    <col min="13829" max="13829" width="7.1640625" customWidth="1"/>
    <col min="13830" max="13830" width="9.5" customWidth="1"/>
    <col min="13831" max="13831" width="2.6640625" customWidth="1"/>
    <col min="13832" max="13832" width="10.33203125" customWidth="1"/>
    <col min="13833" max="13833" width="7.1640625" customWidth="1"/>
    <col min="13834" max="13834" width="2.6640625" customWidth="1"/>
    <col min="13835" max="13835" width="6.5" customWidth="1"/>
    <col min="13836" max="13836" width="7.5" customWidth="1"/>
    <col min="13837" max="13837" width="2.33203125" customWidth="1"/>
    <col min="14081" max="14081" width="22.6640625" customWidth="1"/>
    <col min="14082" max="14082" width="7.5" customWidth="1"/>
    <col min="14083" max="14083" width="8" customWidth="1"/>
    <col min="14084" max="14084" width="2.6640625" customWidth="1"/>
    <col min="14085" max="14085" width="7.1640625" customWidth="1"/>
    <col min="14086" max="14086" width="9.5" customWidth="1"/>
    <col min="14087" max="14087" width="2.6640625" customWidth="1"/>
    <col min="14088" max="14088" width="10.33203125" customWidth="1"/>
    <col min="14089" max="14089" width="7.1640625" customWidth="1"/>
    <col min="14090" max="14090" width="2.6640625" customWidth="1"/>
    <col min="14091" max="14091" width="6.5" customWidth="1"/>
    <col min="14092" max="14092" width="7.5" customWidth="1"/>
    <col min="14093" max="14093" width="2.33203125" customWidth="1"/>
    <col min="14337" max="14337" width="22.6640625" customWidth="1"/>
    <col min="14338" max="14338" width="7.5" customWidth="1"/>
    <col min="14339" max="14339" width="8" customWidth="1"/>
    <col min="14340" max="14340" width="2.6640625" customWidth="1"/>
    <col min="14341" max="14341" width="7.1640625" customWidth="1"/>
    <col min="14342" max="14342" width="9.5" customWidth="1"/>
    <col min="14343" max="14343" width="2.6640625" customWidth="1"/>
    <col min="14344" max="14344" width="10.33203125" customWidth="1"/>
    <col min="14345" max="14345" width="7.1640625" customWidth="1"/>
    <col min="14346" max="14346" width="2.6640625" customWidth="1"/>
    <col min="14347" max="14347" width="6.5" customWidth="1"/>
    <col min="14348" max="14348" width="7.5" customWidth="1"/>
    <col min="14349" max="14349" width="2.33203125" customWidth="1"/>
    <col min="14593" max="14593" width="22.6640625" customWidth="1"/>
    <col min="14594" max="14594" width="7.5" customWidth="1"/>
    <col min="14595" max="14595" width="8" customWidth="1"/>
    <col min="14596" max="14596" width="2.6640625" customWidth="1"/>
    <col min="14597" max="14597" width="7.1640625" customWidth="1"/>
    <col min="14598" max="14598" width="9.5" customWidth="1"/>
    <col min="14599" max="14599" width="2.6640625" customWidth="1"/>
    <col min="14600" max="14600" width="10.33203125" customWidth="1"/>
    <col min="14601" max="14601" width="7.1640625" customWidth="1"/>
    <col min="14602" max="14602" width="2.6640625" customWidth="1"/>
    <col min="14603" max="14603" width="6.5" customWidth="1"/>
    <col min="14604" max="14604" width="7.5" customWidth="1"/>
    <col min="14605" max="14605" width="2.33203125" customWidth="1"/>
    <col min="14849" max="14849" width="22.6640625" customWidth="1"/>
    <col min="14850" max="14850" width="7.5" customWidth="1"/>
    <col min="14851" max="14851" width="8" customWidth="1"/>
    <col min="14852" max="14852" width="2.6640625" customWidth="1"/>
    <col min="14853" max="14853" width="7.1640625" customWidth="1"/>
    <col min="14854" max="14854" width="9.5" customWidth="1"/>
    <col min="14855" max="14855" width="2.6640625" customWidth="1"/>
    <col min="14856" max="14856" width="10.33203125" customWidth="1"/>
    <col min="14857" max="14857" width="7.1640625" customWidth="1"/>
    <col min="14858" max="14858" width="2.6640625" customWidth="1"/>
    <col min="14859" max="14859" width="6.5" customWidth="1"/>
    <col min="14860" max="14860" width="7.5" customWidth="1"/>
    <col min="14861" max="14861" width="2.33203125" customWidth="1"/>
    <col min="15105" max="15105" width="22.6640625" customWidth="1"/>
    <col min="15106" max="15106" width="7.5" customWidth="1"/>
    <col min="15107" max="15107" width="8" customWidth="1"/>
    <col min="15108" max="15108" width="2.6640625" customWidth="1"/>
    <col min="15109" max="15109" width="7.1640625" customWidth="1"/>
    <col min="15110" max="15110" width="9.5" customWidth="1"/>
    <col min="15111" max="15111" width="2.6640625" customWidth="1"/>
    <col min="15112" max="15112" width="10.33203125" customWidth="1"/>
    <col min="15113" max="15113" width="7.1640625" customWidth="1"/>
    <col min="15114" max="15114" width="2.6640625" customWidth="1"/>
    <col min="15115" max="15115" width="6.5" customWidth="1"/>
    <col min="15116" max="15116" width="7.5" customWidth="1"/>
    <col min="15117" max="15117" width="2.33203125" customWidth="1"/>
    <col min="15361" max="15361" width="22.6640625" customWidth="1"/>
    <col min="15362" max="15362" width="7.5" customWidth="1"/>
    <col min="15363" max="15363" width="8" customWidth="1"/>
    <col min="15364" max="15364" width="2.6640625" customWidth="1"/>
    <col min="15365" max="15365" width="7.1640625" customWidth="1"/>
    <col min="15366" max="15366" width="9.5" customWidth="1"/>
    <col min="15367" max="15367" width="2.6640625" customWidth="1"/>
    <col min="15368" max="15368" width="10.33203125" customWidth="1"/>
    <col min="15369" max="15369" width="7.1640625" customWidth="1"/>
    <col min="15370" max="15370" width="2.6640625" customWidth="1"/>
    <col min="15371" max="15371" width="6.5" customWidth="1"/>
    <col min="15372" max="15372" width="7.5" customWidth="1"/>
    <col min="15373" max="15373" width="2.33203125" customWidth="1"/>
    <col min="15617" max="15617" width="22.6640625" customWidth="1"/>
    <col min="15618" max="15618" width="7.5" customWidth="1"/>
    <col min="15619" max="15619" width="8" customWidth="1"/>
    <col min="15620" max="15620" width="2.6640625" customWidth="1"/>
    <col min="15621" max="15621" width="7.1640625" customWidth="1"/>
    <col min="15622" max="15622" width="9.5" customWidth="1"/>
    <col min="15623" max="15623" width="2.6640625" customWidth="1"/>
    <col min="15624" max="15624" width="10.33203125" customWidth="1"/>
    <col min="15625" max="15625" width="7.1640625" customWidth="1"/>
    <col min="15626" max="15626" width="2.6640625" customWidth="1"/>
    <col min="15627" max="15627" width="6.5" customWidth="1"/>
    <col min="15628" max="15628" width="7.5" customWidth="1"/>
    <col min="15629" max="15629" width="2.33203125" customWidth="1"/>
    <col min="15873" max="15873" width="22.6640625" customWidth="1"/>
    <col min="15874" max="15874" width="7.5" customWidth="1"/>
    <col min="15875" max="15875" width="8" customWidth="1"/>
    <col min="15876" max="15876" width="2.6640625" customWidth="1"/>
    <col min="15877" max="15877" width="7.1640625" customWidth="1"/>
    <col min="15878" max="15878" width="9.5" customWidth="1"/>
    <col min="15879" max="15879" width="2.6640625" customWidth="1"/>
    <col min="15880" max="15880" width="10.33203125" customWidth="1"/>
    <col min="15881" max="15881" width="7.1640625" customWidth="1"/>
    <col min="15882" max="15882" width="2.6640625" customWidth="1"/>
    <col min="15883" max="15883" width="6.5" customWidth="1"/>
    <col min="15884" max="15884" width="7.5" customWidth="1"/>
    <col min="15885" max="15885" width="2.33203125" customWidth="1"/>
    <col min="16129" max="16129" width="22.6640625" customWidth="1"/>
    <col min="16130" max="16130" width="7.5" customWidth="1"/>
    <col min="16131" max="16131" width="8" customWidth="1"/>
    <col min="16132" max="16132" width="2.6640625" customWidth="1"/>
    <col min="16133" max="16133" width="7.1640625" customWidth="1"/>
    <col min="16134" max="16134" width="9.5" customWidth="1"/>
    <col min="16135" max="16135" width="2.6640625" customWidth="1"/>
    <col min="16136" max="16136" width="10.33203125" customWidth="1"/>
    <col min="16137" max="16137" width="7.1640625" customWidth="1"/>
    <col min="16138" max="16138" width="2.6640625" customWidth="1"/>
    <col min="16139" max="16139" width="6.5" customWidth="1"/>
    <col min="16140" max="16140" width="7.5" customWidth="1"/>
    <col min="16141" max="16141" width="2.33203125" customWidth="1"/>
  </cols>
  <sheetData>
    <row r="1" spans="1:13" s="33" customFormat="1" ht="13">
      <c r="A1" s="33" t="s">
        <v>674</v>
      </c>
      <c r="H1" s="72"/>
    </row>
    <row r="2" spans="1:13" s="33" customFormat="1" ht="13">
      <c r="A2" s="33" t="s">
        <v>675</v>
      </c>
      <c r="H2" s="72"/>
    </row>
    <row r="3" spans="1:13" s="33" customFormat="1" ht="13">
      <c r="H3" s="72"/>
    </row>
    <row r="4" spans="1:13" s="33" customFormat="1" ht="13">
      <c r="A4" s="14" t="s">
        <v>2015</v>
      </c>
      <c r="H4" s="72"/>
    </row>
    <row r="5" spans="1:13" s="33" customFormat="1" ht="14" thickBot="1">
      <c r="H5" s="72"/>
    </row>
    <row r="6" spans="1:13" s="33" customFormat="1" ht="13">
      <c r="A6" s="188"/>
      <c r="B6" s="188"/>
      <c r="C6" s="188"/>
      <c r="D6" s="188"/>
      <c r="E6" s="188"/>
      <c r="F6" s="188"/>
      <c r="G6" s="188"/>
      <c r="H6" s="189"/>
      <c r="I6" s="188"/>
      <c r="J6" s="188"/>
      <c r="K6" s="188"/>
      <c r="L6" s="188"/>
      <c r="M6" s="188"/>
    </row>
    <row r="7" spans="1:13" s="33" customFormat="1" ht="15">
      <c r="A7" s="490" t="s">
        <v>1358</v>
      </c>
      <c r="B7" s="1056" t="s">
        <v>1359</v>
      </c>
      <c r="C7" s="1056"/>
      <c r="D7" s="794"/>
      <c r="E7" s="1056" t="s">
        <v>1360</v>
      </c>
      <c r="F7" s="1056"/>
      <c r="G7" s="794"/>
      <c r="H7" s="1056" t="s">
        <v>2016</v>
      </c>
      <c r="I7" s="1056"/>
      <c r="J7" s="794"/>
      <c r="K7" s="1056" t="s">
        <v>2017</v>
      </c>
      <c r="L7" s="1056"/>
    </row>
    <row r="8" spans="1:13" s="33" customFormat="1" ht="13">
      <c r="A8" s="794" t="s">
        <v>1361</v>
      </c>
      <c r="B8" s="225" t="s">
        <v>152</v>
      </c>
      <c r="C8" s="225" t="s">
        <v>153</v>
      </c>
      <c r="D8" s="794"/>
      <c r="E8" s="225" t="s">
        <v>152</v>
      </c>
      <c r="F8" s="225" t="s">
        <v>153</v>
      </c>
      <c r="G8" s="794"/>
      <c r="H8" s="196" t="s">
        <v>152</v>
      </c>
      <c r="I8" s="225" t="s">
        <v>153</v>
      </c>
      <c r="J8" s="794"/>
      <c r="K8" s="225" t="s">
        <v>152</v>
      </c>
      <c r="L8" s="225" t="s">
        <v>153</v>
      </c>
    </row>
    <row r="9" spans="1:13" s="33" customFormat="1" ht="14" thickBot="1">
      <c r="A9" s="199"/>
      <c r="B9" s="199"/>
      <c r="C9" s="199"/>
      <c r="D9" s="199"/>
      <c r="E9" s="199"/>
      <c r="F9" s="199"/>
      <c r="G9" s="199"/>
      <c r="H9" s="200"/>
      <c r="I9" s="199"/>
      <c r="J9" s="199"/>
      <c r="K9" s="199"/>
      <c r="L9" s="199"/>
    </row>
    <row r="10" spans="1:13" s="33" customFormat="1" ht="13">
      <c r="H10" s="72"/>
      <c r="M10" s="188"/>
    </row>
    <row r="11" spans="1:13" s="33" customFormat="1" ht="13">
      <c r="A11" s="55" t="s">
        <v>148</v>
      </c>
      <c r="B11" s="72">
        <f>SUM(B13:B23)</f>
        <v>9443</v>
      </c>
      <c r="C11" s="73">
        <f>SUM(C13:C23)</f>
        <v>100.00000000000001</v>
      </c>
      <c r="E11" s="72">
        <f>SUM(E13:E23)</f>
        <v>971</v>
      </c>
      <c r="F11" s="73">
        <f>SUM(F13:F23)</f>
        <v>100.00000000000001</v>
      </c>
      <c r="H11" s="72">
        <f>SUM(H13:H23)</f>
        <v>5442810</v>
      </c>
      <c r="I11" s="73">
        <f>SUM(I13:I23)</f>
        <v>100.00000000000001</v>
      </c>
      <c r="K11" s="33">
        <f>SUM(K13:K23)</f>
        <v>75</v>
      </c>
      <c r="L11" s="73">
        <f>SUM(L13:L23)</f>
        <v>100</v>
      </c>
    </row>
    <row r="12" spans="1:13" s="33" customFormat="1" ht="13">
      <c r="B12" s="72"/>
      <c r="C12" s="73"/>
      <c r="E12" s="72"/>
      <c r="H12" s="72"/>
    </row>
    <row r="13" spans="1:13" s="33" customFormat="1" ht="13">
      <c r="A13" s="33" t="s">
        <v>1362</v>
      </c>
      <c r="B13" s="202">
        <v>2084</v>
      </c>
      <c r="C13" s="73">
        <f>IF($A13&lt;&gt;"",B13/B$11*100,"")</f>
        <v>22.069257651170179</v>
      </c>
      <c r="E13" s="646">
        <v>24</v>
      </c>
      <c r="F13" s="73">
        <f t="shared" ref="F13:F23" si="0">IF($A13&lt;&gt;"",E13/E$11*100,"")</f>
        <v>2.4716786817713698</v>
      </c>
      <c r="H13" s="646">
        <v>5442428</v>
      </c>
      <c r="I13" s="73">
        <f t="shared" ref="I13:I23" si="1">IF($A13&lt;&gt;"",H13/H$11*100,"")</f>
        <v>99.992981566507012</v>
      </c>
      <c r="K13" s="646">
        <v>0</v>
      </c>
      <c r="L13" s="73">
        <f t="shared" ref="L13:L23" si="2">IF($A13&lt;&gt;"",K13/K$11*100,"")</f>
        <v>0</v>
      </c>
    </row>
    <row r="14" spans="1:13" s="33" customFormat="1" ht="13">
      <c r="B14" s="646"/>
      <c r="C14" s="73" t="str">
        <f t="shared" ref="C14:C23" si="3">IF($A14&lt;&gt;"",B14/B$11*100,"")</f>
        <v/>
      </c>
      <c r="E14" s="646"/>
      <c r="F14" s="73" t="str">
        <f t="shared" si="0"/>
        <v/>
      </c>
      <c r="H14" s="646"/>
      <c r="I14" s="73" t="str">
        <f t="shared" si="1"/>
        <v/>
      </c>
      <c r="K14" s="646"/>
      <c r="L14" s="73" t="str">
        <f t="shared" si="2"/>
        <v/>
      </c>
    </row>
    <row r="15" spans="1:13" s="33" customFormat="1" ht="13">
      <c r="A15" s="33" t="s">
        <v>1363</v>
      </c>
      <c r="B15" s="646">
        <v>124</v>
      </c>
      <c r="C15" s="73">
        <f t="shared" si="3"/>
        <v>1.3131420099544635</v>
      </c>
      <c r="E15" s="646">
        <v>564</v>
      </c>
      <c r="F15" s="73">
        <f t="shared" si="0"/>
        <v>58.084449021627194</v>
      </c>
      <c r="H15" s="646">
        <v>0</v>
      </c>
      <c r="I15" s="73">
        <f t="shared" si="1"/>
        <v>0</v>
      </c>
      <c r="K15" s="646">
        <v>0</v>
      </c>
      <c r="L15" s="73">
        <f t="shared" si="2"/>
        <v>0</v>
      </c>
    </row>
    <row r="16" spans="1:13" s="33" customFormat="1" ht="13">
      <c r="B16" s="646"/>
      <c r="C16" s="73" t="str">
        <f t="shared" si="3"/>
        <v/>
      </c>
      <c r="E16" s="646"/>
      <c r="F16" s="73" t="str">
        <f t="shared" si="0"/>
        <v/>
      </c>
      <c r="H16" s="646"/>
      <c r="I16" s="73" t="str">
        <f t="shared" si="1"/>
        <v/>
      </c>
      <c r="K16" s="646"/>
      <c r="L16" s="73" t="str">
        <f t="shared" si="2"/>
        <v/>
      </c>
    </row>
    <row r="17" spans="1:13" s="33" customFormat="1" ht="13">
      <c r="A17" s="33" t="s">
        <v>1364</v>
      </c>
      <c r="B17" s="646">
        <v>5021</v>
      </c>
      <c r="C17" s="73">
        <f t="shared" si="3"/>
        <v>53.171661548236791</v>
      </c>
      <c r="E17" s="646">
        <v>265</v>
      </c>
      <c r="F17" s="73">
        <f t="shared" si="0"/>
        <v>27.291452111225539</v>
      </c>
      <c r="H17" s="646">
        <v>375</v>
      </c>
      <c r="I17" s="73">
        <f t="shared" si="1"/>
        <v>6.8898234551637858E-3</v>
      </c>
      <c r="K17" s="646">
        <v>1</v>
      </c>
      <c r="L17" s="73">
        <f t="shared" si="2"/>
        <v>1.3333333333333335</v>
      </c>
    </row>
    <row r="18" spans="1:13" s="33" customFormat="1" ht="13">
      <c r="B18" s="646"/>
      <c r="C18" s="73" t="str">
        <f t="shared" si="3"/>
        <v/>
      </c>
      <c r="E18" s="646"/>
      <c r="F18" s="73" t="str">
        <f t="shared" si="0"/>
        <v/>
      </c>
      <c r="H18" s="646"/>
      <c r="I18" s="73" t="str">
        <f t="shared" si="1"/>
        <v/>
      </c>
      <c r="K18" s="646"/>
      <c r="L18" s="73" t="str">
        <f t="shared" si="2"/>
        <v/>
      </c>
    </row>
    <row r="19" spans="1:13" s="33" customFormat="1" ht="13">
      <c r="A19" s="33" t="s">
        <v>1365</v>
      </c>
      <c r="B19" s="646">
        <v>1717</v>
      </c>
      <c r="C19" s="73">
        <f t="shared" si="3"/>
        <v>18.182780895901725</v>
      </c>
      <c r="E19" s="646">
        <v>17</v>
      </c>
      <c r="F19" s="73">
        <f t="shared" si="0"/>
        <v>1.7507723995880538</v>
      </c>
      <c r="H19" s="646">
        <v>7</v>
      </c>
      <c r="I19" s="73">
        <f t="shared" si="1"/>
        <v>1.28610037829724E-4</v>
      </c>
      <c r="K19" s="646">
        <v>0</v>
      </c>
      <c r="L19" s="73">
        <f t="shared" si="2"/>
        <v>0</v>
      </c>
    </row>
    <row r="20" spans="1:13" s="33" customFormat="1" ht="13">
      <c r="B20" s="646"/>
      <c r="C20" s="73"/>
      <c r="E20" s="646"/>
      <c r="F20" s="73"/>
      <c r="H20" s="646"/>
      <c r="I20" s="73"/>
      <c r="K20" s="646"/>
      <c r="L20" s="73"/>
    </row>
    <row r="21" spans="1:13" s="33" customFormat="1" ht="13">
      <c r="A21" s="33" t="s">
        <v>1366</v>
      </c>
      <c r="B21" s="646">
        <v>486</v>
      </c>
      <c r="C21" s="73">
        <f t="shared" si="3"/>
        <v>5.1466694906279784</v>
      </c>
      <c r="E21" s="646">
        <v>101</v>
      </c>
      <c r="F21" s="73">
        <f t="shared" si="0"/>
        <v>10.401647785787848</v>
      </c>
      <c r="H21" s="646">
        <v>0</v>
      </c>
      <c r="I21" s="73">
        <f t="shared" si="1"/>
        <v>0</v>
      </c>
      <c r="K21" s="646">
        <v>72</v>
      </c>
      <c r="L21" s="73">
        <f t="shared" si="2"/>
        <v>96</v>
      </c>
    </row>
    <row r="22" spans="1:13" s="33" customFormat="1" ht="13">
      <c r="B22" s="646"/>
      <c r="C22" s="73" t="str">
        <f t="shared" si="3"/>
        <v/>
      </c>
      <c r="E22" s="646"/>
      <c r="F22" s="73" t="str">
        <f t="shared" si="0"/>
        <v/>
      </c>
      <c r="H22" s="646"/>
      <c r="I22" s="73" t="str">
        <f t="shared" si="1"/>
        <v/>
      </c>
      <c r="K22" s="646"/>
      <c r="L22" s="73" t="str">
        <f t="shared" si="2"/>
        <v/>
      </c>
    </row>
    <row r="23" spans="1:13" s="33" customFormat="1" ht="13">
      <c r="A23" s="33" t="s">
        <v>1367</v>
      </c>
      <c r="B23" s="646">
        <v>11</v>
      </c>
      <c r="C23" s="73">
        <f t="shared" si="3"/>
        <v>0.1164884041088637</v>
      </c>
      <c r="E23" s="646">
        <v>0</v>
      </c>
      <c r="F23" s="73">
        <f t="shared" si="0"/>
        <v>0</v>
      </c>
      <c r="H23" s="646">
        <v>0</v>
      </c>
      <c r="I23" s="73">
        <f t="shared" si="1"/>
        <v>0</v>
      </c>
      <c r="K23" s="646">
        <v>2</v>
      </c>
      <c r="L23" s="73">
        <f t="shared" si="2"/>
        <v>2.666666666666667</v>
      </c>
    </row>
    <row r="24" spans="1:13" s="33" customFormat="1" ht="14" thickBot="1">
      <c r="A24" s="199"/>
      <c r="B24" s="199"/>
      <c r="C24" s="199"/>
      <c r="D24" s="199"/>
      <c r="E24" s="199"/>
      <c r="F24" s="199"/>
      <c r="G24" s="199"/>
      <c r="H24" s="200"/>
      <c r="I24" s="199"/>
      <c r="J24" s="199"/>
    </row>
    <row r="25" spans="1:13" s="33" customFormat="1" ht="13">
      <c r="A25" s="57"/>
      <c r="H25" s="72"/>
      <c r="K25" s="188"/>
      <c r="L25" s="188"/>
      <c r="M25" s="188"/>
    </row>
    <row r="26" spans="1:13" s="33" customFormat="1" ht="15">
      <c r="A26" s="203" t="s">
        <v>1368</v>
      </c>
      <c r="H26" s="72"/>
    </row>
    <row r="27" spans="1:13" s="33" customFormat="1" ht="15">
      <c r="A27" s="203" t="s">
        <v>2018</v>
      </c>
      <c r="H27" s="72"/>
    </row>
    <row r="28" spans="1:13" s="33" customFormat="1" ht="15">
      <c r="A28" s="203" t="s">
        <v>2019</v>
      </c>
      <c r="H28" s="72"/>
    </row>
    <row r="29" spans="1:13" s="33" customFormat="1" ht="13">
      <c r="H29" s="72"/>
    </row>
    <row r="30" spans="1:13" s="33" customFormat="1" ht="13">
      <c r="A30" s="33" t="s">
        <v>1369</v>
      </c>
      <c r="H30" s="72"/>
    </row>
    <row r="31" spans="1:13" s="33" customFormat="1" ht="13">
      <c r="A31" s="33" t="s">
        <v>976</v>
      </c>
      <c r="H31" s="72"/>
    </row>
    <row r="32" spans="1:13" s="33" customFormat="1" ht="13">
      <c r="H32" s="72"/>
    </row>
    <row r="33" spans="1:1" ht="15">
      <c r="A33"/>
    </row>
  </sheetData>
  <mergeCells count="4">
    <mergeCell ref="B7:C7"/>
    <mergeCell ref="E7:F7"/>
    <mergeCell ref="H7:I7"/>
    <mergeCell ref="K7:L7"/>
  </mergeCells>
  <conditionalFormatting sqref="A1:XFD1048576">
    <cfRule type="cellIs" dxfId="16" priority="1" operator="equal">
      <formula>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D11"/>
  <sheetViews>
    <sheetView workbookViewId="0">
      <selection activeCell="B4" sqref="B4"/>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54" t="s">
        <v>398</v>
      </c>
      <c r="C1" s="54" t="s">
        <v>601</v>
      </c>
      <c r="D1" s="40"/>
    </row>
    <row r="2" spans="1:4">
      <c r="A2" s="61" t="s">
        <v>444</v>
      </c>
      <c r="B2" s="62">
        <v>1920</v>
      </c>
      <c r="C2" s="62">
        <v>4132</v>
      </c>
    </row>
    <row r="3" spans="1:4">
      <c r="A3" s="61" t="s">
        <v>445</v>
      </c>
      <c r="B3" s="62">
        <v>1867</v>
      </c>
      <c r="C3" s="62">
        <v>4152</v>
      </c>
    </row>
    <row r="4" spans="1:4">
      <c r="A4" s="61" t="s">
        <v>446</v>
      </c>
      <c r="B4" s="62">
        <v>1875</v>
      </c>
      <c r="C4" s="62">
        <v>4225</v>
      </c>
    </row>
    <row r="5" spans="1:4">
      <c r="A5" s="61" t="s">
        <v>447</v>
      </c>
      <c r="B5" s="62">
        <v>1877</v>
      </c>
      <c r="C5" s="62">
        <v>4256</v>
      </c>
    </row>
    <row r="6" spans="1:4">
      <c r="A6" s="61" t="s">
        <v>448</v>
      </c>
      <c r="B6" s="62">
        <v>1950</v>
      </c>
      <c r="C6" s="62">
        <v>4350</v>
      </c>
    </row>
    <row r="7" spans="1:4">
      <c r="A7" s="61" t="s">
        <v>449</v>
      </c>
      <c r="B7" s="62">
        <v>1867</v>
      </c>
      <c r="C7" s="62">
        <v>4093</v>
      </c>
    </row>
    <row r="8" spans="1:4">
      <c r="A8" s="61" t="s">
        <v>450</v>
      </c>
      <c r="B8" s="62">
        <v>1871</v>
      </c>
      <c r="C8" s="62">
        <v>4326</v>
      </c>
    </row>
    <row r="9" spans="1:4">
      <c r="A9" s="61" t="s">
        <v>451</v>
      </c>
      <c r="B9" s="62">
        <v>1890</v>
      </c>
      <c r="C9" s="62">
        <v>4399</v>
      </c>
    </row>
    <row r="10" spans="1:4">
      <c r="A10" s="61" t="s">
        <v>1844</v>
      </c>
      <c r="B10" s="62">
        <v>1878</v>
      </c>
      <c r="C10" s="62">
        <v>4283</v>
      </c>
    </row>
    <row r="11" spans="1:4">
      <c r="A11" s="61" t="s">
        <v>1845</v>
      </c>
      <c r="B11" s="62">
        <v>1890</v>
      </c>
      <c r="C11" s="62">
        <v>4399</v>
      </c>
    </row>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S39"/>
  <sheetViews>
    <sheetView workbookViewId="0">
      <selection activeCell="A2" sqref="A2"/>
    </sheetView>
  </sheetViews>
  <sheetFormatPr baseColWidth="10" defaultColWidth="9.1640625" defaultRowHeight="16"/>
  <cols>
    <col min="1" max="1" width="21.1640625" style="387" customWidth="1"/>
    <col min="2" max="2" width="10" customWidth="1"/>
    <col min="3" max="3" width="6.33203125" customWidth="1"/>
    <col min="4" max="4" width="2.33203125" customWidth="1"/>
    <col min="5" max="5" width="7.83203125" customWidth="1"/>
    <col min="6" max="6" width="7.5" customWidth="1"/>
    <col min="7" max="7" width="2.33203125" customWidth="1"/>
    <col min="8" max="8" width="9.6640625" customWidth="1"/>
    <col min="9" max="9" width="6.6640625" customWidth="1"/>
    <col min="10" max="10" width="2.33203125" customWidth="1"/>
    <col min="11" max="11" width="9.5" customWidth="1"/>
    <col min="12" max="12" width="6.6640625" customWidth="1"/>
    <col min="13" max="13" width="2.33203125" customWidth="1"/>
    <col min="14" max="15" width="7" customWidth="1"/>
    <col min="16" max="16" width="2.33203125" customWidth="1"/>
    <col min="17" max="17" width="7" customWidth="1"/>
    <col min="18" max="18" width="8" customWidth="1"/>
    <col min="19" max="19" width="2" customWidth="1"/>
    <col min="257" max="257" width="21.1640625" customWidth="1"/>
    <col min="258" max="258" width="10" customWidth="1"/>
    <col min="259" max="259" width="6.33203125" customWidth="1"/>
    <col min="260" max="260" width="2.33203125" customWidth="1"/>
    <col min="261" max="261" width="7.83203125" customWidth="1"/>
    <col min="262" max="262" width="7.5" customWidth="1"/>
    <col min="263" max="263" width="2.33203125" customWidth="1"/>
    <col min="264" max="264" width="9.6640625" customWidth="1"/>
    <col min="265" max="265" width="6.6640625" customWidth="1"/>
    <col min="266" max="266" width="2.33203125" customWidth="1"/>
    <col min="267" max="267" width="9.5" customWidth="1"/>
    <col min="268" max="268" width="6.6640625" customWidth="1"/>
    <col min="269" max="269" width="2.33203125" customWidth="1"/>
    <col min="270" max="271" width="7" customWidth="1"/>
    <col min="272" max="272" width="2.33203125" customWidth="1"/>
    <col min="273" max="273" width="7" customWidth="1"/>
    <col min="274" max="274" width="8" customWidth="1"/>
    <col min="275" max="275" width="2" customWidth="1"/>
    <col min="513" max="513" width="21.1640625" customWidth="1"/>
    <col min="514" max="514" width="10" customWidth="1"/>
    <col min="515" max="515" width="6.33203125" customWidth="1"/>
    <col min="516" max="516" width="2.33203125" customWidth="1"/>
    <col min="517" max="517" width="7.83203125" customWidth="1"/>
    <col min="518" max="518" width="7.5" customWidth="1"/>
    <col min="519" max="519" width="2.33203125" customWidth="1"/>
    <col min="520" max="520" width="9.6640625" customWidth="1"/>
    <col min="521" max="521" width="6.6640625" customWidth="1"/>
    <col min="522" max="522" width="2.33203125" customWidth="1"/>
    <col min="523" max="523" width="9.5" customWidth="1"/>
    <col min="524" max="524" width="6.6640625" customWidth="1"/>
    <col min="525" max="525" width="2.33203125" customWidth="1"/>
    <col min="526" max="527" width="7" customWidth="1"/>
    <col min="528" max="528" width="2.33203125" customWidth="1"/>
    <col min="529" max="529" width="7" customWidth="1"/>
    <col min="530" max="530" width="8" customWidth="1"/>
    <col min="531" max="531" width="2" customWidth="1"/>
    <col min="769" max="769" width="21.1640625" customWidth="1"/>
    <col min="770" max="770" width="10" customWidth="1"/>
    <col min="771" max="771" width="6.33203125" customWidth="1"/>
    <col min="772" max="772" width="2.33203125" customWidth="1"/>
    <col min="773" max="773" width="7.83203125" customWidth="1"/>
    <col min="774" max="774" width="7.5" customWidth="1"/>
    <col min="775" max="775" width="2.33203125" customWidth="1"/>
    <col min="776" max="776" width="9.6640625" customWidth="1"/>
    <col min="777" max="777" width="6.6640625" customWidth="1"/>
    <col min="778" max="778" width="2.33203125" customWidth="1"/>
    <col min="779" max="779" width="9.5" customWidth="1"/>
    <col min="780" max="780" width="6.6640625" customWidth="1"/>
    <col min="781" max="781" width="2.33203125" customWidth="1"/>
    <col min="782" max="783" width="7" customWidth="1"/>
    <col min="784" max="784" width="2.33203125" customWidth="1"/>
    <col min="785" max="785" width="7" customWidth="1"/>
    <col min="786" max="786" width="8" customWidth="1"/>
    <col min="787" max="787" width="2" customWidth="1"/>
    <col min="1025" max="1025" width="21.1640625" customWidth="1"/>
    <col min="1026" max="1026" width="10" customWidth="1"/>
    <col min="1027" max="1027" width="6.33203125" customWidth="1"/>
    <col min="1028" max="1028" width="2.33203125" customWidth="1"/>
    <col min="1029" max="1029" width="7.83203125" customWidth="1"/>
    <col min="1030" max="1030" width="7.5" customWidth="1"/>
    <col min="1031" max="1031" width="2.33203125" customWidth="1"/>
    <col min="1032" max="1032" width="9.6640625" customWidth="1"/>
    <col min="1033" max="1033" width="6.6640625" customWidth="1"/>
    <col min="1034" max="1034" width="2.33203125" customWidth="1"/>
    <col min="1035" max="1035" width="9.5" customWidth="1"/>
    <col min="1036" max="1036" width="6.6640625" customWidth="1"/>
    <col min="1037" max="1037" width="2.33203125" customWidth="1"/>
    <col min="1038" max="1039" width="7" customWidth="1"/>
    <col min="1040" max="1040" width="2.33203125" customWidth="1"/>
    <col min="1041" max="1041" width="7" customWidth="1"/>
    <col min="1042" max="1042" width="8" customWidth="1"/>
    <col min="1043" max="1043" width="2" customWidth="1"/>
    <col min="1281" max="1281" width="21.1640625" customWidth="1"/>
    <col min="1282" max="1282" width="10" customWidth="1"/>
    <col min="1283" max="1283" width="6.33203125" customWidth="1"/>
    <col min="1284" max="1284" width="2.33203125" customWidth="1"/>
    <col min="1285" max="1285" width="7.83203125" customWidth="1"/>
    <col min="1286" max="1286" width="7.5" customWidth="1"/>
    <col min="1287" max="1287" width="2.33203125" customWidth="1"/>
    <col min="1288" max="1288" width="9.6640625" customWidth="1"/>
    <col min="1289" max="1289" width="6.6640625" customWidth="1"/>
    <col min="1290" max="1290" width="2.33203125" customWidth="1"/>
    <col min="1291" max="1291" width="9.5" customWidth="1"/>
    <col min="1292" max="1292" width="6.6640625" customWidth="1"/>
    <col min="1293" max="1293" width="2.33203125" customWidth="1"/>
    <col min="1294" max="1295" width="7" customWidth="1"/>
    <col min="1296" max="1296" width="2.33203125" customWidth="1"/>
    <col min="1297" max="1297" width="7" customWidth="1"/>
    <col min="1298" max="1298" width="8" customWidth="1"/>
    <col min="1299" max="1299" width="2" customWidth="1"/>
    <col min="1537" max="1537" width="21.1640625" customWidth="1"/>
    <col min="1538" max="1538" width="10" customWidth="1"/>
    <col min="1539" max="1539" width="6.33203125" customWidth="1"/>
    <col min="1540" max="1540" width="2.33203125" customWidth="1"/>
    <col min="1541" max="1541" width="7.83203125" customWidth="1"/>
    <col min="1542" max="1542" width="7.5" customWidth="1"/>
    <col min="1543" max="1543" width="2.33203125" customWidth="1"/>
    <col min="1544" max="1544" width="9.6640625" customWidth="1"/>
    <col min="1545" max="1545" width="6.6640625" customWidth="1"/>
    <col min="1546" max="1546" width="2.33203125" customWidth="1"/>
    <col min="1547" max="1547" width="9.5" customWidth="1"/>
    <col min="1548" max="1548" width="6.6640625" customWidth="1"/>
    <col min="1549" max="1549" width="2.33203125" customWidth="1"/>
    <col min="1550" max="1551" width="7" customWidth="1"/>
    <col min="1552" max="1552" width="2.33203125" customWidth="1"/>
    <col min="1553" max="1553" width="7" customWidth="1"/>
    <col min="1554" max="1554" width="8" customWidth="1"/>
    <col min="1555" max="1555" width="2" customWidth="1"/>
    <col min="1793" max="1793" width="21.1640625" customWidth="1"/>
    <col min="1794" max="1794" width="10" customWidth="1"/>
    <col min="1795" max="1795" width="6.33203125" customWidth="1"/>
    <col min="1796" max="1796" width="2.33203125" customWidth="1"/>
    <col min="1797" max="1797" width="7.83203125" customWidth="1"/>
    <col min="1798" max="1798" width="7.5" customWidth="1"/>
    <col min="1799" max="1799" width="2.33203125" customWidth="1"/>
    <col min="1800" max="1800" width="9.6640625" customWidth="1"/>
    <col min="1801" max="1801" width="6.6640625" customWidth="1"/>
    <col min="1802" max="1802" width="2.33203125" customWidth="1"/>
    <col min="1803" max="1803" width="9.5" customWidth="1"/>
    <col min="1804" max="1804" width="6.6640625" customWidth="1"/>
    <col min="1805" max="1805" width="2.33203125" customWidth="1"/>
    <col min="1806" max="1807" width="7" customWidth="1"/>
    <col min="1808" max="1808" width="2.33203125" customWidth="1"/>
    <col min="1809" max="1809" width="7" customWidth="1"/>
    <col min="1810" max="1810" width="8" customWidth="1"/>
    <col min="1811" max="1811" width="2" customWidth="1"/>
    <col min="2049" max="2049" width="21.1640625" customWidth="1"/>
    <col min="2050" max="2050" width="10" customWidth="1"/>
    <col min="2051" max="2051" width="6.33203125" customWidth="1"/>
    <col min="2052" max="2052" width="2.33203125" customWidth="1"/>
    <col min="2053" max="2053" width="7.83203125" customWidth="1"/>
    <col min="2054" max="2054" width="7.5" customWidth="1"/>
    <col min="2055" max="2055" width="2.33203125" customWidth="1"/>
    <col min="2056" max="2056" width="9.6640625" customWidth="1"/>
    <col min="2057" max="2057" width="6.6640625" customWidth="1"/>
    <col min="2058" max="2058" width="2.33203125" customWidth="1"/>
    <col min="2059" max="2059" width="9.5" customWidth="1"/>
    <col min="2060" max="2060" width="6.6640625" customWidth="1"/>
    <col min="2061" max="2061" width="2.33203125" customWidth="1"/>
    <col min="2062" max="2063" width="7" customWidth="1"/>
    <col min="2064" max="2064" width="2.33203125" customWidth="1"/>
    <col min="2065" max="2065" width="7" customWidth="1"/>
    <col min="2066" max="2066" width="8" customWidth="1"/>
    <col min="2067" max="2067" width="2" customWidth="1"/>
    <col min="2305" max="2305" width="21.1640625" customWidth="1"/>
    <col min="2306" max="2306" width="10" customWidth="1"/>
    <col min="2307" max="2307" width="6.33203125" customWidth="1"/>
    <col min="2308" max="2308" width="2.33203125" customWidth="1"/>
    <col min="2309" max="2309" width="7.83203125" customWidth="1"/>
    <col min="2310" max="2310" width="7.5" customWidth="1"/>
    <col min="2311" max="2311" width="2.33203125" customWidth="1"/>
    <col min="2312" max="2312" width="9.6640625" customWidth="1"/>
    <col min="2313" max="2313" width="6.6640625" customWidth="1"/>
    <col min="2314" max="2314" width="2.33203125" customWidth="1"/>
    <col min="2315" max="2315" width="9.5" customWidth="1"/>
    <col min="2316" max="2316" width="6.6640625" customWidth="1"/>
    <col min="2317" max="2317" width="2.33203125" customWidth="1"/>
    <col min="2318" max="2319" width="7" customWidth="1"/>
    <col min="2320" max="2320" width="2.33203125" customWidth="1"/>
    <col min="2321" max="2321" width="7" customWidth="1"/>
    <col min="2322" max="2322" width="8" customWidth="1"/>
    <col min="2323" max="2323" width="2" customWidth="1"/>
    <col min="2561" max="2561" width="21.1640625" customWidth="1"/>
    <col min="2562" max="2562" width="10" customWidth="1"/>
    <col min="2563" max="2563" width="6.33203125" customWidth="1"/>
    <col min="2564" max="2564" width="2.33203125" customWidth="1"/>
    <col min="2565" max="2565" width="7.83203125" customWidth="1"/>
    <col min="2566" max="2566" width="7.5" customWidth="1"/>
    <col min="2567" max="2567" width="2.33203125" customWidth="1"/>
    <col min="2568" max="2568" width="9.6640625" customWidth="1"/>
    <col min="2569" max="2569" width="6.6640625" customWidth="1"/>
    <col min="2570" max="2570" width="2.33203125" customWidth="1"/>
    <col min="2571" max="2571" width="9.5" customWidth="1"/>
    <col min="2572" max="2572" width="6.6640625" customWidth="1"/>
    <col min="2573" max="2573" width="2.33203125" customWidth="1"/>
    <col min="2574" max="2575" width="7" customWidth="1"/>
    <col min="2576" max="2576" width="2.33203125" customWidth="1"/>
    <col min="2577" max="2577" width="7" customWidth="1"/>
    <col min="2578" max="2578" width="8" customWidth="1"/>
    <col min="2579" max="2579" width="2" customWidth="1"/>
    <col min="2817" max="2817" width="21.1640625" customWidth="1"/>
    <col min="2818" max="2818" width="10" customWidth="1"/>
    <col min="2819" max="2819" width="6.33203125" customWidth="1"/>
    <col min="2820" max="2820" width="2.33203125" customWidth="1"/>
    <col min="2821" max="2821" width="7.83203125" customWidth="1"/>
    <col min="2822" max="2822" width="7.5" customWidth="1"/>
    <col min="2823" max="2823" width="2.33203125" customWidth="1"/>
    <col min="2824" max="2824" width="9.6640625" customWidth="1"/>
    <col min="2825" max="2825" width="6.6640625" customWidth="1"/>
    <col min="2826" max="2826" width="2.33203125" customWidth="1"/>
    <col min="2827" max="2827" width="9.5" customWidth="1"/>
    <col min="2828" max="2828" width="6.6640625" customWidth="1"/>
    <col min="2829" max="2829" width="2.33203125" customWidth="1"/>
    <col min="2830" max="2831" width="7" customWidth="1"/>
    <col min="2832" max="2832" width="2.33203125" customWidth="1"/>
    <col min="2833" max="2833" width="7" customWidth="1"/>
    <col min="2834" max="2834" width="8" customWidth="1"/>
    <col min="2835" max="2835" width="2" customWidth="1"/>
    <col min="3073" max="3073" width="21.1640625" customWidth="1"/>
    <col min="3074" max="3074" width="10" customWidth="1"/>
    <col min="3075" max="3075" width="6.33203125" customWidth="1"/>
    <col min="3076" max="3076" width="2.33203125" customWidth="1"/>
    <col min="3077" max="3077" width="7.83203125" customWidth="1"/>
    <col min="3078" max="3078" width="7.5" customWidth="1"/>
    <col min="3079" max="3079" width="2.33203125" customWidth="1"/>
    <col min="3080" max="3080" width="9.6640625" customWidth="1"/>
    <col min="3081" max="3081" width="6.6640625" customWidth="1"/>
    <col min="3082" max="3082" width="2.33203125" customWidth="1"/>
    <col min="3083" max="3083" width="9.5" customWidth="1"/>
    <col min="3084" max="3084" width="6.6640625" customWidth="1"/>
    <col min="3085" max="3085" width="2.33203125" customWidth="1"/>
    <col min="3086" max="3087" width="7" customWidth="1"/>
    <col min="3088" max="3088" width="2.33203125" customWidth="1"/>
    <col min="3089" max="3089" width="7" customWidth="1"/>
    <col min="3090" max="3090" width="8" customWidth="1"/>
    <col min="3091" max="3091" width="2" customWidth="1"/>
    <col min="3329" max="3329" width="21.1640625" customWidth="1"/>
    <col min="3330" max="3330" width="10" customWidth="1"/>
    <col min="3331" max="3331" width="6.33203125" customWidth="1"/>
    <col min="3332" max="3332" width="2.33203125" customWidth="1"/>
    <col min="3333" max="3333" width="7.83203125" customWidth="1"/>
    <col min="3334" max="3334" width="7.5" customWidth="1"/>
    <col min="3335" max="3335" width="2.33203125" customWidth="1"/>
    <col min="3336" max="3336" width="9.6640625" customWidth="1"/>
    <col min="3337" max="3337" width="6.6640625" customWidth="1"/>
    <col min="3338" max="3338" width="2.33203125" customWidth="1"/>
    <col min="3339" max="3339" width="9.5" customWidth="1"/>
    <col min="3340" max="3340" width="6.6640625" customWidth="1"/>
    <col min="3341" max="3341" width="2.33203125" customWidth="1"/>
    <col min="3342" max="3343" width="7" customWidth="1"/>
    <col min="3344" max="3344" width="2.33203125" customWidth="1"/>
    <col min="3345" max="3345" width="7" customWidth="1"/>
    <col min="3346" max="3346" width="8" customWidth="1"/>
    <col min="3347" max="3347" width="2" customWidth="1"/>
    <col min="3585" max="3585" width="21.1640625" customWidth="1"/>
    <col min="3586" max="3586" width="10" customWidth="1"/>
    <col min="3587" max="3587" width="6.33203125" customWidth="1"/>
    <col min="3588" max="3588" width="2.33203125" customWidth="1"/>
    <col min="3589" max="3589" width="7.83203125" customWidth="1"/>
    <col min="3590" max="3590" width="7.5" customWidth="1"/>
    <col min="3591" max="3591" width="2.33203125" customWidth="1"/>
    <col min="3592" max="3592" width="9.6640625" customWidth="1"/>
    <col min="3593" max="3593" width="6.6640625" customWidth="1"/>
    <col min="3594" max="3594" width="2.33203125" customWidth="1"/>
    <col min="3595" max="3595" width="9.5" customWidth="1"/>
    <col min="3596" max="3596" width="6.6640625" customWidth="1"/>
    <col min="3597" max="3597" width="2.33203125" customWidth="1"/>
    <col min="3598" max="3599" width="7" customWidth="1"/>
    <col min="3600" max="3600" width="2.33203125" customWidth="1"/>
    <col min="3601" max="3601" width="7" customWidth="1"/>
    <col min="3602" max="3602" width="8" customWidth="1"/>
    <col min="3603" max="3603" width="2" customWidth="1"/>
    <col min="3841" max="3841" width="21.1640625" customWidth="1"/>
    <col min="3842" max="3842" width="10" customWidth="1"/>
    <col min="3843" max="3843" width="6.33203125" customWidth="1"/>
    <col min="3844" max="3844" width="2.33203125" customWidth="1"/>
    <col min="3845" max="3845" width="7.83203125" customWidth="1"/>
    <col min="3846" max="3846" width="7.5" customWidth="1"/>
    <col min="3847" max="3847" width="2.33203125" customWidth="1"/>
    <col min="3848" max="3848" width="9.6640625" customWidth="1"/>
    <col min="3849" max="3849" width="6.6640625" customWidth="1"/>
    <col min="3850" max="3850" width="2.33203125" customWidth="1"/>
    <col min="3851" max="3851" width="9.5" customWidth="1"/>
    <col min="3852" max="3852" width="6.6640625" customWidth="1"/>
    <col min="3853" max="3853" width="2.33203125" customWidth="1"/>
    <col min="3854" max="3855" width="7" customWidth="1"/>
    <col min="3856" max="3856" width="2.33203125" customWidth="1"/>
    <col min="3857" max="3857" width="7" customWidth="1"/>
    <col min="3858" max="3858" width="8" customWidth="1"/>
    <col min="3859" max="3859" width="2" customWidth="1"/>
    <col min="4097" max="4097" width="21.1640625" customWidth="1"/>
    <col min="4098" max="4098" width="10" customWidth="1"/>
    <col min="4099" max="4099" width="6.33203125" customWidth="1"/>
    <col min="4100" max="4100" width="2.33203125" customWidth="1"/>
    <col min="4101" max="4101" width="7.83203125" customWidth="1"/>
    <col min="4102" max="4102" width="7.5" customWidth="1"/>
    <col min="4103" max="4103" width="2.33203125" customWidth="1"/>
    <col min="4104" max="4104" width="9.6640625" customWidth="1"/>
    <col min="4105" max="4105" width="6.6640625" customWidth="1"/>
    <col min="4106" max="4106" width="2.33203125" customWidth="1"/>
    <col min="4107" max="4107" width="9.5" customWidth="1"/>
    <col min="4108" max="4108" width="6.6640625" customWidth="1"/>
    <col min="4109" max="4109" width="2.33203125" customWidth="1"/>
    <col min="4110" max="4111" width="7" customWidth="1"/>
    <col min="4112" max="4112" width="2.33203125" customWidth="1"/>
    <col min="4113" max="4113" width="7" customWidth="1"/>
    <col min="4114" max="4114" width="8" customWidth="1"/>
    <col min="4115" max="4115" width="2" customWidth="1"/>
    <col min="4353" max="4353" width="21.1640625" customWidth="1"/>
    <col min="4354" max="4354" width="10" customWidth="1"/>
    <col min="4355" max="4355" width="6.33203125" customWidth="1"/>
    <col min="4356" max="4356" width="2.33203125" customWidth="1"/>
    <col min="4357" max="4357" width="7.83203125" customWidth="1"/>
    <col min="4358" max="4358" width="7.5" customWidth="1"/>
    <col min="4359" max="4359" width="2.33203125" customWidth="1"/>
    <col min="4360" max="4360" width="9.6640625" customWidth="1"/>
    <col min="4361" max="4361" width="6.6640625" customWidth="1"/>
    <col min="4362" max="4362" width="2.33203125" customWidth="1"/>
    <col min="4363" max="4363" width="9.5" customWidth="1"/>
    <col min="4364" max="4364" width="6.6640625" customWidth="1"/>
    <col min="4365" max="4365" width="2.33203125" customWidth="1"/>
    <col min="4366" max="4367" width="7" customWidth="1"/>
    <col min="4368" max="4368" width="2.33203125" customWidth="1"/>
    <col min="4369" max="4369" width="7" customWidth="1"/>
    <col min="4370" max="4370" width="8" customWidth="1"/>
    <col min="4371" max="4371" width="2" customWidth="1"/>
    <col min="4609" max="4609" width="21.1640625" customWidth="1"/>
    <col min="4610" max="4610" width="10" customWidth="1"/>
    <col min="4611" max="4611" width="6.33203125" customWidth="1"/>
    <col min="4612" max="4612" width="2.33203125" customWidth="1"/>
    <col min="4613" max="4613" width="7.83203125" customWidth="1"/>
    <col min="4614" max="4614" width="7.5" customWidth="1"/>
    <col min="4615" max="4615" width="2.33203125" customWidth="1"/>
    <col min="4616" max="4616" width="9.6640625" customWidth="1"/>
    <col min="4617" max="4617" width="6.6640625" customWidth="1"/>
    <col min="4618" max="4618" width="2.33203125" customWidth="1"/>
    <col min="4619" max="4619" width="9.5" customWidth="1"/>
    <col min="4620" max="4620" width="6.6640625" customWidth="1"/>
    <col min="4621" max="4621" width="2.33203125" customWidth="1"/>
    <col min="4622" max="4623" width="7" customWidth="1"/>
    <col min="4624" max="4624" width="2.33203125" customWidth="1"/>
    <col min="4625" max="4625" width="7" customWidth="1"/>
    <col min="4626" max="4626" width="8" customWidth="1"/>
    <col min="4627" max="4627" width="2" customWidth="1"/>
    <col min="4865" max="4865" width="21.1640625" customWidth="1"/>
    <col min="4866" max="4866" width="10" customWidth="1"/>
    <col min="4867" max="4867" width="6.33203125" customWidth="1"/>
    <col min="4868" max="4868" width="2.33203125" customWidth="1"/>
    <col min="4869" max="4869" width="7.83203125" customWidth="1"/>
    <col min="4870" max="4870" width="7.5" customWidth="1"/>
    <col min="4871" max="4871" width="2.33203125" customWidth="1"/>
    <col min="4872" max="4872" width="9.6640625" customWidth="1"/>
    <col min="4873" max="4873" width="6.6640625" customWidth="1"/>
    <col min="4874" max="4874" width="2.33203125" customWidth="1"/>
    <col min="4875" max="4875" width="9.5" customWidth="1"/>
    <col min="4876" max="4876" width="6.6640625" customWidth="1"/>
    <col min="4877" max="4877" width="2.33203125" customWidth="1"/>
    <col min="4878" max="4879" width="7" customWidth="1"/>
    <col min="4880" max="4880" width="2.33203125" customWidth="1"/>
    <col min="4881" max="4881" width="7" customWidth="1"/>
    <col min="4882" max="4882" width="8" customWidth="1"/>
    <col min="4883" max="4883" width="2" customWidth="1"/>
    <col min="5121" max="5121" width="21.1640625" customWidth="1"/>
    <col min="5122" max="5122" width="10" customWidth="1"/>
    <col min="5123" max="5123" width="6.33203125" customWidth="1"/>
    <col min="5124" max="5124" width="2.33203125" customWidth="1"/>
    <col min="5125" max="5125" width="7.83203125" customWidth="1"/>
    <col min="5126" max="5126" width="7.5" customWidth="1"/>
    <col min="5127" max="5127" width="2.33203125" customWidth="1"/>
    <col min="5128" max="5128" width="9.6640625" customWidth="1"/>
    <col min="5129" max="5129" width="6.6640625" customWidth="1"/>
    <col min="5130" max="5130" width="2.33203125" customWidth="1"/>
    <col min="5131" max="5131" width="9.5" customWidth="1"/>
    <col min="5132" max="5132" width="6.6640625" customWidth="1"/>
    <col min="5133" max="5133" width="2.33203125" customWidth="1"/>
    <col min="5134" max="5135" width="7" customWidth="1"/>
    <col min="5136" max="5136" width="2.33203125" customWidth="1"/>
    <col min="5137" max="5137" width="7" customWidth="1"/>
    <col min="5138" max="5138" width="8" customWidth="1"/>
    <col min="5139" max="5139" width="2" customWidth="1"/>
    <col min="5377" max="5377" width="21.1640625" customWidth="1"/>
    <col min="5378" max="5378" width="10" customWidth="1"/>
    <col min="5379" max="5379" width="6.33203125" customWidth="1"/>
    <col min="5380" max="5380" width="2.33203125" customWidth="1"/>
    <col min="5381" max="5381" width="7.83203125" customWidth="1"/>
    <col min="5382" max="5382" width="7.5" customWidth="1"/>
    <col min="5383" max="5383" width="2.33203125" customWidth="1"/>
    <col min="5384" max="5384" width="9.6640625" customWidth="1"/>
    <col min="5385" max="5385" width="6.6640625" customWidth="1"/>
    <col min="5386" max="5386" width="2.33203125" customWidth="1"/>
    <col min="5387" max="5387" width="9.5" customWidth="1"/>
    <col min="5388" max="5388" width="6.6640625" customWidth="1"/>
    <col min="5389" max="5389" width="2.33203125" customWidth="1"/>
    <col min="5390" max="5391" width="7" customWidth="1"/>
    <col min="5392" max="5392" width="2.33203125" customWidth="1"/>
    <col min="5393" max="5393" width="7" customWidth="1"/>
    <col min="5394" max="5394" width="8" customWidth="1"/>
    <col min="5395" max="5395" width="2" customWidth="1"/>
    <col min="5633" max="5633" width="21.1640625" customWidth="1"/>
    <col min="5634" max="5634" width="10" customWidth="1"/>
    <col min="5635" max="5635" width="6.33203125" customWidth="1"/>
    <col min="5636" max="5636" width="2.33203125" customWidth="1"/>
    <col min="5637" max="5637" width="7.83203125" customWidth="1"/>
    <col min="5638" max="5638" width="7.5" customWidth="1"/>
    <col min="5639" max="5639" width="2.33203125" customWidth="1"/>
    <col min="5640" max="5640" width="9.6640625" customWidth="1"/>
    <col min="5641" max="5641" width="6.6640625" customWidth="1"/>
    <col min="5642" max="5642" width="2.33203125" customWidth="1"/>
    <col min="5643" max="5643" width="9.5" customWidth="1"/>
    <col min="5644" max="5644" width="6.6640625" customWidth="1"/>
    <col min="5645" max="5645" width="2.33203125" customWidth="1"/>
    <col min="5646" max="5647" width="7" customWidth="1"/>
    <col min="5648" max="5648" width="2.33203125" customWidth="1"/>
    <col min="5649" max="5649" width="7" customWidth="1"/>
    <col min="5650" max="5650" width="8" customWidth="1"/>
    <col min="5651" max="5651" width="2" customWidth="1"/>
    <col min="5889" max="5889" width="21.1640625" customWidth="1"/>
    <col min="5890" max="5890" width="10" customWidth="1"/>
    <col min="5891" max="5891" width="6.33203125" customWidth="1"/>
    <col min="5892" max="5892" width="2.33203125" customWidth="1"/>
    <col min="5893" max="5893" width="7.83203125" customWidth="1"/>
    <col min="5894" max="5894" width="7.5" customWidth="1"/>
    <col min="5895" max="5895" width="2.33203125" customWidth="1"/>
    <col min="5896" max="5896" width="9.6640625" customWidth="1"/>
    <col min="5897" max="5897" width="6.6640625" customWidth="1"/>
    <col min="5898" max="5898" width="2.33203125" customWidth="1"/>
    <col min="5899" max="5899" width="9.5" customWidth="1"/>
    <col min="5900" max="5900" width="6.6640625" customWidth="1"/>
    <col min="5901" max="5901" width="2.33203125" customWidth="1"/>
    <col min="5902" max="5903" width="7" customWidth="1"/>
    <col min="5904" max="5904" width="2.33203125" customWidth="1"/>
    <col min="5905" max="5905" width="7" customWidth="1"/>
    <col min="5906" max="5906" width="8" customWidth="1"/>
    <col min="5907" max="5907" width="2" customWidth="1"/>
    <col min="6145" max="6145" width="21.1640625" customWidth="1"/>
    <col min="6146" max="6146" width="10" customWidth="1"/>
    <col min="6147" max="6147" width="6.33203125" customWidth="1"/>
    <col min="6148" max="6148" width="2.33203125" customWidth="1"/>
    <col min="6149" max="6149" width="7.83203125" customWidth="1"/>
    <col min="6150" max="6150" width="7.5" customWidth="1"/>
    <col min="6151" max="6151" width="2.33203125" customWidth="1"/>
    <col min="6152" max="6152" width="9.6640625" customWidth="1"/>
    <col min="6153" max="6153" width="6.6640625" customWidth="1"/>
    <col min="6154" max="6154" width="2.33203125" customWidth="1"/>
    <col min="6155" max="6155" width="9.5" customWidth="1"/>
    <col min="6156" max="6156" width="6.6640625" customWidth="1"/>
    <col min="6157" max="6157" width="2.33203125" customWidth="1"/>
    <col min="6158" max="6159" width="7" customWidth="1"/>
    <col min="6160" max="6160" width="2.33203125" customWidth="1"/>
    <col min="6161" max="6161" width="7" customWidth="1"/>
    <col min="6162" max="6162" width="8" customWidth="1"/>
    <col min="6163" max="6163" width="2" customWidth="1"/>
    <col min="6401" max="6401" width="21.1640625" customWidth="1"/>
    <col min="6402" max="6402" width="10" customWidth="1"/>
    <col min="6403" max="6403" width="6.33203125" customWidth="1"/>
    <col min="6404" max="6404" width="2.33203125" customWidth="1"/>
    <col min="6405" max="6405" width="7.83203125" customWidth="1"/>
    <col min="6406" max="6406" width="7.5" customWidth="1"/>
    <col min="6407" max="6407" width="2.33203125" customWidth="1"/>
    <col min="6408" max="6408" width="9.6640625" customWidth="1"/>
    <col min="6409" max="6409" width="6.6640625" customWidth="1"/>
    <col min="6410" max="6410" width="2.33203125" customWidth="1"/>
    <col min="6411" max="6411" width="9.5" customWidth="1"/>
    <col min="6412" max="6412" width="6.6640625" customWidth="1"/>
    <col min="6413" max="6413" width="2.33203125" customWidth="1"/>
    <col min="6414" max="6415" width="7" customWidth="1"/>
    <col min="6416" max="6416" width="2.33203125" customWidth="1"/>
    <col min="6417" max="6417" width="7" customWidth="1"/>
    <col min="6418" max="6418" width="8" customWidth="1"/>
    <col min="6419" max="6419" width="2" customWidth="1"/>
    <col min="6657" max="6657" width="21.1640625" customWidth="1"/>
    <col min="6658" max="6658" width="10" customWidth="1"/>
    <col min="6659" max="6659" width="6.33203125" customWidth="1"/>
    <col min="6660" max="6660" width="2.33203125" customWidth="1"/>
    <col min="6661" max="6661" width="7.83203125" customWidth="1"/>
    <col min="6662" max="6662" width="7.5" customWidth="1"/>
    <col min="6663" max="6663" width="2.33203125" customWidth="1"/>
    <col min="6664" max="6664" width="9.6640625" customWidth="1"/>
    <col min="6665" max="6665" width="6.6640625" customWidth="1"/>
    <col min="6666" max="6666" width="2.33203125" customWidth="1"/>
    <col min="6667" max="6667" width="9.5" customWidth="1"/>
    <col min="6668" max="6668" width="6.6640625" customWidth="1"/>
    <col min="6669" max="6669" width="2.33203125" customWidth="1"/>
    <col min="6670" max="6671" width="7" customWidth="1"/>
    <col min="6672" max="6672" width="2.33203125" customWidth="1"/>
    <col min="6673" max="6673" width="7" customWidth="1"/>
    <col min="6674" max="6674" width="8" customWidth="1"/>
    <col min="6675" max="6675" width="2" customWidth="1"/>
    <col min="6913" max="6913" width="21.1640625" customWidth="1"/>
    <col min="6914" max="6914" width="10" customWidth="1"/>
    <col min="6915" max="6915" width="6.33203125" customWidth="1"/>
    <col min="6916" max="6916" width="2.33203125" customWidth="1"/>
    <col min="6917" max="6917" width="7.83203125" customWidth="1"/>
    <col min="6918" max="6918" width="7.5" customWidth="1"/>
    <col min="6919" max="6919" width="2.33203125" customWidth="1"/>
    <col min="6920" max="6920" width="9.6640625" customWidth="1"/>
    <col min="6921" max="6921" width="6.6640625" customWidth="1"/>
    <col min="6922" max="6922" width="2.33203125" customWidth="1"/>
    <col min="6923" max="6923" width="9.5" customWidth="1"/>
    <col min="6924" max="6924" width="6.6640625" customWidth="1"/>
    <col min="6925" max="6925" width="2.33203125" customWidth="1"/>
    <col min="6926" max="6927" width="7" customWidth="1"/>
    <col min="6928" max="6928" width="2.33203125" customWidth="1"/>
    <col min="6929" max="6929" width="7" customWidth="1"/>
    <col min="6930" max="6930" width="8" customWidth="1"/>
    <col min="6931" max="6931" width="2" customWidth="1"/>
    <col min="7169" max="7169" width="21.1640625" customWidth="1"/>
    <col min="7170" max="7170" width="10" customWidth="1"/>
    <col min="7171" max="7171" width="6.33203125" customWidth="1"/>
    <col min="7172" max="7172" width="2.33203125" customWidth="1"/>
    <col min="7173" max="7173" width="7.83203125" customWidth="1"/>
    <col min="7174" max="7174" width="7.5" customWidth="1"/>
    <col min="7175" max="7175" width="2.33203125" customWidth="1"/>
    <col min="7176" max="7176" width="9.6640625" customWidth="1"/>
    <col min="7177" max="7177" width="6.6640625" customWidth="1"/>
    <col min="7178" max="7178" width="2.33203125" customWidth="1"/>
    <col min="7179" max="7179" width="9.5" customWidth="1"/>
    <col min="7180" max="7180" width="6.6640625" customWidth="1"/>
    <col min="7181" max="7181" width="2.33203125" customWidth="1"/>
    <col min="7182" max="7183" width="7" customWidth="1"/>
    <col min="7184" max="7184" width="2.33203125" customWidth="1"/>
    <col min="7185" max="7185" width="7" customWidth="1"/>
    <col min="7186" max="7186" width="8" customWidth="1"/>
    <col min="7187" max="7187" width="2" customWidth="1"/>
    <col min="7425" max="7425" width="21.1640625" customWidth="1"/>
    <col min="7426" max="7426" width="10" customWidth="1"/>
    <col min="7427" max="7427" width="6.33203125" customWidth="1"/>
    <col min="7428" max="7428" width="2.33203125" customWidth="1"/>
    <col min="7429" max="7429" width="7.83203125" customWidth="1"/>
    <col min="7430" max="7430" width="7.5" customWidth="1"/>
    <col min="7431" max="7431" width="2.33203125" customWidth="1"/>
    <col min="7432" max="7432" width="9.6640625" customWidth="1"/>
    <col min="7433" max="7433" width="6.6640625" customWidth="1"/>
    <col min="7434" max="7434" width="2.33203125" customWidth="1"/>
    <col min="7435" max="7435" width="9.5" customWidth="1"/>
    <col min="7436" max="7436" width="6.6640625" customWidth="1"/>
    <col min="7437" max="7437" width="2.33203125" customWidth="1"/>
    <col min="7438" max="7439" width="7" customWidth="1"/>
    <col min="7440" max="7440" width="2.33203125" customWidth="1"/>
    <col min="7441" max="7441" width="7" customWidth="1"/>
    <col min="7442" max="7442" width="8" customWidth="1"/>
    <col min="7443" max="7443" width="2" customWidth="1"/>
    <col min="7681" max="7681" width="21.1640625" customWidth="1"/>
    <col min="7682" max="7682" width="10" customWidth="1"/>
    <col min="7683" max="7683" width="6.33203125" customWidth="1"/>
    <col min="7684" max="7684" width="2.33203125" customWidth="1"/>
    <col min="7685" max="7685" width="7.83203125" customWidth="1"/>
    <col min="7686" max="7686" width="7.5" customWidth="1"/>
    <col min="7687" max="7687" width="2.33203125" customWidth="1"/>
    <col min="7688" max="7688" width="9.6640625" customWidth="1"/>
    <col min="7689" max="7689" width="6.6640625" customWidth="1"/>
    <col min="7690" max="7690" width="2.33203125" customWidth="1"/>
    <col min="7691" max="7691" width="9.5" customWidth="1"/>
    <col min="7692" max="7692" width="6.6640625" customWidth="1"/>
    <col min="7693" max="7693" width="2.33203125" customWidth="1"/>
    <col min="7694" max="7695" width="7" customWidth="1"/>
    <col min="7696" max="7696" width="2.33203125" customWidth="1"/>
    <col min="7697" max="7697" width="7" customWidth="1"/>
    <col min="7698" max="7698" width="8" customWidth="1"/>
    <col min="7699" max="7699" width="2" customWidth="1"/>
    <col min="7937" max="7937" width="21.1640625" customWidth="1"/>
    <col min="7938" max="7938" width="10" customWidth="1"/>
    <col min="7939" max="7939" width="6.33203125" customWidth="1"/>
    <col min="7940" max="7940" width="2.33203125" customWidth="1"/>
    <col min="7941" max="7941" width="7.83203125" customWidth="1"/>
    <col min="7942" max="7942" width="7.5" customWidth="1"/>
    <col min="7943" max="7943" width="2.33203125" customWidth="1"/>
    <col min="7944" max="7944" width="9.6640625" customWidth="1"/>
    <col min="7945" max="7945" width="6.6640625" customWidth="1"/>
    <col min="7946" max="7946" width="2.33203125" customWidth="1"/>
    <col min="7947" max="7947" width="9.5" customWidth="1"/>
    <col min="7948" max="7948" width="6.6640625" customWidth="1"/>
    <col min="7949" max="7949" width="2.33203125" customWidth="1"/>
    <col min="7950" max="7951" width="7" customWidth="1"/>
    <col min="7952" max="7952" width="2.33203125" customWidth="1"/>
    <col min="7953" max="7953" width="7" customWidth="1"/>
    <col min="7954" max="7954" width="8" customWidth="1"/>
    <col min="7955" max="7955" width="2" customWidth="1"/>
    <col min="8193" max="8193" width="21.1640625" customWidth="1"/>
    <col min="8194" max="8194" width="10" customWidth="1"/>
    <col min="8195" max="8195" width="6.33203125" customWidth="1"/>
    <col min="8196" max="8196" width="2.33203125" customWidth="1"/>
    <col min="8197" max="8197" width="7.83203125" customWidth="1"/>
    <col min="8198" max="8198" width="7.5" customWidth="1"/>
    <col min="8199" max="8199" width="2.33203125" customWidth="1"/>
    <col min="8200" max="8200" width="9.6640625" customWidth="1"/>
    <col min="8201" max="8201" width="6.6640625" customWidth="1"/>
    <col min="8202" max="8202" width="2.33203125" customWidth="1"/>
    <col min="8203" max="8203" width="9.5" customWidth="1"/>
    <col min="8204" max="8204" width="6.6640625" customWidth="1"/>
    <col min="8205" max="8205" width="2.33203125" customWidth="1"/>
    <col min="8206" max="8207" width="7" customWidth="1"/>
    <col min="8208" max="8208" width="2.33203125" customWidth="1"/>
    <col min="8209" max="8209" width="7" customWidth="1"/>
    <col min="8210" max="8210" width="8" customWidth="1"/>
    <col min="8211" max="8211" width="2" customWidth="1"/>
    <col min="8449" max="8449" width="21.1640625" customWidth="1"/>
    <col min="8450" max="8450" width="10" customWidth="1"/>
    <col min="8451" max="8451" width="6.33203125" customWidth="1"/>
    <col min="8452" max="8452" width="2.33203125" customWidth="1"/>
    <col min="8453" max="8453" width="7.83203125" customWidth="1"/>
    <col min="8454" max="8454" width="7.5" customWidth="1"/>
    <col min="8455" max="8455" width="2.33203125" customWidth="1"/>
    <col min="8456" max="8456" width="9.6640625" customWidth="1"/>
    <col min="8457" max="8457" width="6.6640625" customWidth="1"/>
    <col min="8458" max="8458" width="2.33203125" customWidth="1"/>
    <col min="8459" max="8459" width="9.5" customWidth="1"/>
    <col min="8460" max="8460" width="6.6640625" customWidth="1"/>
    <col min="8461" max="8461" width="2.33203125" customWidth="1"/>
    <col min="8462" max="8463" width="7" customWidth="1"/>
    <col min="8464" max="8464" width="2.33203125" customWidth="1"/>
    <col min="8465" max="8465" width="7" customWidth="1"/>
    <col min="8466" max="8466" width="8" customWidth="1"/>
    <col min="8467" max="8467" width="2" customWidth="1"/>
    <col min="8705" max="8705" width="21.1640625" customWidth="1"/>
    <col min="8706" max="8706" width="10" customWidth="1"/>
    <col min="8707" max="8707" width="6.33203125" customWidth="1"/>
    <col min="8708" max="8708" width="2.33203125" customWidth="1"/>
    <col min="8709" max="8709" width="7.83203125" customWidth="1"/>
    <col min="8710" max="8710" width="7.5" customWidth="1"/>
    <col min="8711" max="8711" width="2.33203125" customWidth="1"/>
    <col min="8712" max="8712" width="9.6640625" customWidth="1"/>
    <col min="8713" max="8713" width="6.6640625" customWidth="1"/>
    <col min="8714" max="8714" width="2.33203125" customWidth="1"/>
    <col min="8715" max="8715" width="9.5" customWidth="1"/>
    <col min="8716" max="8716" width="6.6640625" customWidth="1"/>
    <col min="8717" max="8717" width="2.33203125" customWidth="1"/>
    <col min="8718" max="8719" width="7" customWidth="1"/>
    <col min="8720" max="8720" width="2.33203125" customWidth="1"/>
    <col min="8721" max="8721" width="7" customWidth="1"/>
    <col min="8722" max="8722" width="8" customWidth="1"/>
    <col min="8723" max="8723" width="2" customWidth="1"/>
    <col min="8961" max="8961" width="21.1640625" customWidth="1"/>
    <col min="8962" max="8962" width="10" customWidth="1"/>
    <col min="8963" max="8963" width="6.33203125" customWidth="1"/>
    <col min="8964" max="8964" width="2.33203125" customWidth="1"/>
    <col min="8965" max="8965" width="7.83203125" customWidth="1"/>
    <col min="8966" max="8966" width="7.5" customWidth="1"/>
    <col min="8967" max="8967" width="2.33203125" customWidth="1"/>
    <col min="8968" max="8968" width="9.6640625" customWidth="1"/>
    <col min="8969" max="8969" width="6.6640625" customWidth="1"/>
    <col min="8970" max="8970" width="2.33203125" customWidth="1"/>
    <col min="8971" max="8971" width="9.5" customWidth="1"/>
    <col min="8972" max="8972" width="6.6640625" customWidth="1"/>
    <col min="8973" max="8973" width="2.33203125" customWidth="1"/>
    <col min="8974" max="8975" width="7" customWidth="1"/>
    <col min="8976" max="8976" width="2.33203125" customWidth="1"/>
    <col min="8977" max="8977" width="7" customWidth="1"/>
    <col min="8978" max="8978" width="8" customWidth="1"/>
    <col min="8979" max="8979" width="2" customWidth="1"/>
    <col min="9217" max="9217" width="21.1640625" customWidth="1"/>
    <col min="9218" max="9218" width="10" customWidth="1"/>
    <col min="9219" max="9219" width="6.33203125" customWidth="1"/>
    <col min="9220" max="9220" width="2.33203125" customWidth="1"/>
    <col min="9221" max="9221" width="7.83203125" customWidth="1"/>
    <col min="9222" max="9222" width="7.5" customWidth="1"/>
    <col min="9223" max="9223" width="2.33203125" customWidth="1"/>
    <col min="9224" max="9224" width="9.6640625" customWidth="1"/>
    <col min="9225" max="9225" width="6.6640625" customWidth="1"/>
    <col min="9226" max="9226" width="2.33203125" customWidth="1"/>
    <col min="9227" max="9227" width="9.5" customWidth="1"/>
    <col min="9228" max="9228" width="6.6640625" customWidth="1"/>
    <col min="9229" max="9229" width="2.33203125" customWidth="1"/>
    <col min="9230" max="9231" width="7" customWidth="1"/>
    <col min="9232" max="9232" width="2.33203125" customWidth="1"/>
    <col min="9233" max="9233" width="7" customWidth="1"/>
    <col min="9234" max="9234" width="8" customWidth="1"/>
    <col min="9235" max="9235" width="2" customWidth="1"/>
    <col min="9473" max="9473" width="21.1640625" customWidth="1"/>
    <col min="9474" max="9474" width="10" customWidth="1"/>
    <col min="9475" max="9475" width="6.33203125" customWidth="1"/>
    <col min="9476" max="9476" width="2.33203125" customWidth="1"/>
    <col min="9477" max="9477" width="7.83203125" customWidth="1"/>
    <col min="9478" max="9478" width="7.5" customWidth="1"/>
    <col min="9479" max="9479" width="2.33203125" customWidth="1"/>
    <col min="9480" max="9480" width="9.6640625" customWidth="1"/>
    <col min="9481" max="9481" width="6.6640625" customWidth="1"/>
    <col min="9482" max="9482" width="2.33203125" customWidth="1"/>
    <col min="9483" max="9483" width="9.5" customWidth="1"/>
    <col min="9484" max="9484" width="6.6640625" customWidth="1"/>
    <col min="9485" max="9485" width="2.33203125" customWidth="1"/>
    <col min="9486" max="9487" width="7" customWidth="1"/>
    <col min="9488" max="9488" width="2.33203125" customWidth="1"/>
    <col min="9489" max="9489" width="7" customWidth="1"/>
    <col min="9490" max="9490" width="8" customWidth="1"/>
    <col min="9491" max="9491" width="2" customWidth="1"/>
    <col min="9729" max="9729" width="21.1640625" customWidth="1"/>
    <col min="9730" max="9730" width="10" customWidth="1"/>
    <col min="9731" max="9731" width="6.33203125" customWidth="1"/>
    <col min="9732" max="9732" width="2.33203125" customWidth="1"/>
    <col min="9733" max="9733" width="7.83203125" customWidth="1"/>
    <col min="9734" max="9734" width="7.5" customWidth="1"/>
    <col min="9735" max="9735" width="2.33203125" customWidth="1"/>
    <col min="9736" max="9736" width="9.6640625" customWidth="1"/>
    <col min="9737" max="9737" width="6.6640625" customWidth="1"/>
    <col min="9738" max="9738" width="2.33203125" customWidth="1"/>
    <col min="9739" max="9739" width="9.5" customWidth="1"/>
    <col min="9740" max="9740" width="6.6640625" customWidth="1"/>
    <col min="9741" max="9741" width="2.33203125" customWidth="1"/>
    <col min="9742" max="9743" width="7" customWidth="1"/>
    <col min="9744" max="9744" width="2.33203125" customWidth="1"/>
    <col min="9745" max="9745" width="7" customWidth="1"/>
    <col min="9746" max="9746" width="8" customWidth="1"/>
    <col min="9747" max="9747" width="2" customWidth="1"/>
    <col min="9985" max="9985" width="21.1640625" customWidth="1"/>
    <col min="9986" max="9986" width="10" customWidth="1"/>
    <col min="9987" max="9987" width="6.33203125" customWidth="1"/>
    <col min="9988" max="9988" width="2.33203125" customWidth="1"/>
    <col min="9989" max="9989" width="7.83203125" customWidth="1"/>
    <col min="9990" max="9990" width="7.5" customWidth="1"/>
    <col min="9991" max="9991" width="2.33203125" customWidth="1"/>
    <col min="9992" max="9992" width="9.6640625" customWidth="1"/>
    <col min="9993" max="9993" width="6.6640625" customWidth="1"/>
    <col min="9994" max="9994" width="2.33203125" customWidth="1"/>
    <col min="9995" max="9995" width="9.5" customWidth="1"/>
    <col min="9996" max="9996" width="6.6640625" customWidth="1"/>
    <col min="9997" max="9997" width="2.33203125" customWidth="1"/>
    <col min="9998" max="9999" width="7" customWidth="1"/>
    <col min="10000" max="10000" width="2.33203125" customWidth="1"/>
    <col min="10001" max="10001" width="7" customWidth="1"/>
    <col min="10002" max="10002" width="8" customWidth="1"/>
    <col min="10003" max="10003" width="2" customWidth="1"/>
    <col min="10241" max="10241" width="21.1640625" customWidth="1"/>
    <col min="10242" max="10242" width="10" customWidth="1"/>
    <col min="10243" max="10243" width="6.33203125" customWidth="1"/>
    <col min="10244" max="10244" width="2.33203125" customWidth="1"/>
    <col min="10245" max="10245" width="7.83203125" customWidth="1"/>
    <col min="10246" max="10246" width="7.5" customWidth="1"/>
    <col min="10247" max="10247" width="2.33203125" customWidth="1"/>
    <col min="10248" max="10248" width="9.6640625" customWidth="1"/>
    <col min="10249" max="10249" width="6.6640625" customWidth="1"/>
    <col min="10250" max="10250" width="2.33203125" customWidth="1"/>
    <col min="10251" max="10251" width="9.5" customWidth="1"/>
    <col min="10252" max="10252" width="6.6640625" customWidth="1"/>
    <col min="10253" max="10253" width="2.33203125" customWidth="1"/>
    <col min="10254" max="10255" width="7" customWidth="1"/>
    <col min="10256" max="10256" width="2.33203125" customWidth="1"/>
    <col min="10257" max="10257" width="7" customWidth="1"/>
    <col min="10258" max="10258" width="8" customWidth="1"/>
    <col min="10259" max="10259" width="2" customWidth="1"/>
    <col min="10497" max="10497" width="21.1640625" customWidth="1"/>
    <col min="10498" max="10498" width="10" customWidth="1"/>
    <col min="10499" max="10499" width="6.33203125" customWidth="1"/>
    <col min="10500" max="10500" width="2.33203125" customWidth="1"/>
    <col min="10501" max="10501" width="7.83203125" customWidth="1"/>
    <col min="10502" max="10502" width="7.5" customWidth="1"/>
    <col min="10503" max="10503" width="2.33203125" customWidth="1"/>
    <col min="10504" max="10504" width="9.6640625" customWidth="1"/>
    <col min="10505" max="10505" width="6.6640625" customWidth="1"/>
    <col min="10506" max="10506" width="2.33203125" customWidth="1"/>
    <col min="10507" max="10507" width="9.5" customWidth="1"/>
    <col min="10508" max="10508" width="6.6640625" customWidth="1"/>
    <col min="10509" max="10509" width="2.33203125" customWidth="1"/>
    <col min="10510" max="10511" width="7" customWidth="1"/>
    <col min="10512" max="10512" width="2.33203125" customWidth="1"/>
    <col min="10513" max="10513" width="7" customWidth="1"/>
    <col min="10514" max="10514" width="8" customWidth="1"/>
    <col min="10515" max="10515" width="2" customWidth="1"/>
    <col min="10753" max="10753" width="21.1640625" customWidth="1"/>
    <col min="10754" max="10754" width="10" customWidth="1"/>
    <col min="10755" max="10755" width="6.33203125" customWidth="1"/>
    <col min="10756" max="10756" width="2.33203125" customWidth="1"/>
    <col min="10757" max="10757" width="7.83203125" customWidth="1"/>
    <col min="10758" max="10758" width="7.5" customWidth="1"/>
    <col min="10759" max="10759" width="2.33203125" customWidth="1"/>
    <col min="10760" max="10760" width="9.6640625" customWidth="1"/>
    <col min="10761" max="10761" width="6.6640625" customWidth="1"/>
    <col min="10762" max="10762" width="2.33203125" customWidth="1"/>
    <col min="10763" max="10763" width="9.5" customWidth="1"/>
    <col min="10764" max="10764" width="6.6640625" customWidth="1"/>
    <col min="10765" max="10765" width="2.33203125" customWidth="1"/>
    <col min="10766" max="10767" width="7" customWidth="1"/>
    <col min="10768" max="10768" width="2.33203125" customWidth="1"/>
    <col min="10769" max="10769" width="7" customWidth="1"/>
    <col min="10770" max="10770" width="8" customWidth="1"/>
    <col min="10771" max="10771" width="2" customWidth="1"/>
    <col min="11009" max="11009" width="21.1640625" customWidth="1"/>
    <col min="11010" max="11010" width="10" customWidth="1"/>
    <col min="11011" max="11011" width="6.33203125" customWidth="1"/>
    <col min="11012" max="11012" width="2.33203125" customWidth="1"/>
    <col min="11013" max="11013" width="7.83203125" customWidth="1"/>
    <col min="11014" max="11014" width="7.5" customWidth="1"/>
    <col min="11015" max="11015" width="2.33203125" customWidth="1"/>
    <col min="11016" max="11016" width="9.6640625" customWidth="1"/>
    <col min="11017" max="11017" width="6.6640625" customWidth="1"/>
    <col min="11018" max="11018" width="2.33203125" customWidth="1"/>
    <col min="11019" max="11019" width="9.5" customWidth="1"/>
    <col min="11020" max="11020" width="6.6640625" customWidth="1"/>
    <col min="11021" max="11021" width="2.33203125" customWidth="1"/>
    <col min="11022" max="11023" width="7" customWidth="1"/>
    <col min="11024" max="11024" width="2.33203125" customWidth="1"/>
    <col min="11025" max="11025" width="7" customWidth="1"/>
    <col min="11026" max="11026" width="8" customWidth="1"/>
    <col min="11027" max="11027" width="2" customWidth="1"/>
    <col min="11265" max="11265" width="21.1640625" customWidth="1"/>
    <col min="11266" max="11266" width="10" customWidth="1"/>
    <col min="11267" max="11267" width="6.33203125" customWidth="1"/>
    <col min="11268" max="11268" width="2.33203125" customWidth="1"/>
    <col min="11269" max="11269" width="7.83203125" customWidth="1"/>
    <col min="11270" max="11270" width="7.5" customWidth="1"/>
    <col min="11271" max="11271" width="2.33203125" customWidth="1"/>
    <col min="11272" max="11272" width="9.6640625" customWidth="1"/>
    <col min="11273" max="11273" width="6.6640625" customWidth="1"/>
    <col min="11274" max="11274" width="2.33203125" customWidth="1"/>
    <col min="11275" max="11275" width="9.5" customWidth="1"/>
    <col min="11276" max="11276" width="6.6640625" customWidth="1"/>
    <col min="11277" max="11277" width="2.33203125" customWidth="1"/>
    <col min="11278" max="11279" width="7" customWidth="1"/>
    <col min="11280" max="11280" width="2.33203125" customWidth="1"/>
    <col min="11281" max="11281" width="7" customWidth="1"/>
    <col min="11282" max="11282" width="8" customWidth="1"/>
    <col min="11283" max="11283" width="2" customWidth="1"/>
    <col min="11521" max="11521" width="21.1640625" customWidth="1"/>
    <col min="11522" max="11522" width="10" customWidth="1"/>
    <col min="11523" max="11523" width="6.33203125" customWidth="1"/>
    <col min="11524" max="11524" width="2.33203125" customWidth="1"/>
    <col min="11525" max="11525" width="7.83203125" customWidth="1"/>
    <col min="11526" max="11526" width="7.5" customWidth="1"/>
    <col min="11527" max="11527" width="2.33203125" customWidth="1"/>
    <col min="11528" max="11528" width="9.6640625" customWidth="1"/>
    <col min="11529" max="11529" width="6.6640625" customWidth="1"/>
    <col min="11530" max="11530" width="2.33203125" customWidth="1"/>
    <col min="11531" max="11531" width="9.5" customWidth="1"/>
    <col min="11532" max="11532" width="6.6640625" customWidth="1"/>
    <col min="11533" max="11533" width="2.33203125" customWidth="1"/>
    <col min="11534" max="11535" width="7" customWidth="1"/>
    <col min="11536" max="11536" width="2.33203125" customWidth="1"/>
    <col min="11537" max="11537" width="7" customWidth="1"/>
    <col min="11538" max="11538" width="8" customWidth="1"/>
    <col min="11539" max="11539" width="2" customWidth="1"/>
    <col min="11777" max="11777" width="21.1640625" customWidth="1"/>
    <col min="11778" max="11778" width="10" customWidth="1"/>
    <col min="11779" max="11779" width="6.33203125" customWidth="1"/>
    <col min="11780" max="11780" width="2.33203125" customWidth="1"/>
    <col min="11781" max="11781" width="7.83203125" customWidth="1"/>
    <col min="11782" max="11782" width="7.5" customWidth="1"/>
    <col min="11783" max="11783" width="2.33203125" customWidth="1"/>
    <col min="11784" max="11784" width="9.6640625" customWidth="1"/>
    <col min="11785" max="11785" width="6.6640625" customWidth="1"/>
    <col min="11786" max="11786" width="2.33203125" customWidth="1"/>
    <col min="11787" max="11787" width="9.5" customWidth="1"/>
    <col min="11788" max="11788" width="6.6640625" customWidth="1"/>
    <col min="11789" max="11789" width="2.33203125" customWidth="1"/>
    <col min="11790" max="11791" width="7" customWidth="1"/>
    <col min="11792" max="11792" width="2.33203125" customWidth="1"/>
    <col min="11793" max="11793" width="7" customWidth="1"/>
    <col min="11794" max="11794" width="8" customWidth="1"/>
    <col min="11795" max="11795" width="2" customWidth="1"/>
    <col min="12033" max="12033" width="21.1640625" customWidth="1"/>
    <col min="12034" max="12034" width="10" customWidth="1"/>
    <col min="12035" max="12035" width="6.33203125" customWidth="1"/>
    <col min="12036" max="12036" width="2.33203125" customWidth="1"/>
    <col min="12037" max="12037" width="7.83203125" customWidth="1"/>
    <col min="12038" max="12038" width="7.5" customWidth="1"/>
    <col min="12039" max="12039" width="2.33203125" customWidth="1"/>
    <col min="12040" max="12040" width="9.6640625" customWidth="1"/>
    <col min="12041" max="12041" width="6.6640625" customWidth="1"/>
    <col min="12042" max="12042" width="2.33203125" customWidth="1"/>
    <col min="12043" max="12043" width="9.5" customWidth="1"/>
    <col min="12044" max="12044" width="6.6640625" customWidth="1"/>
    <col min="12045" max="12045" width="2.33203125" customWidth="1"/>
    <col min="12046" max="12047" width="7" customWidth="1"/>
    <col min="12048" max="12048" width="2.33203125" customWidth="1"/>
    <col min="12049" max="12049" width="7" customWidth="1"/>
    <col min="12050" max="12050" width="8" customWidth="1"/>
    <col min="12051" max="12051" width="2" customWidth="1"/>
    <col min="12289" max="12289" width="21.1640625" customWidth="1"/>
    <col min="12290" max="12290" width="10" customWidth="1"/>
    <col min="12291" max="12291" width="6.33203125" customWidth="1"/>
    <col min="12292" max="12292" width="2.33203125" customWidth="1"/>
    <col min="12293" max="12293" width="7.83203125" customWidth="1"/>
    <col min="12294" max="12294" width="7.5" customWidth="1"/>
    <col min="12295" max="12295" width="2.33203125" customWidth="1"/>
    <col min="12296" max="12296" width="9.6640625" customWidth="1"/>
    <col min="12297" max="12297" width="6.6640625" customWidth="1"/>
    <col min="12298" max="12298" width="2.33203125" customWidth="1"/>
    <col min="12299" max="12299" width="9.5" customWidth="1"/>
    <col min="12300" max="12300" width="6.6640625" customWidth="1"/>
    <col min="12301" max="12301" width="2.33203125" customWidth="1"/>
    <col min="12302" max="12303" width="7" customWidth="1"/>
    <col min="12304" max="12304" width="2.33203125" customWidth="1"/>
    <col min="12305" max="12305" width="7" customWidth="1"/>
    <col min="12306" max="12306" width="8" customWidth="1"/>
    <col min="12307" max="12307" width="2" customWidth="1"/>
    <col min="12545" max="12545" width="21.1640625" customWidth="1"/>
    <col min="12546" max="12546" width="10" customWidth="1"/>
    <col min="12547" max="12547" width="6.33203125" customWidth="1"/>
    <col min="12548" max="12548" width="2.33203125" customWidth="1"/>
    <col min="12549" max="12549" width="7.83203125" customWidth="1"/>
    <col min="12550" max="12550" width="7.5" customWidth="1"/>
    <col min="12551" max="12551" width="2.33203125" customWidth="1"/>
    <col min="12552" max="12552" width="9.6640625" customWidth="1"/>
    <col min="12553" max="12553" width="6.6640625" customWidth="1"/>
    <col min="12554" max="12554" width="2.33203125" customWidth="1"/>
    <col min="12555" max="12555" width="9.5" customWidth="1"/>
    <col min="12556" max="12556" width="6.6640625" customWidth="1"/>
    <col min="12557" max="12557" width="2.33203125" customWidth="1"/>
    <col min="12558" max="12559" width="7" customWidth="1"/>
    <col min="12560" max="12560" width="2.33203125" customWidth="1"/>
    <col min="12561" max="12561" width="7" customWidth="1"/>
    <col min="12562" max="12562" width="8" customWidth="1"/>
    <col min="12563" max="12563" width="2" customWidth="1"/>
    <col min="12801" max="12801" width="21.1640625" customWidth="1"/>
    <col min="12802" max="12802" width="10" customWidth="1"/>
    <col min="12803" max="12803" width="6.33203125" customWidth="1"/>
    <col min="12804" max="12804" width="2.33203125" customWidth="1"/>
    <col min="12805" max="12805" width="7.83203125" customWidth="1"/>
    <col min="12806" max="12806" width="7.5" customWidth="1"/>
    <col min="12807" max="12807" width="2.33203125" customWidth="1"/>
    <col min="12808" max="12808" width="9.6640625" customWidth="1"/>
    <col min="12809" max="12809" width="6.6640625" customWidth="1"/>
    <col min="12810" max="12810" width="2.33203125" customWidth="1"/>
    <col min="12811" max="12811" width="9.5" customWidth="1"/>
    <col min="12812" max="12812" width="6.6640625" customWidth="1"/>
    <col min="12813" max="12813" width="2.33203125" customWidth="1"/>
    <col min="12814" max="12815" width="7" customWidth="1"/>
    <col min="12816" max="12816" width="2.33203125" customWidth="1"/>
    <col min="12817" max="12817" width="7" customWidth="1"/>
    <col min="12818" max="12818" width="8" customWidth="1"/>
    <col min="12819" max="12819" width="2" customWidth="1"/>
    <col min="13057" max="13057" width="21.1640625" customWidth="1"/>
    <col min="13058" max="13058" width="10" customWidth="1"/>
    <col min="13059" max="13059" width="6.33203125" customWidth="1"/>
    <col min="13060" max="13060" width="2.33203125" customWidth="1"/>
    <col min="13061" max="13061" width="7.83203125" customWidth="1"/>
    <col min="13062" max="13062" width="7.5" customWidth="1"/>
    <col min="13063" max="13063" width="2.33203125" customWidth="1"/>
    <col min="13064" max="13064" width="9.6640625" customWidth="1"/>
    <col min="13065" max="13065" width="6.6640625" customWidth="1"/>
    <col min="13066" max="13066" width="2.33203125" customWidth="1"/>
    <col min="13067" max="13067" width="9.5" customWidth="1"/>
    <col min="13068" max="13068" width="6.6640625" customWidth="1"/>
    <col min="13069" max="13069" width="2.33203125" customWidth="1"/>
    <col min="13070" max="13071" width="7" customWidth="1"/>
    <col min="13072" max="13072" width="2.33203125" customWidth="1"/>
    <col min="13073" max="13073" width="7" customWidth="1"/>
    <col min="13074" max="13074" width="8" customWidth="1"/>
    <col min="13075" max="13075" width="2" customWidth="1"/>
    <col min="13313" max="13313" width="21.1640625" customWidth="1"/>
    <col min="13314" max="13314" width="10" customWidth="1"/>
    <col min="13315" max="13315" width="6.33203125" customWidth="1"/>
    <col min="13316" max="13316" width="2.33203125" customWidth="1"/>
    <col min="13317" max="13317" width="7.83203125" customWidth="1"/>
    <col min="13318" max="13318" width="7.5" customWidth="1"/>
    <col min="13319" max="13319" width="2.33203125" customWidth="1"/>
    <col min="13320" max="13320" width="9.6640625" customWidth="1"/>
    <col min="13321" max="13321" width="6.6640625" customWidth="1"/>
    <col min="13322" max="13322" width="2.33203125" customWidth="1"/>
    <col min="13323" max="13323" width="9.5" customWidth="1"/>
    <col min="13324" max="13324" width="6.6640625" customWidth="1"/>
    <col min="13325" max="13325" width="2.33203125" customWidth="1"/>
    <col min="13326" max="13327" width="7" customWidth="1"/>
    <col min="13328" max="13328" width="2.33203125" customWidth="1"/>
    <col min="13329" max="13329" width="7" customWidth="1"/>
    <col min="13330" max="13330" width="8" customWidth="1"/>
    <col min="13331" max="13331" width="2" customWidth="1"/>
    <col min="13569" max="13569" width="21.1640625" customWidth="1"/>
    <col min="13570" max="13570" width="10" customWidth="1"/>
    <col min="13571" max="13571" width="6.33203125" customWidth="1"/>
    <col min="13572" max="13572" width="2.33203125" customWidth="1"/>
    <col min="13573" max="13573" width="7.83203125" customWidth="1"/>
    <col min="13574" max="13574" width="7.5" customWidth="1"/>
    <col min="13575" max="13575" width="2.33203125" customWidth="1"/>
    <col min="13576" max="13576" width="9.6640625" customWidth="1"/>
    <col min="13577" max="13577" width="6.6640625" customWidth="1"/>
    <col min="13578" max="13578" width="2.33203125" customWidth="1"/>
    <col min="13579" max="13579" width="9.5" customWidth="1"/>
    <col min="13580" max="13580" width="6.6640625" customWidth="1"/>
    <col min="13581" max="13581" width="2.33203125" customWidth="1"/>
    <col min="13582" max="13583" width="7" customWidth="1"/>
    <col min="13584" max="13584" width="2.33203125" customWidth="1"/>
    <col min="13585" max="13585" width="7" customWidth="1"/>
    <col min="13586" max="13586" width="8" customWidth="1"/>
    <col min="13587" max="13587" width="2" customWidth="1"/>
    <col min="13825" max="13825" width="21.1640625" customWidth="1"/>
    <col min="13826" max="13826" width="10" customWidth="1"/>
    <col min="13827" max="13827" width="6.33203125" customWidth="1"/>
    <col min="13828" max="13828" width="2.33203125" customWidth="1"/>
    <col min="13829" max="13829" width="7.83203125" customWidth="1"/>
    <col min="13830" max="13830" width="7.5" customWidth="1"/>
    <col min="13831" max="13831" width="2.33203125" customWidth="1"/>
    <col min="13832" max="13832" width="9.6640625" customWidth="1"/>
    <col min="13833" max="13833" width="6.6640625" customWidth="1"/>
    <col min="13834" max="13834" width="2.33203125" customWidth="1"/>
    <col min="13835" max="13835" width="9.5" customWidth="1"/>
    <col min="13836" max="13836" width="6.6640625" customWidth="1"/>
    <col min="13837" max="13837" width="2.33203125" customWidth="1"/>
    <col min="13838" max="13839" width="7" customWidth="1"/>
    <col min="13840" max="13840" width="2.33203125" customWidth="1"/>
    <col min="13841" max="13841" width="7" customWidth="1"/>
    <col min="13842" max="13842" width="8" customWidth="1"/>
    <col min="13843" max="13843" width="2" customWidth="1"/>
    <col min="14081" max="14081" width="21.1640625" customWidth="1"/>
    <col min="14082" max="14082" width="10" customWidth="1"/>
    <col min="14083" max="14083" width="6.33203125" customWidth="1"/>
    <col min="14084" max="14084" width="2.33203125" customWidth="1"/>
    <col min="14085" max="14085" width="7.83203125" customWidth="1"/>
    <col min="14086" max="14086" width="7.5" customWidth="1"/>
    <col min="14087" max="14087" width="2.33203125" customWidth="1"/>
    <col min="14088" max="14088" width="9.6640625" customWidth="1"/>
    <col min="14089" max="14089" width="6.6640625" customWidth="1"/>
    <col min="14090" max="14090" width="2.33203125" customWidth="1"/>
    <col min="14091" max="14091" width="9.5" customWidth="1"/>
    <col min="14092" max="14092" width="6.6640625" customWidth="1"/>
    <col min="14093" max="14093" width="2.33203125" customWidth="1"/>
    <col min="14094" max="14095" width="7" customWidth="1"/>
    <col min="14096" max="14096" width="2.33203125" customWidth="1"/>
    <col min="14097" max="14097" width="7" customWidth="1"/>
    <col min="14098" max="14098" width="8" customWidth="1"/>
    <col min="14099" max="14099" width="2" customWidth="1"/>
    <col min="14337" max="14337" width="21.1640625" customWidth="1"/>
    <col min="14338" max="14338" width="10" customWidth="1"/>
    <col min="14339" max="14339" width="6.33203125" customWidth="1"/>
    <col min="14340" max="14340" width="2.33203125" customWidth="1"/>
    <col min="14341" max="14341" width="7.83203125" customWidth="1"/>
    <col min="14342" max="14342" width="7.5" customWidth="1"/>
    <col min="14343" max="14343" width="2.33203125" customWidth="1"/>
    <col min="14344" max="14344" width="9.6640625" customWidth="1"/>
    <col min="14345" max="14345" width="6.6640625" customWidth="1"/>
    <col min="14346" max="14346" width="2.33203125" customWidth="1"/>
    <col min="14347" max="14347" width="9.5" customWidth="1"/>
    <col min="14348" max="14348" width="6.6640625" customWidth="1"/>
    <col min="14349" max="14349" width="2.33203125" customWidth="1"/>
    <col min="14350" max="14351" width="7" customWidth="1"/>
    <col min="14352" max="14352" width="2.33203125" customWidth="1"/>
    <col min="14353" max="14353" width="7" customWidth="1"/>
    <col min="14354" max="14354" width="8" customWidth="1"/>
    <col min="14355" max="14355" width="2" customWidth="1"/>
    <col min="14593" max="14593" width="21.1640625" customWidth="1"/>
    <col min="14594" max="14594" width="10" customWidth="1"/>
    <col min="14595" max="14595" width="6.33203125" customWidth="1"/>
    <col min="14596" max="14596" width="2.33203125" customWidth="1"/>
    <col min="14597" max="14597" width="7.83203125" customWidth="1"/>
    <col min="14598" max="14598" width="7.5" customWidth="1"/>
    <col min="14599" max="14599" width="2.33203125" customWidth="1"/>
    <col min="14600" max="14600" width="9.6640625" customWidth="1"/>
    <col min="14601" max="14601" width="6.6640625" customWidth="1"/>
    <col min="14602" max="14602" width="2.33203125" customWidth="1"/>
    <col min="14603" max="14603" width="9.5" customWidth="1"/>
    <col min="14604" max="14604" width="6.6640625" customWidth="1"/>
    <col min="14605" max="14605" width="2.33203125" customWidth="1"/>
    <col min="14606" max="14607" width="7" customWidth="1"/>
    <col min="14608" max="14608" width="2.33203125" customWidth="1"/>
    <col min="14609" max="14609" width="7" customWidth="1"/>
    <col min="14610" max="14610" width="8" customWidth="1"/>
    <col min="14611" max="14611" width="2" customWidth="1"/>
    <col min="14849" max="14849" width="21.1640625" customWidth="1"/>
    <col min="14850" max="14850" width="10" customWidth="1"/>
    <col min="14851" max="14851" width="6.33203125" customWidth="1"/>
    <col min="14852" max="14852" width="2.33203125" customWidth="1"/>
    <col min="14853" max="14853" width="7.83203125" customWidth="1"/>
    <col min="14854" max="14854" width="7.5" customWidth="1"/>
    <col min="14855" max="14855" width="2.33203125" customWidth="1"/>
    <col min="14856" max="14856" width="9.6640625" customWidth="1"/>
    <col min="14857" max="14857" width="6.6640625" customWidth="1"/>
    <col min="14858" max="14858" width="2.33203125" customWidth="1"/>
    <col min="14859" max="14859" width="9.5" customWidth="1"/>
    <col min="14860" max="14860" width="6.6640625" customWidth="1"/>
    <col min="14861" max="14861" width="2.33203125" customWidth="1"/>
    <col min="14862" max="14863" width="7" customWidth="1"/>
    <col min="14864" max="14864" width="2.33203125" customWidth="1"/>
    <col min="14865" max="14865" width="7" customWidth="1"/>
    <col min="14866" max="14866" width="8" customWidth="1"/>
    <col min="14867" max="14867" width="2" customWidth="1"/>
    <col min="15105" max="15105" width="21.1640625" customWidth="1"/>
    <col min="15106" max="15106" width="10" customWidth="1"/>
    <col min="15107" max="15107" width="6.33203125" customWidth="1"/>
    <col min="15108" max="15108" width="2.33203125" customWidth="1"/>
    <col min="15109" max="15109" width="7.83203125" customWidth="1"/>
    <col min="15110" max="15110" width="7.5" customWidth="1"/>
    <col min="15111" max="15111" width="2.33203125" customWidth="1"/>
    <col min="15112" max="15112" width="9.6640625" customWidth="1"/>
    <col min="15113" max="15113" width="6.6640625" customWidth="1"/>
    <col min="15114" max="15114" width="2.33203125" customWidth="1"/>
    <col min="15115" max="15115" width="9.5" customWidth="1"/>
    <col min="15116" max="15116" width="6.6640625" customWidth="1"/>
    <col min="15117" max="15117" width="2.33203125" customWidth="1"/>
    <col min="15118" max="15119" width="7" customWidth="1"/>
    <col min="15120" max="15120" width="2.33203125" customWidth="1"/>
    <col min="15121" max="15121" width="7" customWidth="1"/>
    <col min="15122" max="15122" width="8" customWidth="1"/>
    <col min="15123" max="15123" width="2" customWidth="1"/>
    <col min="15361" max="15361" width="21.1640625" customWidth="1"/>
    <col min="15362" max="15362" width="10" customWidth="1"/>
    <col min="15363" max="15363" width="6.33203125" customWidth="1"/>
    <col min="15364" max="15364" width="2.33203125" customWidth="1"/>
    <col min="15365" max="15365" width="7.83203125" customWidth="1"/>
    <col min="15366" max="15366" width="7.5" customWidth="1"/>
    <col min="15367" max="15367" width="2.33203125" customWidth="1"/>
    <col min="15368" max="15368" width="9.6640625" customWidth="1"/>
    <col min="15369" max="15369" width="6.6640625" customWidth="1"/>
    <col min="15370" max="15370" width="2.33203125" customWidth="1"/>
    <col min="15371" max="15371" width="9.5" customWidth="1"/>
    <col min="15372" max="15372" width="6.6640625" customWidth="1"/>
    <col min="15373" max="15373" width="2.33203125" customWidth="1"/>
    <col min="15374" max="15375" width="7" customWidth="1"/>
    <col min="15376" max="15376" width="2.33203125" customWidth="1"/>
    <col min="15377" max="15377" width="7" customWidth="1"/>
    <col min="15378" max="15378" width="8" customWidth="1"/>
    <col min="15379" max="15379" width="2" customWidth="1"/>
    <col min="15617" max="15617" width="21.1640625" customWidth="1"/>
    <col min="15618" max="15618" width="10" customWidth="1"/>
    <col min="15619" max="15619" width="6.33203125" customWidth="1"/>
    <col min="15620" max="15620" width="2.33203125" customWidth="1"/>
    <col min="15621" max="15621" width="7.83203125" customWidth="1"/>
    <col min="15622" max="15622" width="7.5" customWidth="1"/>
    <col min="15623" max="15623" width="2.33203125" customWidth="1"/>
    <col min="15624" max="15624" width="9.6640625" customWidth="1"/>
    <col min="15625" max="15625" width="6.6640625" customWidth="1"/>
    <col min="15626" max="15626" width="2.33203125" customWidth="1"/>
    <col min="15627" max="15627" width="9.5" customWidth="1"/>
    <col min="15628" max="15628" width="6.6640625" customWidth="1"/>
    <col min="15629" max="15629" width="2.33203125" customWidth="1"/>
    <col min="15630" max="15631" width="7" customWidth="1"/>
    <col min="15632" max="15632" width="2.33203125" customWidth="1"/>
    <col min="15633" max="15633" width="7" customWidth="1"/>
    <col min="15634" max="15634" width="8" customWidth="1"/>
    <col min="15635" max="15635" width="2" customWidth="1"/>
    <col min="15873" max="15873" width="21.1640625" customWidth="1"/>
    <col min="15874" max="15874" width="10" customWidth="1"/>
    <col min="15875" max="15875" width="6.33203125" customWidth="1"/>
    <col min="15876" max="15876" width="2.33203125" customWidth="1"/>
    <col min="15877" max="15877" width="7.83203125" customWidth="1"/>
    <col min="15878" max="15878" width="7.5" customWidth="1"/>
    <col min="15879" max="15879" width="2.33203125" customWidth="1"/>
    <col min="15880" max="15880" width="9.6640625" customWidth="1"/>
    <col min="15881" max="15881" width="6.6640625" customWidth="1"/>
    <col min="15882" max="15882" width="2.33203125" customWidth="1"/>
    <col min="15883" max="15883" width="9.5" customWidth="1"/>
    <col min="15884" max="15884" width="6.6640625" customWidth="1"/>
    <col min="15885" max="15885" width="2.33203125" customWidth="1"/>
    <col min="15886" max="15887" width="7" customWidth="1"/>
    <col min="15888" max="15888" width="2.33203125" customWidth="1"/>
    <col min="15889" max="15889" width="7" customWidth="1"/>
    <col min="15890" max="15890" width="8" customWidth="1"/>
    <col min="15891" max="15891" width="2" customWidth="1"/>
    <col min="16129" max="16129" width="21.1640625" customWidth="1"/>
    <col min="16130" max="16130" width="10" customWidth="1"/>
    <col min="16131" max="16131" width="6.33203125" customWidth="1"/>
    <col min="16132" max="16132" width="2.33203125" customWidth="1"/>
    <col min="16133" max="16133" width="7.83203125" customWidth="1"/>
    <col min="16134" max="16134" width="7.5" customWidth="1"/>
    <col min="16135" max="16135" width="2.33203125" customWidth="1"/>
    <col min="16136" max="16136" width="9.6640625" customWidth="1"/>
    <col min="16137" max="16137" width="6.6640625" customWidth="1"/>
    <col min="16138" max="16138" width="2.33203125" customWidth="1"/>
    <col min="16139" max="16139" width="9.5" customWidth="1"/>
    <col min="16140" max="16140" width="6.6640625" customWidth="1"/>
    <col min="16141" max="16141" width="2.33203125" customWidth="1"/>
    <col min="16142" max="16143" width="7" customWidth="1"/>
    <col min="16144" max="16144" width="2.33203125" customWidth="1"/>
    <col min="16145" max="16145" width="7" customWidth="1"/>
    <col min="16146" max="16146" width="8" customWidth="1"/>
    <col min="16147" max="16147" width="2" customWidth="1"/>
  </cols>
  <sheetData>
    <row r="1" spans="1:19" s="33" customFormat="1" ht="13">
      <c r="A1" s="33" t="s">
        <v>674</v>
      </c>
    </row>
    <row r="2" spans="1:19" s="33" customFormat="1" ht="13">
      <c r="A2" s="33" t="s">
        <v>675</v>
      </c>
    </row>
    <row r="3" spans="1:19" s="33" customFormat="1" ht="13"/>
    <row r="4" spans="1:19" s="33" customFormat="1" ht="13">
      <c r="A4" s="14" t="s">
        <v>2020</v>
      </c>
    </row>
    <row r="5" spans="1:19" s="33" customFormat="1" ht="14" thickBot="1"/>
    <row r="6" spans="1:19" s="33" customFormat="1" ht="12.75" customHeight="1">
      <c r="A6" s="188"/>
      <c r="B6" s="188"/>
      <c r="C6" s="188"/>
      <c r="D6" s="188"/>
      <c r="E6" s="188"/>
      <c r="F6" s="188"/>
      <c r="G6" s="188"/>
      <c r="H6" s="188"/>
      <c r="I6" s="188"/>
      <c r="J6" s="188"/>
      <c r="K6" s="188"/>
      <c r="L6" s="188"/>
      <c r="M6" s="188"/>
      <c r="N6" s="188"/>
      <c r="O6" s="188"/>
      <c r="P6" s="188"/>
      <c r="Q6" s="188"/>
      <c r="R6" s="188"/>
      <c r="S6" s="188"/>
    </row>
    <row r="7" spans="1:19" s="33" customFormat="1" ht="12.75" customHeight="1">
      <c r="A7" s="57"/>
      <c r="B7" s="57"/>
      <c r="C7" s="57"/>
      <c r="D7" s="57"/>
      <c r="E7" s="57"/>
      <c r="F7" s="57"/>
      <c r="G7" s="57"/>
      <c r="H7" s="57"/>
      <c r="I7" s="57"/>
      <c r="J7" s="57"/>
    </row>
    <row r="8" spans="1:19" s="33" customFormat="1" ht="14.25" customHeight="1">
      <c r="A8" s="490" t="s">
        <v>1358</v>
      </c>
      <c r="B8" s="1056" t="s">
        <v>1359</v>
      </c>
      <c r="C8" s="1056"/>
      <c r="D8" s="794"/>
      <c r="E8" s="1056" t="s">
        <v>1370</v>
      </c>
      <c r="F8" s="1056"/>
      <c r="G8" s="794"/>
      <c r="H8" s="1056" t="s">
        <v>1371</v>
      </c>
      <c r="I8" s="1056"/>
      <c r="J8" s="794"/>
      <c r="K8" s="1056" t="s">
        <v>1372</v>
      </c>
      <c r="L8" s="1056"/>
      <c r="N8" s="1056" t="s">
        <v>1373</v>
      </c>
      <c r="O8" s="1056"/>
      <c r="Q8" s="1056" t="s">
        <v>1374</v>
      </c>
      <c r="R8" s="1056"/>
    </row>
    <row r="9" spans="1:19" s="33" customFormat="1" ht="13">
      <c r="A9" s="794" t="s">
        <v>1361</v>
      </c>
      <c r="B9" s="225" t="s">
        <v>152</v>
      </c>
      <c r="C9" s="225" t="s">
        <v>153</v>
      </c>
      <c r="D9" s="794"/>
      <c r="E9" s="225" t="s">
        <v>152</v>
      </c>
      <c r="F9" s="225" t="s">
        <v>153</v>
      </c>
      <c r="G9" s="794"/>
      <c r="H9" s="225" t="s">
        <v>152</v>
      </c>
      <c r="I9" s="225" t="s">
        <v>153</v>
      </c>
      <c r="J9" s="794"/>
      <c r="K9" s="225" t="s">
        <v>152</v>
      </c>
      <c r="L9" s="225" t="s">
        <v>153</v>
      </c>
      <c r="N9" s="225" t="s">
        <v>152</v>
      </c>
      <c r="O9" s="225" t="s">
        <v>153</v>
      </c>
      <c r="Q9" s="225" t="s">
        <v>152</v>
      </c>
      <c r="R9" s="225" t="s">
        <v>153</v>
      </c>
    </row>
    <row r="10" spans="1:19" s="33" customFormat="1" ht="14" thickBot="1">
      <c r="A10" s="199"/>
      <c r="B10" s="199"/>
      <c r="C10" s="199"/>
      <c r="D10" s="199"/>
      <c r="E10" s="199"/>
      <c r="F10" s="199"/>
      <c r="G10" s="199"/>
      <c r="H10" s="199"/>
      <c r="I10" s="199"/>
      <c r="J10" s="199"/>
    </row>
    <row r="11" spans="1:19" s="33" customFormat="1" ht="13">
      <c r="K11" s="188"/>
      <c r="L11" s="188"/>
      <c r="M11" s="188"/>
      <c r="N11" s="188"/>
      <c r="O11" s="188"/>
      <c r="P11" s="188"/>
      <c r="Q11" s="188"/>
      <c r="R11" s="188"/>
      <c r="S11" s="188"/>
    </row>
    <row r="12" spans="1:19" s="33" customFormat="1" ht="13">
      <c r="A12" s="55" t="s">
        <v>148</v>
      </c>
      <c r="B12" s="386">
        <f>SUM(B14:B24)</f>
        <v>2838435</v>
      </c>
      <c r="C12" s="73">
        <f>SUM(C14:C24)</f>
        <v>100</v>
      </c>
      <c r="E12" s="72">
        <f>SUM(E14:E24)</f>
        <v>121</v>
      </c>
      <c r="F12" s="73">
        <f>SUM(F14:F24)</f>
        <v>100.00000000000001</v>
      </c>
      <c r="H12" s="386">
        <f>SUM(H14:H24)</f>
        <v>227104</v>
      </c>
      <c r="I12" s="73">
        <f>SUM(I14:I24)</f>
        <v>100</v>
      </c>
      <c r="K12" s="386">
        <f>SUM(K14:K24)</f>
        <v>2837715</v>
      </c>
      <c r="L12" s="73">
        <f>SUM(L14:L24)</f>
        <v>100</v>
      </c>
      <c r="N12" s="72">
        <f>SUM(N14:N24)</f>
        <v>79258</v>
      </c>
      <c r="O12" s="73">
        <f>SUM(O14:O24)</f>
        <v>100</v>
      </c>
      <c r="Q12" s="72">
        <f>SUM(Q14:Q24)</f>
        <v>57723</v>
      </c>
      <c r="R12" s="73">
        <f>SUM(R14:R24)</f>
        <v>100</v>
      </c>
    </row>
    <row r="13" spans="1:19" s="33" customFormat="1" ht="13">
      <c r="B13" s="386"/>
      <c r="C13" s="73"/>
      <c r="E13" s="72"/>
      <c r="H13" s="386"/>
      <c r="K13" s="386"/>
      <c r="N13" s="72"/>
    </row>
    <row r="14" spans="1:19" s="33" customFormat="1" ht="15">
      <c r="A14" s="33" t="s">
        <v>1362</v>
      </c>
      <c r="B14" s="878">
        <v>2837274</v>
      </c>
      <c r="C14" s="73">
        <f>IF($A14&lt;&gt;"",B14/B$12*100,"")</f>
        <v>99.959097178550863</v>
      </c>
      <c r="E14" s="491">
        <v>113</v>
      </c>
      <c r="F14" s="73">
        <f t="shared" ref="F14:F24" si="0">IF($A14&lt;&gt;"",E14/E$12*100,"")</f>
        <v>93.388429752066116</v>
      </c>
      <c r="H14" s="879">
        <v>227104</v>
      </c>
      <c r="I14" s="73">
        <f t="shared" ref="I14:I24" si="1">IF($A14&lt;&gt;"",H14/H$12*100,"")</f>
        <v>100</v>
      </c>
      <c r="K14" s="70">
        <v>2837715</v>
      </c>
      <c r="L14" s="73">
        <f t="shared" ref="L14:L24" si="2">IF($A14&lt;&gt;"",K14/K$12*100,"")</f>
        <v>100</v>
      </c>
      <c r="N14" s="70">
        <v>79258</v>
      </c>
      <c r="O14" s="73">
        <f t="shared" ref="O14:O24" si="3">IF($A14&lt;&gt;"",N14/N$12*100,"")</f>
        <v>100</v>
      </c>
      <c r="Q14" s="70">
        <v>57723</v>
      </c>
      <c r="R14" s="73">
        <f>IF($A14&lt;&gt;"",Q14/Q$12*100,"")</f>
        <v>100</v>
      </c>
    </row>
    <row r="15" spans="1:19" s="33" customFormat="1" ht="15">
      <c r="B15" s="491"/>
      <c r="C15" s="73" t="str">
        <f t="shared" ref="C15:C24" si="4">IF($A15&lt;&gt;"",B15/B$12*100,"")</f>
        <v/>
      </c>
      <c r="E15" s="491"/>
      <c r="F15" s="73" t="str">
        <f t="shared" si="0"/>
        <v/>
      </c>
      <c r="H15" s="880"/>
      <c r="I15" s="73" t="str">
        <f t="shared" si="1"/>
        <v/>
      </c>
      <c r="K15"/>
      <c r="L15" s="73" t="str">
        <f t="shared" si="2"/>
        <v/>
      </c>
      <c r="N15"/>
      <c r="O15" s="73" t="str">
        <f t="shared" si="3"/>
        <v/>
      </c>
      <c r="Q15"/>
      <c r="R15" s="73" t="str">
        <f t="shared" ref="R15:R24" si="5">IF($A15&lt;&gt;"",Q15/Q$12*100,"")</f>
        <v/>
      </c>
    </row>
    <row r="16" spans="1:19" s="33" customFormat="1" ht="15">
      <c r="A16" s="33" t="s">
        <v>1363</v>
      </c>
      <c r="B16" s="491">
        <v>6</v>
      </c>
      <c r="C16" s="73">
        <f t="shared" si="4"/>
        <v>2.1138409017645285E-4</v>
      </c>
      <c r="E16" s="491">
        <v>1</v>
      </c>
      <c r="F16" s="73">
        <f t="shared" si="0"/>
        <v>0.82644628099173556</v>
      </c>
      <c r="H16" s="881">
        <v>0</v>
      </c>
      <c r="I16" s="73">
        <f t="shared" si="1"/>
        <v>0</v>
      </c>
      <c r="K16"/>
      <c r="L16" s="73">
        <f t="shared" si="2"/>
        <v>0</v>
      </c>
      <c r="N16"/>
      <c r="O16" s="73">
        <f t="shared" si="3"/>
        <v>0</v>
      </c>
      <c r="Q16"/>
      <c r="R16" s="73">
        <f t="shared" si="5"/>
        <v>0</v>
      </c>
    </row>
    <row r="17" spans="1:19" s="33" customFormat="1" ht="15">
      <c r="B17" s="881"/>
      <c r="C17" s="73" t="str">
        <f t="shared" si="4"/>
        <v/>
      </c>
      <c r="E17" s="491"/>
      <c r="F17" s="73" t="str">
        <f t="shared" si="0"/>
        <v/>
      </c>
      <c r="H17" s="881"/>
      <c r="I17" s="73" t="str">
        <f t="shared" si="1"/>
        <v/>
      </c>
      <c r="K17"/>
      <c r="L17" s="73" t="str">
        <f t="shared" si="2"/>
        <v/>
      </c>
      <c r="N17"/>
      <c r="O17" s="73" t="str">
        <f t="shared" si="3"/>
        <v/>
      </c>
      <c r="Q17"/>
      <c r="R17" s="73" t="str">
        <f t="shared" si="5"/>
        <v/>
      </c>
    </row>
    <row r="18" spans="1:19" s="33" customFormat="1" ht="15">
      <c r="A18" s="33" t="s">
        <v>1364</v>
      </c>
      <c r="B18" s="491">
        <v>135</v>
      </c>
      <c r="C18" s="73">
        <f t="shared" si="4"/>
        <v>4.7561420289701896E-3</v>
      </c>
      <c r="E18" s="491">
        <v>2</v>
      </c>
      <c r="F18" s="73">
        <f t="shared" si="0"/>
        <v>1.6528925619834711</v>
      </c>
      <c r="H18" s="882">
        <v>0</v>
      </c>
      <c r="I18" s="73">
        <f t="shared" si="1"/>
        <v>0</v>
      </c>
      <c r="K18"/>
      <c r="L18" s="73">
        <f t="shared" si="2"/>
        <v>0</v>
      </c>
      <c r="N18"/>
      <c r="O18" s="73">
        <f t="shared" si="3"/>
        <v>0</v>
      </c>
      <c r="Q18"/>
      <c r="R18" s="73">
        <f t="shared" si="5"/>
        <v>0</v>
      </c>
    </row>
    <row r="19" spans="1:19" s="33" customFormat="1" ht="15">
      <c r="B19" s="491"/>
      <c r="C19" s="73" t="str">
        <f t="shared" si="4"/>
        <v/>
      </c>
      <c r="E19" s="491"/>
      <c r="F19" s="73" t="str">
        <f t="shared" si="0"/>
        <v/>
      </c>
      <c r="H19" s="881"/>
      <c r="I19" s="73" t="str">
        <f t="shared" si="1"/>
        <v/>
      </c>
      <c r="K19"/>
      <c r="L19" s="73" t="str">
        <f t="shared" si="2"/>
        <v/>
      </c>
      <c r="N19"/>
      <c r="O19" s="73" t="str">
        <f t="shared" si="3"/>
        <v/>
      </c>
      <c r="Q19"/>
      <c r="R19" s="73" t="str">
        <f t="shared" si="5"/>
        <v/>
      </c>
    </row>
    <row r="20" spans="1:19" s="33" customFormat="1" ht="15">
      <c r="A20" s="33" t="s">
        <v>1365</v>
      </c>
      <c r="B20" s="491">
        <v>957</v>
      </c>
      <c r="C20" s="73">
        <f t="shared" si="4"/>
        <v>3.3715762383144235E-2</v>
      </c>
      <c r="E20" s="491">
        <v>2</v>
      </c>
      <c r="F20" s="73">
        <f t="shared" si="0"/>
        <v>1.6528925619834711</v>
      </c>
      <c r="H20" s="882">
        <v>0</v>
      </c>
      <c r="I20" s="73">
        <f t="shared" si="1"/>
        <v>0</v>
      </c>
      <c r="K20"/>
      <c r="L20" s="73">
        <f t="shared" si="2"/>
        <v>0</v>
      </c>
      <c r="N20"/>
      <c r="O20" s="73">
        <f t="shared" si="3"/>
        <v>0</v>
      </c>
      <c r="Q20"/>
      <c r="R20" s="73">
        <f t="shared" si="5"/>
        <v>0</v>
      </c>
    </row>
    <row r="21" spans="1:19" s="33" customFormat="1" ht="15">
      <c r="B21" s="491"/>
      <c r="C21" s="73"/>
      <c r="E21" s="491"/>
      <c r="F21" s="73"/>
      <c r="H21" s="491"/>
      <c r="I21" s="73"/>
      <c r="K21"/>
      <c r="L21" s="73" t="str">
        <f t="shared" si="2"/>
        <v/>
      </c>
      <c r="N21"/>
      <c r="O21" s="73" t="str">
        <f t="shared" si="3"/>
        <v/>
      </c>
      <c r="Q21"/>
      <c r="R21" s="73" t="str">
        <f t="shared" si="5"/>
        <v/>
      </c>
    </row>
    <row r="22" spans="1:19" s="33" customFormat="1" ht="15">
      <c r="A22" s="33" t="s">
        <v>1366</v>
      </c>
      <c r="B22" s="491">
        <v>52</v>
      </c>
      <c r="C22" s="73">
        <f t="shared" si="4"/>
        <v>1.8319954481959247E-3</v>
      </c>
      <c r="E22" s="491">
        <v>3</v>
      </c>
      <c r="F22" s="73">
        <f t="shared" si="0"/>
        <v>2.4793388429752068</v>
      </c>
      <c r="H22" s="882">
        <v>0</v>
      </c>
      <c r="I22" s="73">
        <f t="shared" si="1"/>
        <v>0</v>
      </c>
      <c r="K22"/>
      <c r="L22" s="73">
        <f t="shared" si="2"/>
        <v>0</v>
      </c>
      <c r="N22"/>
      <c r="O22" s="73">
        <f t="shared" si="3"/>
        <v>0</v>
      </c>
      <c r="Q22"/>
      <c r="R22" s="73">
        <f t="shared" si="5"/>
        <v>0</v>
      </c>
    </row>
    <row r="23" spans="1:19" s="33" customFormat="1" ht="12.5" hidden="1" customHeight="1">
      <c r="B23" s="491"/>
      <c r="C23" s="73" t="str">
        <f t="shared" si="4"/>
        <v/>
      </c>
      <c r="E23" s="491"/>
      <c r="F23" s="73" t="str">
        <f t="shared" si="0"/>
        <v/>
      </c>
      <c r="H23" s="491"/>
      <c r="I23" s="73" t="str">
        <f t="shared" si="1"/>
        <v/>
      </c>
      <c r="K23"/>
      <c r="L23" s="73" t="str">
        <f t="shared" si="2"/>
        <v/>
      </c>
      <c r="N23"/>
      <c r="O23" s="73" t="str">
        <f t="shared" si="3"/>
        <v/>
      </c>
      <c r="Q23"/>
      <c r="R23" s="73" t="str">
        <f t="shared" si="5"/>
        <v/>
      </c>
    </row>
    <row r="24" spans="1:19" s="33" customFormat="1" ht="12.5" hidden="1" customHeight="1">
      <c r="A24" s="33" t="s">
        <v>1367</v>
      </c>
      <c r="B24" s="491">
        <v>11</v>
      </c>
      <c r="C24" s="73">
        <f t="shared" si="4"/>
        <v>3.8753749865683021E-4</v>
      </c>
      <c r="E24" s="491">
        <v>0</v>
      </c>
      <c r="F24" s="73">
        <f t="shared" si="0"/>
        <v>0</v>
      </c>
      <c r="H24" s="882">
        <v>0</v>
      </c>
      <c r="I24" s="73">
        <f t="shared" si="1"/>
        <v>0</v>
      </c>
      <c r="K24"/>
      <c r="L24" s="73">
        <f t="shared" si="2"/>
        <v>0</v>
      </c>
      <c r="N24"/>
      <c r="O24" s="73">
        <f t="shared" si="3"/>
        <v>0</v>
      </c>
      <c r="Q24"/>
      <c r="R24" s="73">
        <f t="shared" si="5"/>
        <v>0</v>
      </c>
    </row>
    <row r="25" spans="1:19" s="33" customFormat="1" ht="14" thickBot="1">
      <c r="A25" s="199"/>
      <c r="B25" s="199"/>
      <c r="C25" s="199"/>
      <c r="D25" s="199"/>
      <c r="E25" s="199"/>
      <c r="F25" s="199"/>
      <c r="G25" s="199"/>
      <c r="H25" s="199"/>
      <c r="I25" s="199"/>
      <c r="J25" s="199"/>
    </row>
    <row r="26" spans="1:19" s="33" customFormat="1" ht="13">
      <c r="A26" s="57"/>
      <c r="K26" s="188"/>
      <c r="L26" s="188"/>
      <c r="M26" s="188"/>
      <c r="N26" s="188"/>
      <c r="O26" s="188"/>
      <c r="P26" s="188"/>
      <c r="Q26" s="188"/>
      <c r="R26" s="188"/>
      <c r="S26" s="188"/>
    </row>
    <row r="27" spans="1:19" s="33" customFormat="1" ht="17.25" customHeight="1">
      <c r="A27" s="27" t="s">
        <v>2021</v>
      </c>
      <c r="B27" s="14"/>
      <c r="C27" s="14"/>
      <c r="D27" s="14"/>
      <c r="E27" s="14"/>
      <c r="F27" s="14"/>
      <c r="G27" s="14"/>
      <c r="H27" s="14"/>
      <c r="I27" s="14"/>
      <c r="J27" s="14"/>
    </row>
    <row r="28" spans="1:19" s="33" customFormat="1" ht="13">
      <c r="A28" s="14" t="s">
        <v>2022</v>
      </c>
      <c r="B28" s="14"/>
      <c r="C28" s="14"/>
      <c r="D28" s="14"/>
      <c r="E28" s="14"/>
      <c r="F28" s="14"/>
      <c r="G28" s="14"/>
      <c r="H28" s="14"/>
      <c r="I28" s="14"/>
      <c r="J28" s="14"/>
    </row>
    <row r="29" spans="1:19" s="33" customFormat="1" ht="15">
      <c r="A29" s="203" t="s">
        <v>2023</v>
      </c>
    </row>
    <row r="30" spans="1:19" s="33" customFormat="1" ht="15">
      <c r="A30" s="203" t="s">
        <v>1375</v>
      </c>
    </row>
    <row r="31" spans="1:19" s="33" customFormat="1" ht="13">
      <c r="A31" s="33" t="s">
        <v>1376</v>
      </c>
    </row>
    <row r="32" spans="1:19" s="33" customFormat="1" ht="13"/>
    <row r="33" spans="1:17" s="33" customFormat="1" ht="13">
      <c r="A33" s="33" t="s">
        <v>1369</v>
      </c>
    </row>
    <row r="34" spans="1:17" s="33" customFormat="1" ht="13">
      <c r="A34" s="33" t="s">
        <v>976</v>
      </c>
    </row>
    <row r="35" spans="1:17" s="33" customFormat="1" ht="13"/>
    <row r="36" spans="1:17" ht="15">
      <c r="A36"/>
    </row>
    <row r="37" spans="1:17" ht="15">
      <c r="A37"/>
      <c r="B37" s="883"/>
      <c r="C37" s="883"/>
      <c r="D37" s="883"/>
      <c r="E37" s="883"/>
      <c r="F37" s="883"/>
      <c r="G37" s="883"/>
      <c r="H37" s="883"/>
      <c r="I37" s="883"/>
      <c r="J37" s="883"/>
      <c r="K37" s="883"/>
      <c r="L37" s="883"/>
      <c r="M37" s="883"/>
      <c r="N37" s="883"/>
      <c r="O37" s="883"/>
      <c r="P37" s="883"/>
      <c r="Q37" s="883"/>
    </row>
    <row r="39" spans="1:17" ht="15">
      <c r="A39" s="33"/>
    </row>
  </sheetData>
  <mergeCells count="6">
    <mergeCell ref="Q8:R8"/>
    <mergeCell ref="B8:C8"/>
    <mergeCell ref="E8:F8"/>
    <mergeCell ref="H8:I8"/>
    <mergeCell ref="K8:L8"/>
    <mergeCell ref="N8:O8"/>
  </mergeCells>
  <conditionalFormatting sqref="A1:XFD1048576">
    <cfRule type="cellIs" dxfId="15" priority="1" operator="equal">
      <formula>0</formula>
    </cfRule>
  </conditionalFormatting>
  <pageMargins left="0.7" right="0.7" top="0.75" bottom="0.75" header="0.3" footer="0.3"/>
  <pageSetup orientation="portrait" horizontalDpi="4294967293" vertic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J44"/>
  <sheetViews>
    <sheetView workbookViewId="0">
      <selection activeCell="A2" sqref="A2"/>
    </sheetView>
  </sheetViews>
  <sheetFormatPr baseColWidth="10" defaultColWidth="9.1640625" defaultRowHeight="13"/>
  <cols>
    <col min="1" max="1" width="31.5" style="95" customWidth="1"/>
    <col min="2" max="2" width="9.6640625" style="140" customWidth="1"/>
    <col min="3" max="3" width="9.6640625" style="95" customWidth="1"/>
    <col min="4" max="4" width="2.6640625" style="95" customWidth="1"/>
    <col min="5" max="5" width="9.6640625" style="140" customWidth="1"/>
    <col min="6" max="6" width="9.6640625" style="95" customWidth="1"/>
    <col min="7" max="7" width="2.6640625" style="95" customWidth="1"/>
    <col min="8" max="8" width="9.6640625" style="140" customWidth="1"/>
    <col min="9" max="9" width="9.6640625" style="95" customWidth="1"/>
    <col min="10" max="10" width="2.5" style="95" customWidth="1"/>
    <col min="11" max="256" width="9.1640625" style="95"/>
    <col min="257" max="257" width="31.5" style="95" customWidth="1"/>
    <col min="258" max="259" width="9.6640625" style="95" customWidth="1"/>
    <col min="260" max="260" width="2.6640625" style="95" customWidth="1"/>
    <col min="261" max="262" width="9.6640625" style="95" customWidth="1"/>
    <col min="263" max="263" width="2.6640625" style="95" customWidth="1"/>
    <col min="264" max="265" width="9.6640625" style="95" customWidth="1"/>
    <col min="266" max="266" width="2.5" style="95" customWidth="1"/>
    <col min="267" max="512" width="9.1640625" style="95"/>
    <col min="513" max="513" width="31.5" style="95" customWidth="1"/>
    <col min="514" max="515" width="9.6640625" style="95" customWidth="1"/>
    <col min="516" max="516" width="2.6640625" style="95" customWidth="1"/>
    <col min="517" max="518" width="9.6640625" style="95" customWidth="1"/>
    <col min="519" max="519" width="2.6640625" style="95" customWidth="1"/>
    <col min="520" max="521" width="9.6640625" style="95" customWidth="1"/>
    <col min="522" max="522" width="2.5" style="95" customWidth="1"/>
    <col min="523" max="768" width="9.1640625" style="95"/>
    <col min="769" max="769" width="31.5" style="95" customWidth="1"/>
    <col min="770" max="771" width="9.6640625" style="95" customWidth="1"/>
    <col min="772" max="772" width="2.6640625" style="95" customWidth="1"/>
    <col min="773" max="774" width="9.6640625" style="95" customWidth="1"/>
    <col min="775" max="775" width="2.6640625" style="95" customWidth="1"/>
    <col min="776" max="777" width="9.6640625" style="95" customWidth="1"/>
    <col min="778" max="778" width="2.5" style="95" customWidth="1"/>
    <col min="779" max="1024" width="9.1640625" style="95"/>
    <col min="1025" max="1025" width="31.5" style="95" customWidth="1"/>
    <col min="1026" max="1027" width="9.6640625" style="95" customWidth="1"/>
    <col min="1028" max="1028" width="2.6640625" style="95" customWidth="1"/>
    <col min="1029" max="1030" width="9.6640625" style="95" customWidth="1"/>
    <col min="1031" max="1031" width="2.6640625" style="95" customWidth="1"/>
    <col min="1032" max="1033" width="9.6640625" style="95" customWidth="1"/>
    <col min="1034" max="1034" width="2.5" style="95" customWidth="1"/>
    <col min="1035" max="1280" width="9.1640625" style="95"/>
    <col min="1281" max="1281" width="31.5" style="95" customWidth="1"/>
    <col min="1282" max="1283" width="9.6640625" style="95" customWidth="1"/>
    <col min="1284" max="1284" width="2.6640625" style="95" customWidth="1"/>
    <col min="1285" max="1286" width="9.6640625" style="95" customWidth="1"/>
    <col min="1287" max="1287" width="2.6640625" style="95" customWidth="1"/>
    <col min="1288" max="1289" width="9.6640625" style="95" customWidth="1"/>
    <col min="1290" max="1290" width="2.5" style="95" customWidth="1"/>
    <col min="1291" max="1536" width="9.1640625" style="95"/>
    <col min="1537" max="1537" width="31.5" style="95" customWidth="1"/>
    <col min="1538" max="1539" width="9.6640625" style="95" customWidth="1"/>
    <col min="1540" max="1540" width="2.6640625" style="95" customWidth="1"/>
    <col min="1541" max="1542" width="9.6640625" style="95" customWidth="1"/>
    <col min="1543" max="1543" width="2.6640625" style="95" customWidth="1"/>
    <col min="1544" max="1545" width="9.6640625" style="95" customWidth="1"/>
    <col min="1546" max="1546" width="2.5" style="95" customWidth="1"/>
    <col min="1547" max="1792" width="9.1640625" style="95"/>
    <col min="1793" max="1793" width="31.5" style="95" customWidth="1"/>
    <col min="1794" max="1795" width="9.6640625" style="95" customWidth="1"/>
    <col min="1796" max="1796" width="2.6640625" style="95" customWidth="1"/>
    <col min="1797" max="1798" width="9.6640625" style="95" customWidth="1"/>
    <col min="1799" max="1799" width="2.6640625" style="95" customWidth="1"/>
    <col min="1800" max="1801" width="9.6640625" style="95" customWidth="1"/>
    <col min="1802" max="1802" width="2.5" style="95" customWidth="1"/>
    <col min="1803" max="2048" width="9.1640625" style="95"/>
    <col min="2049" max="2049" width="31.5" style="95" customWidth="1"/>
    <col min="2050" max="2051" width="9.6640625" style="95" customWidth="1"/>
    <col min="2052" max="2052" width="2.6640625" style="95" customWidth="1"/>
    <col min="2053" max="2054" width="9.6640625" style="95" customWidth="1"/>
    <col min="2055" max="2055" width="2.6640625" style="95" customWidth="1"/>
    <col min="2056" max="2057" width="9.6640625" style="95" customWidth="1"/>
    <col min="2058" max="2058" width="2.5" style="95" customWidth="1"/>
    <col min="2059" max="2304" width="9.1640625" style="95"/>
    <col min="2305" max="2305" width="31.5" style="95" customWidth="1"/>
    <col min="2306" max="2307" width="9.6640625" style="95" customWidth="1"/>
    <col min="2308" max="2308" width="2.6640625" style="95" customWidth="1"/>
    <col min="2309" max="2310" width="9.6640625" style="95" customWidth="1"/>
    <col min="2311" max="2311" width="2.6640625" style="95" customWidth="1"/>
    <col min="2312" max="2313" width="9.6640625" style="95" customWidth="1"/>
    <col min="2314" max="2314" width="2.5" style="95" customWidth="1"/>
    <col min="2315" max="2560" width="9.1640625" style="95"/>
    <col min="2561" max="2561" width="31.5" style="95" customWidth="1"/>
    <col min="2562" max="2563" width="9.6640625" style="95" customWidth="1"/>
    <col min="2564" max="2564" width="2.6640625" style="95" customWidth="1"/>
    <col min="2565" max="2566" width="9.6640625" style="95" customWidth="1"/>
    <col min="2567" max="2567" width="2.6640625" style="95" customWidth="1"/>
    <col min="2568" max="2569" width="9.6640625" style="95" customWidth="1"/>
    <col min="2570" max="2570" width="2.5" style="95" customWidth="1"/>
    <col min="2571" max="2816" width="9.1640625" style="95"/>
    <col min="2817" max="2817" width="31.5" style="95" customWidth="1"/>
    <col min="2818" max="2819" width="9.6640625" style="95" customWidth="1"/>
    <col min="2820" max="2820" width="2.6640625" style="95" customWidth="1"/>
    <col min="2821" max="2822" width="9.6640625" style="95" customWidth="1"/>
    <col min="2823" max="2823" width="2.6640625" style="95" customWidth="1"/>
    <col min="2824" max="2825" width="9.6640625" style="95" customWidth="1"/>
    <col min="2826" max="2826" width="2.5" style="95" customWidth="1"/>
    <col min="2827" max="3072" width="9.1640625" style="95"/>
    <col min="3073" max="3073" width="31.5" style="95" customWidth="1"/>
    <col min="3074" max="3075" width="9.6640625" style="95" customWidth="1"/>
    <col min="3076" max="3076" width="2.6640625" style="95" customWidth="1"/>
    <col min="3077" max="3078" width="9.6640625" style="95" customWidth="1"/>
    <col min="3079" max="3079" width="2.6640625" style="95" customWidth="1"/>
    <col min="3080" max="3081" width="9.6640625" style="95" customWidth="1"/>
    <col min="3082" max="3082" width="2.5" style="95" customWidth="1"/>
    <col min="3083" max="3328" width="9.1640625" style="95"/>
    <col min="3329" max="3329" width="31.5" style="95" customWidth="1"/>
    <col min="3330" max="3331" width="9.6640625" style="95" customWidth="1"/>
    <col min="3332" max="3332" width="2.6640625" style="95" customWidth="1"/>
    <col min="3333" max="3334" width="9.6640625" style="95" customWidth="1"/>
    <col min="3335" max="3335" width="2.6640625" style="95" customWidth="1"/>
    <col min="3336" max="3337" width="9.6640625" style="95" customWidth="1"/>
    <col min="3338" max="3338" width="2.5" style="95" customWidth="1"/>
    <col min="3339" max="3584" width="9.1640625" style="95"/>
    <col min="3585" max="3585" width="31.5" style="95" customWidth="1"/>
    <col min="3586" max="3587" width="9.6640625" style="95" customWidth="1"/>
    <col min="3588" max="3588" width="2.6640625" style="95" customWidth="1"/>
    <col min="3589" max="3590" width="9.6640625" style="95" customWidth="1"/>
    <col min="3591" max="3591" width="2.6640625" style="95" customWidth="1"/>
    <col min="3592" max="3593" width="9.6640625" style="95" customWidth="1"/>
    <col min="3594" max="3594" width="2.5" style="95" customWidth="1"/>
    <col min="3595" max="3840" width="9.1640625" style="95"/>
    <col min="3841" max="3841" width="31.5" style="95" customWidth="1"/>
    <col min="3842" max="3843" width="9.6640625" style="95" customWidth="1"/>
    <col min="3844" max="3844" width="2.6640625" style="95" customWidth="1"/>
    <col min="3845" max="3846" width="9.6640625" style="95" customWidth="1"/>
    <col min="3847" max="3847" width="2.6640625" style="95" customWidth="1"/>
    <col min="3848" max="3849" width="9.6640625" style="95" customWidth="1"/>
    <col min="3850" max="3850" width="2.5" style="95" customWidth="1"/>
    <col min="3851" max="4096" width="9.1640625" style="95"/>
    <col min="4097" max="4097" width="31.5" style="95" customWidth="1"/>
    <col min="4098" max="4099" width="9.6640625" style="95" customWidth="1"/>
    <col min="4100" max="4100" width="2.6640625" style="95" customWidth="1"/>
    <col min="4101" max="4102" width="9.6640625" style="95" customWidth="1"/>
    <col min="4103" max="4103" width="2.6640625" style="95" customWidth="1"/>
    <col min="4104" max="4105" width="9.6640625" style="95" customWidth="1"/>
    <col min="4106" max="4106" width="2.5" style="95" customWidth="1"/>
    <col min="4107" max="4352" width="9.1640625" style="95"/>
    <col min="4353" max="4353" width="31.5" style="95" customWidth="1"/>
    <col min="4354" max="4355" width="9.6640625" style="95" customWidth="1"/>
    <col min="4356" max="4356" width="2.6640625" style="95" customWidth="1"/>
    <col min="4357" max="4358" width="9.6640625" style="95" customWidth="1"/>
    <col min="4359" max="4359" width="2.6640625" style="95" customWidth="1"/>
    <col min="4360" max="4361" width="9.6640625" style="95" customWidth="1"/>
    <col min="4362" max="4362" width="2.5" style="95" customWidth="1"/>
    <col min="4363" max="4608" width="9.1640625" style="95"/>
    <col min="4609" max="4609" width="31.5" style="95" customWidth="1"/>
    <col min="4610" max="4611" width="9.6640625" style="95" customWidth="1"/>
    <col min="4612" max="4612" width="2.6640625" style="95" customWidth="1"/>
    <col min="4613" max="4614" width="9.6640625" style="95" customWidth="1"/>
    <col min="4615" max="4615" width="2.6640625" style="95" customWidth="1"/>
    <col min="4616" max="4617" width="9.6640625" style="95" customWidth="1"/>
    <col min="4618" max="4618" width="2.5" style="95" customWidth="1"/>
    <col min="4619" max="4864" width="9.1640625" style="95"/>
    <col min="4865" max="4865" width="31.5" style="95" customWidth="1"/>
    <col min="4866" max="4867" width="9.6640625" style="95" customWidth="1"/>
    <col min="4868" max="4868" width="2.6640625" style="95" customWidth="1"/>
    <col min="4869" max="4870" width="9.6640625" style="95" customWidth="1"/>
    <col min="4871" max="4871" width="2.6640625" style="95" customWidth="1"/>
    <col min="4872" max="4873" width="9.6640625" style="95" customWidth="1"/>
    <col min="4874" max="4874" width="2.5" style="95" customWidth="1"/>
    <col min="4875" max="5120" width="9.1640625" style="95"/>
    <col min="5121" max="5121" width="31.5" style="95" customWidth="1"/>
    <col min="5122" max="5123" width="9.6640625" style="95" customWidth="1"/>
    <col min="5124" max="5124" width="2.6640625" style="95" customWidth="1"/>
    <col min="5125" max="5126" width="9.6640625" style="95" customWidth="1"/>
    <col min="5127" max="5127" width="2.6640625" style="95" customWidth="1"/>
    <col min="5128" max="5129" width="9.6640625" style="95" customWidth="1"/>
    <col min="5130" max="5130" width="2.5" style="95" customWidth="1"/>
    <col min="5131" max="5376" width="9.1640625" style="95"/>
    <col min="5377" max="5377" width="31.5" style="95" customWidth="1"/>
    <col min="5378" max="5379" width="9.6640625" style="95" customWidth="1"/>
    <col min="5380" max="5380" width="2.6640625" style="95" customWidth="1"/>
    <col min="5381" max="5382" width="9.6640625" style="95" customWidth="1"/>
    <col min="5383" max="5383" width="2.6640625" style="95" customWidth="1"/>
    <col min="5384" max="5385" width="9.6640625" style="95" customWidth="1"/>
    <col min="5386" max="5386" width="2.5" style="95" customWidth="1"/>
    <col min="5387" max="5632" width="9.1640625" style="95"/>
    <col min="5633" max="5633" width="31.5" style="95" customWidth="1"/>
    <col min="5634" max="5635" width="9.6640625" style="95" customWidth="1"/>
    <col min="5636" max="5636" width="2.6640625" style="95" customWidth="1"/>
    <col min="5637" max="5638" width="9.6640625" style="95" customWidth="1"/>
    <col min="5639" max="5639" width="2.6640625" style="95" customWidth="1"/>
    <col min="5640" max="5641" width="9.6640625" style="95" customWidth="1"/>
    <col min="5642" max="5642" width="2.5" style="95" customWidth="1"/>
    <col min="5643" max="5888" width="9.1640625" style="95"/>
    <col min="5889" max="5889" width="31.5" style="95" customWidth="1"/>
    <col min="5890" max="5891" width="9.6640625" style="95" customWidth="1"/>
    <col min="5892" max="5892" width="2.6640625" style="95" customWidth="1"/>
    <col min="5893" max="5894" width="9.6640625" style="95" customWidth="1"/>
    <col min="5895" max="5895" width="2.6640625" style="95" customWidth="1"/>
    <col min="5896" max="5897" width="9.6640625" style="95" customWidth="1"/>
    <col min="5898" max="5898" width="2.5" style="95" customWidth="1"/>
    <col min="5899" max="6144" width="9.1640625" style="95"/>
    <col min="6145" max="6145" width="31.5" style="95" customWidth="1"/>
    <col min="6146" max="6147" width="9.6640625" style="95" customWidth="1"/>
    <col min="6148" max="6148" width="2.6640625" style="95" customWidth="1"/>
    <col min="6149" max="6150" width="9.6640625" style="95" customWidth="1"/>
    <col min="6151" max="6151" width="2.6640625" style="95" customWidth="1"/>
    <col min="6152" max="6153" width="9.6640625" style="95" customWidth="1"/>
    <col min="6154" max="6154" width="2.5" style="95" customWidth="1"/>
    <col min="6155" max="6400" width="9.1640625" style="95"/>
    <col min="6401" max="6401" width="31.5" style="95" customWidth="1"/>
    <col min="6402" max="6403" width="9.6640625" style="95" customWidth="1"/>
    <col min="6404" max="6404" width="2.6640625" style="95" customWidth="1"/>
    <col min="6405" max="6406" width="9.6640625" style="95" customWidth="1"/>
    <col min="6407" max="6407" width="2.6640625" style="95" customWidth="1"/>
    <col min="6408" max="6409" width="9.6640625" style="95" customWidth="1"/>
    <col min="6410" max="6410" width="2.5" style="95" customWidth="1"/>
    <col min="6411" max="6656" width="9.1640625" style="95"/>
    <col min="6657" max="6657" width="31.5" style="95" customWidth="1"/>
    <col min="6658" max="6659" width="9.6640625" style="95" customWidth="1"/>
    <col min="6660" max="6660" width="2.6640625" style="95" customWidth="1"/>
    <col min="6661" max="6662" width="9.6640625" style="95" customWidth="1"/>
    <col min="6663" max="6663" width="2.6640625" style="95" customWidth="1"/>
    <col min="6664" max="6665" width="9.6640625" style="95" customWidth="1"/>
    <col min="6666" max="6666" width="2.5" style="95" customWidth="1"/>
    <col min="6667" max="6912" width="9.1640625" style="95"/>
    <col min="6913" max="6913" width="31.5" style="95" customWidth="1"/>
    <col min="6914" max="6915" width="9.6640625" style="95" customWidth="1"/>
    <col min="6916" max="6916" width="2.6640625" style="95" customWidth="1"/>
    <col min="6917" max="6918" width="9.6640625" style="95" customWidth="1"/>
    <col min="6919" max="6919" width="2.6640625" style="95" customWidth="1"/>
    <col min="6920" max="6921" width="9.6640625" style="95" customWidth="1"/>
    <col min="6922" max="6922" width="2.5" style="95" customWidth="1"/>
    <col min="6923" max="7168" width="9.1640625" style="95"/>
    <col min="7169" max="7169" width="31.5" style="95" customWidth="1"/>
    <col min="7170" max="7171" width="9.6640625" style="95" customWidth="1"/>
    <col min="7172" max="7172" width="2.6640625" style="95" customWidth="1"/>
    <col min="7173" max="7174" width="9.6640625" style="95" customWidth="1"/>
    <col min="7175" max="7175" width="2.6640625" style="95" customWidth="1"/>
    <col min="7176" max="7177" width="9.6640625" style="95" customWidth="1"/>
    <col min="7178" max="7178" width="2.5" style="95" customWidth="1"/>
    <col min="7179" max="7424" width="9.1640625" style="95"/>
    <col min="7425" max="7425" width="31.5" style="95" customWidth="1"/>
    <col min="7426" max="7427" width="9.6640625" style="95" customWidth="1"/>
    <col min="7428" max="7428" width="2.6640625" style="95" customWidth="1"/>
    <col min="7429" max="7430" width="9.6640625" style="95" customWidth="1"/>
    <col min="7431" max="7431" width="2.6640625" style="95" customWidth="1"/>
    <col min="7432" max="7433" width="9.6640625" style="95" customWidth="1"/>
    <col min="7434" max="7434" width="2.5" style="95" customWidth="1"/>
    <col min="7435" max="7680" width="9.1640625" style="95"/>
    <col min="7681" max="7681" width="31.5" style="95" customWidth="1"/>
    <col min="7682" max="7683" width="9.6640625" style="95" customWidth="1"/>
    <col min="7684" max="7684" width="2.6640625" style="95" customWidth="1"/>
    <col min="7685" max="7686" width="9.6640625" style="95" customWidth="1"/>
    <col min="7687" max="7687" width="2.6640625" style="95" customWidth="1"/>
    <col min="7688" max="7689" width="9.6640625" style="95" customWidth="1"/>
    <col min="7690" max="7690" width="2.5" style="95" customWidth="1"/>
    <col min="7691" max="7936" width="9.1640625" style="95"/>
    <col min="7937" max="7937" width="31.5" style="95" customWidth="1"/>
    <col min="7938" max="7939" width="9.6640625" style="95" customWidth="1"/>
    <col min="7940" max="7940" width="2.6640625" style="95" customWidth="1"/>
    <col min="7941" max="7942" width="9.6640625" style="95" customWidth="1"/>
    <col min="7943" max="7943" width="2.6640625" style="95" customWidth="1"/>
    <col min="7944" max="7945" width="9.6640625" style="95" customWidth="1"/>
    <col min="7946" max="7946" width="2.5" style="95" customWidth="1"/>
    <col min="7947" max="8192" width="9.1640625" style="95"/>
    <col min="8193" max="8193" width="31.5" style="95" customWidth="1"/>
    <col min="8194" max="8195" width="9.6640625" style="95" customWidth="1"/>
    <col min="8196" max="8196" width="2.6640625" style="95" customWidth="1"/>
    <col min="8197" max="8198" width="9.6640625" style="95" customWidth="1"/>
    <col min="8199" max="8199" width="2.6640625" style="95" customWidth="1"/>
    <col min="8200" max="8201" width="9.6640625" style="95" customWidth="1"/>
    <col min="8202" max="8202" width="2.5" style="95" customWidth="1"/>
    <col min="8203" max="8448" width="9.1640625" style="95"/>
    <col min="8449" max="8449" width="31.5" style="95" customWidth="1"/>
    <col min="8450" max="8451" width="9.6640625" style="95" customWidth="1"/>
    <col min="8452" max="8452" width="2.6640625" style="95" customWidth="1"/>
    <col min="8453" max="8454" width="9.6640625" style="95" customWidth="1"/>
    <col min="8455" max="8455" width="2.6640625" style="95" customWidth="1"/>
    <col min="8456" max="8457" width="9.6640625" style="95" customWidth="1"/>
    <col min="8458" max="8458" width="2.5" style="95" customWidth="1"/>
    <col min="8459" max="8704" width="9.1640625" style="95"/>
    <col min="8705" max="8705" width="31.5" style="95" customWidth="1"/>
    <col min="8706" max="8707" width="9.6640625" style="95" customWidth="1"/>
    <col min="8708" max="8708" width="2.6640625" style="95" customWidth="1"/>
    <col min="8709" max="8710" width="9.6640625" style="95" customWidth="1"/>
    <col min="8711" max="8711" width="2.6640625" style="95" customWidth="1"/>
    <col min="8712" max="8713" width="9.6640625" style="95" customWidth="1"/>
    <col min="8714" max="8714" width="2.5" style="95" customWidth="1"/>
    <col min="8715" max="8960" width="9.1640625" style="95"/>
    <col min="8961" max="8961" width="31.5" style="95" customWidth="1"/>
    <col min="8962" max="8963" width="9.6640625" style="95" customWidth="1"/>
    <col min="8964" max="8964" width="2.6640625" style="95" customWidth="1"/>
    <col min="8965" max="8966" width="9.6640625" style="95" customWidth="1"/>
    <col min="8967" max="8967" width="2.6640625" style="95" customWidth="1"/>
    <col min="8968" max="8969" width="9.6640625" style="95" customWidth="1"/>
    <col min="8970" max="8970" width="2.5" style="95" customWidth="1"/>
    <col min="8971" max="9216" width="9.1640625" style="95"/>
    <col min="9217" max="9217" width="31.5" style="95" customWidth="1"/>
    <col min="9218" max="9219" width="9.6640625" style="95" customWidth="1"/>
    <col min="9220" max="9220" width="2.6640625" style="95" customWidth="1"/>
    <col min="9221" max="9222" width="9.6640625" style="95" customWidth="1"/>
    <col min="9223" max="9223" width="2.6640625" style="95" customWidth="1"/>
    <col min="9224" max="9225" width="9.6640625" style="95" customWidth="1"/>
    <col min="9226" max="9226" width="2.5" style="95" customWidth="1"/>
    <col min="9227" max="9472" width="9.1640625" style="95"/>
    <col min="9473" max="9473" width="31.5" style="95" customWidth="1"/>
    <col min="9474" max="9475" width="9.6640625" style="95" customWidth="1"/>
    <col min="9476" max="9476" width="2.6640625" style="95" customWidth="1"/>
    <col min="9477" max="9478" width="9.6640625" style="95" customWidth="1"/>
    <col min="9479" max="9479" width="2.6640625" style="95" customWidth="1"/>
    <col min="9480" max="9481" width="9.6640625" style="95" customWidth="1"/>
    <col min="9482" max="9482" width="2.5" style="95" customWidth="1"/>
    <col min="9483" max="9728" width="9.1640625" style="95"/>
    <col min="9729" max="9729" width="31.5" style="95" customWidth="1"/>
    <col min="9730" max="9731" width="9.6640625" style="95" customWidth="1"/>
    <col min="9732" max="9732" width="2.6640625" style="95" customWidth="1"/>
    <col min="9733" max="9734" width="9.6640625" style="95" customWidth="1"/>
    <col min="9735" max="9735" width="2.6640625" style="95" customWidth="1"/>
    <col min="9736" max="9737" width="9.6640625" style="95" customWidth="1"/>
    <col min="9738" max="9738" width="2.5" style="95" customWidth="1"/>
    <col min="9739" max="9984" width="9.1640625" style="95"/>
    <col min="9985" max="9985" width="31.5" style="95" customWidth="1"/>
    <col min="9986" max="9987" width="9.6640625" style="95" customWidth="1"/>
    <col min="9988" max="9988" width="2.6640625" style="95" customWidth="1"/>
    <col min="9989" max="9990" width="9.6640625" style="95" customWidth="1"/>
    <col min="9991" max="9991" width="2.6640625" style="95" customWidth="1"/>
    <col min="9992" max="9993" width="9.6640625" style="95" customWidth="1"/>
    <col min="9994" max="9994" width="2.5" style="95" customWidth="1"/>
    <col min="9995" max="10240" width="9.1640625" style="95"/>
    <col min="10241" max="10241" width="31.5" style="95" customWidth="1"/>
    <col min="10242" max="10243" width="9.6640625" style="95" customWidth="1"/>
    <col min="10244" max="10244" width="2.6640625" style="95" customWidth="1"/>
    <col min="10245" max="10246" width="9.6640625" style="95" customWidth="1"/>
    <col min="10247" max="10247" width="2.6640625" style="95" customWidth="1"/>
    <col min="10248" max="10249" width="9.6640625" style="95" customWidth="1"/>
    <col min="10250" max="10250" width="2.5" style="95" customWidth="1"/>
    <col min="10251" max="10496" width="9.1640625" style="95"/>
    <col min="10497" max="10497" width="31.5" style="95" customWidth="1"/>
    <col min="10498" max="10499" width="9.6640625" style="95" customWidth="1"/>
    <col min="10500" max="10500" width="2.6640625" style="95" customWidth="1"/>
    <col min="10501" max="10502" width="9.6640625" style="95" customWidth="1"/>
    <col min="10503" max="10503" width="2.6640625" style="95" customWidth="1"/>
    <col min="10504" max="10505" width="9.6640625" style="95" customWidth="1"/>
    <col min="10506" max="10506" width="2.5" style="95" customWidth="1"/>
    <col min="10507" max="10752" width="9.1640625" style="95"/>
    <col min="10753" max="10753" width="31.5" style="95" customWidth="1"/>
    <col min="10754" max="10755" width="9.6640625" style="95" customWidth="1"/>
    <col min="10756" max="10756" width="2.6640625" style="95" customWidth="1"/>
    <col min="10757" max="10758" width="9.6640625" style="95" customWidth="1"/>
    <col min="10759" max="10759" width="2.6640625" style="95" customWidth="1"/>
    <col min="10760" max="10761" width="9.6640625" style="95" customWidth="1"/>
    <col min="10762" max="10762" width="2.5" style="95" customWidth="1"/>
    <col min="10763" max="11008" width="9.1640625" style="95"/>
    <col min="11009" max="11009" width="31.5" style="95" customWidth="1"/>
    <col min="11010" max="11011" width="9.6640625" style="95" customWidth="1"/>
    <col min="11012" max="11012" width="2.6640625" style="95" customWidth="1"/>
    <col min="11013" max="11014" width="9.6640625" style="95" customWidth="1"/>
    <col min="11015" max="11015" width="2.6640625" style="95" customWidth="1"/>
    <col min="11016" max="11017" width="9.6640625" style="95" customWidth="1"/>
    <col min="11018" max="11018" width="2.5" style="95" customWidth="1"/>
    <col min="11019" max="11264" width="9.1640625" style="95"/>
    <col min="11265" max="11265" width="31.5" style="95" customWidth="1"/>
    <col min="11266" max="11267" width="9.6640625" style="95" customWidth="1"/>
    <col min="11268" max="11268" width="2.6640625" style="95" customWidth="1"/>
    <col min="11269" max="11270" width="9.6640625" style="95" customWidth="1"/>
    <col min="11271" max="11271" width="2.6640625" style="95" customWidth="1"/>
    <col min="11272" max="11273" width="9.6640625" style="95" customWidth="1"/>
    <col min="11274" max="11274" width="2.5" style="95" customWidth="1"/>
    <col min="11275" max="11520" width="9.1640625" style="95"/>
    <col min="11521" max="11521" width="31.5" style="95" customWidth="1"/>
    <col min="11522" max="11523" width="9.6640625" style="95" customWidth="1"/>
    <col min="11524" max="11524" width="2.6640625" style="95" customWidth="1"/>
    <col min="11525" max="11526" width="9.6640625" style="95" customWidth="1"/>
    <col min="11527" max="11527" width="2.6640625" style="95" customWidth="1"/>
    <col min="11528" max="11529" width="9.6640625" style="95" customWidth="1"/>
    <col min="11530" max="11530" width="2.5" style="95" customWidth="1"/>
    <col min="11531" max="11776" width="9.1640625" style="95"/>
    <col min="11777" max="11777" width="31.5" style="95" customWidth="1"/>
    <col min="11778" max="11779" width="9.6640625" style="95" customWidth="1"/>
    <col min="11780" max="11780" width="2.6640625" style="95" customWidth="1"/>
    <col min="11781" max="11782" width="9.6640625" style="95" customWidth="1"/>
    <col min="11783" max="11783" width="2.6640625" style="95" customWidth="1"/>
    <col min="11784" max="11785" width="9.6640625" style="95" customWidth="1"/>
    <col min="11786" max="11786" width="2.5" style="95" customWidth="1"/>
    <col min="11787" max="12032" width="9.1640625" style="95"/>
    <col min="12033" max="12033" width="31.5" style="95" customWidth="1"/>
    <col min="12034" max="12035" width="9.6640625" style="95" customWidth="1"/>
    <col min="12036" max="12036" width="2.6640625" style="95" customWidth="1"/>
    <col min="12037" max="12038" width="9.6640625" style="95" customWidth="1"/>
    <col min="12039" max="12039" width="2.6640625" style="95" customWidth="1"/>
    <col min="12040" max="12041" width="9.6640625" style="95" customWidth="1"/>
    <col min="12042" max="12042" width="2.5" style="95" customWidth="1"/>
    <col min="12043" max="12288" width="9.1640625" style="95"/>
    <col min="12289" max="12289" width="31.5" style="95" customWidth="1"/>
    <col min="12290" max="12291" width="9.6640625" style="95" customWidth="1"/>
    <col min="12292" max="12292" width="2.6640625" style="95" customWidth="1"/>
    <col min="12293" max="12294" width="9.6640625" style="95" customWidth="1"/>
    <col min="12295" max="12295" width="2.6640625" style="95" customWidth="1"/>
    <col min="12296" max="12297" width="9.6640625" style="95" customWidth="1"/>
    <col min="12298" max="12298" width="2.5" style="95" customWidth="1"/>
    <col min="12299" max="12544" width="9.1640625" style="95"/>
    <col min="12545" max="12545" width="31.5" style="95" customWidth="1"/>
    <col min="12546" max="12547" width="9.6640625" style="95" customWidth="1"/>
    <col min="12548" max="12548" width="2.6640625" style="95" customWidth="1"/>
    <col min="12549" max="12550" width="9.6640625" style="95" customWidth="1"/>
    <col min="12551" max="12551" width="2.6640625" style="95" customWidth="1"/>
    <col min="12552" max="12553" width="9.6640625" style="95" customWidth="1"/>
    <col min="12554" max="12554" width="2.5" style="95" customWidth="1"/>
    <col min="12555" max="12800" width="9.1640625" style="95"/>
    <col min="12801" max="12801" width="31.5" style="95" customWidth="1"/>
    <col min="12802" max="12803" width="9.6640625" style="95" customWidth="1"/>
    <col min="12804" max="12804" width="2.6640625" style="95" customWidth="1"/>
    <col min="12805" max="12806" width="9.6640625" style="95" customWidth="1"/>
    <col min="12807" max="12807" width="2.6640625" style="95" customWidth="1"/>
    <col min="12808" max="12809" width="9.6640625" style="95" customWidth="1"/>
    <col min="12810" max="12810" width="2.5" style="95" customWidth="1"/>
    <col min="12811" max="13056" width="9.1640625" style="95"/>
    <col min="13057" max="13057" width="31.5" style="95" customWidth="1"/>
    <col min="13058" max="13059" width="9.6640625" style="95" customWidth="1"/>
    <col min="13060" max="13060" width="2.6640625" style="95" customWidth="1"/>
    <col min="13061" max="13062" width="9.6640625" style="95" customWidth="1"/>
    <col min="13063" max="13063" width="2.6640625" style="95" customWidth="1"/>
    <col min="13064" max="13065" width="9.6640625" style="95" customWidth="1"/>
    <col min="13066" max="13066" width="2.5" style="95" customWidth="1"/>
    <col min="13067" max="13312" width="9.1640625" style="95"/>
    <col min="13313" max="13313" width="31.5" style="95" customWidth="1"/>
    <col min="13314" max="13315" width="9.6640625" style="95" customWidth="1"/>
    <col min="13316" max="13316" width="2.6640625" style="95" customWidth="1"/>
    <col min="13317" max="13318" width="9.6640625" style="95" customWidth="1"/>
    <col min="13319" max="13319" width="2.6640625" style="95" customWidth="1"/>
    <col min="13320" max="13321" width="9.6640625" style="95" customWidth="1"/>
    <col min="13322" max="13322" width="2.5" style="95" customWidth="1"/>
    <col min="13323" max="13568" width="9.1640625" style="95"/>
    <col min="13569" max="13569" width="31.5" style="95" customWidth="1"/>
    <col min="13570" max="13571" width="9.6640625" style="95" customWidth="1"/>
    <col min="13572" max="13572" width="2.6640625" style="95" customWidth="1"/>
    <col min="13573" max="13574" width="9.6640625" style="95" customWidth="1"/>
    <col min="13575" max="13575" width="2.6640625" style="95" customWidth="1"/>
    <col min="13576" max="13577" width="9.6640625" style="95" customWidth="1"/>
    <col min="13578" max="13578" width="2.5" style="95" customWidth="1"/>
    <col min="13579" max="13824" width="9.1640625" style="95"/>
    <col min="13825" max="13825" width="31.5" style="95" customWidth="1"/>
    <col min="13826" max="13827" width="9.6640625" style="95" customWidth="1"/>
    <col min="13828" max="13828" width="2.6640625" style="95" customWidth="1"/>
    <col min="13829" max="13830" width="9.6640625" style="95" customWidth="1"/>
    <col min="13831" max="13831" width="2.6640625" style="95" customWidth="1"/>
    <col min="13832" max="13833" width="9.6640625" style="95" customWidth="1"/>
    <col min="13834" max="13834" width="2.5" style="95" customWidth="1"/>
    <col min="13835" max="14080" width="9.1640625" style="95"/>
    <col min="14081" max="14081" width="31.5" style="95" customWidth="1"/>
    <col min="14082" max="14083" width="9.6640625" style="95" customWidth="1"/>
    <col min="14084" max="14084" width="2.6640625" style="95" customWidth="1"/>
    <col min="14085" max="14086" width="9.6640625" style="95" customWidth="1"/>
    <col min="14087" max="14087" width="2.6640625" style="95" customWidth="1"/>
    <col min="14088" max="14089" width="9.6640625" style="95" customWidth="1"/>
    <col min="14090" max="14090" width="2.5" style="95" customWidth="1"/>
    <col min="14091" max="14336" width="9.1640625" style="95"/>
    <col min="14337" max="14337" width="31.5" style="95" customWidth="1"/>
    <col min="14338" max="14339" width="9.6640625" style="95" customWidth="1"/>
    <col min="14340" max="14340" width="2.6640625" style="95" customWidth="1"/>
    <col min="14341" max="14342" width="9.6640625" style="95" customWidth="1"/>
    <col min="14343" max="14343" width="2.6640625" style="95" customWidth="1"/>
    <col min="14344" max="14345" width="9.6640625" style="95" customWidth="1"/>
    <col min="14346" max="14346" width="2.5" style="95" customWidth="1"/>
    <col min="14347" max="14592" width="9.1640625" style="95"/>
    <col min="14593" max="14593" width="31.5" style="95" customWidth="1"/>
    <col min="14594" max="14595" width="9.6640625" style="95" customWidth="1"/>
    <col min="14596" max="14596" width="2.6640625" style="95" customWidth="1"/>
    <col min="14597" max="14598" width="9.6640625" style="95" customWidth="1"/>
    <col min="14599" max="14599" width="2.6640625" style="95" customWidth="1"/>
    <col min="14600" max="14601" width="9.6640625" style="95" customWidth="1"/>
    <col min="14602" max="14602" width="2.5" style="95" customWidth="1"/>
    <col min="14603" max="14848" width="9.1640625" style="95"/>
    <col min="14849" max="14849" width="31.5" style="95" customWidth="1"/>
    <col min="14850" max="14851" width="9.6640625" style="95" customWidth="1"/>
    <col min="14852" max="14852" width="2.6640625" style="95" customWidth="1"/>
    <col min="14853" max="14854" width="9.6640625" style="95" customWidth="1"/>
    <col min="14855" max="14855" width="2.6640625" style="95" customWidth="1"/>
    <col min="14856" max="14857" width="9.6640625" style="95" customWidth="1"/>
    <col min="14858" max="14858" width="2.5" style="95" customWidth="1"/>
    <col min="14859" max="15104" width="9.1640625" style="95"/>
    <col min="15105" max="15105" width="31.5" style="95" customWidth="1"/>
    <col min="15106" max="15107" width="9.6640625" style="95" customWidth="1"/>
    <col min="15108" max="15108" width="2.6640625" style="95" customWidth="1"/>
    <col min="15109" max="15110" width="9.6640625" style="95" customWidth="1"/>
    <col min="15111" max="15111" width="2.6640625" style="95" customWidth="1"/>
    <col min="15112" max="15113" width="9.6640625" style="95" customWidth="1"/>
    <col min="15114" max="15114" width="2.5" style="95" customWidth="1"/>
    <col min="15115" max="15360" width="9.1640625" style="95"/>
    <col min="15361" max="15361" width="31.5" style="95" customWidth="1"/>
    <col min="15362" max="15363" width="9.6640625" style="95" customWidth="1"/>
    <col min="15364" max="15364" width="2.6640625" style="95" customWidth="1"/>
    <col min="15365" max="15366" width="9.6640625" style="95" customWidth="1"/>
    <col min="15367" max="15367" width="2.6640625" style="95" customWidth="1"/>
    <col min="15368" max="15369" width="9.6640625" style="95" customWidth="1"/>
    <col min="15370" max="15370" width="2.5" style="95" customWidth="1"/>
    <col min="15371" max="15616" width="9.1640625" style="95"/>
    <col min="15617" max="15617" width="31.5" style="95" customWidth="1"/>
    <col min="15618" max="15619" width="9.6640625" style="95" customWidth="1"/>
    <col min="15620" max="15620" width="2.6640625" style="95" customWidth="1"/>
    <col min="15621" max="15622" width="9.6640625" style="95" customWidth="1"/>
    <col min="15623" max="15623" width="2.6640625" style="95" customWidth="1"/>
    <col min="15624" max="15625" width="9.6640625" style="95" customWidth="1"/>
    <col min="15626" max="15626" width="2.5" style="95" customWidth="1"/>
    <col min="15627" max="15872" width="9.1640625" style="95"/>
    <col min="15873" max="15873" width="31.5" style="95" customWidth="1"/>
    <col min="15874" max="15875" width="9.6640625" style="95" customWidth="1"/>
    <col min="15876" max="15876" width="2.6640625" style="95" customWidth="1"/>
    <col min="15877" max="15878" width="9.6640625" style="95" customWidth="1"/>
    <col min="15879" max="15879" width="2.6640625" style="95" customWidth="1"/>
    <col min="15880" max="15881" width="9.6640625" style="95" customWidth="1"/>
    <col min="15882" max="15882" width="2.5" style="95" customWidth="1"/>
    <col min="15883" max="16128" width="9.1640625" style="95"/>
    <col min="16129" max="16129" width="31.5" style="95" customWidth="1"/>
    <col min="16130" max="16131" width="9.6640625" style="95" customWidth="1"/>
    <col min="16132" max="16132" width="2.6640625" style="95" customWidth="1"/>
    <col min="16133" max="16134" width="9.6640625" style="95" customWidth="1"/>
    <col min="16135" max="16135" width="2.6640625" style="95" customWidth="1"/>
    <col min="16136" max="16137" width="9.6640625" style="95" customWidth="1"/>
    <col min="16138" max="16138" width="2.5" style="95" customWidth="1"/>
    <col min="16139" max="16384" width="9.1640625" style="95"/>
  </cols>
  <sheetData>
    <row r="1" spans="1:10">
      <c r="A1" s="95" t="s">
        <v>1007</v>
      </c>
      <c r="E1" s="72"/>
      <c r="G1" s="33"/>
      <c r="H1" s="72"/>
    </row>
    <row r="2" spans="1:10">
      <c r="A2" s="95" t="s">
        <v>1008</v>
      </c>
    </row>
    <row r="4" spans="1:10">
      <c r="A4" s="14" t="s">
        <v>2024</v>
      </c>
    </row>
    <row r="5" spans="1:10" ht="14" thickBot="1">
      <c r="A5" s="95" t="s">
        <v>128</v>
      </c>
      <c r="E5" s="95"/>
      <c r="H5" s="95"/>
    </row>
    <row r="6" spans="1:10">
      <c r="A6" s="97"/>
      <c r="B6" s="144"/>
      <c r="C6" s="97"/>
      <c r="D6" s="97"/>
      <c r="E6" s="97"/>
      <c r="F6" s="97"/>
      <c r="G6" s="97"/>
      <c r="H6" s="97"/>
      <c r="I6" s="97"/>
      <c r="J6" s="97"/>
    </row>
    <row r="7" spans="1:10">
      <c r="A7" s="95" t="s">
        <v>1377</v>
      </c>
      <c r="B7" s="795"/>
      <c r="C7" s="117"/>
      <c r="D7" s="116"/>
      <c r="E7" s="1058" t="s">
        <v>1378</v>
      </c>
      <c r="F7" s="1058"/>
      <c r="G7" s="116"/>
      <c r="H7" s="1058" t="s">
        <v>1379</v>
      </c>
      <c r="I7" s="1058"/>
    </row>
    <row r="8" spans="1:10">
      <c r="A8" s="95" t="s">
        <v>1380</v>
      </c>
      <c r="B8" s="1019" t="s">
        <v>148</v>
      </c>
      <c r="C8" s="1019"/>
      <c r="E8" s="1019" t="s">
        <v>1381</v>
      </c>
      <c r="F8" s="1019"/>
      <c r="H8" s="1019" t="s">
        <v>1382</v>
      </c>
      <c r="I8" s="1019"/>
    </row>
    <row r="9" spans="1:10">
      <c r="A9" s="95" t="s">
        <v>1383</v>
      </c>
      <c r="B9" s="795" t="s">
        <v>152</v>
      </c>
      <c r="C9" s="117" t="s">
        <v>153</v>
      </c>
      <c r="D9" s="117"/>
      <c r="E9" s="795" t="s">
        <v>152</v>
      </c>
      <c r="F9" s="117" t="s">
        <v>153</v>
      </c>
      <c r="G9" s="117"/>
      <c r="H9" s="795" t="s">
        <v>152</v>
      </c>
      <c r="I9" s="117" t="s">
        <v>153</v>
      </c>
    </row>
    <row r="10" spans="1:10" ht="14" thickBot="1">
      <c r="A10" s="102"/>
      <c r="B10" s="586"/>
      <c r="C10" s="109"/>
      <c r="D10" s="109"/>
      <c r="E10" s="109"/>
      <c r="F10" s="109"/>
      <c r="G10" s="109"/>
      <c r="H10" s="109"/>
      <c r="I10" s="109"/>
    </row>
    <row r="11" spans="1:10">
      <c r="I11" s="116"/>
      <c r="J11" s="97"/>
    </row>
    <row r="12" spans="1:10">
      <c r="A12" s="55" t="s">
        <v>1384</v>
      </c>
      <c r="B12" s="140">
        <f t="shared" ref="B12:B33" si="0">IF($A12&lt;&gt;"",E12+H12,"")</f>
        <v>33630</v>
      </c>
      <c r="C12" s="105">
        <f t="shared" ref="C12:C36" si="1">IF($A12&lt;&gt;0,B12/B$12*100,"")</f>
        <v>100</v>
      </c>
      <c r="E12" s="140">
        <f>E14+E29</f>
        <v>24023</v>
      </c>
      <c r="F12" s="105">
        <f>F14+F29</f>
        <v>99.999999999999986</v>
      </c>
      <c r="H12" s="140">
        <f>H14+H29</f>
        <v>9607</v>
      </c>
      <c r="I12" s="105">
        <f>I14+I29</f>
        <v>100</v>
      </c>
    </row>
    <row r="13" spans="1:10">
      <c r="B13" s="140" t="str">
        <f t="shared" si="0"/>
        <v/>
      </c>
      <c r="C13" s="175"/>
      <c r="I13" s="116"/>
    </row>
    <row r="14" spans="1:10">
      <c r="A14" s="55" t="s">
        <v>2025</v>
      </c>
      <c r="B14" s="140">
        <f t="shared" si="0"/>
        <v>32843</v>
      </c>
      <c r="C14" s="105">
        <f t="shared" si="1"/>
        <v>97.659827534939041</v>
      </c>
      <c r="E14" s="140">
        <f>SUM(E15:E26)</f>
        <v>23468</v>
      </c>
      <c r="F14" s="105">
        <f t="shared" ref="F14:F36" si="2">IF($A14&lt;&gt;0,E14/E$12*100,"")</f>
        <v>97.689714024060265</v>
      </c>
      <c r="H14" s="140">
        <f>SUM(H15:H26)</f>
        <v>9375</v>
      </c>
      <c r="I14" s="105">
        <f t="shared" ref="I14:I36" si="3">IF($A14&lt;&gt;0,H14/H$12*100,"")</f>
        <v>97.585094202144276</v>
      </c>
    </row>
    <row r="15" spans="1:10">
      <c r="A15" s="33" t="s">
        <v>1385</v>
      </c>
      <c r="B15" s="140">
        <f t="shared" si="0"/>
        <v>1180</v>
      </c>
      <c r="C15" s="105">
        <f t="shared" si="1"/>
        <v>3.5087719298245612</v>
      </c>
      <c r="E15" s="884">
        <v>333</v>
      </c>
      <c r="F15" s="105">
        <f t="shared" si="2"/>
        <v>1.3861715855638346</v>
      </c>
      <c r="H15" s="884">
        <v>847</v>
      </c>
      <c r="I15" s="732">
        <f t="shared" si="3"/>
        <v>8.8164879775163953</v>
      </c>
    </row>
    <row r="16" spans="1:10">
      <c r="A16" s="33" t="s">
        <v>1386</v>
      </c>
      <c r="B16" s="140">
        <f t="shared" si="0"/>
        <v>17642</v>
      </c>
      <c r="C16" s="105">
        <f t="shared" si="1"/>
        <v>52.459113886410947</v>
      </c>
      <c r="E16" s="301">
        <v>11565</v>
      </c>
      <c r="F16" s="105">
        <f t="shared" si="2"/>
        <v>48.141364525662908</v>
      </c>
      <c r="H16" s="301">
        <v>6077</v>
      </c>
      <c r="I16" s="732">
        <f t="shared" si="3"/>
        <v>63.255959196419276</v>
      </c>
    </row>
    <row r="17" spans="1:9" ht="15">
      <c r="A17" s="33" t="s">
        <v>1387</v>
      </c>
      <c r="B17" s="140">
        <f t="shared" si="0"/>
        <v>325</v>
      </c>
      <c r="C17" s="105">
        <f t="shared" si="1"/>
        <v>0.96639904846862923</v>
      </c>
      <c r="E17" s="885">
        <v>318</v>
      </c>
      <c r="F17" s="105">
        <f t="shared" si="2"/>
        <v>1.3237314240519502</v>
      </c>
      <c r="H17" s="885">
        <v>7</v>
      </c>
      <c r="I17" s="732">
        <f t="shared" si="3"/>
        <v>7.2863537004267717E-2</v>
      </c>
    </row>
    <row r="18" spans="1:9">
      <c r="A18" s="33" t="s">
        <v>1388</v>
      </c>
      <c r="B18" s="140">
        <f t="shared" si="0"/>
        <v>109</v>
      </c>
      <c r="C18" s="105">
        <f t="shared" si="1"/>
        <v>0.32411537317870948</v>
      </c>
      <c r="E18" s="301">
        <v>34</v>
      </c>
      <c r="F18" s="105">
        <f t="shared" si="2"/>
        <v>0.1415310327602714</v>
      </c>
      <c r="H18" s="301">
        <v>75</v>
      </c>
      <c r="I18" s="732">
        <f t="shared" si="3"/>
        <v>0.78068075361715417</v>
      </c>
    </row>
    <row r="19" spans="1:9">
      <c r="A19" s="33" t="s">
        <v>1389</v>
      </c>
      <c r="B19" s="140">
        <f t="shared" si="0"/>
        <v>10</v>
      </c>
      <c r="C19" s="105">
        <f t="shared" si="1"/>
        <v>2.9735355337496279E-2</v>
      </c>
      <c r="E19" s="301">
        <v>10</v>
      </c>
      <c r="F19" s="105">
        <f t="shared" si="2"/>
        <v>4.1626774341256292E-2</v>
      </c>
      <c r="H19" s="301">
        <v>0</v>
      </c>
      <c r="I19" s="732">
        <f t="shared" si="3"/>
        <v>0</v>
      </c>
    </row>
    <row r="20" spans="1:9">
      <c r="A20" s="33" t="s">
        <v>1390</v>
      </c>
      <c r="B20" s="140">
        <f t="shared" si="0"/>
        <v>0</v>
      </c>
      <c r="C20" s="105">
        <f t="shared" si="1"/>
        <v>0</v>
      </c>
      <c r="E20" s="301">
        <v>0</v>
      </c>
      <c r="F20" s="105">
        <f t="shared" si="2"/>
        <v>0</v>
      </c>
      <c r="H20" s="301">
        <v>0</v>
      </c>
      <c r="I20" s="732">
        <f t="shared" si="3"/>
        <v>0</v>
      </c>
    </row>
    <row r="21" spans="1:9" ht="15">
      <c r="A21" s="33" t="s">
        <v>1391</v>
      </c>
      <c r="B21" s="140">
        <f t="shared" si="0"/>
        <v>6981</v>
      </c>
      <c r="C21" s="105">
        <f t="shared" si="1"/>
        <v>20.758251561106157</v>
      </c>
      <c r="E21" s="384">
        <v>5662</v>
      </c>
      <c r="F21" s="105">
        <f t="shared" si="2"/>
        <v>23.569079632019317</v>
      </c>
      <c r="H21" s="384">
        <v>1319</v>
      </c>
      <c r="I21" s="732">
        <f t="shared" si="3"/>
        <v>13.729572186947017</v>
      </c>
    </row>
    <row r="22" spans="1:9">
      <c r="A22" s="33" t="s">
        <v>1392</v>
      </c>
      <c r="B22" s="140">
        <f t="shared" si="0"/>
        <v>1653</v>
      </c>
      <c r="C22" s="105">
        <f t="shared" si="1"/>
        <v>4.9152542372881358</v>
      </c>
      <c r="E22" s="301">
        <v>1489</v>
      </c>
      <c r="F22" s="105">
        <f t="shared" si="2"/>
        <v>6.1982266994130626</v>
      </c>
      <c r="H22" s="301">
        <v>164</v>
      </c>
      <c r="I22" s="105">
        <f t="shared" si="3"/>
        <v>1.7070885812428438</v>
      </c>
    </row>
    <row r="23" spans="1:9">
      <c r="A23" s="33" t="s">
        <v>1393</v>
      </c>
      <c r="C23" s="105"/>
      <c r="E23" s="301">
        <v>206</v>
      </c>
      <c r="F23" s="105"/>
      <c r="H23" s="301">
        <v>153</v>
      </c>
      <c r="I23" s="105"/>
    </row>
    <row r="24" spans="1:9">
      <c r="A24" s="33" t="s">
        <v>1394</v>
      </c>
      <c r="B24" s="140">
        <f t="shared" si="0"/>
        <v>612</v>
      </c>
      <c r="C24" s="105">
        <f t="shared" si="1"/>
        <v>1.8198037466547725</v>
      </c>
      <c r="E24" s="301">
        <v>316</v>
      </c>
      <c r="F24" s="105">
        <f t="shared" si="2"/>
        <v>1.3154060691836988</v>
      </c>
      <c r="H24" s="301">
        <v>296</v>
      </c>
      <c r="I24" s="105">
        <f t="shared" si="3"/>
        <v>3.0810867076090354</v>
      </c>
    </row>
    <row r="25" spans="1:9">
      <c r="A25" s="33" t="s">
        <v>1395</v>
      </c>
      <c r="B25" s="140">
        <f t="shared" si="0"/>
        <v>3155</v>
      </c>
      <c r="C25" s="105">
        <f t="shared" si="1"/>
        <v>9.3815046089800784</v>
      </c>
      <c r="E25" s="301">
        <v>2850</v>
      </c>
      <c r="F25" s="105">
        <f t="shared" si="2"/>
        <v>11.863630687258045</v>
      </c>
      <c r="H25" s="301">
        <v>305</v>
      </c>
      <c r="I25" s="105">
        <f t="shared" si="3"/>
        <v>3.1747683980430939</v>
      </c>
    </row>
    <row r="26" spans="1:9" ht="15">
      <c r="A26" s="33" t="s">
        <v>1396</v>
      </c>
      <c r="B26" s="140">
        <f t="shared" si="0"/>
        <v>817</v>
      </c>
      <c r="C26" s="105">
        <f t="shared" si="1"/>
        <v>2.4293785310734464</v>
      </c>
      <c r="E26" s="301">
        <v>685</v>
      </c>
      <c r="F26" s="105">
        <f t="shared" si="2"/>
        <v>2.8514340423760562</v>
      </c>
      <c r="H26" s="301">
        <v>132</v>
      </c>
      <c r="I26" s="105">
        <f t="shared" si="3"/>
        <v>1.3739981263661913</v>
      </c>
    </row>
    <row r="27" spans="1:9">
      <c r="C27" s="105"/>
      <c r="F27" s="105"/>
      <c r="I27" s="105"/>
    </row>
    <row r="28" spans="1:9">
      <c r="C28" s="105"/>
      <c r="F28" s="105"/>
      <c r="I28" s="105"/>
    </row>
    <row r="29" spans="1:9">
      <c r="A29" s="55" t="s">
        <v>2026</v>
      </c>
      <c r="B29" s="140">
        <f t="shared" si="0"/>
        <v>787</v>
      </c>
      <c r="C29" s="105">
        <f t="shared" si="1"/>
        <v>2.3401724650609577</v>
      </c>
      <c r="E29" s="140">
        <f>SUM(E30:E36)</f>
        <v>555</v>
      </c>
      <c r="F29" s="105">
        <f t="shared" si="2"/>
        <v>2.3102859759397241</v>
      </c>
      <c r="H29" s="140">
        <f>SUM(H30:H36)</f>
        <v>232</v>
      </c>
      <c r="I29" s="105">
        <f t="shared" si="3"/>
        <v>2.4149057978557305</v>
      </c>
    </row>
    <row r="30" spans="1:9">
      <c r="A30" s="33" t="s">
        <v>1397</v>
      </c>
      <c r="B30" s="140">
        <f t="shared" si="0"/>
        <v>0</v>
      </c>
      <c r="C30" s="105">
        <f t="shared" si="1"/>
        <v>0</v>
      </c>
      <c r="E30" s="77">
        <v>0</v>
      </c>
      <c r="F30" s="105">
        <f t="shared" si="2"/>
        <v>0</v>
      </c>
      <c r="H30" s="886">
        <v>0</v>
      </c>
      <c r="I30" s="105">
        <f t="shared" si="3"/>
        <v>0</v>
      </c>
    </row>
    <row r="31" spans="1:9">
      <c r="A31" s="33" t="s">
        <v>1398</v>
      </c>
      <c r="B31" s="140">
        <f t="shared" si="0"/>
        <v>443</v>
      </c>
      <c r="C31" s="105">
        <f t="shared" si="1"/>
        <v>1.3172762414510855</v>
      </c>
      <c r="E31" s="886">
        <v>299</v>
      </c>
      <c r="F31" s="105">
        <f t="shared" si="2"/>
        <v>1.2446405528035633</v>
      </c>
      <c r="H31" s="886">
        <v>144</v>
      </c>
      <c r="I31" s="105">
        <f t="shared" si="3"/>
        <v>1.4989070469449359</v>
      </c>
    </row>
    <row r="32" spans="1:9">
      <c r="A32" s="33" t="s">
        <v>1399</v>
      </c>
      <c r="B32" s="140">
        <f t="shared" si="0"/>
        <v>4</v>
      </c>
      <c r="C32" s="105">
        <f t="shared" si="1"/>
        <v>1.1894142134998514E-2</v>
      </c>
      <c r="E32" s="886">
        <v>4</v>
      </c>
      <c r="F32" s="105">
        <f t="shared" si="2"/>
        <v>1.6650709736502518E-2</v>
      </c>
      <c r="H32" s="886">
        <v>0</v>
      </c>
      <c r="I32" s="105">
        <f t="shared" si="3"/>
        <v>0</v>
      </c>
    </row>
    <row r="33" spans="1:10">
      <c r="A33" s="33" t="s">
        <v>1400</v>
      </c>
      <c r="B33" s="140">
        <f t="shared" si="0"/>
        <v>79</v>
      </c>
      <c r="C33" s="105">
        <f t="shared" si="1"/>
        <v>0.23490930716622066</v>
      </c>
      <c r="E33" s="886">
        <v>76</v>
      </c>
      <c r="F33" s="105">
        <f t="shared" si="2"/>
        <v>0.31636348499354788</v>
      </c>
      <c r="H33" s="886">
        <v>3</v>
      </c>
      <c r="I33" s="105">
        <f t="shared" si="3"/>
        <v>3.1227230144686167E-2</v>
      </c>
    </row>
    <row r="34" spans="1:10">
      <c r="A34" s="33" t="s">
        <v>1401</v>
      </c>
      <c r="C34" s="105"/>
      <c r="E34" s="886">
        <v>114</v>
      </c>
      <c r="F34" s="105"/>
      <c r="H34" s="886">
        <v>55</v>
      </c>
      <c r="I34" s="105"/>
    </row>
    <row r="35" spans="1:10">
      <c r="A35" s="33" t="s">
        <v>1402</v>
      </c>
      <c r="B35" s="140">
        <f>IF($A35&lt;&gt;"",E35+H35,"")</f>
        <v>83</v>
      </c>
      <c r="C35" s="105">
        <f>IF($A35&lt;&gt;0,B35/B$12*100,"")</f>
        <v>0.24680344930121914</v>
      </c>
      <c r="E35" s="886">
        <v>53</v>
      </c>
      <c r="F35" s="105">
        <f>IF($A35&lt;&gt;0,E35/E$12*100,"")</f>
        <v>0.22062190400865836</v>
      </c>
      <c r="H35" s="886">
        <v>30</v>
      </c>
      <c r="I35" s="105">
        <f>IF($A35&lt;&gt;0,H35/H$12*100,"")</f>
        <v>0.31227230144686169</v>
      </c>
    </row>
    <row r="36" spans="1:10">
      <c r="A36" s="33" t="s">
        <v>2027</v>
      </c>
      <c r="B36" s="140">
        <f>IF($A36&lt;&gt;"",E36+H36,"")</f>
        <v>9</v>
      </c>
      <c r="C36" s="105">
        <f t="shared" si="1"/>
        <v>2.6761819803746655E-2</v>
      </c>
      <c r="E36" s="886">
        <v>9</v>
      </c>
      <c r="F36" s="105">
        <f t="shared" si="2"/>
        <v>3.7464096907130671E-2</v>
      </c>
      <c r="H36" s="886">
        <v>0</v>
      </c>
      <c r="I36" s="105">
        <f t="shared" si="3"/>
        <v>0</v>
      </c>
    </row>
    <row r="37" spans="1:10" ht="14" thickBot="1">
      <c r="E37" s="886"/>
      <c r="H37" s="886"/>
    </row>
    <row r="38" spans="1:10" ht="20.25" customHeight="1">
      <c r="A38" s="114"/>
      <c r="B38" s="115"/>
      <c r="C38" s="114"/>
      <c r="D38" s="114"/>
      <c r="E38" s="114"/>
      <c r="F38" s="114"/>
      <c r="G38" s="114"/>
      <c r="H38" s="97"/>
      <c r="I38" s="97"/>
      <c r="J38" s="97"/>
    </row>
    <row r="39" spans="1:10" ht="15" customHeight="1">
      <c r="A39" s="1054" t="s">
        <v>2029</v>
      </c>
      <c r="B39" s="1054"/>
      <c r="C39" s="1054"/>
      <c r="D39" s="1054"/>
      <c r="E39" s="1054"/>
      <c r="F39" s="1054"/>
      <c r="G39" s="1054"/>
      <c r="H39" s="116"/>
      <c r="I39" s="116"/>
      <c r="J39" s="116"/>
    </row>
    <row r="40" spans="1:10" ht="15">
      <c r="A40" s="1057" t="s">
        <v>1403</v>
      </c>
      <c r="B40" s="1057"/>
      <c r="C40" s="1057"/>
      <c r="D40" s="1057"/>
      <c r="E40" s="1057"/>
      <c r="F40" s="1057"/>
      <c r="G40" s="1057"/>
      <c r="H40" s="116"/>
      <c r="I40" s="116"/>
      <c r="J40" s="116"/>
    </row>
    <row r="41" spans="1:10" ht="15">
      <c r="A41" s="27" t="s">
        <v>2028</v>
      </c>
      <c r="B41" s="119"/>
      <c r="C41" s="121"/>
      <c r="D41" s="121"/>
      <c r="E41" s="121"/>
      <c r="F41" s="121"/>
      <c r="G41" s="121"/>
      <c r="H41" s="116"/>
      <c r="I41" s="116"/>
    </row>
    <row r="42" spans="1:10">
      <c r="A42" s="111"/>
      <c r="B42" s="155"/>
      <c r="C42" s="111"/>
      <c r="D42" s="111"/>
      <c r="E42" s="155"/>
      <c r="F42" s="111"/>
      <c r="G42" s="111"/>
    </row>
    <row r="43" spans="1:10">
      <c r="A43" s="95" t="s">
        <v>1352</v>
      </c>
    </row>
    <row r="44" spans="1:10">
      <c r="A44" s="95" t="s">
        <v>452</v>
      </c>
    </row>
  </sheetData>
  <mergeCells count="7">
    <mergeCell ref="A39:G39"/>
    <mergeCell ref="A40:G40"/>
    <mergeCell ref="E7:F7"/>
    <mergeCell ref="H7:I7"/>
    <mergeCell ref="B8:C8"/>
    <mergeCell ref="E8:F8"/>
    <mergeCell ref="H8:I8"/>
  </mergeCells>
  <conditionalFormatting sqref="B12:I35">
    <cfRule type="cellIs" dxfId="14" priority="1" operator="equal">
      <formula>0</formula>
    </cfRule>
  </conditionalFormatting>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57"/>
  <sheetViews>
    <sheetView workbookViewId="0">
      <selection activeCell="A2" sqref="A2"/>
    </sheetView>
  </sheetViews>
  <sheetFormatPr baseColWidth="10" defaultColWidth="9.1640625" defaultRowHeight="13"/>
  <cols>
    <col min="1" max="1" width="34" style="95" customWidth="1"/>
    <col min="2" max="2" width="10" style="140" customWidth="1"/>
    <col min="3" max="3" width="9.1640625" style="95" customWidth="1"/>
    <col min="4" max="4" width="2.6640625" style="95" customWidth="1"/>
    <col min="5" max="5" width="8.83203125" style="140" customWidth="1"/>
    <col min="6" max="6" width="9.1640625" style="95" customWidth="1"/>
    <col min="7" max="7" width="2.6640625" style="95" customWidth="1"/>
    <col min="8" max="8" width="8.83203125" style="140" customWidth="1"/>
    <col min="9" max="9" width="9.1640625" style="95" customWidth="1"/>
    <col min="10" max="10" width="2.6640625" style="95" customWidth="1"/>
    <col min="11" max="11" width="8.83203125" style="140" customWidth="1"/>
    <col min="12" max="12" width="9.1640625" style="95" customWidth="1"/>
    <col min="13" max="13" width="2.6640625" style="95" customWidth="1"/>
    <col min="14" max="14" width="8.83203125" style="140" customWidth="1"/>
    <col min="15" max="15" width="9.1640625" style="95" customWidth="1"/>
    <col min="16" max="16" width="2.6640625" style="95" customWidth="1"/>
    <col min="17" max="256" width="9.1640625" style="95"/>
    <col min="257" max="257" width="34" style="95" customWidth="1"/>
    <col min="258" max="258" width="10" style="95" customWidth="1"/>
    <col min="259" max="259" width="9.1640625" style="95" customWidth="1"/>
    <col min="260" max="260" width="2.6640625" style="95" customWidth="1"/>
    <col min="261" max="261" width="8.83203125" style="95" customWidth="1"/>
    <col min="262" max="262" width="9.1640625" style="95" customWidth="1"/>
    <col min="263" max="263" width="2.6640625" style="95" customWidth="1"/>
    <col min="264" max="264" width="8.83203125" style="95" customWidth="1"/>
    <col min="265" max="265" width="9.1640625" style="95" customWidth="1"/>
    <col min="266" max="266" width="2.6640625" style="95" customWidth="1"/>
    <col min="267" max="267" width="8.83203125" style="95" customWidth="1"/>
    <col min="268" max="268" width="9.1640625" style="95" customWidth="1"/>
    <col min="269" max="269" width="2.6640625" style="95" customWidth="1"/>
    <col min="270" max="270" width="8.83203125" style="95" customWidth="1"/>
    <col min="271" max="271" width="9.1640625" style="95" customWidth="1"/>
    <col min="272" max="272" width="2.6640625" style="95" customWidth="1"/>
    <col min="273" max="512" width="9.1640625" style="95"/>
    <col min="513" max="513" width="34" style="95" customWidth="1"/>
    <col min="514" max="514" width="10" style="95" customWidth="1"/>
    <col min="515" max="515" width="9.1640625" style="95" customWidth="1"/>
    <col min="516" max="516" width="2.6640625" style="95" customWidth="1"/>
    <col min="517" max="517" width="8.83203125" style="95" customWidth="1"/>
    <col min="518" max="518" width="9.1640625" style="95" customWidth="1"/>
    <col min="519" max="519" width="2.6640625" style="95" customWidth="1"/>
    <col min="520" max="520" width="8.83203125" style="95" customWidth="1"/>
    <col min="521" max="521" width="9.1640625" style="95" customWidth="1"/>
    <col min="522" max="522" width="2.6640625" style="95" customWidth="1"/>
    <col min="523" max="523" width="8.83203125" style="95" customWidth="1"/>
    <col min="524" max="524" width="9.1640625" style="95" customWidth="1"/>
    <col min="525" max="525" width="2.6640625" style="95" customWidth="1"/>
    <col min="526" max="526" width="8.83203125" style="95" customWidth="1"/>
    <col min="527" max="527" width="9.1640625" style="95" customWidth="1"/>
    <col min="528" max="528" width="2.6640625" style="95" customWidth="1"/>
    <col min="529" max="768" width="9.1640625" style="95"/>
    <col min="769" max="769" width="34" style="95" customWidth="1"/>
    <col min="770" max="770" width="10" style="95" customWidth="1"/>
    <col min="771" max="771" width="9.1640625" style="95" customWidth="1"/>
    <col min="772" max="772" width="2.6640625" style="95" customWidth="1"/>
    <col min="773" max="773" width="8.83203125" style="95" customWidth="1"/>
    <col min="774" max="774" width="9.1640625" style="95" customWidth="1"/>
    <col min="775" max="775" width="2.6640625" style="95" customWidth="1"/>
    <col min="776" max="776" width="8.83203125" style="95" customWidth="1"/>
    <col min="777" max="777" width="9.1640625" style="95" customWidth="1"/>
    <col min="778" max="778" width="2.6640625" style="95" customWidth="1"/>
    <col min="779" max="779" width="8.83203125" style="95" customWidth="1"/>
    <col min="780" max="780" width="9.1640625" style="95" customWidth="1"/>
    <col min="781" max="781" width="2.6640625" style="95" customWidth="1"/>
    <col min="782" max="782" width="8.83203125" style="95" customWidth="1"/>
    <col min="783" max="783" width="9.1640625" style="95" customWidth="1"/>
    <col min="784" max="784" width="2.6640625" style="95" customWidth="1"/>
    <col min="785" max="1024" width="9.1640625" style="95"/>
    <col min="1025" max="1025" width="34" style="95" customWidth="1"/>
    <col min="1026" max="1026" width="10" style="95" customWidth="1"/>
    <col min="1027" max="1027" width="9.1640625" style="95" customWidth="1"/>
    <col min="1028" max="1028" width="2.6640625" style="95" customWidth="1"/>
    <col min="1029" max="1029" width="8.83203125" style="95" customWidth="1"/>
    <col min="1030" max="1030" width="9.1640625" style="95" customWidth="1"/>
    <col min="1031" max="1031" width="2.6640625" style="95" customWidth="1"/>
    <col min="1032" max="1032" width="8.83203125" style="95" customWidth="1"/>
    <col min="1033" max="1033" width="9.1640625" style="95" customWidth="1"/>
    <col min="1034" max="1034" width="2.6640625" style="95" customWidth="1"/>
    <col min="1035" max="1035" width="8.83203125" style="95" customWidth="1"/>
    <col min="1036" max="1036" width="9.1640625" style="95" customWidth="1"/>
    <col min="1037" max="1037" width="2.6640625" style="95" customWidth="1"/>
    <col min="1038" max="1038" width="8.83203125" style="95" customWidth="1"/>
    <col min="1039" max="1039" width="9.1640625" style="95" customWidth="1"/>
    <col min="1040" max="1040" width="2.6640625" style="95" customWidth="1"/>
    <col min="1041" max="1280" width="9.1640625" style="95"/>
    <col min="1281" max="1281" width="34" style="95" customWidth="1"/>
    <col min="1282" max="1282" width="10" style="95" customWidth="1"/>
    <col min="1283" max="1283" width="9.1640625" style="95" customWidth="1"/>
    <col min="1284" max="1284" width="2.6640625" style="95" customWidth="1"/>
    <col min="1285" max="1285" width="8.83203125" style="95" customWidth="1"/>
    <col min="1286" max="1286" width="9.1640625" style="95" customWidth="1"/>
    <col min="1287" max="1287" width="2.6640625" style="95" customWidth="1"/>
    <col min="1288" max="1288" width="8.83203125" style="95" customWidth="1"/>
    <col min="1289" max="1289" width="9.1640625" style="95" customWidth="1"/>
    <col min="1290" max="1290" width="2.6640625" style="95" customWidth="1"/>
    <col min="1291" max="1291" width="8.83203125" style="95" customWidth="1"/>
    <col min="1292" max="1292" width="9.1640625" style="95" customWidth="1"/>
    <col min="1293" max="1293" width="2.6640625" style="95" customWidth="1"/>
    <col min="1294" max="1294" width="8.83203125" style="95" customWidth="1"/>
    <col min="1295" max="1295" width="9.1640625" style="95" customWidth="1"/>
    <col min="1296" max="1296" width="2.6640625" style="95" customWidth="1"/>
    <col min="1297" max="1536" width="9.1640625" style="95"/>
    <col min="1537" max="1537" width="34" style="95" customWidth="1"/>
    <col min="1538" max="1538" width="10" style="95" customWidth="1"/>
    <col min="1539" max="1539" width="9.1640625" style="95" customWidth="1"/>
    <col min="1540" max="1540" width="2.6640625" style="95" customWidth="1"/>
    <col min="1541" max="1541" width="8.83203125" style="95" customWidth="1"/>
    <col min="1542" max="1542" width="9.1640625" style="95" customWidth="1"/>
    <col min="1543" max="1543" width="2.6640625" style="95" customWidth="1"/>
    <col min="1544" max="1544" width="8.83203125" style="95" customWidth="1"/>
    <col min="1545" max="1545" width="9.1640625" style="95" customWidth="1"/>
    <col min="1546" max="1546" width="2.6640625" style="95" customWidth="1"/>
    <col min="1547" max="1547" width="8.83203125" style="95" customWidth="1"/>
    <col min="1548" max="1548" width="9.1640625" style="95" customWidth="1"/>
    <col min="1549" max="1549" width="2.6640625" style="95" customWidth="1"/>
    <col min="1550" max="1550" width="8.83203125" style="95" customWidth="1"/>
    <col min="1551" max="1551" width="9.1640625" style="95" customWidth="1"/>
    <col min="1552" max="1552" width="2.6640625" style="95" customWidth="1"/>
    <col min="1553" max="1792" width="9.1640625" style="95"/>
    <col min="1793" max="1793" width="34" style="95" customWidth="1"/>
    <col min="1794" max="1794" width="10" style="95" customWidth="1"/>
    <col min="1795" max="1795" width="9.1640625" style="95" customWidth="1"/>
    <col min="1796" max="1796" width="2.6640625" style="95" customWidth="1"/>
    <col min="1797" max="1797" width="8.83203125" style="95" customWidth="1"/>
    <col min="1798" max="1798" width="9.1640625" style="95" customWidth="1"/>
    <col min="1799" max="1799" width="2.6640625" style="95" customWidth="1"/>
    <col min="1800" max="1800" width="8.83203125" style="95" customWidth="1"/>
    <col min="1801" max="1801" width="9.1640625" style="95" customWidth="1"/>
    <col min="1802" max="1802" width="2.6640625" style="95" customWidth="1"/>
    <col min="1803" max="1803" width="8.83203125" style="95" customWidth="1"/>
    <col min="1804" max="1804" width="9.1640625" style="95" customWidth="1"/>
    <col min="1805" max="1805" width="2.6640625" style="95" customWidth="1"/>
    <col min="1806" max="1806" width="8.83203125" style="95" customWidth="1"/>
    <col min="1807" max="1807" width="9.1640625" style="95" customWidth="1"/>
    <col min="1808" max="1808" width="2.6640625" style="95" customWidth="1"/>
    <col min="1809" max="2048" width="9.1640625" style="95"/>
    <col min="2049" max="2049" width="34" style="95" customWidth="1"/>
    <col min="2050" max="2050" width="10" style="95" customWidth="1"/>
    <col min="2051" max="2051" width="9.1640625" style="95" customWidth="1"/>
    <col min="2052" max="2052" width="2.6640625" style="95" customWidth="1"/>
    <col min="2053" max="2053" width="8.83203125" style="95" customWidth="1"/>
    <col min="2054" max="2054" width="9.1640625" style="95" customWidth="1"/>
    <col min="2055" max="2055" width="2.6640625" style="95" customWidth="1"/>
    <col min="2056" max="2056" width="8.83203125" style="95" customWidth="1"/>
    <col min="2057" max="2057" width="9.1640625" style="95" customWidth="1"/>
    <col min="2058" max="2058" width="2.6640625" style="95" customWidth="1"/>
    <col min="2059" max="2059" width="8.83203125" style="95" customWidth="1"/>
    <col min="2060" max="2060" width="9.1640625" style="95" customWidth="1"/>
    <col min="2061" max="2061" width="2.6640625" style="95" customWidth="1"/>
    <col min="2062" max="2062" width="8.83203125" style="95" customWidth="1"/>
    <col min="2063" max="2063" width="9.1640625" style="95" customWidth="1"/>
    <col min="2064" max="2064" width="2.6640625" style="95" customWidth="1"/>
    <col min="2065" max="2304" width="9.1640625" style="95"/>
    <col min="2305" max="2305" width="34" style="95" customWidth="1"/>
    <col min="2306" max="2306" width="10" style="95" customWidth="1"/>
    <col min="2307" max="2307" width="9.1640625" style="95" customWidth="1"/>
    <col min="2308" max="2308" width="2.6640625" style="95" customWidth="1"/>
    <col min="2309" max="2309" width="8.83203125" style="95" customWidth="1"/>
    <col min="2310" max="2310" width="9.1640625" style="95" customWidth="1"/>
    <col min="2311" max="2311" width="2.6640625" style="95" customWidth="1"/>
    <col min="2312" max="2312" width="8.83203125" style="95" customWidth="1"/>
    <col min="2313" max="2313" width="9.1640625" style="95" customWidth="1"/>
    <col min="2314" max="2314" width="2.6640625" style="95" customWidth="1"/>
    <col min="2315" max="2315" width="8.83203125" style="95" customWidth="1"/>
    <col min="2316" max="2316" width="9.1640625" style="95" customWidth="1"/>
    <col min="2317" max="2317" width="2.6640625" style="95" customWidth="1"/>
    <col min="2318" max="2318" width="8.83203125" style="95" customWidth="1"/>
    <col min="2319" max="2319" width="9.1640625" style="95" customWidth="1"/>
    <col min="2320" max="2320" width="2.6640625" style="95" customWidth="1"/>
    <col min="2321" max="2560" width="9.1640625" style="95"/>
    <col min="2561" max="2561" width="34" style="95" customWidth="1"/>
    <col min="2562" max="2562" width="10" style="95" customWidth="1"/>
    <col min="2563" max="2563" width="9.1640625" style="95" customWidth="1"/>
    <col min="2564" max="2564" width="2.6640625" style="95" customWidth="1"/>
    <col min="2565" max="2565" width="8.83203125" style="95" customWidth="1"/>
    <col min="2566" max="2566" width="9.1640625" style="95" customWidth="1"/>
    <col min="2567" max="2567" width="2.6640625" style="95" customWidth="1"/>
    <col min="2568" max="2568" width="8.83203125" style="95" customWidth="1"/>
    <col min="2569" max="2569" width="9.1640625" style="95" customWidth="1"/>
    <col min="2570" max="2570" width="2.6640625" style="95" customWidth="1"/>
    <col min="2571" max="2571" width="8.83203125" style="95" customWidth="1"/>
    <col min="2572" max="2572" width="9.1640625" style="95" customWidth="1"/>
    <col min="2573" max="2573" width="2.6640625" style="95" customWidth="1"/>
    <col min="2574" max="2574" width="8.83203125" style="95" customWidth="1"/>
    <col min="2575" max="2575" width="9.1640625" style="95" customWidth="1"/>
    <col min="2576" max="2576" width="2.6640625" style="95" customWidth="1"/>
    <col min="2577" max="2816" width="9.1640625" style="95"/>
    <col min="2817" max="2817" width="34" style="95" customWidth="1"/>
    <col min="2818" max="2818" width="10" style="95" customWidth="1"/>
    <col min="2819" max="2819" width="9.1640625" style="95" customWidth="1"/>
    <col min="2820" max="2820" width="2.6640625" style="95" customWidth="1"/>
    <col min="2821" max="2821" width="8.83203125" style="95" customWidth="1"/>
    <col min="2822" max="2822" width="9.1640625" style="95" customWidth="1"/>
    <col min="2823" max="2823" width="2.6640625" style="95" customWidth="1"/>
    <col min="2824" max="2824" width="8.83203125" style="95" customWidth="1"/>
    <col min="2825" max="2825" width="9.1640625" style="95" customWidth="1"/>
    <col min="2826" max="2826" width="2.6640625" style="95" customWidth="1"/>
    <col min="2827" max="2827" width="8.83203125" style="95" customWidth="1"/>
    <col min="2828" max="2828" width="9.1640625" style="95" customWidth="1"/>
    <col min="2829" max="2829" width="2.6640625" style="95" customWidth="1"/>
    <col min="2830" max="2830" width="8.83203125" style="95" customWidth="1"/>
    <col min="2831" max="2831" width="9.1640625" style="95" customWidth="1"/>
    <col min="2832" max="2832" width="2.6640625" style="95" customWidth="1"/>
    <col min="2833" max="3072" width="9.1640625" style="95"/>
    <col min="3073" max="3073" width="34" style="95" customWidth="1"/>
    <col min="3074" max="3074" width="10" style="95" customWidth="1"/>
    <col min="3075" max="3075" width="9.1640625" style="95" customWidth="1"/>
    <col min="3076" max="3076" width="2.6640625" style="95" customWidth="1"/>
    <col min="3077" max="3077" width="8.83203125" style="95" customWidth="1"/>
    <col min="3078" max="3078" width="9.1640625" style="95" customWidth="1"/>
    <col min="3079" max="3079" width="2.6640625" style="95" customWidth="1"/>
    <col min="3080" max="3080" width="8.83203125" style="95" customWidth="1"/>
    <col min="3081" max="3081" width="9.1640625" style="95" customWidth="1"/>
    <col min="3082" max="3082" width="2.6640625" style="95" customWidth="1"/>
    <col min="3083" max="3083" width="8.83203125" style="95" customWidth="1"/>
    <col min="3084" max="3084" width="9.1640625" style="95" customWidth="1"/>
    <col min="3085" max="3085" width="2.6640625" style="95" customWidth="1"/>
    <col min="3086" max="3086" width="8.83203125" style="95" customWidth="1"/>
    <col min="3087" max="3087" width="9.1640625" style="95" customWidth="1"/>
    <col min="3088" max="3088" width="2.6640625" style="95" customWidth="1"/>
    <col min="3089" max="3328" width="9.1640625" style="95"/>
    <col min="3329" max="3329" width="34" style="95" customWidth="1"/>
    <col min="3330" max="3330" width="10" style="95" customWidth="1"/>
    <col min="3331" max="3331" width="9.1640625" style="95" customWidth="1"/>
    <col min="3332" max="3332" width="2.6640625" style="95" customWidth="1"/>
    <col min="3333" max="3333" width="8.83203125" style="95" customWidth="1"/>
    <col min="3334" max="3334" width="9.1640625" style="95" customWidth="1"/>
    <col min="3335" max="3335" width="2.6640625" style="95" customWidth="1"/>
    <col min="3336" max="3336" width="8.83203125" style="95" customWidth="1"/>
    <col min="3337" max="3337" width="9.1640625" style="95" customWidth="1"/>
    <col min="3338" max="3338" width="2.6640625" style="95" customWidth="1"/>
    <col min="3339" max="3339" width="8.83203125" style="95" customWidth="1"/>
    <col min="3340" max="3340" width="9.1640625" style="95" customWidth="1"/>
    <col min="3341" max="3341" width="2.6640625" style="95" customWidth="1"/>
    <col min="3342" max="3342" width="8.83203125" style="95" customWidth="1"/>
    <col min="3343" max="3343" width="9.1640625" style="95" customWidth="1"/>
    <col min="3344" max="3344" width="2.6640625" style="95" customWidth="1"/>
    <col min="3345" max="3584" width="9.1640625" style="95"/>
    <col min="3585" max="3585" width="34" style="95" customWidth="1"/>
    <col min="3586" max="3586" width="10" style="95" customWidth="1"/>
    <col min="3587" max="3587" width="9.1640625" style="95" customWidth="1"/>
    <col min="3588" max="3588" width="2.6640625" style="95" customWidth="1"/>
    <col min="3589" max="3589" width="8.83203125" style="95" customWidth="1"/>
    <col min="3590" max="3590" width="9.1640625" style="95" customWidth="1"/>
    <col min="3591" max="3591" width="2.6640625" style="95" customWidth="1"/>
    <col min="3592" max="3592" width="8.83203125" style="95" customWidth="1"/>
    <col min="3593" max="3593" width="9.1640625" style="95" customWidth="1"/>
    <col min="3594" max="3594" width="2.6640625" style="95" customWidth="1"/>
    <col min="3595" max="3595" width="8.83203125" style="95" customWidth="1"/>
    <col min="3596" max="3596" width="9.1640625" style="95" customWidth="1"/>
    <col min="3597" max="3597" width="2.6640625" style="95" customWidth="1"/>
    <col min="3598" max="3598" width="8.83203125" style="95" customWidth="1"/>
    <col min="3599" max="3599" width="9.1640625" style="95" customWidth="1"/>
    <col min="3600" max="3600" width="2.6640625" style="95" customWidth="1"/>
    <col min="3601" max="3840" width="9.1640625" style="95"/>
    <col min="3841" max="3841" width="34" style="95" customWidth="1"/>
    <col min="3842" max="3842" width="10" style="95" customWidth="1"/>
    <col min="3843" max="3843" width="9.1640625" style="95" customWidth="1"/>
    <col min="3844" max="3844" width="2.6640625" style="95" customWidth="1"/>
    <col min="3845" max="3845" width="8.83203125" style="95" customWidth="1"/>
    <col min="3846" max="3846" width="9.1640625" style="95" customWidth="1"/>
    <col min="3847" max="3847" width="2.6640625" style="95" customWidth="1"/>
    <col min="3848" max="3848" width="8.83203125" style="95" customWidth="1"/>
    <col min="3849" max="3849" width="9.1640625" style="95" customWidth="1"/>
    <col min="3850" max="3850" width="2.6640625" style="95" customWidth="1"/>
    <col min="3851" max="3851" width="8.83203125" style="95" customWidth="1"/>
    <col min="3852" max="3852" width="9.1640625" style="95" customWidth="1"/>
    <col min="3853" max="3853" width="2.6640625" style="95" customWidth="1"/>
    <col min="3854" max="3854" width="8.83203125" style="95" customWidth="1"/>
    <col min="3855" max="3855" width="9.1640625" style="95" customWidth="1"/>
    <col min="3856" max="3856" width="2.6640625" style="95" customWidth="1"/>
    <col min="3857" max="4096" width="9.1640625" style="95"/>
    <col min="4097" max="4097" width="34" style="95" customWidth="1"/>
    <col min="4098" max="4098" width="10" style="95" customWidth="1"/>
    <col min="4099" max="4099" width="9.1640625" style="95" customWidth="1"/>
    <col min="4100" max="4100" width="2.6640625" style="95" customWidth="1"/>
    <col min="4101" max="4101" width="8.83203125" style="95" customWidth="1"/>
    <col min="4102" max="4102" width="9.1640625" style="95" customWidth="1"/>
    <col min="4103" max="4103" width="2.6640625" style="95" customWidth="1"/>
    <col min="4104" max="4104" width="8.83203125" style="95" customWidth="1"/>
    <col min="4105" max="4105" width="9.1640625" style="95" customWidth="1"/>
    <col min="4106" max="4106" width="2.6640625" style="95" customWidth="1"/>
    <col min="4107" max="4107" width="8.83203125" style="95" customWidth="1"/>
    <col min="4108" max="4108" width="9.1640625" style="95" customWidth="1"/>
    <col min="4109" max="4109" width="2.6640625" style="95" customWidth="1"/>
    <col min="4110" max="4110" width="8.83203125" style="95" customWidth="1"/>
    <col min="4111" max="4111" width="9.1640625" style="95" customWidth="1"/>
    <col min="4112" max="4112" width="2.6640625" style="95" customWidth="1"/>
    <col min="4113" max="4352" width="9.1640625" style="95"/>
    <col min="4353" max="4353" width="34" style="95" customWidth="1"/>
    <col min="4354" max="4354" width="10" style="95" customWidth="1"/>
    <col min="4355" max="4355" width="9.1640625" style="95" customWidth="1"/>
    <col min="4356" max="4356" width="2.6640625" style="95" customWidth="1"/>
    <col min="4357" max="4357" width="8.83203125" style="95" customWidth="1"/>
    <col min="4358" max="4358" width="9.1640625" style="95" customWidth="1"/>
    <col min="4359" max="4359" width="2.6640625" style="95" customWidth="1"/>
    <col min="4360" max="4360" width="8.83203125" style="95" customWidth="1"/>
    <col min="4361" max="4361" width="9.1640625" style="95" customWidth="1"/>
    <col min="4362" max="4362" width="2.6640625" style="95" customWidth="1"/>
    <col min="4363" max="4363" width="8.83203125" style="95" customWidth="1"/>
    <col min="4364" max="4364" width="9.1640625" style="95" customWidth="1"/>
    <col min="4365" max="4365" width="2.6640625" style="95" customWidth="1"/>
    <col min="4366" max="4366" width="8.83203125" style="95" customWidth="1"/>
    <col min="4367" max="4367" width="9.1640625" style="95" customWidth="1"/>
    <col min="4368" max="4368" width="2.6640625" style="95" customWidth="1"/>
    <col min="4369" max="4608" width="9.1640625" style="95"/>
    <col min="4609" max="4609" width="34" style="95" customWidth="1"/>
    <col min="4610" max="4610" width="10" style="95" customWidth="1"/>
    <col min="4611" max="4611" width="9.1640625" style="95" customWidth="1"/>
    <col min="4612" max="4612" width="2.6640625" style="95" customWidth="1"/>
    <col min="4613" max="4613" width="8.83203125" style="95" customWidth="1"/>
    <col min="4614" max="4614" width="9.1640625" style="95" customWidth="1"/>
    <col min="4615" max="4615" width="2.6640625" style="95" customWidth="1"/>
    <col min="4616" max="4616" width="8.83203125" style="95" customWidth="1"/>
    <col min="4617" max="4617" width="9.1640625" style="95" customWidth="1"/>
    <col min="4618" max="4618" width="2.6640625" style="95" customWidth="1"/>
    <col min="4619" max="4619" width="8.83203125" style="95" customWidth="1"/>
    <col min="4620" max="4620" width="9.1640625" style="95" customWidth="1"/>
    <col min="4621" max="4621" width="2.6640625" style="95" customWidth="1"/>
    <col min="4622" max="4622" width="8.83203125" style="95" customWidth="1"/>
    <col min="4623" max="4623" width="9.1640625" style="95" customWidth="1"/>
    <col min="4624" max="4624" width="2.6640625" style="95" customWidth="1"/>
    <col min="4625" max="4864" width="9.1640625" style="95"/>
    <col min="4865" max="4865" width="34" style="95" customWidth="1"/>
    <col min="4866" max="4866" width="10" style="95" customWidth="1"/>
    <col min="4867" max="4867" width="9.1640625" style="95" customWidth="1"/>
    <col min="4868" max="4868" width="2.6640625" style="95" customWidth="1"/>
    <col min="4869" max="4869" width="8.83203125" style="95" customWidth="1"/>
    <col min="4870" max="4870" width="9.1640625" style="95" customWidth="1"/>
    <col min="4871" max="4871" width="2.6640625" style="95" customWidth="1"/>
    <col min="4872" max="4872" width="8.83203125" style="95" customWidth="1"/>
    <col min="4873" max="4873" width="9.1640625" style="95" customWidth="1"/>
    <col min="4874" max="4874" width="2.6640625" style="95" customWidth="1"/>
    <col min="4875" max="4875" width="8.83203125" style="95" customWidth="1"/>
    <col min="4876" max="4876" width="9.1640625" style="95" customWidth="1"/>
    <col min="4877" max="4877" width="2.6640625" style="95" customWidth="1"/>
    <col min="4878" max="4878" width="8.83203125" style="95" customWidth="1"/>
    <col min="4879" max="4879" width="9.1640625" style="95" customWidth="1"/>
    <col min="4880" max="4880" width="2.6640625" style="95" customWidth="1"/>
    <col min="4881" max="5120" width="9.1640625" style="95"/>
    <col min="5121" max="5121" width="34" style="95" customWidth="1"/>
    <col min="5122" max="5122" width="10" style="95" customWidth="1"/>
    <col min="5123" max="5123" width="9.1640625" style="95" customWidth="1"/>
    <col min="5124" max="5124" width="2.6640625" style="95" customWidth="1"/>
    <col min="5125" max="5125" width="8.83203125" style="95" customWidth="1"/>
    <col min="5126" max="5126" width="9.1640625" style="95" customWidth="1"/>
    <col min="5127" max="5127" width="2.6640625" style="95" customWidth="1"/>
    <col min="5128" max="5128" width="8.83203125" style="95" customWidth="1"/>
    <col min="5129" max="5129" width="9.1640625" style="95" customWidth="1"/>
    <col min="5130" max="5130" width="2.6640625" style="95" customWidth="1"/>
    <col min="5131" max="5131" width="8.83203125" style="95" customWidth="1"/>
    <col min="5132" max="5132" width="9.1640625" style="95" customWidth="1"/>
    <col min="5133" max="5133" width="2.6640625" style="95" customWidth="1"/>
    <col min="5134" max="5134" width="8.83203125" style="95" customWidth="1"/>
    <col min="5135" max="5135" width="9.1640625" style="95" customWidth="1"/>
    <col min="5136" max="5136" width="2.6640625" style="95" customWidth="1"/>
    <col min="5137" max="5376" width="9.1640625" style="95"/>
    <col min="5377" max="5377" width="34" style="95" customWidth="1"/>
    <col min="5378" max="5378" width="10" style="95" customWidth="1"/>
    <col min="5379" max="5379" width="9.1640625" style="95" customWidth="1"/>
    <col min="5380" max="5380" width="2.6640625" style="95" customWidth="1"/>
    <col min="5381" max="5381" width="8.83203125" style="95" customWidth="1"/>
    <col min="5382" max="5382" width="9.1640625" style="95" customWidth="1"/>
    <col min="5383" max="5383" width="2.6640625" style="95" customWidth="1"/>
    <col min="5384" max="5384" width="8.83203125" style="95" customWidth="1"/>
    <col min="5385" max="5385" width="9.1640625" style="95" customWidth="1"/>
    <col min="5386" max="5386" width="2.6640625" style="95" customWidth="1"/>
    <col min="5387" max="5387" width="8.83203125" style="95" customWidth="1"/>
    <col min="5388" max="5388" width="9.1640625" style="95" customWidth="1"/>
    <col min="5389" max="5389" width="2.6640625" style="95" customWidth="1"/>
    <col min="5390" max="5390" width="8.83203125" style="95" customWidth="1"/>
    <col min="5391" max="5391" width="9.1640625" style="95" customWidth="1"/>
    <col min="5392" max="5392" width="2.6640625" style="95" customWidth="1"/>
    <col min="5393" max="5632" width="9.1640625" style="95"/>
    <col min="5633" max="5633" width="34" style="95" customWidth="1"/>
    <col min="5634" max="5634" width="10" style="95" customWidth="1"/>
    <col min="5635" max="5635" width="9.1640625" style="95" customWidth="1"/>
    <col min="5636" max="5636" width="2.6640625" style="95" customWidth="1"/>
    <col min="5637" max="5637" width="8.83203125" style="95" customWidth="1"/>
    <col min="5638" max="5638" width="9.1640625" style="95" customWidth="1"/>
    <col min="5639" max="5639" width="2.6640625" style="95" customWidth="1"/>
    <col min="5640" max="5640" width="8.83203125" style="95" customWidth="1"/>
    <col min="5641" max="5641" width="9.1640625" style="95" customWidth="1"/>
    <col min="5642" max="5642" width="2.6640625" style="95" customWidth="1"/>
    <col min="5643" max="5643" width="8.83203125" style="95" customWidth="1"/>
    <col min="5644" max="5644" width="9.1640625" style="95" customWidth="1"/>
    <col min="5645" max="5645" width="2.6640625" style="95" customWidth="1"/>
    <col min="5646" max="5646" width="8.83203125" style="95" customWidth="1"/>
    <col min="5647" max="5647" width="9.1640625" style="95" customWidth="1"/>
    <col min="5648" max="5648" width="2.6640625" style="95" customWidth="1"/>
    <col min="5649" max="5888" width="9.1640625" style="95"/>
    <col min="5889" max="5889" width="34" style="95" customWidth="1"/>
    <col min="5890" max="5890" width="10" style="95" customWidth="1"/>
    <col min="5891" max="5891" width="9.1640625" style="95" customWidth="1"/>
    <col min="5892" max="5892" width="2.6640625" style="95" customWidth="1"/>
    <col min="5893" max="5893" width="8.83203125" style="95" customWidth="1"/>
    <col min="5894" max="5894" width="9.1640625" style="95" customWidth="1"/>
    <col min="5895" max="5895" width="2.6640625" style="95" customWidth="1"/>
    <col min="5896" max="5896" width="8.83203125" style="95" customWidth="1"/>
    <col min="5897" max="5897" width="9.1640625" style="95" customWidth="1"/>
    <col min="5898" max="5898" width="2.6640625" style="95" customWidth="1"/>
    <col min="5899" max="5899" width="8.83203125" style="95" customWidth="1"/>
    <col min="5900" max="5900" width="9.1640625" style="95" customWidth="1"/>
    <col min="5901" max="5901" width="2.6640625" style="95" customWidth="1"/>
    <col min="5902" max="5902" width="8.83203125" style="95" customWidth="1"/>
    <col min="5903" max="5903" width="9.1640625" style="95" customWidth="1"/>
    <col min="5904" max="5904" width="2.6640625" style="95" customWidth="1"/>
    <col min="5905" max="6144" width="9.1640625" style="95"/>
    <col min="6145" max="6145" width="34" style="95" customWidth="1"/>
    <col min="6146" max="6146" width="10" style="95" customWidth="1"/>
    <col min="6147" max="6147" width="9.1640625" style="95" customWidth="1"/>
    <col min="6148" max="6148" width="2.6640625" style="95" customWidth="1"/>
    <col min="6149" max="6149" width="8.83203125" style="95" customWidth="1"/>
    <col min="6150" max="6150" width="9.1640625" style="95" customWidth="1"/>
    <col min="6151" max="6151" width="2.6640625" style="95" customWidth="1"/>
    <col min="6152" max="6152" width="8.83203125" style="95" customWidth="1"/>
    <col min="6153" max="6153" width="9.1640625" style="95" customWidth="1"/>
    <col min="6154" max="6154" width="2.6640625" style="95" customWidth="1"/>
    <col min="6155" max="6155" width="8.83203125" style="95" customWidth="1"/>
    <col min="6156" max="6156" width="9.1640625" style="95" customWidth="1"/>
    <col min="6157" max="6157" width="2.6640625" style="95" customWidth="1"/>
    <col min="6158" max="6158" width="8.83203125" style="95" customWidth="1"/>
    <col min="6159" max="6159" width="9.1640625" style="95" customWidth="1"/>
    <col min="6160" max="6160" width="2.6640625" style="95" customWidth="1"/>
    <col min="6161" max="6400" width="9.1640625" style="95"/>
    <col min="6401" max="6401" width="34" style="95" customWidth="1"/>
    <col min="6402" max="6402" width="10" style="95" customWidth="1"/>
    <col min="6403" max="6403" width="9.1640625" style="95" customWidth="1"/>
    <col min="6404" max="6404" width="2.6640625" style="95" customWidth="1"/>
    <col min="6405" max="6405" width="8.83203125" style="95" customWidth="1"/>
    <col min="6406" max="6406" width="9.1640625" style="95" customWidth="1"/>
    <col min="6407" max="6407" width="2.6640625" style="95" customWidth="1"/>
    <col min="6408" max="6408" width="8.83203125" style="95" customWidth="1"/>
    <col min="6409" max="6409" width="9.1640625" style="95" customWidth="1"/>
    <col min="6410" max="6410" width="2.6640625" style="95" customWidth="1"/>
    <col min="6411" max="6411" width="8.83203125" style="95" customWidth="1"/>
    <col min="6412" max="6412" width="9.1640625" style="95" customWidth="1"/>
    <col min="6413" max="6413" width="2.6640625" style="95" customWidth="1"/>
    <col min="6414" max="6414" width="8.83203125" style="95" customWidth="1"/>
    <col min="6415" max="6415" width="9.1640625" style="95" customWidth="1"/>
    <col min="6416" max="6416" width="2.6640625" style="95" customWidth="1"/>
    <col min="6417" max="6656" width="9.1640625" style="95"/>
    <col min="6657" max="6657" width="34" style="95" customWidth="1"/>
    <col min="6658" max="6658" width="10" style="95" customWidth="1"/>
    <col min="6659" max="6659" width="9.1640625" style="95" customWidth="1"/>
    <col min="6660" max="6660" width="2.6640625" style="95" customWidth="1"/>
    <col min="6661" max="6661" width="8.83203125" style="95" customWidth="1"/>
    <col min="6662" max="6662" width="9.1640625" style="95" customWidth="1"/>
    <col min="6663" max="6663" width="2.6640625" style="95" customWidth="1"/>
    <col min="6664" max="6664" width="8.83203125" style="95" customWidth="1"/>
    <col min="6665" max="6665" width="9.1640625" style="95" customWidth="1"/>
    <col min="6666" max="6666" width="2.6640625" style="95" customWidth="1"/>
    <col min="6667" max="6667" width="8.83203125" style="95" customWidth="1"/>
    <col min="6668" max="6668" width="9.1640625" style="95" customWidth="1"/>
    <col min="6669" max="6669" width="2.6640625" style="95" customWidth="1"/>
    <col min="6670" max="6670" width="8.83203125" style="95" customWidth="1"/>
    <col min="6671" max="6671" width="9.1640625" style="95" customWidth="1"/>
    <col min="6672" max="6672" width="2.6640625" style="95" customWidth="1"/>
    <col min="6673" max="6912" width="9.1640625" style="95"/>
    <col min="6913" max="6913" width="34" style="95" customWidth="1"/>
    <col min="6914" max="6914" width="10" style="95" customWidth="1"/>
    <col min="6915" max="6915" width="9.1640625" style="95" customWidth="1"/>
    <col min="6916" max="6916" width="2.6640625" style="95" customWidth="1"/>
    <col min="6917" max="6917" width="8.83203125" style="95" customWidth="1"/>
    <col min="6918" max="6918" width="9.1640625" style="95" customWidth="1"/>
    <col min="6919" max="6919" width="2.6640625" style="95" customWidth="1"/>
    <col min="6920" max="6920" width="8.83203125" style="95" customWidth="1"/>
    <col min="6921" max="6921" width="9.1640625" style="95" customWidth="1"/>
    <col min="6922" max="6922" width="2.6640625" style="95" customWidth="1"/>
    <col min="6923" max="6923" width="8.83203125" style="95" customWidth="1"/>
    <col min="6924" max="6924" width="9.1640625" style="95" customWidth="1"/>
    <col min="6925" max="6925" width="2.6640625" style="95" customWidth="1"/>
    <col min="6926" max="6926" width="8.83203125" style="95" customWidth="1"/>
    <col min="6927" max="6927" width="9.1640625" style="95" customWidth="1"/>
    <col min="6928" max="6928" width="2.6640625" style="95" customWidth="1"/>
    <col min="6929" max="7168" width="9.1640625" style="95"/>
    <col min="7169" max="7169" width="34" style="95" customWidth="1"/>
    <col min="7170" max="7170" width="10" style="95" customWidth="1"/>
    <col min="7171" max="7171" width="9.1640625" style="95" customWidth="1"/>
    <col min="7172" max="7172" width="2.6640625" style="95" customWidth="1"/>
    <col min="7173" max="7173" width="8.83203125" style="95" customWidth="1"/>
    <col min="7174" max="7174" width="9.1640625" style="95" customWidth="1"/>
    <col min="7175" max="7175" width="2.6640625" style="95" customWidth="1"/>
    <col min="7176" max="7176" width="8.83203125" style="95" customWidth="1"/>
    <col min="7177" max="7177" width="9.1640625" style="95" customWidth="1"/>
    <col min="7178" max="7178" width="2.6640625" style="95" customWidth="1"/>
    <col min="7179" max="7179" width="8.83203125" style="95" customWidth="1"/>
    <col min="7180" max="7180" width="9.1640625" style="95" customWidth="1"/>
    <col min="7181" max="7181" width="2.6640625" style="95" customWidth="1"/>
    <col min="7182" max="7182" width="8.83203125" style="95" customWidth="1"/>
    <col min="7183" max="7183" width="9.1640625" style="95" customWidth="1"/>
    <col min="7184" max="7184" width="2.6640625" style="95" customWidth="1"/>
    <col min="7185" max="7424" width="9.1640625" style="95"/>
    <col min="7425" max="7425" width="34" style="95" customWidth="1"/>
    <col min="7426" max="7426" width="10" style="95" customWidth="1"/>
    <col min="7427" max="7427" width="9.1640625" style="95" customWidth="1"/>
    <col min="7428" max="7428" width="2.6640625" style="95" customWidth="1"/>
    <col min="7429" max="7429" width="8.83203125" style="95" customWidth="1"/>
    <col min="7430" max="7430" width="9.1640625" style="95" customWidth="1"/>
    <col min="7431" max="7431" width="2.6640625" style="95" customWidth="1"/>
    <col min="7432" max="7432" width="8.83203125" style="95" customWidth="1"/>
    <col min="7433" max="7433" width="9.1640625" style="95" customWidth="1"/>
    <col min="7434" max="7434" width="2.6640625" style="95" customWidth="1"/>
    <col min="7435" max="7435" width="8.83203125" style="95" customWidth="1"/>
    <col min="7436" max="7436" width="9.1640625" style="95" customWidth="1"/>
    <col min="7437" max="7437" width="2.6640625" style="95" customWidth="1"/>
    <col min="7438" max="7438" width="8.83203125" style="95" customWidth="1"/>
    <col min="7439" max="7439" width="9.1640625" style="95" customWidth="1"/>
    <col min="7440" max="7440" width="2.6640625" style="95" customWidth="1"/>
    <col min="7441" max="7680" width="9.1640625" style="95"/>
    <col min="7681" max="7681" width="34" style="95" customWidth="1"/>
    <col min="7682" max="7682" width="10" style="95" customWidth="1"/>
    <col min="7683" max="7683" width="9.1640625" style="95" customWidth="1"/>
    <col min="7684" max="7684" width="2.6640625" style="95" customWidth="1"/>
    <col min="7685" max="7685" width="8.83203125" style="95" customWidth="1"/>
    <col min="7686" max="7686" width="9.1640625" style="95" customWidth="1"/>
    <col min="7687" max="7687" width="2.6640625" style="95" customWidth="1"/>
    <col min="7688" max="7688" width="8.83203125" style="95" customWidth="1"/>
    <col min="7689" max="7689" width="9.1640625" style="95" customWidth="1"/>
    <col min="7690" max="7690" width="2.6640625" style="95" customWidth="1"/>
    <col min="7691" max="7691" width="8.83203125" style="95" customWidth="1"/>
    <col min="7692" max="7692" width="9.1640625" style="95" customWidth="1"/>
    <col min="7693" max="7693" width="2.6640625" style="95" customWidth="1"/>
    <col min="7694" max="7694" width="8.83203125" style="95" customWidth="1"/>
    <col min="7695" max="7695" width="9.1640625" style="95" customWidth="1"/>
    <col min="7696" max="7696" width="2.6640625" style="95" customWidth="1"/>
    <col min="7697" max="7936" width="9.1640625" style="95"/>
    <col min="7937" max="7937" width="34" style="95" customWidth="1"/>
    <col min="7938" max="7938" width="10" style="95" customWidth="1"/>
    <col min="7939" max="7939" width="9.1640625" style="95" customWidth="1"/>
    <col min="7940" max="7940" width="2.6640625" style="95" customWidth="1"/>
    <col min="7941" max="7941" width="8.83203125" style="95" customWidth="1"/>
    <col min="7942" max="7942" width="9.1640625" style="95" customWidth="1"/>
    <col min="7943" max="7943" width="2.6640625" style="95" customWidth="1"/>
    <col min="7944" max="7944" width="8.83203125" style="95" customWidth="1"/>
    <col min="7945" max="7945" width="9.1640625" style="95" customWidth="1"/>
    <col min="7946" max="7946" width="2.6640625" style="95" customWidth="1"/>
    <col min="7947" max="7947" width="8.83203125" style="95" customWidth="1"/>
    <col min="7948" max="7948" width="9.1640625" style="95" customWidth="1"/>
    <col min="7949" max="7949" width="2.6640625" style="95" customWidth="1"/>
    <col min="7950" max="7950" width="8.83203125" style="95" customWidth="1"/>
    <col min="7951" max="7951" width="9.1640625" style="95" customWidth="1"/>
    <col min="7952" max="7952" width="2.6640625" style="95" customWidth="1"/>
    <col min="7953" max="8192" width="9.1640625" style="95"/>
    <col min="8193" max="8193" width="34" style="95" customWidth="1"/>
    <col min="8194" max="8194" width="10" style="95" customWidth="1"/>
    <col min="8195" max="8195" width="9.1640625" style="95" customWidth="1"/>
    <col min="8196" max="8196" width="2.6640625" style="95" customWidth="1"/>
    <col min="8197" max="8197" width="8.83203125" style="95" customWidth="1"/>
    <col min="8198" max="8198" width="9.1640625" style="95" customWidth="1"/>
    <col min="8199" max="8199" width="2.6640625" style="95" customWidth="1"/>
    <col min="8200" max="8200" width="8.83203125" style="95" customWidth="1"/>
    <col min="8201" max="8201" width="9.1640625" style="95" customWidth="1"/>
    <col min="8202" max="8202" width="2.6640625" style="95" customWidth="1"/>
    <col min="8203" max="8203" width="8.83203125" style="95" customWidth="1"/>
    <col min="8204" max="8204" width="9.1640625" style="95" customWidth="1"/>
    <col min="8205" max="8205" width="2.6640625" style="95" customWidth="1"/>
    <col min="8206" max="8206" width="8.83203125" style="95" customWidth="1"/>
    <col min="8207" max="8207" width="9.1640625" style="95" customWidth="1"/>
    <col min="8208" max="8208" width="2.6640625" style="95" customWidth="1"/>
    <col min="8209" max="8448" width="9.1640625" style="95"/>
    <col min="8449" max="8449" width="34" style="95" customWidth="1"/>
    <col min="8450" max="8450" width="10" style="95" customWidth="1"/>
    <col min="8451" max="8451" width="9.1640625" style="95" customWidth="1"/>
    <col min="8452" max="8452" width="2.6640625" style="95" customWidth="1"/>
    <col min="8453" max="8453" width="8.83203125" style="95" customWidth="1"/>
    <col min="8454" max="8454" width="9.1640625" style="95" customWidth="1"/>
    <col min="8455" max="8455" width="2.6640625" style="95" customWidth="1"/>
    <col min="8456" max="8456" width="8.83203125" style="95" customWidth="1"/>
    <col min="8457" max="8457" width="9.1640625" style="95" customWidth="1"/>
    <col min="8458" max="8458" width="2.6640625" style="95" customWidth="1"/>
    <col min="8459" max="8459" width="8.83203125" style="95" customWidth="1"/>
    <col min="8460" max="8460" width="9.1640625" style="95" customWidth="1"/>
    <col min="8461" max="8461" width="2.6640625" style="95" customWidth="1"/>
    <col min="8462" max="8462" width="8.83203125" style="95" customWidth="1"/>
    <col min="8463" max="8463" width="9.1640625" style="95" customWidth="1"/>
    <col min="8464" max="8464" width="2.6640625" style="95" customWidth="1"/>
    <col min="8465" max="8704" width="9.1640625" style="95"/>
    <col min="8705" max="8705" width="34" style="95" customWidth="1"/>
    <col min="8706" max="8706" width="10" style="95" customWidth="1"/>
    <col min="8707" max="8707" width="9.1640625" style="95" customWidth="1"/>
    <col min="8708" max="8708" width="2.6640625" style="95" customWidth="1"/>
    <col min="8709" max="8709" width="8.83203125" style="95" customWidth="1"/>
    <col min="8710" max="8710" width="9.1640625" style="95" customWidth="1"/>
    <col min="8711" max="8711" width="2.6640625" style="95" customWidth="1"/>
    <col min="8712" max="8712" width="8.83203125" style="95" customWidth="1"/>
    <col min="8713" max="8713" width="9.1640625" style="95" customWidth="1"/>
    <col min="8714" max="8714" width="2.6640625" style="95" customWidth="1"/>
    <col min="8715" max="8715" width="8.83203125" style="95" customWidth="1"/>
    <col min="8716" max="8716" width="9.1640625" style="95" customWidth="1"/>
    <col min="8717" max="8717" width="2.6640625" style="95" customWidth="1"/>
    <col min="8718" max="8718" width="8.83203125" style="95" customWidth="1"/>
    <col min="8719" max="8719" width="9.1640625" style="95" customWidth="1"/>
    <col min="8720" max="8720" width="2.6640625" style="95" customWidth="1"/>
    <col min="8721" max="8960" width="9.1640625" style="95"/>
    <col min="8961" max="8961" width="34" style="95" customWidth="1"/>
    <col min="8962" max="8962" width="10" style="95" customWidth="1"/>
    <col min="8963" max="8963" width="9.1640625" style="95" customWidth="1"/>
    <col min="8964" max="8964" width="2.6640625" style="95" customWidth="1"/>
    <col min="8965" max="8965" width="8.83203125" style="95" customWidth="1"/>
    <col min="8966" max="8966" width="9.1640625" style="95" customWidth="1"/>
    <col min="8967" max="8967" width="2.6640625" style="95" customWidth="1"/>
    <col min="8968" max="8968" width="8.83203125" style="95" customWidth="1"/>
    <col min="8969" max="8969" width="9.1640625" style="95" customWidth="1"/>
    <col min="8970" max="8970" width="2.6640625" style="95" customWidth="1"/>
    <col min="8971" max="8971" width="8.83203125" style="95" customWidth="1"/>
    <col min="8972" max="8972" width="9.1640625" style="95" customWidth="1"/>
    <col min="8973" max="8973" width="2.6640625" style="95" customWidth="1"/>
    <col min="8974" max="8974" width="8.83203125" style="95" customWidth="1"/>
    <col min="8975" max="8975" width="9.1640625" style="95" customWidth="1"/>
    <col min="8976" max="8976" width="2.6640625" style="95" customWidth="1"/>
    <col min="8977" max="9216" width="9.1640625" style="95"/>
    <col min="9217" max="9217" width="34" style="95" customWidth="1"/>
    <col min="9218" max="9218" width="10" style="95" customWidth="1"/>
    <col min="9219" max="9219" width="9.1640625" style="95" customWidth="1"/>
    <col min="9220" max="9220" width="2.6640625" style="95" customWidth="1"/>
    <col min="9221" max="9221" width="8.83203125" style="95" customWidth="1"/>
    <col min="9222" max="9222" width="9.1640625" style="95" customWidth="1"/>
    <col min="9223" max="9223" width="2.6640625" style="95" customWidth="1"/>
    <col min="9224" max="9224" width="8.83203125" style="95" customWidth="1"/>
    <col min="9225" max="9225" width="9.1640625" style="95" customWidth="1"/>
    <col min="9226" max="9226" width="2.6640625" style="95" customWidth="1"/>
    <col min="9227" max="9227" width="8.83203125" style="95" customWidth="1"/>
    <col min="9228" max="9228" width="9.1640625" style="95" customWidth="1"/>
    <col min="9229" max="9229" width="2.6640625" style="95" customWidth="1"/>
    <col min="9230" max="9230" width="8.83203125" style="95" customWidth="1"/>
    <col min="9231" max="9231" width="9.1640625" style="95" customWidth="1"/>
    <col min="9232" max="9232" width="2.6640625" style="95" customWidth="1"/>
    <col min="9233" max="9472" width="9.1640625" style="95"/>
    <col min="9473" max="9473" width="34" style="95" customWidth="1"/>
    <col min="9474" max="9474" width="10" style="95" customWidth="1"/>
    <col min="9475" max="9475" width="9.1640625" style="95" customWidth="1"/>
    <col min="9476" max="9476" width="2.6640625" style="95" customWidth="1"/>
    <col min="9477" max="9477" width="8.83203125" style="95" customWidth="1"/>
    <col min="9478" max="9478" width="9.1640625" style="95" customWidth="1"/>
    <col min="9479" max="9479" width="2.6640625" style="95" customWidth="1"/>
    <col min="9480" max="9480" width="8.83203125" style="95" customWidth="1"/>
    <col min="9481" max="9481" width="9.1640625" style="95" customWidth="1"/>
    <col min="9482" max="9482" width="2.6640625" style="95" customWidth="1"/>
    <col min="9483" max="9483" width="8.83203125" style="95" customWidth="1"/>
    <col min="9484" max="9484" width="9.1640625" style="95" customWidth="1"/>
    <col min="9485" max="9485" width="2.6640625" style="95" customWidth="1"/>
    <col min="9486" max="9486" width="8.83203125" style="95" customWidth="1"/>
    <col min="9487" max="9487" width="9.1640625" style="95" customWidth="1"/>
    <col min="9488" max="9488" width="2.6640625" style="95" customWidth="1"/>
    <col min="9489" max="9728" width="9.1640625" style="95"/>
    <col min="9729" max="9729" width="34" style="95" customWidth="1"/>
    <col min="9730" max="9730" width="10" style="95" customWidth="1"/>
    <col min="9731" max="9731" width="9.1640625" style="95" customWidth="1"/>
    <col min="9732" max="9732" width="2.6640625" style="95" customWidth="1"/>
    <col min="9733" max="9733" width="8.83203125" style="95" customWidth="1"/>
    <col min="9734" max="9734" width="9.1640625" style="95" customWidth="1"/>
    <col min="9735" max="9735" width="2.6640625" style="95" customWidth="1"/>
    <col min="9736" max="9736" width="8.83203125" style="95" customWidth="1"/>
    <col min="9737" max="9737" width="9.1640625" style="95" customWidth="1"/>
    <col min="9738" max="9738" width="2.6640625" style="95" customWidth="1"/>
    <col min="9739" max="9739" width="8.83203125" style="95" customWidth="1"/>
    <col min="9740" max="9740" width="9.1640625" style="95" customWidth="1"/>
    <col min="9741" max="9741" width="2.6640625" style="95" customWidth="1"/>
    <col min="9742" max="9742" width="8.83203125" style="95" customWidth="1"/>
    <col min="9743" max="9743" width="9.1640625" style="95" customWidth="1"/>
    <col min="9744" max="9744" width="2.6640625" style="95" customWidth="1"/>
    <col min="9745" max="9984" width="9.1640625" style="95"/>
    <col min="9985" max="9985" width="34" style="95" customWidth="1"/>
    <col min="9986" max="9986" width="10" style="95" customWidth="1"/>
    <col min="9987" max="9987" width="9.1640625" style="95" customWidth="1"/>
    <col min="9988" max="9988" width="2.6640625" style="95" customWidth="1"/>
    <col min="9989" max="9989" width="8.83203125" style="95" customWidth="1"/>
    <col min="9990" max="9990" width="9.1640625" style="95" customWidth="1"/>
    <col min="9991" max="9991" width="2.6640625" style="95" customWidth="1"/>
    <col min="9992" max="9992" width="8.83203125" style="95" customWidth="1"/>
    <col min="9993" max="9993" width="9.1640625" style="95" customWidth="1"/>
    <col min="9994" max="9994" width="2.6640625" style="95" customWidth="1"/>
    <col min="9995" max="9995" width="8.83203125" style="95" customWidth="1"/>
    <col min="9996" max="9996" width="9.1640625" style="95" customWidth="1"/>
    <col min="9997" max="9997" width="2.6640625" style="95" customWidth="1"/>
    <col min="9998" max="9998" width="8.83203125" style="95" customWidth="1"/>
    <col min="9999" max="9999" width="9.1640625" style="95" customWidth="1"/>
    <col min="10000" max="10000" width="2.6640625" style="95" customWidth="1"/>
    <col min="10001" max="10240" width="9.1640625" style="95"/>
    <col min="10241" max="10241" width="34" style="95" customWidth="1"/>
    <col min="10242" max="10242" width="10" style="95" customWidth="1"/>
    <col min="10243" max="10243" width="9.1640625" style="95" customWidth="1"/>
    <col min="10244" max="10244" width="2.6640625" style="95" customWidth="1"/>
    <col min="10245" max="10245" width="8.83203125" style="95" customWidth="1"/>
    <col min="10246" max="10246" width="9.1640625" style="95" customWidth="1"/>
    <col min="10247" max="10247" width="2.6640625" style="95" customWidth="1"/>
    <col min="10248" max="10248" width="8.83203125" style="95" customWidth="1"/>
    <col min="10249" max="10249" width="9.1640625" style="95" customWidth="1"/>
    <col min="10250" max="10250" width="2.6640625" style="95" customWidth="1"/>
    <col min="10251" max="10251" width="8.83203125" style="95" customWidth="1"/>
    <col min="10252" max="10252" width="9.1640625" style="95" customWidth="1"/>
    <col min="10253" max="10253" width="2.6640625" style="95" customWidth="1"/>
    <col min="10254" max="10254" width="8.83203125" style="95" customWidth="1"/>
    <col min="10255" max="10255" width="9.1640625" style="95" customWidth="1"/>
    <col min="10256" max="10256" width="2.6640625" style="95" customWidth="1"/>
    <col min="10257" max="10496" width="9.1640625" style="95"/>
    <col min="10497" max="10497" width="34" style="95" customWidth="1"/>
    <col min="10498" max="10498" width="10" style="95" customWidth="1"/>
    <col min="10499" max="10499" width="9.1640625" style="95" customWidth="1"/>
    <col min="10500" max="10500" width="2.6640625" style="95" customWidth="1"/>
    <col min="10501" max="10501" width="8.83203125" style="95" customWidth="1"/>
    <col min="10502" max="10502" width="9.1640625" style="95" customWidth="1"/>
    <col min="10503" max="10503" width="2.6640625" style="95" customWidth="1"/>
    <col min="10504" max="10504" width="8.83203125" style="95" customWidth="1"/>
    <col min="10505" max="10505" width="9.1640625" style="95" customWidth="1"/>
    <col min="10506" max="10506" width="2.6640625" style="95" customWidth="1"/>
    <col min="10507" max="10507" width="8.83203125" style="95" customWidth="1"/>
    <col min="10508" max="10508" width="9.1640625" style="95" customWidth="1"/>
    <col min="10509" max="10509" width="2.6640625" style="95" customWidth="1"/>
    <col min="10510" max="10510" width="8.83203125" style="95" customWidth="1"/>
    <col min="10511" max="10511" width="9.1640625" style="95" customWidth="1"/>
    <col min="10512" max="10512" width="2.6640625" style="95" customWidth="1"/>
    <col min="10513" max="10752" width="9.1640625" style="95"/>
    <col min="10753" max="10753" width="34" style="95" customWidth="1"/>
    <col min="10754" max="10754" width="10" style="95" customWidth="1"/>
    <col min="10755" max="10755" width="9.1640625" style="95" customWidth="1"/>
    <col min="10756" max="10756" width="2.6640625" style="95" customWidth="1"/>
    <col min="10757" max="10757" width="8.83203125" style="95" customWidth="1"/>
    <col min="10758" max="10758" width="9.1640625" style="95" customWidth="1"/>
    <col min="10759" max="10759" width="2.6640625" style="95" customWidth="1"/>
    <col min="10760" max="10760" width="8.83203125" style="95" customWidth="1"/>
    <col min="10761" max="10761" width="9.1640625" style="95" customWidth="1"/>
    <col min="10762" max="10762" width="2.6640625" style="95" customWidth="1"/>
    <col min="10763" max="10763" width="8.83203125" style="95" customWidth="1"/>
    <col min="10764" max="10764" width="9.1640625" style="95" customWidth="1"/>
    <col min="10765" max="10765" width="2.6640625" style="95" customWidth="1"/>
    <col min="10766" max="10766" width="8.83203125" style="95" customWidth="1"/>
    <col min="10767" max="10767" width="9.1640625" style="95" customWidth="1"/>
    <col min="10768" max="10768" width="2.6640625" style="95" customWidth="1"/>
    <col min="10769" max="11008" width="9.1640625" style="95"/>
    <col min="11009" max="11009" width="34" style="95" customWidth="1"/>
    <col min="11010" max="11010" width="10" style="95" customWidth="1"/>
    <col min="11011" max="11011" width="9.1640625" style="95" customWidth="1"/>
    <col min="11012" max="11012" width="2.6640625" style="95" customWidth="1"/>
    <col min="11013" max="11013" width="8.83203125" style="95" customWidth="1"/>
    <col min="11014" max="11014" width="9.1640625" style="95" customWidth="1"/>
    <col min="11015" max="11015" width="2.6640625" style="95" customWidth="1"/>
    <col min="11016" max="11016" width="8.83203125" style="95" customWidth="1"/>
    <col min="11017" max="11017" width="9.1640625" style="95" customWidth="1"/>
    <col min="11018" max="11018" width="2.6640625" style="95" customWidth="1"/>
    <col min="11019" max="11019" width="8.83203125" style="95" customWidth="1"/>
    <col min="11020" max="11020" width="9.1640625" style="95" customWidth="1"/>
    <col min="11021" max="11021" width="2.6640625" style="95" customWidth="1"/>
    <col min="11022" max="11022" width="8.83203125" style="95" customWidth="1"/>
    <col min="11023" max="11023" width="9.1640625" style="95" customWidth="1"/>
    <col min="11024" max="11024" width="2.6640625" style="95" customWidth="1"/>
    <col min="11025" max="11264" width="9.1640625" style="95"/>
    <col min="11265" max="11265" width="34" style="95" customWidth="1"/>
    <col min="11266" max="11266" width="10" style="95" customWidth="1"/>
    <col min="11267" max="11267" width="9.1640625" style="95" customWidth="1"/>
    <col min="11268" max="11268" width="2.6640625" style="95" customWidth="1"/>
    <col min="11269" max="11269" width="8.83203125" style="95" customWidth="1"/>
    <col min="11270" max="11270" width="9.1640625" style="95" customWidth="1"/>
    <col min="11271" max="11271" width="2.6640625" style="95" customWidth="1"/>
    <col min="11272" max="11272" width="8.83203125" style="95" customWidth="1"/>
    <col min="11273" max="11273" width="9.1640625" style="95" customWidth="1"/>
    <col min="11274" max="11274" width="2.6640625" style="95" customWidth="1"/>
    <col min="11275" max="11275" width="8.83203125" style="95" customWidth="1"/>
    <col min="11276" max="11276" width="9.1640625" style="95" customWidth="1"/>
    <col min="11277" max="11277" width="2.6640625" style="95" customWidth="1"/>
    <col min="11278" max="11278" width="8.83203125" style="95" customWidth="1"/>
    <col min="11279" max="11279" width="9.1640625" style="95" customWidth="1"/>
    <col min="11280" max="11280" width="2.6640625" style="95" customWidth="1"/>
    <col min="11281" max="11520" width="9.1640625" style="95"/>
    <col min="11521" max="11521" width="34" style="95" customWidth="1"/>
    <col min="11522" max="11522" width="10" style="95" customWidth="1"/>
    <col min="11523" max="11523" width="9.1640625" style="95" customWidth="1"/>
    <col min="11524" max="11524" width="2.6640625" style="95" customWidth="1"/>
    <col min="11525" max="11525" width="8.83203125" style="95" customWidth="1"/>
    <col min="11526" max="11526" width="9.1640625" style="95" customWidth="1"/>
    <col min="11527" max="11527" width="2.6640625" style="95" customWidth="1"/>
    <col min="11528" max="11528" width="8.83203125" style="95" customWidth="1"/>
    <col min="11529" max="11529" width="9.1640625" style="95" customWidth="1"/>
    <col min="11530" max="11530" width="2.6640625" style="95" customWidth="1"/>
    <col min="11531" max="11531" width="8.83203125" style="95" customWidth="1"/>
    <col min="11532" max="11532" width="9.1640625" style="95" customWidth="1"/>
    <col min="11533" max="11533" width="2.6640625" style="95" customWidth="1"/>
    <col min="11534" max="11534" width="8.83203125" style="95" customWidth="1"/>
    <col min="11535" max="11535" width="9.1640625" style="95" customWidth="1"/>
    <col min="11536" max="11536" width="2.6640625" style="95" customWidth="1"/>
    <col min="11537" max="11776" width="9.1640625" style="95"/>
    <col min="11777" max="11777" width="34" style="95" customWidth="1"/>
    <col min="11778" max="11778" width="10" style="95" customWidth="1"/>
    <col min="11779" max="11779" width="9.1640625" style="95" customWidth="1"/>
    <col min="11780" max="11780" width="2.6640625" style="95" customWidth="1"/>
    <col min="11781" max="11781" width="8.83203125" style="95" customWidth="1"/>
    <col min="11782" max="11782" width="9.1640625" style="95" customWidth="1"/>
    <col min="11783" max="11783" width="2.6640625" style="95" customWidth="1"/>
    <col min="11784" max="11784" width="8.83203125" style="95" customWidth="1"/>
    <col min="11785" max="11785" width="9.1640625" style="95" customWidth="1"/>
    <col min="11786" max="11786" width="2.6640625" style="95" customWidth="1"/>
    <col min="11787" max="11787" width="8.83203125" style="95" customWidth="1"/>
    <col min="11788" max="11788" width="9.1640625" style="95" customWidth="1"/>
    <col min="11789" max="11789" width="2.6640625" style="95" customWidth="1"/>
    <col min="11790" max="11790" width="8.83203125" style="95" customWidth="1"/>
    <col min="11791" max="11791" width="9.1640625" style="95" customWidth="1"/>
    <col min="11792" max="11792" width="2.6640625" style="95" customWidth="1"/>
    <col min="11793" max="12032" width="9.1640625" style="95"/>
    <col min="12033" max="12033" width="34" style="95" customWidth="1"/>
    <col min="12034" max="12034" width="10" style="95" customWidth="1"/>
    <col min="12035" max="12035" width="9.1640625" style="95" customWidth="1"/>
    <col min="12036" max="12036" width="2.6640625" style="95" customWidth="1"/>
    <col min="12037" max="12037" width="8.83203125" style="95" customWidth="1"/>
    <col min="12038" max="12038" width="9.1640625" style="95" customWidth="1"/>
    <col min="12039" max="12039" width="2.6640625" style="95" customWidth="1"/>
    <col min="12040" max="12040" width="8.83203125" style="95" customWidth="1"/>
    <col min="12041" max="12041" width="9.1640625" style="95" customWidth="1"/>
    <col min="12042" max="12042" width="2.6640625" style="95" customWidth="1"/>
    <col min="12043" max="12043" width="8.83203125" style="95" customWidth="1"/>
    <col min="12044" max="12044" width="9.1640625" style="95" customWidth="1"/>
    <col min="12045" max="12045" width="2.6640625" style="95" customWidth="1"/>
    <col min="12046" max="12046" width="8.83203125" style="95" customWidth="1"/>
    <col min="12047" max="12047" width="9.1640625" style="95" customWidth="1"/>
    <col min="12048" max="12048" width="2.6640625" style="95" customWidth="1"/>
    <col min="12049" max="12288" width="9.1640625" style="95"/>
    <col min="12289" max="12289" width="34" style="95" customWidth="1"/>
    <col min="12290" max="12290" width="10" style="95" customWidth="1"/>
    <col min="12291" max="12291" width="9.1640625" style="95" customWidth="1"/>
    <col min="12292" max="12292" width="2.6640625" style="95" customWidth="1"/>
    <col min="12293" max="12293" width="8.83203125" style="95" customWidth="1"/>
    <col min="12294" max="12294" width="9.1640625" style="95" customWidth="1"/>
    <col min="12295" max="12295" width="2.6640625" style="95" customWidth="1"/>
    <col min="12296" max="12296" width="8.83203125" style="95" customWidth="1"/>
    <col min="12297" max="12297" width="9.1640625" style="95" customWidth="1"/>
    <col min="12298" max="12298" width="2.6640625" style="95" customWidth="1"/>
    <col min="12299" max="12299" width="8.83203125" style="95" customWidth="1"/>
    <col min="12300" max="12300" width="9.1640625" style="95" customWidth="1"/>
    <col min="12301" max="12301" width="2.6640625" style="95" customWidth="1"/>
    <col min="12302" max="12302" width="8.83203125" style="95" customWidth="1"/>
    <col min="12303" max="12303" width="9.1640625" style="95" customWidth="1"/>
    <col min="12304" max="12304" width="2.6640625" style="95" customWidth="1"/>
    <col min="12305" max="12544" width="9.1640625" style="95"/>
    <col min="12545" max="12545" width="34" style="95" customWidth="1"/>
    <col min="12546" max="12546" width="10" style="95" customWidth="1"/>
    <col min="12547" max="12547" width="9.1640625" style="95" customWidth="1"/>
    <col min="12548" max="12548" width="2.6640625" style="95" customWidth="1"/>
    <col min="12549" max="12549" width="8.83203125" style="95" customWidth="1"/>
    <col min="12550" max="12550" width="9.1640625" style="95" customWidth="1"/>
    <col min="12551" max="12551" width="2.6640625" style="95" customWidth="1"/>
    <col min="12552" max="12552" width="8.83203125" style="95" customWidth="1"/>
    <col min="12553" max="12553" width="9.1640625" style="95" customWidth="1"/>
    <col min="12554" max="12554" width="2.6640625" style="95" customWidth="1"/>
    <col min="12555" max="12555" width="8.83203125" style="95" customWidth="1"/>
    <col min="12556" max="12556" width="9.1640625" style="95" customWidth="1"/>
    <col min="12557" max="12557" width="2.6640625" style="95" customWidth="1"/>
    <col min="12558" max="12558" width="8.83203125" style="95" customWidth="1"/>
    <col min="12559" max="12559" width="9.1640625" style="95" customWidth="1"/>
    <col min="12560" max="12560" width="2.6640625" style="95" customWidth="1"/>
    <col min="12561" max="12800" width="9.1640625" style="95"/>
    <col min="12801" max="12801" width="34" style="95" customWidth="1"/>
    <col min="12802" max="12802" width="10" style="95" customWidth="1"/>
    <col min="12803" max="12803" width="9.1640625" style="95" customWidth="1"/>
    <col min="12804" max="12804" width="2.6640625" style="95" customWidth="1"/>
    <col min="12805" max="12805" width="8.83203125" style="95" customWidth="1"/>
    <col min="12806" max="12806" width="9.1640625" style="95" customWidth="1"/>
    <col min="12807" max="12807" width="2.6640625" style="95" customWidth="1"/>
    <col min="12808" max="12808" width="8.83203125" style="95" customWidth="1"/>
    <col min="12809" max="12809" width="9.1640625" style="95" customWidth="1"/>
    <col min="12810" max="12810" width="2.6640625" style="95" customWidth="1"/>
    <col min="12811" max="12811" width="8.83203125" style="95" customWidth="1"/>
    <col min="12812" max="12812" width="9.1640625" style="95" customWidth="1"/>
    <col min="12813" max="12813" width="2.6640625" style="95" customWidth="1"/>
    <col min="12814" max="12814" width="8.83203125" style="95" customWidth="1"/>
    <col min="12815" max="12815" width="9.1640625" style="95" customWidth="1"/>
    <col min="12816" max="12816" width="2.6640625" style="95" customWidth="1"/>
    <col min="12817" max="13056" width="9.1640625" style="95"/>
    <col min="13057" max="13057" width="34" style="95" customWidth="1"/>
    <col min="13058" max="13058" width="10" style="95" customWidth="1"/>
    <col min="13059" max="13059" width="9.1640625" style="95" customWidth="1"/>
    <col min="13060" max="13060" width="2.6640625" style="95" customWidth="1"/>
    <col min="13061" max="13061" width="8.83203125" style="95" customWidth="1"/>
    <col min="13062" max="13062" width="9.1640625" style="95" customWidth="1"/>
    <col min="13063" max="13063" width="2.6640625" style="95" customWidth="1"/>
    <col min="13064" max="13064" width="8.83203125" style="95" customWidth="1"/>
    <col min="13065" max="13065" width="9.1640625" style="95" customWidth="1"/>
    <col min="13066" max="13066" width="2.6640625" style="95" customWidth="1"/>
    <col min="13067" max="13067" width="8.83203125" style="95" customWidth="1"/>
    <col min="13068" max="13068" width="9.1640625" style="95" customWidth="1"/>
    <col min="13069" max="13069" width="2.6640625" style="95" customWidth="1"/>
    <col min="13070" max="13070" width="8.83203125" style="95" customWidth="1"/>
    <col min="13071" max="13071" width="9.1640625" style="95" customWidth="1"/>
    <col min="13072" max="13072" width="2.6640625" style="95" customWidth="1"/>
    <col min="13073" max="13312" width="9.1640625" style="95"/>
    <col min="13313" max="13313" width="34" style="95" customWidth="1"/>
    <col min="13314" max="13314" width="10" style="95" customWidth="1"/>
    <col min="13315" max="13315" width="9.1640625" style="95" customWidth="1"/>
    <col min="13316" max="13316" width="2.6640625" style="95" customWidth="1"/>
    <col min="13317" max="13317" width="8.83203125" style="95" customWidth="1"/>
    <col min="13318" max="13318" width="9.1640625" style="95" customWidth="1"/>
    <col min="13319" max="13319" width="2.6640625" style="95" customWidth="1"/>
    <col min="13320" max="13320" width="8.83203125" style="95" customWidth="1"/>
    <col min="13321" max="13321" width="9.1640625" style="95" customWidth="1"/>
    <col min="13322" max="13322" width="2.6640625" style="95" customWidth="1"/>
    <col min="13323" max="13323" width="8.83203125" style="95" customWidth="1"/>
    <col min="13324" max="13324" width="9.1640625" style="95" customWidth="1"/>
    <col min="13325" max="13325" width="2.6640625" style="95" customWidth="1"/>
    <col min="13326" max="13326" width="8.83203125" style="95" customWidth="1"/>
    <col min="13327" max="13327" width="9.1640625" style="95" customWidth="1"/>
    <col min="13328" max="13328" width="2.6640625" style="95" customWidth="1"/>
    <col min="13329" max="13568" width="9.1640625" style="95"/>
    <col min="13569" max="13569" width="34" style="95" customWidth="1"/>
    <col min="13570" max="13570" width="10" style="95" customWidth="1"/>
    <col min="13571" max="13571" width="9.1640625" style="95" customWidth="1"/>
    <col min="13572" max="13572" width="2.6640625" style="95" customWidth="1"/>
    <col min="13573" max="13573" width="8.83203125" style="95" customWidth="1"/>
    <col min="13574" max="13574" width="9.1640625" style="95" customWidth="1"/>
    <col min="13575" max="13575" width="2.6640625" style="95" customWidth="1"/>
    <col min="13576" max="13576" width="8.83203125" style="95" customWidth="1"/>
    <col min="13577" max="13577" width="9.1640625" style="95" customWidth="1"/>
    <col min="13578" max="13578" width="2.6640625" style="95" customWidth="1"/>
    <col min="13579" max="13579" width="8.83203125" style="95" customWidth="1"/>
    <col min="13580" max="13580" width="9.1640625" style="95" customWidth="1"/>
    <col min="13581" max="13581" width="2.6640625" style="95" customWidth="1"/>
    <col min="13582" max="13582" width="8.83203125" style="95" customWidth="1"/>
    <col min="13583" max="13583" width="9.1640625" style="95" customWidth="1"/>
    <col min="13584" max="13584" width="2.6640625" style="95" customWidth="1"/>
    <col min="13585" max="13824" width="9.1640625" style="95"/>
    <col min="13825" max="13825" width="34" style="95" customWidth="1"/>
    <col min="13826" max="13826" width="10" style="95" customWidth="1"/>
    <col min="13827" max="13827" width="9.1640625" style="95" customWidth="1"/>
    <col min="13828" max="13828" width="2.6640625" style="95" customWidth="1"/>
    <col min="13829" max="13829" width="8.83203125" style="95" customWidth="1"/>
    <col min="13830" max="13830" width="9.1640625" style="95" customWidth="1"/>
    <col min="13831" max="13831" width="2.6640625" style="95" customWidth="1"/>
    <col min="13832" max="13832" width="8.83203125" style="95" customWidth="1"/>
    <col min="13833" max="13833" width="9.1640625" style="95" customWidth="1"/>
    <col min="13834" max="13834" width="2.6640625" style="95" customWidth="1"/>
    <col min="13835" max="13835" width="8.83203125" style="95" customWidth="1"/>
    <col min="13836" max="13836" width="9.1640625" style="95" customWidth="1"/>
    <col min="13837" max="13837" width="2.6640625" style="95" customWidth="1"/>
    <col min="13838" max="13838" width="8.83203125" style="95" customWidth="1"/>
    <col min="13839" max="13839" width="9.1640625" style="95" customWidth="1"/>
    <col min="13840" max="13840" width="2.6640625" style="95" customWidth="1"/>
    <col min="13841" max="14080" width="9.1640625" style="95"/>
    <col min="14081" max="14081" width="34" style="95" customWidth="1"/>
    <col min="14082" max="14082" width="10" style="95" customWidth="1"/>
    <col min="14083" max="14083" width="9.1640625" style="95" customWidth="1"/>
    <col min="14084" max="14084" width="2.6640625" style="95" customWidth="1"/>
    <col min="14085" max="14085" width="8.83203125" style="95" customWidth="1"/>
    <col min="14086" max="14086" width="9.1640625" style="95" customWidth="1"/>
    <col min="14087" max="14087" width="2.6640625" style="95" customWidth="1"/>
    <col min="14088" max="14088" width="8.83203125" style="95" customWidth="1"/>
    <col min="14089" max="14089" width="9.1640625" style="95" customWidth="1"/>
    <col min="14090" max="14090" width="2.6640625" style="95" customWidth="1"/>
    <col min="14091" max="14091" width="8.83203125" style="95" customWidth="1"/>
    <col min="14092" max="14092" width="9.1640625" style="95" customWidth="1"/>
    <col min="14093" max="14093" width="2.6640625" style="95" customWidth="1"/>
    <col min="14094" max="14094" width="8.83203125" style="95" customWidth="1"/>
    <col min="14095" max="14095" width="9.1640625" style="95" customWidth="1"/>
    <col min="14096" max="14096" width="2.6640625" style="95" customWidth="1"/>
    <col min="14097" max="14336" width="9.1640625" style="95"/>
    <col min="14337" max="14337" width="34" style="95" customWidth="1"/>
    <col min="14338" max="14338" width="10" style="95" customWidth="1"/>
    <col min="14339" max="14339" width="9.1640625" style="95" customWidth="1"/>
    <col min="14340" max="14340" width="2.6640625" style="95" customWidth="1"/>
    <col min="14341" max="14341" width="8.83203125" style="95" customWidth="1"/>
    <col min="14342" max="14342" width="9.1640625" style="95" customWidth="1"/>
    <col min="14343" max="14343" width="2.6640625" style="95" customWidth="1"/>
    <col min="14344" max="14344" width="8.83203125" style="95" customWidth="1"/>
    <col min="14345" max="14345" width="9.1640625" style="95" customWidth="1"/>
    <col min="14346" max="14346" width="2.6640625" style="95" customWidth="1"/>
    <col min="14347" max="14347" width="8.83203125" style="95" customWidth="1"/>
    <col min="14348" max="14348" width="9.1640625" style="95" customWidth="1"/>
    <col min="14349" max="14349" width="2.6640625" style="95" customWidth="1"/>
    <col min="14350" max="14350" width="8.83203125" style="95" customWidth="1"/>
    <col min="14351" max="14351" width="9.1640625" style="95" customWidth="1"/>
    <col min="14352" max="14352" width="2.6640625" style="95" customWidth="1"/>
    <col min="14353" max="14592" width="9.1640625" style="95"/>
    <col min="14593" max="14593" width="34" style="95" customWidth="1"/>
    <col min="14594" max="14594" width="10" style="95" customWidth="1"/>
    <col min="14595" max="14595" width="9.1640625" style="95" customWidth="1"/>
    <col min="14596" max="14596" width="2.6640625" style="95" customWidth="1"/>
    <col min="14597" max="14597" width="8.83203125" style="95" customWidth="1"/>
    <col min="14598" max="14598" width="9.1640625" style="95" customWidth="1"/>
    <col min="14599" max="14599" width="2.6640625" style="95" customWidth="1"/>
    <col min="14600" max="14600" width="8.83203125" style="95" customWidth="1"/>
    <col min="14601" max="14601" width="9.1640625" style="95" customWidth="1"/>
    <col min="14602" max="14602" width="2.6640625" style="95" customWidth="1"/>
    <col min="14603" max="14603" width="8.83203125" style="95" customWidth="1"/>
    <col min="14604" max="14604" width="9.1640625" style="95" customWidth="1"/>
    <col min="14605" max="14605" width="2.6640625" style="95" customWidth="1"/>
    <col min="14606" max="14606" width="8.83203125" style="95" customWidth="1"/>
    <col min="14607" max="14607" width="9.1640625" style="95" customWidth="1"/>
    <col min="14608" max="14608" width="2.6640625" style="95" customWidth="1"/>
    <col min="14609" max="14848" width="9.1640625" style="95"/>
    <col min="14849" max="14849" width="34" style="95" customWidth="1"/>
    <col min="14850" max="14850" width="10" style="95" customWidth="1"/>
    <col min="14851" max="14851" width="9.1640625" style="95" customWidth="1"/>
    <col min="14852" max="14852" width="2.6640625" style="95" customWidth="1"/>
    <col min="14853" max="14853" width="8.83203125" style="95" customWidth="1"/>
    <col min="14854" max="14854" width="9.1640625" style="95" customWidth="1"/>
    <col min="14855" max="14855" width="2.6640625" style="95" customWidth="1"/>
    <col min="14856" max="14856" width="8.83203125" style="95" customWidth="1"/>
    <col min="14857" max="14857" width="9.1640625" style="95" customWidth="1"/>
    <col min="14858" max="14858" width="2.6640625" style="95" customWidth="1"/>
    <col min="14859" max="14859" width="8.83203125" style="95" customWidth="1"/>
    <col min="14860" max="14860" width="9.1640625" style="95" customWidth="1"/>
    <col min="14861" max="14861" width="2.6640625" style="95" customWidth="1"/>
    <col min="14862" max="14862" width="8.83203125" style="95" customWidth="1"/>
    <col min="14863" max="14863" width="9.1640625" style="95" customWidth="1"/>
    <col min="14864" max="14864" width="2.6640625" style="95" customWidth="1"/>
    <col min="14865" max="15104" width="9.1640625" style="95"/>
    <col min="15105" max="15105" width="34" style="95" customWidth="1"/>
    <col min="15106" max="15106" width="10" style="95" customWidth="1"/>
    <col min="15107" max="15107" width="9.1640625" style="95" customWidth="1"/>
    <col min="15108" max="15108" width="2.6640625" style="95" customWidth="1"/>
    <col min="15109" max="15109" width="8.83203125" style="95" customWidth="1"/>
    <col min="15110" max="15110" width="9.1640625" style="95" customWidth="1"/>
    <col min="15111" max="15111" width="2.6640625" style="95" customWidth="1"/>
    <col min="15112" max="15112" width="8.83203125" style="95" customWidth="1"/>
    <col min="15113" max="15113" width="9.1640625" style="95" customWidth="1"/>
    <col min="15114" max="15114" width="2.6640625" style="95" customWidth="1"/>
    <col min="15115" max="15115" width="8.83203125" style="95" customWidth="1"/>
    <col min="15116" max="15116" width="9.1640625" style="95" customWidth="1"/>
    <col min="15117" max="15117" width="2.6640625" style="95" customWidth="1"/>
    <col min="15118" max="15118" width="8.83203125" style="95" customWidth="1"/>
    <col min="15119" max="15119" width="9.1640625" style="95" customWidth="1"/>
    <col min="15120" max="15120" width="2.6640625" style="95" customWidth="1"/>
    <col min="15121" max="15360" width="9.1640625" style="95"/>
    <col min="15361" max="15361" width="34" style="95" customWidth="1"/>
    <col min="15362" max="15362" width="10" style="95" customWidth="1"/>
    <col min="15363" max="15363" width="9.1640625" style="95" customWidth="1"/>
    <col min="15364" max="15364" width="2.6640625" style="95" customWidth="1"/>
    <col min="15365" max="15365" width="8.83203125" style="95" customWidth="1"/>
    <col min="15366" max="15366" width="9.1640625" style="95" customWidth="1"/>
    <col min="15367" max="15367" width="2.6640625" style="95" customWidth="1"/>
    <col min="15368" max="15368" width="8.83203125" style="95" customWidth="1"/>
    <col min="15369" max="15369" width="9.1640625" style="95" customWidth="1"/>
    <col min="15370" max="15370" width="2.6640625" style="95" customWidth="1"/>
    <col min="15371" max="15371" width="8.83203125" style="95" customWidth="1"/>
    <col min="15372" max="15372" width="9.1640625" style="95" customWidth="1"/>
    <col min="15373" max="15373" width="2.6640625" style="95" customWidth="1"/>
    <col min="15374" max="15374" width="8.83203125" style="95" customWidth="1"/>
    <col min="15375" max="15375" width="9.1640625" style="95" customWidth="1"/>
    <col min="15376" max="15376" width="2.6640625" style="95" customWidth="1"/>
    <col min="15377" max="15616" width="9.1640625" style="95"/>
    <col min="15617" max="15617" width="34" style="95" customWidth="1"/>
    <col min="15618" max="15618" width="10" style="95" customWidth="1"/>
    <col min="15619" max="15619" width="9.1640625" style="95" customWidth="1"/>
    <col min="15620" max="15620" width="2.6640625" style="95" customWidth="1"/>
    <col min="15621" max="15621" width="8.83203125" style="95" customWidth="1"/>
    <col min="15622" max="15622" width="9.1640625" style="95" customWidth="1"/>
    <col min="15623" max="15623" width="2.6640625" style="95" customWidth="1"/>
    <col min="15624" max="15624" width="8.83203125" style="95" customWidth="1"/>
    <col min="15625" max="15625" width="9.1640625" style="95" customWidth="1"/>
    <col min="15626" max="15626" width="2.6640625" style="95" customWidth="1"/>
    <col min="15627" max="15627" width="8.83203125" style="95" customWidth="1"/>
    <col min="15628" max="15628" width="9.1640625" style="95" customWidth="1"/>
    <col min="15629" max="15629" width="2.6640625" style="95" customWidth="1"/>
    <col min="15630" max="15630" width="8.83203125" style="95" customWidth="1"/>
    <col min="15631" max="15631" width="9.1640625" style="95" customWidth="1"/>
    <col min="15632" max="15632" width="2.6640625" style="95" customWidth="1"/>
    <col min="15633" max="15872" width="9.1640625" style="95"/>
    <col min="15873" max="15873" width="34" style="95" customWidth="1"/>
    <col min="15874" max="15874" width="10" style="95" customWidth="1"/>
    <col min="15875" max="15875" width="9.1640625" style="95" customWidth="1"/>
    <col min="15876" max="15876" width="2.6640625" style="95" customWidth="1"/>
    <col min="15877" max="15877" width="8.83203125" style="95" customWidth="1"/>
    <col min="15878" max="15878" width="9.1640625" style="95" customWidth="1"/>
    <col min="15879" max="15879" width="2.6640625" style="95" customWidth="1"/>
    <col min="15880" max="15880" width="8.83203125" style="95" customWidth="1"/>
    <col min="15881" max="15881" width="9.1640625" style="95" customWidth="1"/>
    <col min="15882" max="15882" width="2.6640625" style="95" customWidth="1"/>
    <col min="15883" max="15883" width="8.83203125" style="95" customWidth="1"/>
    <col min="15884" max="15884" width="9.1640625" style="95" customWidth="1"/>
    <col min="15885" max="15885" width="2.6640625" style="95" customWidth="1"/>
    <col min="15886" max="15886" width="8.83203125" style="95" customWidth="1"/>
    <col min="15887" max="15887" width="9.1640625" style="95" customWidth="1"/>
    <col min="15888" max="15888" width="2.6640625" style="95" customWidth="1"/>
    <col min="15889" max="16128" width="9.1640625" style="95"/>
    <col min="16129" max="16129" width="34" style="95" customWidth="1"/>
    <col min="16130" max="16130" width="10" style="95" customWidth="1"/>
    <col min="16131" max="16131" width="9.1640625" style="95" customWidth="1"/>
    <col min="16132" max="16132" width="2.6640625" style="95" customWidth="1"/>
    <col min="16133" max="16133" width="8.83203125" style="95" customWidth="1"/>
    <col min="16134" max="16134" width="9.1640625" style="95" customWidth="1"/>
    <col min="16135" max="16135" width="2.6640625" style="95" customWidth="1"/>
    <col min="16136" max="16136" width="8.83203125" style="95" customWidth="1"/>
    <col min="16137" max="16137" width="9.1640625" style="95" customWidth="1"/>
    <col min="16138" max="16138" width="2.6640625" style="95" customWidth="1"/>
    <col min="16139" max="16139" width="8.83203125" style="95" customWidth="1"/>
    <col min="16140" max="16140" width="9.1640625" style="95" customWidth="1"/>
    <col min="16141" max="16141" width="2.6640625" style="95" customWidth="1"/>
    <col min="16142" max="16142" width="8.83203125" style="95" customWidth="1"/>
    <col min="16143" max="16143" width="9.1640625" style="95" customWidth="1"/>
    <col min="16144" max="16144" width="2.6640625" style="95" customWidth="1"/>
    <col min="16145" max="16384" width="9.1640625" style="95"/>
  </cols>
  <sheetData>
    <row r="1" spans="1:16">
      <c r="A1" s="33" t="s">
        <v>674</v>
      </c>
      <c r="B1" s="72"/>
      <c r="C1" s="33"/>
      <c r="D1" s="33"/>
      <c r="E1" s="72"/>
      <c r="F1" s="33"/>
      <c r="G1" s="33"/>
      <c r="H1" s="72"/>
      <c r="I1" s="33"/>
      <c r="J1" s="33"/>
      <c r="K1" s="72"/>
      <c r="L1" s="33"/>
      <c r="M1" s="33"/>
      <c r="N1" s="72"/>
      <c r="O1" s="33"/>
      <c r="P1" s="33"/>
    </row>
    <row r="2" spans="1:16">
      <c r="A2" s="33" t="s">
        <v>675</v>
      </c>
      <c r="B2" s="72"/>
      <c r="C2" s="33"/>
      <c r="D2" s="33"/>
      <c r="E2" s="72"/>
      <c r="F2" s="33"/>
      <c r="G2" s="33"/>
      <c r="H2" s="72"/>
      <c r="I2" s="33"/>
      <c r="J2" s="33"/>
      <c r="K2" s="72"/>
      <c r="L2" s="33"/>
      <c r="M2" s="33"/>
      <c r="N2" s="72"/>
      <c r="O2" s="33"/>
      <c r="P2" s="33"/>
    </row>
    <row r="3" spans="1:16">
      <c r="A3" s="33"/>
      <c r="B3" s="72"/>
      <c r="C3" s="33"/>
      <c r="D3" s="33"/>
      <c r="E3" s="72"/>
      <c r="F3" s="33"/>
      <c r="G3" s="33"/>
      <c r="H3" s="72"/>
      <c r="I3" s="33"/>
      <c r="J3" s="33"/>
      <c r="K3" s="72"/>
      <c r="L3" s="33"/>
      <c r="M3" s="33"/>
      <c r="N3" s="72"/>
      <c r="O3" s="33"/>
      <c r="P3" s="33"/>
    </row>
    <row r="4" spans="1:16" ht="12.5" customHeight="1">
      <c r="A4" s="14" t="s">
        <v>2030</v>
      </c>
      <c r="B4" s="72"/>
      <c r="C4" s="33"/>
      <c r="D4" s="33"/>
      <c r="E4" s="72"/>
      <c r="F4" s="33"/>
      <c r="G4" s="33"/>
      <c r="H4" s="72"/>
      <c r="I4" s="33"/>
      <c r="J4" s="33"/>
      <c r="K4" s="72"/>
      <c r="L4" s="33"/>
      <c r="M4" s="33"/>
      <c r="N4" s="72"/>
      <c r="O4" s="33"/>
      <c r="P4" s="33"/>
    </row>
    <row r="5" spans="1:16" ht="14" thickBot="1">
      <c r="A5" s="33"/>
      <c r="B5" s="72"/>
      <c r="C5" s="33"/>
      <c r="D5" s="33"/>
      <c r="E5" s="72"/>
      <c r="F5" s="33"/>
      <c r="G5" s="33"/>
      <c r="H5" s="72"/>
      <c r="I5" s="33"/>
      <c r="J5" s="33"/>
      <c r="K5" s="72"/>
      <c r="L5" s="33"/>
      <c r="M5" s="33"/>
      <c r="N5" s="72"/>
      <c r="O5" s="33"/>
      <c r="P5" s="33"/>
    </row>
    <row r="6" spans="1:16" ht="20" customHeight="1">
      <c r="A6" s="188"/>
      <c r="B6" s="189"/>
      <c r="C6" s="188"/>
      <c r="D6" s="188"/>
      <c r="E6" s="189"/>
      <c r="F6" s="188"/>
      <c r="G6" s="188"/>
      <c r="H6" s="189"/>
      <c r="I6" s="188"/>
      <c r="J6" s="188"/>
      <c r="K6" s="189"/>
      <c r="L6" s="188"/>
      <c r="M6" s="188"/>
      <c r="N6" s="189"/>
      <c r="O6" s="188"/>
      <c r="P6" s="188"/>
    </row>
    <row r="7" spans="1:16" ht="20" customHeight="1">
      <c r="A7" s="83" t="s">
        <v>1325</v>
      </c>
      <c r="B7" s="72" t="s">
        <v>1326</v>
      </c>
      <c r="C7" s="33"/>
      <c r="D7" s="33"/>
      <c r="E7" s="1021" t="s">
        <v>1327</v>
      </c>
      <c r="F7" s="1021"/>
      <c r="G7" s="33"/>
      <c r="H7" s="1021" t="s">
        <v>1328</v>
      </c>
      <c r="I7" s="1021"/>
      <c r="J7" s="33"/>
      <c r="K7" s="1021" t="s">
        <v>1329</v>
      </c>
      <c r="L7" s="1021"/>
      <c r="M7" s="33"/>
      <c r="N7" s="1021" t="s">
        <v>1404</v>
      </c>
      <c r="O7" s="1021"/>
      <c r="P7" s="33"/>
    </row>
    <row r="8" spans="1:16" ht="20" customHeight="1">
      <c r="A8" s="61" t="s">
        <v>1332</v>
      </c>
      <c r="B8" s="196" t="s">
        <v>1333</v>
      </c>
      <c r="C8" s="225" t="s">
        <v>1334</v>
      </c>
      <c r="D8" s="794"/>
      <c r="E8" s="196" t="s">
        <v>1333</v>
      </c>
      <c r="F8" s="225" t="s">
        <v>1334</v>
      </c>
      <c r="G8" s="794"/>
      <c r="H8" s="196" t="s">
        <v>1333</v>
      </c>
      <c r="I8" s="225" t="s">
        <v>1334</v>
      </c>
      <c r="J8" s="794"/>
      <c r="K8" s="196" t="s">
        <v>152</v>
      </c>
      <c r="L8" s="225" t="s">
        <v>153</v>
      </c>
      <c r="M8" s="794"/>
      <c r="N8" s="196" t="s">
        <v>152</v>
      </c>
      <c r="O8" s="225" t="s">
        <v>153</v>
      </c>
      <c r="P8" s="794"/>
    </row>
    <row r="9" spans="1:16" ht="20" customHeight="1" thickBot="1">
      <c r="A9" s="199"/>
      <c r="B9" s="199"/>
      <c r="C9" s="199"/>
      <c r="D9" s="199"/>
      <c r="E9" s="199"/>
      <c r="F9" s="199"/>
      <c r="G9" s="199"/>
      <c r="H9" s="199"/>
      <c r="I9" s="199"/>
      <c r="J9" s="199"/>
      <c r="K9" s="199"/>
      <c r="L9" s="199"/>
      <c r="M9" s="199"/>
      <c r="N9" s="199"/>
      <c r="O9" s="199"/>
      <c r="P9" s="199"/>
    </row>
    <row r="10" spans="1:16" ht="14.25" customHeight="1">
      <c r="A10" s="33"/>
      <c r="B10" s="72"/>
      <c r="C10" s="33"/>
      <c r="D10" s="33"/>
      <c r="E10" s="72"/>
      <c r="F10" s="33"/>
      <c r="G10" s="33"/>
      <c r="H10" s="72"/>
      <c r="I10" s="33"/>
      <c r="J10" s="33"/>
      <c r="K10" s="72"/>
      <c r="L10" s="33"/>
      <c r="M10" s="33"/>
      <c r="N10" s="72"/>
      <c r="O10" s="33"/>
      <c r="P10" s="33"/>
    </row>
    <row r="11" spans="1:16" ht="20" customHeight="1">
      <c r="A11" s="55" t="s">
        <v>148</v>
      </c>
      <c r="B11" s="72">
        <f>SUM(B13:B37)</f>
        <v>187613</v>
      </c>
      <c r="C11" s="73">
        <f>IF(A11&lt;&gt;0,B11/$B$11*100,"")</f>
        <v>100</v>
      </c>
      <c r="D11" s="33"/>
      <c r="E11" s="72">
        <f>SUM(E13:E37)</f>
        <v>134134</v>
      </c>
      <c r="F11" s="73">
        <f>IF($A11&lt;&gt;"",E11/$B11*100,"")</f>
        <v>71.495045652486766</v>
      </c>
      <c r="G11" s="33"/>
      <c r="H11" s="72">
        <f>SUM(H13:H37)</f>
        <v>20803</v>
      </c>
      <c r="I11" s="73">
        <f>IF($A11&lt;&gt;"",H11/$B11*100,"")</f>
        <v>11.088250814175989</v>
      </c>
      <c r="J11" s="33"/>
      <c r="K11" s="72">
        <f>SUM(K13:K37)</f>
        <v>30051</v>
      </c>
      <c r="L11" s="73">
        <f>IF($A11&lt;&gt;"",K11/$B11*100,"")</f>
        <v>16.017546758486887</v>
      </c>
      <c r="M11" s="33"/>
      <c r="N11" s="72">
        <f>SUM(N13:N37)</f>
        <v>2625</v>
      </c>
      <c r="O11" s="73">
        <f>IF($A11&lt;&gt;"",N11/$B11*100,"")</f>
        <v>1.3991567748503568</v>
      </c>
      <c r="P11" s="33"/>
    </row>
    <row r="12" spans="1:16" ht="11.25" customHeight="1">
      <c r="A12" s="57"/>
      <c r="B12" s="201"/>
      <c r="C12" s="191" t="str">
        <f t="shared" ref="C12:C37" si="0">IF(A12&lt;&gt;0,B12/$B$11*100,"")</f>
        <v/>
      </c>
      <c r="D12" s="57"/>
      <c r="E12" s="201"/>
      <c r="F12" s="191" t="str">
        <f t="shared" ref="F12:F37" si="1">IF($A12&lt;&gt;"",E12/$B12*100,"")</f>
        <v/>
      </c>
      <c r="G12" s="57"/>
      <c r="H12" s="201"/>
      <c r="I12" s="191" t="str">
        <f t="shared" ref="I12:I37" si="2">IF($A12&lt;&gt;"",H12/$B12*100,"")</f>
        <v/>
      </c>
      <c r="J12" s="57"/>
      <c r="K12" s="201"/>
      <c r="L12" s="191" t="str">
        <f t="shared" ref="L12:L37" si="3">IF($A12&lt;&gt;"",K12/$B12*100,"")</f>
        <v/>
      </c>
      <c r="M12" s="57"/>
      <c r="N12" s="201"/>
      <c r="O12" s="191" t="str">
        <f t="shared" ref="O12:O37" si="4">IF($A12&lt;&gt;"",N12/$B12*100,"")</f>
        <v/>
      </c>
      <c r="P12" s="33"/>
    </row>
    <row r="13" spans="1:16" ht="20" customHeight="1">
      <c r="A13" s="887" t="s">
        <v>1405</v>
      </c>
      <c r="B13" s="201">
        <f>E13+H13+K13+N13</f>
        <v>81607</v>
      </c>
      <c r="C13" s="191">
        <f t="shared" si="0"/>
        <v>43.497518828652595</v>
      </c>
      <c r="D13" s="57"/>
      <c r="E13" s="747">
        <v>65040</v>
      </c>
      <c r="F13" s="191">
        <f t="shared" si="1"/>
        <v>79.699045425024821</v>
      </c>
      <c r="G13" s="57"/>
      <c r="H13" s="747">
        <v>2193</v>
      </c>
      <c r="I13" s="191">
        <f t="shared" si="2"/>
        <v>2.6872694744323402</v>
      </c>
      <c r="J13" s="57"/>
      <c r="K13" s="747">
        <v>13030</v>
      </c>
      <c r="L13" s="191">
        <f t="shared" si="3"/>
        <v>15.966767556704694</v>
      </c>
      <c r="M13" s="57"/>
      <c r="N13" s="747">
        <v>1344</v>
      </c>
      <c r="O13" s="191">
        <f t="shared" si="4"/>
        <v>1.6469175438381511</v>
      </c>
      <c r="P13" s="33"/>
    </row>
    <row r="14" spans="1:16" ht="11.25" customHeight="1">
      <c r="A14" s="887"/>
      <c r="B14" s="201">
        <f>E14+H14+K14+N14</f>
        <v>0</v>
      </c>
      <c r="C14" s="191" t="str">
        <f t="shared" si="0"/>
        <v/>
      </c>
      <c r="D14" s="57"/>
      <c r="E14" s="747"/>
      <c r="F14" s="191" t="str">
        <f t="shared" si="1"/>
        <v/>
      </c>
      <c r="G14" s="57"/>
      <c r="H14" s="747"/>
      <c r="I14" s="191" t="str">
        <f t="shared" si="2"/>
        <v/>
      </c>
      <c r="J14" s="57"/>
      <c r="K14" s="747"/>
      <c r="L14" s="191" t="str">
        <f t="shared" si="3"/>
        <v/>
      </c>
      <c r="M14" s="57"/>
      <c r="N14" s="747"/>
      <c r="O14" s="191" t="str">
        <f t="shared" si="4"/>
        <v/>
      </c>
      <c r="P14" s="33"/>
    </row>
    <row r="15" spans="1:16" ht="20" customHeight="1">
      <c r="A15" s="888" t="s">
        <v>1406</v>
      </c>
      <c r="B15" s="201">
        <f>E15+H15+K15+N15</f>
        <v>53351</v>
      </c>
      <c r="C15" s="191">
        <f t="shared" si="0"/>
        <v>28.436728798111005</v>
      </c>
      <c r="D15" s="57"/>
      <c r="E15" s="747">
        <v>32610</v>
      </c>
      <c r="F15" s="191">
        <f t="shared" si="1"/>
        <v>61.123502839684349</v>
      </c>
      <c r="G15" s="57"/>
      <c r="H15" s="747">
        <v>16004</v>
      </c>
      <c r="I15" s="191">
        <f t="shared" si="2"/>
        <v>29.997563307154508</v>
      </c>
      <c r="J15" s="57"/>
      <c r="K15" s="747">
        <v>4120</v>
      </c>
      <c r="L15" s="191">
        <f t="shared" si="3"/>
        <v>7.7224419411070082</v>
      </c>
      <c r="M15" s="57"/>
      <c r="N15" s="747">
        <v>617</v>
      </c>
      <c r="O15" s="191">
        <f t="shared" si="4"/>
        <v>1.1564919120541319</v>
      </c>
      <c r="P15" s="33"/>
    </row>
    <row r="16" spans="1:16" ht="11.25" customHeight="1">
      <c r="A16" s="888"/>
      <c r="B16" s="201">
        <f>E16+H16+K16+N16</f>
        <v>0</v>
      </c>
      <c r="C16" s="191" t="str">
        <f t="shared" si="0"/>
        <v/>
      </c>
      <c r="D16" s="57"/>
      <c r="E16" s="747"/>
      <c r="F16" s="191" t="str">
        <f t="shared" si="1"/>
        <v/>
      </c>
      <c r="G16" s="57"/>
      <c r="H16" s="747"/>
      <c r="I16" s="191" t="str">
        <f t="shared" si="2"/>
        <v/>
      </c>
      <c r="J16" s="57"/>
      <c r="K16" s="747"/>
      <c r="L16" s="191" t="str">
        <f t="shared" si="3"/>
        <v/>
      </c>
      <c r="M16" s="57"/>
      <c r="N16" s="747"/>
      <c r="O16" s="191" t="str">
        <f t="shared" si="4"/>
        <v/>
      </c>
      <c r="P16" s="33"/>
    </row>
    <row r="17" spans="1:16" ht="20" customHeight="1">
      <c r="A17" s="888" t="s">
        <v>1407</v>
      </c>
      <c r="B17" s="201">
        <f>E17+H17+K17+N17</f>
        <v>9554</v>
      </c>
      <c r="C17" s="191">
        <f t="shared" si="0"/>
        <v>5.0923976483505937</v>
      </c>
      <c r="D17" s="57"/>
      <c r="E17" s="747">
        <v>7516</v>
      </c>
      <c r="F17" s="191">
        <f t="shared" si="1"/>
        <v>78.668620473100276</v>
      </c>
      <c r="G17" s="57"/>
      <c r="H17" s="747">
        <v>434</v>
      </c>
      <c r="I17" s="191">
        <f t="shared" si="2"/>
        <v>4.542599958132719</v>
      </c>
      <c r="J17" s="57"/>
      <c r="K17" s="747">
        <v>1070</v>
      </c>
      <c r="L17" s="191">
        <f t="shared" si="3"/>
        <v>11.19949759263136</v>
      </c>
      <c r="M17" s="57"/>
      <c r="N17" s="747">
        <v>534</v>
      </c>
      <c r="O17" s="191">
        <f t="shared" si="4"/>
        <v>5.5892819761356503</v>
      </c>
      <c r="P17" s="33"/>
    </row>
    <row r="18" spans="1:16" ht="11.25" customHeight="1">
      <c r="A18" s="888"/>
      <c r="B18" s="201">
        <f t="shared" ref="B18:B37" si="5">E18+H18+K18+N18</f>
        <v>0</v>
      </c>
      <c r="C18" s="191" t="str">
        <f t="shared" si="0"/>
        <v/>
      </c>
      <c r="D18" s="57"/>
      <c r="E18" s="747"/>
      <c r="F18" s="191" t="str">
        <f t="shared" si="1"/>
        <v/>
      </c>
      <c r="G18" s="57"/>
      <c r="H18" s="747"/>
      <c r="I18" s="191" t="str">
        <f t="shared" si="2"/>
        <v/>
      </c>
      <c r="J18" s="57"/>
      <c r="K18" s="747"/>
      <c r="L18" s="191" t="str">
        <f t="shared" si="3"/>
        <v/>
      </c>
      <c r="M18" s="57"/>
      <c r="N18" s="747"/>
      <c r="O18" s="191" t="str">
        <f t="shared" si="4"/>
        <v/>
      </c>
      <c r="P18" s="33"/>
    </row>
    <row r="19" spans="1:16" ht="20" customHeight="1">
      <c r="A19" s="57" t="s">
        <v>1338</v>
      </c>
      <c r="B19" s="201">
        <f t="shared" si="5"/>
        <v>3478</v>
      </c>
      <c r="C19" s="191">
        <f t="shared" si="0"/>
        <v>1.8538161001636349</v>
      </c>
      <c r="D19" s="57"/>
      <c r="E19" s="747">
        <v>1981</v>
      </c>
      <c r="F19" s="191">
        <f t="shared" si="1"/>
        <v>56.958021851638875</v>
      </c>
      <c r="G19" s="57"/>
      <c r="H19" s="747">
        <v>172</v>
      </c>
      <c r="I19" s="191">
        <f t="shared" si="2"/>
        <v>4.9453709028177109</v>
      </c>
      <c r="J19" s="57"/>
      <c r="K19" s="747">
        <v>1325</v>
      </c>
      <c r="L19" s="191">
        <f>IF($A19&lt;&gt;"",K19/$B19*100,"")</f>
        <v>38.096607245543417</v>
      </c>
      <c r="M19" s="57"/>
      <c r="N19" s="747">
        <v>0</v>
      </c>
      <c r="O19" s="191">
        <f t="shared" si="4"/>
        <v>0</v>
      </c>
      <c r="P19" s="33"/>
    </row>
    <row r="20" spans="1:16" ht="11.25" customHeight="1">
      <c r="A20" s="888"/>
      <c r="B20" s="201">
        <f t="shared" si="5"/>
        <v>0</v>
      </c>
      <c r="C20" s="191" t="str">
        <f t="shared" si="0"/>
        <v/>
      </c>
      <c r="D20" s="57"/>
      <c r="E20" s="747"/>
      <c r="F20" s="191" t="str">
        <f t="shared" si="1"/>
        <v/>
      </c>
      <c r="G20" s="57"/>
      <c r="H20" s="747"/>
      <c r="I20" s="191" t="str">
        <f t="shared" si="2"/>
        <v/>
      </c>
      <c r="J20" s="57"/>
      <c r="K20" s="747"/>
      <c r="L20" s="191" t="str">
        <f t="shared" si="3"/>
        <v/>
      </c>
      <c r="M20" s="57"/>
      <c r="N20" s="747"/>
      <c r="O20" s="191" t="str">
        <f t="shared" si="4"/>
        <v/>
      </c>
      <c r="P20" s="33"/>
    </row>
    <row r="21" spans="1:16" ht="20" customHeight="1">
      <c r="A21" s="888" t="s">
        <v>1339</v>
      </c>
      <c r="B21" s="201">
        <f t="shared" si="5"/>
        <v>15975</v>
      </c>
      <c r="C21" s="191">
        <f t="shared" si="0"/>
        <v>8.514868372660743</v>
      </c>
      <c r="D21" s="57"/>
      <c r="E21" s="747">
        <v>9611</v>
      </c>
      <c r="F21" s="191">
        <f t="shared" si="1"/>
        <v>60.162754303599378</v>
      </c>
      <c r="G21" s="57"/>
      <c r="H21" s="747">
        <v>472</v>
      </c>
      <c r="I21" s="191">
        <f t="shared" si="2"/>
        <v>2.9546165884194053</v>
      </c>
      <c r="J21" s="57"/>
      <c r="K21" s="746">
        <v>5892</v>
      </c>
      <c r="L21" s="191">
        <f t="shared" si="3"/>
        <v>36.882629107981217</v>
      </c>
      <c r="M21" s="57"/>
      <c r="N21" s="746">
        <v>0</v>
      </c>
      <c r="O21" s="191">
        <f t="shared" si="4"/>
        <v>0</v>
      </c>
      <c r="P21" s="33"/>
    </row>
    <row r="22" spans="1:16" ht="11.25" customHeight="1">
      <c r="A22" s="888"/>
      <c r="B22" s="201">
        <f t="shared" si="5"/>
        <v>0</v>
      </c>
      <c r="C22" s="191" t="str">
        <f t="shared" si="0"/>
        <v/>
      </c>
      <c r="D22" s="57"/>
      <c r="E22" s="746"/>
      <c r="F22" s="191" t="str">
        <f t="shared" si="1"/>
        <v/>
      </c>
      <c r="G22" s="57"/>
      <c r="H22" s="746"/>
      <c r="I22" s="191" t="str">
        <f t="shared" si="2"/>
        <v/>
      </c>
      <c r="J22" s="57"/>
      <c r="K22" s="746"/>
      <c r="L22" s="191" t="str">
        <f t="shared" si="3"/>
        <v/>
      </c>
      <c r="M22" s="57"/>
      <c r="N22" s="746"/>
      <c r="O22" s="191" t="str">
        <f t="shared" si="4"/>
        <v/>
      </c>
      <c r="P22" s="33"/>
    </row>
    <row r="23" spans="1:16" ht="20" customHeight="1">
      <c r="A23" s="888" t="s">
        <v>1340</v>
      </c>
      <c r="B23" s="201">
        <f t="shared" si="5"/>
        <v>4550</v>
      </c>
      <c r="C23" s="191">
        <f t="shared" si="0"/>
        <v>2.425205076407285</v>
      </c>
      <c r="D23" s="57"/>
      <c r="E23" s="747">
        <v>3318</v>
      </c>
      <c r="F23" s="191">
        <f>IF($A23&lt;&gt;"",E23/$B23*100,"")</f>
        <v>72.92307692307692</v>
      </c>
      <c r="G23" s="57"/>
      <c r="H23" s="747">
        <v>86</v>
      </c>
      <c r="I23" s="191">
        <f t="shared" si="2"/>
        <v>1.8901098901098903</v>
      </c>
      <c r="J23" s="57"/>
      <c r="K23" s="746">
        <v>1146</v>
      </c>
      <c r="L23" s="191">
        <f t="shared" si="3"/>
        <v>25.18681318681319</v>
      </c>
      <c r="M23" s="57"/>
      <c r="N23" s="746">
        <v>0</v>
      </c>
      <c r="O23" s="191">
        <f t="shared" si="4"/>
        <v>0</v>
      </c>
      <c r="P23" s="33"/>
    </row>
    <row r="24" spans="1:16" ht="11.25" customHeight="1">
      <c r="A24" s="888"/>
      <c r="B24" s="201">
        <f>E24+H24+K24</f>
        <v>0</v>
      </c>
      <c r="C24" s="191" t="str">
        <f t="shared" si="0"/>
        <v/>
      </c>
      <c r="D24" s="57"/>
      <c r="E24" s="206"/>
      <c r="F24" s="191" t="str">
        <f>IF($A24&lt;&gt;"",E24/$B24*100,"")</f>
        <v/>
      </c>
      <c r="G24" s="57"/>
      <c r="H24" s="746"/>
      <c r="I24" s="191" t="str">
        <f t="shared" si="2"/>
        <v/>
      </c>
      <c r="J24" s="57"/>
      <c r="K24" s="746"/>
      <c r="L24" s="191" t="str">
        <f t="shared" si="3"/>
        <v/>
      </c>
      <c r="M24" s="57"/>
      <c r="N24" s="746"/>
      <c r="O24" s="191" t="str">
        <f t="shared" si="4"/>
        <v/>
      </c>
      <c r="P24" s="33"/>
    </row>
    <row r="25" spans="1:16" ht="20" customHeight="1">
      <c r="A25" s="889" t="s">
        <v>24</v>
      </c>
      <c r="B25" s="201">
        <f t="shared" si="5"/>
        <v>1177</v>
      </c>
      <c r="C25" s="191">
        <f t="shared" si="0"/>
        <v>0.62735524723766478</v>
      </c>
      <c r="D25" s="57"/>
      <c r="E25" s="746">
        <v>780</v>
      </c>
      <c r="F25" s="191">
        <f t="shared" si="1"/>
        <v>66.270178419711129</v>
      </c>
      <c r="G25" s="57"/>
      <c r="H25" s="747">
        <v>397</v>
      </c>
      <c r="I25" s="191">
        <f t="shared" si="2"/>
        <v>33.729821580288871</v>
      </c>
      <c r="J25" s="57"/>
      <c r="K25" s="746">
        <v>0</v>
      </c>
      <c r="L25" s="191">
        <f t="shared" si="3"/>
        <v>0</v>
      </c>
      <c r="M25" s="57"/>
      <c r="N25" s="746">
        <v>0</v>
      </c>
      <c r="O25" s="191">
        <f t="shared" si="4"/>
        <v>0</v>
      </c>
      <c r="P25" s="57"/>
    </row>
    <row r="26" spans="1:16" ht="11.25" customHeight="1">
      <c r="A26" s="888"/>
      <c r="B26" s="201">
        <f t="shared" si="5"/>
        <v>0</v>
      </c>
      <c r="C26" s="191" t="str">
        <f t="shared" si="0"/>
        <v/>
      </c>
      <c r="D26" s="57"/>
      <c r="E26" s="206"/>
      <c r="F26" s="191" t="str">
        <f t="shared" si="1"/>
        <v/>
      </c>
      <c r="G26" s="57"/>
      <c r="H26" s="746"/>
      <c r="I26" s="191" t="str">
        <f t="shared" si="2"/>
        <v/>
      </c>
      <c r="J26" s="57"/>
      <c r="K26" s="746"/>
      <c r="L26" s="191" t="str">
        <f t="shared" si="3"/>
        <v/>
      </c>
      <c r="M26" s="57"/>
      <c r="N26" s="746"/>
      <c r="O26" s="191" t="str">
        <f t="shared" si="4"/>
        <v/>
      </c>
      <c r="P26" s="57"/>
    </row>
    <row r="27" spans="1:16" ht="20" customHeight="1">
      <c r="A27" s="57" t="s">
        <v>1342</v>
      </c>
      <c r="B27" s="201">
        <f t="shared" si="5"/>
        <v>1720</v>
      </c>
      <c r="C27" s="191">
        <f t="shared" si="0"/>
        <v>0.91678082009242434</v>
      </c>
      <c r="D27" s="57"/>
      <c r="E27" s="746">
        <v>1607</v>
      </c>
      <c r="F27" s="191">
        <f t="shared" si="1"/>
        <v>93.430232558139537</v>
      </c>
      <c r="G27" s="57"/>
      <c r="H27" s="747">
        <v>113</v>
      </c>
      <c r="I27" s="191">
        <f t="shared" si="2"/>
        <v>6.5697674418604652</v>
      </c>
      <c r="J27" s="57"/>
      <c r="K27" s="746">
        <v>0</v>
      </c>
      <c r="L27" s="191">
        <f t="shared" si="3"/>
        <v>0</v>
      </c>
      <c r="M27" s="57"/>
      <c r="N27" s="746">
        <v>0</v>
      </c>
      <c r="O27" s="191">
        <f t="shared" si="4"/>
        <v>0</v>
      </c>
      <c r="P27" s="57"/>
    </row>
    <row r="28" spans="1:16" ht="11.25" customHeight="1">
      <c r="A28" s="888"/>
      <c r="B28" s="201">
        <f t="shared" si="5"/>
        <v>0</v>
      </c>
      <c r="C28" s="191" t="str">
        <f t="shared" si="0"/>
        <v/>
      </c>
      <c r="D28" s="57"/>
      <c r="E28" s="746"/>
      <c r="F28" s="191" t="str">
        <f t="shared" si="1"/>
        <v/>
      </c>
      <c r="G28" s="57"/>
      <c r="H28" s="746"/>
      <c r="I28" s="191" t="str">
        <f t="shared" si="2"/>
        <v/>
      </c>
      <c r="J28" s="57"/>
      <c r="K28" s="746"/>
      <c r="L28" s="191" t="str">
        <f t="shared" si="3"/>
        <v/>
      </c>
      <c r="M28" s="57"/>
      <c r="N28" s="746"/>
      <c r="O28" s="191" t="str">
        <f t="shared" si="4"/>
        <v/>
      </c>
      <c r="P28" s="57"/>
    </row>
    <row r="29" spans="1:16" ht="20" customHeight="1">
      <c r="A29" s="57" t="s">
        <v>1343</v>
      </c>
      <c r="B29" s="201">
        <f t="shared" si="5"/>
        <v>5901</v>
      </c>
      <c r="C29" s="191">
        <f t="shared" si="0"/>
        <v>3.1453044298636024</v>
      </c>
      <c r="D29" s="57"/>
      <c r="E29" s="746">
        <v>3657</v>
      </c>
      <c r="F29" s="191">
        <f t="shared" si="1"/>
        <v>61.972547025927803</v>
      </c>
      <c r="G29" s="57"/>
      <c r="H29" s="746">
        <v>388</v>
      </c>
      <c r="I29" s="191">
        <f t="shared" si="2"/>
        <v>6.5751567530926964</v>
      </c>
      <c r="J29" s="57"/>
      <c r="K29" s="746">
        <v>1726</v>
      </c>
      <c r="L29" s="191">
        <f t="shared" si="3"/>
        <v>29.249279783087612</v>
      </c>
      <c r="M29" s="57"/>
      <c r="N29" s="746">
        <v>130</v>
      </c>
      <c r="O29" s="191">
        <f t="shared" si="4"/>
        <v>2.2030164378918826</v>
      </c>
      <c r="P29" s="57"/>
    </row>
    <row r="30" spans="1:16" ht="11.25" customHeight="1">
      <c r="A30" s="888"/>
      <c r="B30" s="201">
        <f t="shared" si="5"/>
        <v>0</v>
      </c>
      <c r="C30" s="191" t="str">
        <f t="shared" si="0"/>
        <v/>
      </c>
      <c r="D30" s="57"/>
      <c r="E30" s="746"/>
      <c r="F30" s="191" t="str">
        <f t="shared" si="1"/>
        <v/>
      </c>
      <c r="G30" s="57"/>
      <c r="H30" s="746"/>
      <c r="I30" s="191" t="str">
        <f t="shared" si="2"/>
        <v/>
      </c>
      <c r="J30" s="57"/>
      <c r="K30" s="746"/>
      <c r="L30" s="191" t="str">
        <f t="shared" si="3"/>
        <v/>
      </c>
      <c r="M30" s="57"/>
      <c r="N30" s="746"/>
      <c r="O30" s="191" t="str">
        <f t="shared" si="4"/>
        <v/>
      </c>
      <c r="P30" s="57"/>
    </row>
    <row r="31" spans="1:16" ht="20" customHeight="1">
      <c r="A31" s="57" t="s">
        <v>1344</v>
      </c>
      <c r="B31" s="201">
        <f t="shared" si="5"/>
        <v>3245</v>
      </c>
      <c r="C31" s="191">
        <f t="shared" si="0"/>
        <v>1.7296242797673933</v>
      </c>
      <c r="D31" s="57"/>
      <c r="E31" s="747">
        <v>3125</v>
      </c>
      <c r="F31" s="191">
        <f t="shared" si="1"/>
        <v>96.302003081664097</v>
      </c>
      <c r="G31" s="57"/>
      <c r="H31" s="746">
        <v>32</v>
      </c>
      <c r="I31" s="191">
        <f t="shared" si="2"/>
        <v>0.98613251155624038</v>
      </c>
      <c r="J31" s="57"/>
      <c r="K31" s="746">
        <v>88</v>
      </c>
      <c r="L31" s="191">
        <f t="shared" si="3"/>
        <v>2.7118644067796609</v>
      </c>
      <c r="M31" s="57"/>
      <c r="N31" s="746">
        <v>0</v>
      </c>
      <c r="O31" s="191">
        <f t="shared" si="4"/>
        <v>0</v>
      </c>
      <c r="P31" s="57"/>
    </row>
    <row r="32" spans="1:16" ht="11.25" customHeight="1">
      <c r="A32" s="888"/>
      <c r="B32" s="201">
        <f t="shared" si="5"/>
        <v>0</v>
      </c>
      <c r="C32" s="191" t="str">
        <f t="shared" si="0"/>
        <v/>
      </c>
      <c r="D32" s="57"/>
      <c r="E32" s="746"/>
      <c r="F32" s="191" t="str">
        <f t="shared" si="1"/>
        <v/>
      </c>
      <c r="G32" s="57"/>
      <c r="H32" s="746"/>
      <c r="I32" s="191" t="str">
        <f t="shared" si="2"/>
        <v/>
      </c>
      <c r="J32" s="57"/>
      <c r="K32" s="746"/>
      <c r="L32" s="191" t="str">
        <f t="shared" si="3"/>
        <v/>
      </c>
      <c r="M32" s="57"/>
      <c r="N32" s="746"/>
      <c r="O32" s="191" t="str">
        <f t="shared" si="4"/>
        <v/>
      </c>
      <c r="P32" s="57"/>
    </row>
    <row r="33" spans="1:16" ht="20" customHeight="1">
      <c r="A33" s="57" t="s">
        <v>1345</v>
      </c>
      <c r="B33" s="201">
        <f t="shared" si="5"/>
        <v>2401</v>
      </c>
      <c r="C33" s="191">
        <f t="shared" si="0"/>
        <v>1.2797620633964597</v>
      </c>
      <c r="D33" s="57"/>
      <c r="E33" s="747">
        <v>607</v>
      </c>
      <c r="F33" s="191">
        <f t="shared" si="1"/>
        <v>25.281132861307785</v>
      </c>
      <c r="G33" s="57"/>
      <c r="H33" s="746">
        <v>159</v>
      </c>
      <c r="I33" s="191">
        <f t="shared" si="2"/>
        <v>6.6222407330279047</v>
      </c>
      <c r="J33" s="57"/>
      <c r="K33" s="746">
        <v>1635</v>
      </c>
      <c r="L33" s="191">
        <f t="shared" si="3"/>
        <v>68.09662640566431</v>
      </c>
      <c r="M33" s="57"/>
      <c r="N33" s="746">
        <v>0</v>
      </c>
      <c r="O33" s="191">
        <f t="shared" si="4"/>
        <v>0</v>
      </c>
      <c r="P33" s="57"/>
    </row>
    <row r="34" spans="1:16" ht="9.75" customHeight="1">
      <c r="A34" s="57"/>
      <c r="B34" s="201">
        <f t="shared" si="5"/>
        <v>0</v>
      </c>
      <c r="C34" s="191" t="str">
        <f t="shared" si="0"/>
        <v/>
      </c>
      <c r="D34" s="57"/>
      <c r="E34" s="746"/>
      <c r="F34" s="191" t="str">
        <f t="shared" si="1"/>
        <v/>
      </c>
      <c r="G34" s="57"/>
      <c r="H34" s="746"/>
      <c r="I34" s="191" t="str">
        <f t="shared" si="2"/>
        <v/>
      </c>
      <c r="J34" s="57"/>
      <c r="K34" s="746"/>
      <c r="L34" s="191"/>
      <c r="M34" s="57"/>
      <c r="N34" s="746"/>
      <c r="O34" s="191"/>
      <c r="P34" s="57"/>
    </row>
    <row r="35" spans="1:16" ht="20" customHeight="1">
      <c r="A35" s="57" t="s">
        <v>1347</v>
      </c>
      <c r="B35" s="201">
        <f t="shared" si="5"/>
        <v>3934</v>
      </c>
      <c r="C35" s="191">
        <f t="shared" si="0"/>
        <v>2.0968696199090679</v>
      </c>
      <c r="D35" s="57"/>
      <c r="E35" s="746">
        <v>3562</v>
      </c>
      <c r="F35" s="191">
        <f t="shared" si="1"/>
        <v>90.543975597356379</v>
      </c>
      <c r="G35" s="57"/>
      <c r="H35" s="746">
        <v>353</v>
      </c>
      <c r="I35" s="191">
        <f t="shared" si="2"/>
        <v>8.9730554143365531</v>
      </c>
      <c r="J35" s="57"/>
      <c r="K35" s="746">
        <v>19</v>
      </c>
      <c r="L35" s="191"/>
      <c r="M35" s="57"/>
      <c r="N35" s="746">
        <v>0</v>
      </c>
      <c r="O35" s="191"/>
      <c r="P35" s="57"/>
    </row>
    <row r="36" spans="1:16" ht="11.25" customHeight="1">
      <c r="A36" s="888"/>
      <c r="B36" s="201">
        <f t="shared" si="5"/>
        <v>0</v>
      </c>
      <c r="C36" s="191" t="str">
        <f t="shared" si="0"/>
        <v/>
      </c>
      <c r="D36" s="57"/>
      <c r="E36" s="206"/>
      <c r="F36" s="191" t="str">
        <f t="shared" si="1"/>
        <v/>
      </c>
      <c r="G36" s="57"/>
      <c r="H36" s="206"/>
      <c r="I36" s="191" t="str">
        <f t="shared" si="2"/>
        <v/>
      </c>
      <c r="J36" s="57"/>
      <c r="K36" s="206"/>
      <c r="L36" s="191" t="str">
        <f t="shared" si="3"/>
        <v/>
      </c>
      <c r="M36" s="57"/>
      <c r="N36" s="206"/>
      <c r="O36" s="191" t="str">
        <f t="shared" si="4"/>
        <v/>
      </c>
      <c r="P36" s="57"/>
    </row>
    <row r="37" spans="1:16" ht="20" customHeight="1">
      <c r="A37" s="57" t="s">
        <v>1346</v>
      </c>
      <c r="B37" s="201">
        <f t="shared" si="5"/>
        <v>720</v>
      </c>
      <c r="C37" s="191">
        <f t="shared" si="0"/>
        <v>0.38376871538752644</v>
      </c>
      <c r="D37" s="57"/>
      <c r="E37" s="747">
        <v>720</v>
      </c>
      <c r="F37" s="191">
        <f t="shared" si="1"/>
        <v>100</v>
      </c>
      <c r="G37" s="57"/>
      <c r="H37" s="746">
        <v>0</v>
      </c>
      <c r="I37" s="191">
        <f t="shared" si="2"/>
        <v>0</v>
      </c>
      <c r="J37" s="57"/>
      <c r="K37" s="746">
        <v>0</v>
      </c>
      <c r="L37" s="191">
        <f t="shared" si="3"/>
        <v>0</v>
      </c>
      <c r="M37" s="57"/>
      <c r="N37" s="746">
        <v>0</v>
      </c>
      <c r="O37" s="191">
        <f t="shared" si="4"/>
        <v>0</v>
      </c>
      <c r="P37" s="57"/>
    </row>
    <row r="38" spans="1:16" ht="11.25" customHeight="1" thickBot="1">
      <c r="A38" s="33"/>
      <c r="B38" s="72"/>
      <c r="C38" s="33"/>
      <c r="D38" s="33"/>
      <c r="E38" s="72"/>
      <c r="F38" s="33"/>
      <c r="G38" s="33"/>
      <c r="H38" s="72"/>
      <c r="I38" s="33"/>
      <c r="J38" s="33"/>
      <c r="K38" s="72"/>
      <c r="L38" s="33"/>
      <c r="M38" s="33"/>
      <c r="N38" s="72"/>
      <c r="O38" s="33"/>
      <c r="P38" s="33"/>
    </row>
    <row r="39" spans="1:16">
      <c r="A39" s="188"/>
      <c r="B39" s="189"/>
      <c r="C39" s="188"/>
      <c r="D39" s="188"/>
      <c r="E39" s="189"/>
      <c r="F39" s="188"/>
      <c r="G39" s="188"/>
      <c r="H39" s="189"/>
      <c r="I39" s="188"/>
      <c r="J39" s="188"/>
      <c r="K39" s="189"/>
      <c r="L39" s="188"/>
      <c r="M39" s="188"/>
      <c r="N39" s="189"/>
      <c r="O39" s="188"/>
      <c r="P39" s="188"/>
    </row>
    <row r="40" spans="1:16" ht="15">
      <c r="A40" s="203" t="s">
        <v>1348</v>
      </c>
      <c r="B40" s="72"/>
      <c r="C40" s="33"/>
      <c r="D40" s="33"/>
      <c r="E40" s="72"/>
      <c r="F40" s="33"/>
      <c r="G40" s="33"/>
      <c r="H40" s="72"/>
      <c r="I40" s="33"/>
      <c r="J40" s="33"/>
      <c r="K40" s="72"/>
      <c r="L40" s="33"/>
      <c r="M40" s="33"/>
      <c r="N40" s="72"/>
      <c r="O40" s="33"/>
      <c r="P40" s="33"/>
    </row>
    <row r="41" spans="1:16" ht="15">
      <c r="A41" s="203" t="s">
        <v>1408</v>
      </c>
      <c r="B41" s="72"/>
      <c r="C41" s="33"/>
      <c r="D41" s="33"/>
      <c r="E41" s="72"/>
      <c r="F41" s="33"/>
      <c r="G41" s="33"/>
      <c r="H41" s="72"/>
      <c r="I41" s="33"/>
      <c r="J41" s="33"/>
      <c r="K41" s="72"/>
      <c r="L41" s="33"/>
      <c r="M41" s="33"/>
      <c r="N41" s="72"/>
      <c r="O41" s="33"/>
      <c r="P41" s="33"/>
    </row>
    <row r="42" spans="1:16" ht="15">
      <c r="A42" s="203" t="s">
        <v>2031</v>
      </c>
      <c r="B42" s="72"/>
      <c r="C42" s="33"/>
      <c r="D42" s="33"/>
      <c r="E42" s="72"/>
      <c r="F42" s="33"/>
      <c r="G42" s="33"/>
      <c r="H42" s="72"/>
      <c r="I42" s="33"/>
      <c r="J42" s="33"/>
      <c r="K42" s="72"/>
      <c r="L42" s="33"/>
      <c r="M42" s="33"/>
      <c r="N42" s="72"/>
      <c r="O42" s="33"/>
      <c r="P42" s="33"/>
    </row>
    <row r="43" spans="1:16" ht="15">
      <c r="A43" s="203" t="s">
        <v>1409</v>
      </c>
      <c r="B43" s="72"/>
      <c r="C43" s="33"/>
      <c r="D43" s="33"/>
      <c r="E43" s="72"/>
      <c r="F43" s="33"/>
      <c r="G43" s="33"/>
      <c r="H43" s="72"/>
      <c r="I43" s="33"/>
      <c r="J43" s="33"/>
      <c r="K43" s="72"/>
      <c r="L43" s="33"/>
      <c r="M43" s="33"/>
      <c r="N43" s="72"/>
      <c r="O43" s="33"/>
      <c r="P43" s="33"/>
    </row>
    <row r="44" spans="1:16" ht="15">
      <c r="A44" s="203" t="s">
        <v>1410</v>
      </c>
      <c r="B44" s="72"/>
      <c r="C44" s="33"/>
      <c r="D44" s="33"/>
      <c r="E44" s="72"/>
      <c r="F44" s="33"/>
      <c r="G44" s="33"/>
      <c r="H44" s="72"/>
      <c r="I44" s="33"/>
      <c r="J44" s="33"/>
      <c r="K44" s="72"/>
      <c r="L44" s="33"/>
      <c r="M44" s="33"/>
      <c r="N44" s="72"/>
      <c r="O44" s="33"/>
      <c r="P44" s="33"/>
    </row>
    <row r="45" spans="1:16">
      <c r="A45" s="33"/>
      <c r="B45" s="72"/>
      <c r="C45" s="33"/>
      <c r="D45" s="33"/>
      <c r="E45" s="72"/>
      <c r="F45" s="33"/>
      <c r="G45" s="33"/>
      <c r="H45" s="72"/>
      <c r="I45" s="33"/>
      <c r="J45" s="33"/>
      <c r="K45" s="72"/>
      <c r="L45" s="33"/>
      <c r="M45" s="33"/>
      <c r="N45" s="72"/>
      <c r="O45" s="33"/>
      <c r="P45" s="33"/>
    </row>
    <row r="46" spans="1:16">
      <c r="A46" s="33" t="s">
        <v>1352</v>
      </c>
      <c r="B46" s="72"/>
      <c r="C46" s="33"/>
      <c r="D46" s="33"/>
      <c r="E46" s="72"/>
      <c r="F46" s="33"/>
      <c r="G46" s="33"/>
      <c r="H46" s="72"/>
      <c r="I46" s="33"/>
      <c r="J46" s="33"/>
      <c r="K46" s="72"/>
      <c r="L46" s="33"/>
      <c r="M46" s="33"/>
      <c r="N46" s="72"/>
      <c r="O46" s="33"/>
      <c r="P46" s="33"/>
    </row>
    <row r="47" spans="1:16">
      <c r="A47" s="33" t="s">
        <v>1353</v>
      </c>
      <c r="B47" s="72"/>
      <c r="C47" s="33"/>
      <c r="D47" s="33"/>
      <c r="E47" s="72"/>
      <c r="F47" s="33"/>
      <c r="G47" s="33"/>
      <c r="H47" s="72"/>
      <c r="I47" s="33"/>
      <c r="J47" s="33"/>
      <c r="K47" s="72"/>
      <c r="L47" s="33"/>
      <c r="M47" s="33"/>
      <c r="N47" s="72"/>
      <c r="O47" s="33"/>
      <c r="P47" s="33"/>
    </row>
    <row r="48" spans="1:16">
      <c r="A48" s="33"/>
      <c r="B48" s="72"/>
      <c r="C48" s="33"/>
      <c r="D48" s="33"/>
      <c r="E48" s="72"/>
      <c r="F48" s="33"/>
      <c r="G48" s="33"/>
      <c r="H48" s="72"/>
      <c r="I48" s="33"/>
      <c r="J48" s="33"/>
      <c r="K48" s="72"/>
      <c r="L48" s="33"/>
      <c r="M48" s="33"/>
      <c r="N48" s="72"/>
      <c r="O48" s="33"/>
      <c r="P48" s="33"/>
    </row>
    <row r="50" spans="1:6">
      <c r="A50" s="104"/>
    </row>
    <row r="51" spans="1:6">
      <c r="A51" s="104"/>
      <c r="B51" s="72"/>
    </row>
    <row r="52" spans="1:6">
      <c r="A52" s="104"/>
      <c r="B52" s="72"/>
      <c r="F52" s="95" t="s">
        <v>128</v>
      </c>
    </row>
    <row r="53" spans="1:6">
      <c r="A53" s="104"/>
      <c r="B53" s="72"/>
    </row>
    <row r="54" spans="1:6">
      <c r="A54" s="104"/>
      <c r="B54" s="72"/>
    </row>
    <row r="55" spans="1:6">
      <c r="A55" s="104"/>
      <c r="B55" s="72"/>
    </row>
    <row r="56" spans="1:6">
      <c r="A56" s="104"/>
    </row>
    <row r="57" spans="1:6">
      <c r="A57" s="104"/>
    </row>
  </sheetData>
  <mergeCells count="4">
    <mergeCell ref="E7:F7"/>
    <mergeCell ref="H7:I7"/>
    <mergeCell ref="K7:L7"/>
    <mergeCell ref="N7:O7"/>
  </mergeCells>
  <conditionalFormatting sqref="B11:O37">
    <cfRule type="cellIs" dxfId="13" priority="1" operator="equal">
      <formula>0</formula>
    </cfRule>
  </conditionalFormatting>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FF00"/>
  </sheetPr>
  <dimension ref="A1:B25"/>
  <sheetViews>
    <sheetView topLeftCell="A10" workbookViewId="0">
      <selection activeCell="A2" sqref="A2"/>
    </sheetView>
  </sheetViews>
  <sheetFormatPr baseColWidth="10" defaultRowHeight="15"/>
  <cols>
    <col min="1" max="1" width="13.6640625" customWidth="1"/>
    <col min="2" max="2" width="118.83203125" customWidth="1"/>
  </cols>
  <sheetData>
    <row r="1" spans="1:2" ht="16">
      <c r="A1" s="5" t="s">
        <v>126</v>
      </c>
    </row>
    <row r="2" spans="1:2" ht="16">
      <c r="A2" s="7" t="s">
        <v>1411</v>
      </c>
    </row>
    <row r="3" spans="1:2">
      <c r="A3" s="8"/>
    </row>
    <row r="4" spans="1:2" ht="16">
      <c r="A4" s="7" t="s">
        <v>651</v>
      </c>
    </row>
    <row r="5" spans="1:2" ht="17">
      <c r="A5" s="9" t="s">
        <v>1412</v>
      </c>
      <c r="B5" s="11" t="s">
        <v>2032</v>
      </c>
    </row>
    <row r="6" spans="1:2" ht="16">
      <c r="A6" s="497"/>
    </row>
    <row r="7" spans="1:2" ht="16">
      <c r="A7" s="7" t="s">
        <v>1413</v>
      </c>
    </row>
    <row r="8" spans="1:2" ht="17">
      <c r="A8" s="9" t="s">
        <v>1414</v>
      </c>
      <c r="B8" s="10" t="s">
        <v>2033</v>
      </c>
    </row>
    <row r="9" spans="1:2" ht="17">
      <c r="A9" s="9" t="s">
        <v>1415</v>
      </c>
      <c r="B9" s="10" t="s">
        <v>2059</v>
      </c>
    </row>
    <row r="10" spans="1:2">
      <c r="A10" s="8"/>
    </row>
    <row r="11" spans="1:2" ht="16">
      <c r="A11" s="7" t="s">
        <v>1416</v>
      </c>
    </row>
    <row r="12" spans="1:2" ht="17">
      <c r="A12" s="9" t="s">
        <v>1417</v>
      </c>
      <c r="B12" s="10" t="s">
        <v>2034</v>
      </c>
    </row>
    <row r="13" spans="1:2" ht="17">
      <c r="A13" s="9" t="s">
        <v>1418</v>
      </c>
      <c r="B13" s="430" t="s">
        <v>2068</v>
      </c>
    </row>
    <row r="14" spans="1:2">
      <c r="A14" s="8"/>
    </row>
    <row r="15" spans="1:2" ht="16">
      <c r="A15" s="7" t="s">
        <v>1419</v>
      </c>
    </row>
    <row r="16" spans="1:2" ht="17">
      <c r="A16" s="9" t="s">
        <v>1420</v>
      </c>
      <c r="B16" s="10" t="s">
        <v>2035</v>
      </c>
    </row>
    <row r="17" spans="1:2" ht="17">
      <c r="A17" s="9" t="s">
        <v>1421</v>
      </c>
      <c r="B17" s="10" t="s">
        <v>2036</v>
      </c>
    </row>
    <row r="18" spans="1:2" ht="17">
      <c r="A18" s="9" t="s">
        <v>1423</v>
      </c>
      <c r="B18" s="793" t="s">
        <v>2040</v>
      </c>
    </row>
    <row r="19" spans="1:2" ht="16">
      <c r="A19" s="9"/>
      <c r="B19" s="10"/>
    </row>
    <row r="20" spans="1:2" ht="16">
      <c r="A20" s="7"/>
    </row>
    <row r="21" spans="1:2" ht="16">
      <c r="A21" s="7" t="s">
        <v>1422</v>
      </c>
    </row>
    <row r="22" spans="1:2" ht="34">
      <c r="A22" s="10" t="s">
        <v>1424</v>
      </c>
      <c r="B22" s="9" t="s">
        <v>2037</v>
      </c>
    </row>
    <row r="23" spans="1:2" ht="17">
      <c r="A23" s="10" t="s">
        <v>1425</v>
      </c>
      <c r="B23" s="9" t="s">
        <v>2038</v>
      </c>
    </row>
    <row r="24" spans="1:2" ht="34">
      <c r="A24" s="9" t="s">
        <v>2041</v>
      </c>
      <c r="B24" s="430" t="s">
        <v>2039</v>
      </c>
    </row>
    <row r="25" spans="1:2">
      <c r="A25" s="8"/>
    </row>
  </sheetData>
  <pageMargins left="0.70866141732283472" right="0.70866141732283472" top="0.74803149606299213" bottom="0.74803149606299213" header="0.31496062992125984" footer="0.31496062992125984"/>
  <pageSetup scale="8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N46"/>
  <sheetViews>
    <sheetView workbookViewId="0">
      <selection activeCell="A2" sqref="A2"/>
    </sheetView>
  </sheetViews>
  <sheetFormatPr baseColWidth="10" defaultColWidth="8.83203125" defaultRowHeight="13"/>
  <cols>
    <col min="1" max="1" width="30.83203125" style="111" customWidth="1"/>
    <col min="2" max="2" width="2.5" style="95" customWidth="1"/>
    <col min="3" max="3" width="9.6640625" style="112" customWidth="1"/>
    <col min="4" max="4" width="8.6640625" style="111" customWidth="1"/>
    <col min="5" max="5" width="2.5" style="111" customWidth="1"/>
    <col min="6" max="6" width="9.6640625" style="112" customWidth="1"/>
    <col min="7" max="7" width="8.6640625" style="112" customWidth="1"/>
    <col min="8" max="8" width="2.6640625" style="112" customWidth="1"/>
    <col min="9" max="9" width="9.6640625" style="112" customWidth="1"/>
    <col min="10" max="10" width="8.6640625" style="112" customWidth="1"/>
    <col min="11" max="11" width="2.83203125" style="112" customWidth="1"/>
    <col min="12" max="12" width="9.5" style="112" customWidth="1"/>
    <col min="13" max="13" width="9.6640625" style="112" customWidth="1"/>
    <col min="14" max="14" width="3.6640625" style="134" customWidth="1"/>
    <col min="15" max="256" width="8.83203125" style="95"/>
    <col min="257" max="257" width="30.83203125" style="95" customWidth="1"/>
    <col min="258" max="258" width="2.5" style="95" customWidth="1"/>
    <col min="259" max="259" width="9.6640625" style="95" customWidth="1"/>
    <col min="260" max="260" width="8.6640625" style="95" customWidth="1"/>
    <col min="261" max="261" width="2.5" style="95" customWidth="1"/>
    <col min="262" max="262" width="9.6640625" style="95" customWidth="1"/>
    <col min="263" max="263" width="8.6640625" style="95" customWidth="1"/>
    <col min="264" max="264" width="2.6640625" style="95" customWidth="1"/>
    <col min="265" max="265" width="9.6640625" style="95" customWidth="1"/>
    <col min="266" max="266" width="8.6640625" style="95" customWidth="1"/>
    <col min="267" max="267" width="2.83203125" style="95" customWidth="1"/>
    <col min="268" max="268" width="9.5" style="95" customWidth="1"/>
    <col min="269" max="269" width="9.6640625" style="95" customWidth="1"/>
    <col min="270" max="270" width="3.6640625" style="95" customWidth="1"/>
    <col min="271" max="512" width="8.83203125" style="95"/>
    <col min="513" max="513" width="30.83203125" style="95" customWidth="1"/>
    <col min="514" max="514" width="2.5" style="95" customWidth="1"/>
    <col min="515" max="515" width="9.6640625" style="95" customWidth="1"/>
    <col min="516" max="516" width="8.6640625" style="95" customWidth="1"/>
    <col min="517" max="517" width="2.5" style="95" customWidth="1"/>
    <col min="518" max="518" width="9.6640625" style="95" customWidth="1"/>
    <col min="519" max="519" width="8.6640625" style="95" customWidth="1"/>
    <col min="520" max="520" width="2.6640625" style="95" customWidth="1"/>
    <col min="521" max="521" width="9.6640625" style="95" customWidth="1"/>
    <col min="522" max="522" width="8.6640625" style="95" customWidth="1"/>
    <col min="523" max="523" width="2.83203125" style="95" customWidth="1"/>
    <col min="524" max="524" width="9.5" style="95" customWidth="1"/>
    <col min="525" max="525" width="9.6640625" style="95" customWidth="1"/>
    <col min="526" max="526" width="3.6640625" style="95" customWidth="1"/>
    <col min="527" max="768" width="8.83203125" style="95"/>
    <col min="769" max="769" width="30.83203125" style="95" customWidth="1"/>
    <col min="770" max="770" width="2.5" style="95" customWidth="1"/>
    <col min="771" max="771" width="9.6640625" style="95" customWidth="1"/>
    <col min="772" max="772" width="8.6640625" style="95" customWidth="1"/>
    <col min="773" max="773" width="2.5" style="95" customWidth="1"/>
    <col min="774" max="774" width="9.6640625" style="95" customWidth="1"/>
    <col min="775" max="775" width="8.6640625" style="95" customWidth="1"/>
    <col min="776" max="776" width="2.6640625" style="95" customWidth="1"/>
    <col min="777" max="777" width="9.6640625" style="95" customWidth="1"/>
    <col min="778" max="778" width="8.6640625" style="95" customWidth="1"/>
    <col min="779" max="779" width="2.83203125" style="95" customWidth="1"/>
    <col min="780" max="780" width="9.5" style="95" customWidth="1"/>
    <col min="781" max="781" width="9.6640625" style="95" customWidth="1"/>
    <col min="782" max="782" width="3.6640625" style="95" customWidth="1"/>
    <col min="783" max="1024" width="8.83203125" style="95"/>
    <col min="1025" max="1025" width="30.83203125" style="95" customWidth="1"/>
    <col min="1026" max="1026" width="2.5" style="95" customWidth="1"/>
    <col min="1027" max="1027" width="9.6640625" style="95" customWidth="1"/>
    <col min="1028" max="1028" width="8.6640625" style="95" customWidth="1"/>
    <col min="1029" max="1029" width="2.5" style="95" customWidth="1"/>
    <col min="1030" max="1030" width="9.6640625" style="95" customWidth="1"/>
    <col min="1031" max="1031" width="8.6640625" style="95" customWidth="1"/>
    <col min="1032" max="1032" width="2.6640625" style="95" customWidth="1"/>
    <col min="1033" max="1033" width="9.6640625" style="95" customWidth="1"/>
    <col min="1034" max="1034" width="8.6640625" style="95" customWidth="1"/>
    <col min="1035" max="1035" width="2.83203125" style="95" customWidth="1"/>
    <col min="1036" max="1036" width="9.5" style="95" customWidth="1"/>
    <col min="1037" max="1037" width="9.6640625" style="95" customWidth="1"/>
    <col min="1038" max="1038" width="3.6640625" style="95" customWidth="1"/>
    <col min="1039" max="1280" width="8.83203125" style="95"/>
    <col min="1281" max="1281" width="30.83203125" style="95" customWidth="1"/>
    <col min="1282" max="1282" width="2.5" style="95" customWidth="1"/>
    <col min="1283" max="1283" width="9.6640625" style="95" customWidth="1"/>
    <col min="1284" max="1284" width="8.6640625" style="95" customWidth="1"/>
    <col min="1285" max="1285" width="2.5" style="95" customWidth="1"/>
    <col min="1286" max="1286" width="9.6640625" style="95" customWidth="1"/>
    <col min="1287" max="1287" width="8.6640625" style="95" customWidth="1"/>
    <col min="1288" max="1288" width="2.6640625" style="95" customWidth="1"/>
    <col min="1289" max="1289" width="9.6640625" style="95" customWidth="1"/>
    <col min="1290" max="1290" width="8.6640625" style="95" customWidth="1"/>
    <col min="1291" max="1291" width="2.83203125" style="95" customWidth="1"/>
    <col min="1292" max="1292" width="9.5" style="95" customWidth="1"/>
    <col min="1293" max="1293" width="9.6640625" style="95" customWidth="1"/>
    <col min="1294" max="1294" width="3.6640625" style="95" customWidth="1"/>
    <col min="1295" max="1536" width="8.83203125" style="95"/>
    <col min="1537" max="1537" width="30.83203125" style="95" customWidth="1"/>
    <col min="1538" max="1538" width="2.5" style="95" customWidth="1"/>
    <col min="1539" max="1539" width="9.6640625" style="95" customWidth="1"/>
    <col min="1540" max="1540" width="8.6640625" style="95" customWidth="1"/>
    <col min="1541" max="1541" width="2.5" style="95" customWidth="1"/>
    <col min="1542" max="1542" width="9.6640625" style="95" customWidth="1"/>
    <col min="1543" max="1543" width="8.6640625" style="95" customWidth="1"/>
    <col min="1544" max="1544" width="2.6640625" style="95" customWidth="1"/>
    <col min="1545" max="1545" width="9.6640625" style="95" customWidth="1"/>
    <col min="1546" max="1546" width="8.6640625" style="95" customWidth="1"/>
    <col min="1547" max="1547" width="2.83203125" style="95" customWidth="1"/>
    <col min="1548" max="1548" width="9.5" style="95" customWidth="1"/>
    <col min="1549" max="1549" width="9.6640625" style="95" customWidth="1"/>
    <col min="1550" max="1550" width="3.6640625" style="95" customWidth="1"/>
    <col min="1551" max="1792" width="8.83203125" style="95"/>
    <col min="1793" max="1793" width="30.83203125" style="95" customWidth="1"/>
    <col min="1794" max="1794" width="2.5" style="95" customWidth="1"/>
    <col min="1795" max="1795" width="9.6640625" style="95" customWidth="1"/>
    <col min="1796" max="1796" width="8.6640625" style="95" customWidth="1"/>
    <col min="1797" max="1797" width="2.5" style="95" customWidth="1"/>
    <col min="1798" max="1798" width="9.6640625" style="95" customWidth="1"/>
    <col min="1799" max="1799" width="8.6640625" style="95" customWidth="1"/>
    <col min="1800" max="1800" width="2.6640625" style="95" customWidth="1"/>
    <col min="1801" max="1801" width="9.6640625" style="95" customWidth="1"/>
    <col min="1802" max="1802" width="8.6640625" style="95" customWidth="1"/>
    <col min="1803" max="1803" width="2.83203125" style="95" customWidth="1"/>
    <col min="1804" max="1804" width="9.5" style="95" customWidth="1"/>
    <col min="1805" max="1805" width="9.6640625" style="95" customWidth="1"/>
    <col min="1806" max="1806" width="3.6640625" style="95" customWidth="1"/>
    <col min="1807" max="2048" width="8.83203125" style="95"/>
    <col min="2049" max="2049" width="30.83203125" style="95" customWidth="1"/>
    <col min="2050" max="2050" width="2.5" style="95" customWidth="1"/>
    <col min="2051" max="2051" width="9.6640625" style="95" customWidth="1"/>
    <col min="2052" max="2052" width="8.6640625" style="95" customWidth="1"/>
    <col min="2053" max="2053" width="2.5" style="95" customWidth="1"/>
    <col min="2054" max="2054" width="9.6640625" style="95" customWidth="1"/>
    <col min="2055" max="2055" width="8.6640625" style="95" customWidth="1"/>
    <col min="2056" max="2056" width="2.6640625" style="95" customWidth="1"/>
    <col min="2057" max="2057" width="9.6640625" style="95" customWidth="1"/>
    <col min="2058" max="2058" width="8.6640625" style="95" customWidth="1"/>
    <col min="2059" max="2059" width="2.83203125" style="95" customWidth="1"/>
    <col min="2060" max="2060" width="9.5" style="95" customWidth="1"/>
    <col min="2061" max="2061" width="9.6640625" style="95" customWidth="1"/>
    <col min="2062" max="2062" width="3.6640625" style="95" customWidth="1"/>
    <col min="2063" max="2304" width="8.83203125" style="95"/>
    <col min="2305" max="2305" width="30.83203125" style="95" customWidth="1"/>
    <col min="2306" max="2306" width="2.5" style="95" customWidth="1"/>
    <col min="2307" max="2307" width="9.6640625" style="95" customWidth="1"/>
    <col min="2308" max="2308" width="8.6640625" style="95" customWidth="1"/>
    <col min="2309" max="2309" width="2.5" style="95" customWidth="1"/>
    <col min="2310" max="2310" width="9.6640625" style="95" customWidth="1"/>
    <col min="2311" max="2311" width="8.6640625" style="95" customWidth="1"/>
    <col min="2312" max="2312" width="2.6640625" style="95" customWidth="1"/>
    <col min="2313" max="2313" width="9.6640625" style="95" customWidth="1"/>
    <col min="2314" max="2314" width="8.6640625" style="95" customWidth="1"/>
    <col min="2315" max="2315" width="2.83203125" style="95" customWidth="1"/>
    <col min="2316" max="2316" width="9.5" style="95" customWidth="1"/>
    <col min="2317" max="2317" width="9.6640625" style="95" customWidth="1"/>
    <col min="2318" max="2318" width="3.6640625" style="95" customWidth="1"/>
    <col min="2319" max="2560" width="8.83203125" style="95"/>
    <col min="2561" max="2561" width="30.83203125" style="95" customWidth="1"/>
    <col min="2562" max="2562" width="2.5" style="95" customWidth="1"/>
    <col min="2563" max="2563" width="9.6640625" style="95" customWidth="1"/>
    <col min="2564" max="2564" width="8.6640625" style="95" customWidth="1"/>
    <col min="2565" max="2565" width="2.5" style="95" customWidth="1"/>
    <col min="2566" max="2566" width="9.6640625" style="95" customWidth="1"/>
    <col min="2567" max="2567" width="8.6640625" style="95" customWidth="1"/>
    <col min="2568" max="2568" width="2.6640625" style="95" customWidth="1"/>
    <col min="2569" max="2569" width="9.6640625" style="95" customWidth="1"/>
    <col min="2570" max="2570" width="8.6640625" style="95" customWidth="1"/>
    <col min="2571" max="2571" width="2.83203125" style="95" customWidth="1"/>
    <col min="2572" max="2572" width="9.5" style="95" customWidth="1"/>
    <col min="2573" max="2573" width="9.6640625" style="95" customWidth="1"/>
    <col min="2574" max="2574" width="3.6640625" style="95" customWidth="1"/>
    <col min="2575" max="2816" width="8.83203125" style="95"/>
    <col min="2817" max="2817" width="30.83203125" style="95" customWidth="1"/>
    <col min="2818" max="2818" width="2.5" style="95" customWidth="1"/>
    <col min="2819" max="2819" width="9.6640625" style="95" customWidth="1"/>
    <col min="2820" max="2820" width="8.6640625" style="95" customWidth="1"/>
    <col min="2821" max="2821" width="2.5" style="95" customWidth="1"/>
    <col min="2822" max="2822" width="9.6640625" style="95" customWidth="1"/>
    <col min="2823" max="2823" width="8.6640625" style="95" customWidth="1"/>
    <col min="2824" max="2824" width="2.6640625" style="95" customWidth="1"/>
    <col min="2825" max="2825" width="9.6640625" style="95" customWidth="1"/>
    <col min="2826" max="2826" width="8.6640625" style="95" customWidth="1"/>
    <col min="2827" max="2827" width="2.83203125" style="95" customWidth="1"/>
    <col min="2828" max="2828" width="9.5" style="95" customWidth="1"/>
    <col min="2829" max="2829" width="9.6640625" style="95" customWidth="1"/>
    <col min="2830" max="2830" width="3.6640625" style="95" customWidth="1"/>
    <col min="2831" max="3072" width="8.83203125" style="95"/>
    <col min="3073" max="3073" width="30.83203125" style="95" customWidth="1"/>
    <col min="3074" max="3074" width="2.5" style="95" customWidth="1"/>
    <col min="3075" max="3075" width="9.6640625" style="95" customWidth="1"/>
    <col min="3076" max="3076" width="8.6640625" style="95" customWidth="1"/>
    <col min="3077" max="3077" width="2.5" style="95" customWidth="1"/>
    <col min="3078" max="3078" width="9.6640625" style="95" customWidth="1"/>
    <col min="3079" max="3079" width="8.6640625" style="95" customWidth="1"/>
    <col min="3080" max="3080" width="2.6640625" style="95" customWidth="1"/>
    <col min="3081" max="3081" width="9.6640625" style="95" customWidth="1"/>
    <col min="3082" max="3082" width="8.6640625" style="95" customWidth="1"/>
    <col min="3083" max="3083" width="2.83203125" style="95" customWidth="1"/>
    <col min="3084" max="3084" width="9.5" style="95" customWidth="1"/>
    <col min="3085" max="3085" width="9.6640625" style="95" customWidth="1"/>
    <col min="3086" max="3086" width="3.6640625" style="95" customWidth="1"/>
    <col min="3087" max="3328" width="8.83203125" style="95"/>
    <col min="3329" max="3329" width="30.83203125" style="95" customWidth="1"/>
    <col min="3330" max="3330" width="2.5" style="95" customWidth="1"/>
    <col min="3331" max="3331" width="9.6640625" style="95" customWidth="1"/>
    <col min="3332" max="3332" width="8.6640625" style="95" customWidth="1"/>
    <col min="3333" max="3333" width="2.5" style="95" customWidth="1"/>
    <col min="3334" max="3334" width="9.6640625" style="95" customWidth="1"/>
    <col min="3335" max="3335" width="8.6640625" style="95" customWidth="1"/>
    <col min="3336" max="3336" width="2.6640625" style="95" customWidth="1"/>
    <col min="3337" max="3337" width="9.6640625" style="95" customWidth="1"/>
    <col min="3338" max="3338" width="8.6640625" style="95" customWidth="1"/>
    <col min="3339" max="3339" width="2.83203125" style="95" customWidth="1"/>
    <col min="3340" max="3340" width="9.5" style="95" customWidth="1"/>
    <col min="3341" max="3341" width="9.6640625" style="95" customWidth="1"/>
    <col min="3342" max="3342" width="3.6640625" style="95" customWidth="1"/>
    <col min="3343" max="3584" width="8.83203125" style="95"/>
    <col min="3585" max="3585" width="30.83203125" style="95" customWidth="1"/>
    <col min="3586" max="3586" width="2.5" style="95" customWidth="1"/>
    <col min="3587" max="3587" width="9.6640625" style="95" customWidth="1"/>
    <col min="3588" max="3588" width="8.6640625" style="95" customWidth="1"/>
    <col min="3589" max="3589" width="2.5" style="95" customWidth="1"/>
    <col min="3590" max="3590" width="9.6640625" style="95" customWidth="1"/>
    <col min="3591" max="3591" width="8.6640625" style="95" customWidth="1"/>
    <col min="3592" max="3592" width="2.6640625" style="95" customWidth="1"/>
    <col min="3593" max="3593" width="9.6640625" style="95" customWidth="1"/>
    <col min="3594" max="3594" width="8.6640625" style="95" customWidth="1"/>
    <col min="3595" max="3595" width="2.83203125" style="95" customWidth="1"/>
    <col min="3596" max="3596" width="9.5" style="95" customWidth="1"/>
    <col min="3597" max="3597" width="9.6640625" style="95" customWidth="1"/>
    <col min="3598" max="3598" width="3.6640625" style="95" customWidth="1"/>
    <col min="3599" max="3840" width="8.83203125" style="95"/>
    <col min="3841" max="3841" width="30.83203125" style="95" customWidth="1"/>
    <col min="3842" max="3842" width="2.5" style="95" customWidth="1"/>
    <col min="3843" max="3843" width="9.6640625" style="95" customWidth="1"/>
    <col min="3844" max="3844" width="8.6640625" style="95" customWidth="1"/>
    <col min="3845" max="3845" width="2.5" style="95" customWidth="1"/>
    <col min="3846" max="3846" width="9.6640625" style="95" customWidth="1"/>
    <col min="3847" max="3847" width="8.6640625" style="95" customWidth="1"/>
    <col min="3848" max="3848" width="2.6640625" style="95" customWidth="1"/>
    <col min="3849" max="3849" width="9.6640625" style="95" customWidth="1"/>
    <col min="3850" max="3850" width="8.6640625" style="95" customWidth="1"/>
    <col min="3851" max="3851" width="2.83203125" style="95" customWidth="1"/>
    <col min="3852" max="3852" width="9.5" style="95" customWidth="1"/>
    <col min="3853" max="3853" width="9.6640625" style="95" customWidth="1"/>
    <col min="3854" max="3854" width="3.6640625" style="95" customWidth="1"/>
    <col min="3855" max="4096" width="8.83203125" style="95"/>
    <col min="4097" max="4097" width="30.83203125" style="95" customWidth="1"/>
    <col min="4098" max="4098" width="2.5" style="95" customWidth="1"/>
    <col min="4099" max="4099" width="9.6640625" style="95" customWidth="1"/>
    <col min="4100" max="4100" width="8.6640625" style="95" customWidth="1"/>
    <col min="4101" max="4101" width="2.5" style="95" customWidth="1"/>
    <col min="4102" max="4102" width="9.6640625" style="95" customWidth="1"/>
    <col min="4103" max="4103" width="8.6640625" style="95" customWidth="1"/>
    <col min="4104" max="4104" width="2.6640625" style="95" customWidth="1"/>
    <col min="4105" max="4105" width="9.6640625" style="95" customWidth="1"/>
    <col min="4106" max="4106" width="8.6640625" style="95" customWidth="1"/>
    <col min="4107" max="4107" width="2.83203125" style="95" customWidth="1"/>
    <col min="4108" max="4108" width="9.5" style="95" customWidth="1"/>
    <col min="4109" max="4109" width="9.6640625" style="95" customWidth="1"/>
    <col min="4110" max="4110" width="3.6640625" style="95" customWidth="1"/>
    <col min="4111" max="4352" width="8.83203125" style="95"/>
    <col min="4353" max="4353" width="30.83203125" style="95" customWidth="1"/>
    <col min="4354" max="4354" width="2.5" style="95" customWidth="1"/>
    <col min="4355" max="4355" width="9.6640625" style="95" customWidth="1"/>
    <col min="4356" max="4356" width="8.6640625" style="95" customWidth="1"/>
    <col min="4357" max="4357" width="2.5" style="95" customWidth="1"/>
    <col min="4358" max="4358" width="9.6640625" style="95" customWidth="1"/>
    <col min="4359" max="4359" width="8.6640625" style="95" customWidth="1"/>
    <col min="4360" max="4360" width="2.6640625" style="95" customWidth="1"/>
    <col min="4361" max="4361" width="9.6640625" style="95" customWidth="1"/>
    <col min="4362" max="4362" width="8.6640625" style="95" customWidth="1"/>
    <col min="4363" max="4363" width="2.83203125" style="95" customWidth="1"/>
    <col min="4364" max="4364" width="9.5" style="95" customWidth="1"/>
    <col min="4365" max="4365" width="9.6640625" style="95" customWidth="1"/>
    <col min="4366" max="4366" width="3.6640625" style="95" customWidth="1"/>
    <col min="4367" max="4608" width="8.83203125" style="95"/>
    <col min="4609" max="4609" width="30.83203125" style="95" customWidth="1"/>
    <col min="4610" max="4610" width="2.5" style="95" customWidth="1"/>
    <col min="4611" max="4611" width="9.6640625" style="95" customWidth="1"/>
    <col min="4612" max="4612" width="8.6640625" style="95" customWidth="1"/>
    <col min="4613" max="4613" width="2.5" style="95" customWidth="1"/>
    <col min="4614" max="4614" width="9.6640625" style="95" customWidth="1"/>
    <col min="4615" max="4615" width="8.6640625" style="95" customWidth="1"/>
    <col min="4616" max="4616" width="2.6640625" style="95" customWidth="1"/>
    <col min="4617" max="4617" width="9.6640625" style="95" customWidth="1"/>
    <col min="4618" max="4618" width="8.6640625" style="95" customWidth="1"/>
    <col min="4619" max="4619" width="2.83203125" style="95" customWidth="1"/>
    <col min="4620" max="4620" width="9.5" style="95" customWidth="1"/>
    <col min="4621" max="4621" width="9.6640625" style="95" customWidth="1"/>
    <col min="4622" max="4622" width="3.6640625" style="95" customWidth="1"/>
    <col min="4623" max="4864" width="8.83203125" style="95"/>
    <col min="4865" max="4865" width="30.83203125" style="95" customWidth="1"/>
    <col min="4866" max="4866" width="2.5" style="95" customWidth="1"/>
    <col min="4867" max="4867" width="9.6640625" style="95" customWidth="1"/>
    <col min="4868" max="4868" width="8.6640625" style="95" customWidth="1"/>
    <col min="4869" max="4869" width="2.5" style="95" customWidth="1"/>
    <col min="4870" max="4870" width="9.6640625" style="95" customWidth="1"/>
    <col min="4871" max="4871" width="8.6640625" style="95" customWidth="1"/>
    <col min="4872" max="4872" width="2.6640625" style="95" customWidth="1"/>
    <col min="4873" max="4873" width="9.6640625" style="95" customWidth="1"/>
    <col min="4874" max="4874" width="8.6640625" style="95" customWidth="1"/>
    <col min="4875" max="4875" width="2.83203125" style="95" customWidth="1"/>
    <col min="4876" max="4876" width="9.5" style="95" customWidth="1"/>
    <col min="4877" max="4877" width="9.6640625" style="95" customWidth="1"/>
    <col min="4878" max="4878" width="3.6640625" style="95" customWidth="1"/>
    <col min="4879" max="5120" width="8.83203125" style="95"/>
    <col min="5121" max="5121" width="30.83203125" style="95" customWidth="1"/>
    <col min="5122" max="5122" width="2.5" style="95" customWidth="1"/>
    <col min="5123" max="5123" width="9.6640625" style="95" customWidth="1"/>
    <col min="5124" max="5124" width="8.6640625" style="95" customWidth="1"/>
    <col min="5125" max="5125" width="2.5" style="95" customWidth="1"/>
    <col min="5126" max="5126" width="9.6640625" style="95" customWidth="1"/>
    <col min="5127" max="5127" width="8.6640625" style="95" customWidth="1"/>
    <col min="5128" max="5128" width="2.6640625" style="95" customWidth="1"/>
    <col min="5129" max="5129" width="9.6640625" style="95" customWidth="1"/>
    <col min="5130" max="5130" width="8.6640625" style="95" customWidth="1"/>
    <col min="5131" max="5131" width="2.83203125" style="95" customWidth="1"/>
    <col min="5132" max="5132" width="9.5" style="95" customWidth="1"/>
    <col min="5133" max="5133" width="9.6640625" style="95" customWidth="1"/>
    <col min="5134" max="5134" width="3.6640625" style="95" customWidth="1"/>
    <col min="5135" max="5376" width="8.83203125" style="95"/>
    <col min="5377" max="5377" width="30.83203125" style="95" customWidth="1"/>
    <col min="5378" max="5378" width="2.5" style="95" customWidth="1"/>
    <col min="5379" max="5379" width="9.6640625" style="95" customWidth="1"/>
    <col min="5380" max="5380" width="8.6640625" style="95" customWidth="1"/>
    <col min="5381" max="5381" width="2.5" style="95" customWidth="1"/>
    <col min="5382" max="5382" width="9.6640625" style="95" customWidth="1"/>
    <col min="5383" max="5383" width="8.6640625" style="95" customWidth="1"/>
    <col min="5384" max="5384" width="2.6640625" style="95" customWidth="1"/>
    <col min="5385" max="5385" width="9.6640625" style="95" customWidth="1"/>
    <col min="5386" max="5386" width="8.6640625" style="95" customWidth="1"/>
    <col min="5387" max="5387" width="2.83203125" style="95" customWidth="1"/>
    <col min="5388" max="5388" width="9.5" style="95" customWidth="1"/>
    <col min="5389" max="5389" width="9.6640625" style="95" customWidth="1"/>
    <col min="5390" max="5390" width="3.6640625" style="95" customWidth="1"/>
    <col min="5391" max="5632" width="8.83203125" style="95"/>
    <col min="5633" max="5633" width="30.83203125" style="95" customWidth="1"/>
    <col min="5634" max="5634" width="2.5" style="95" customWidth="1"/>
    <col min="5635" max="5635" width="9.6640625" style="95" customWidth="1"/>
    <col min="5636" max="5636" width="8.6640625" style="95" customWidth="1"/>
    <col min="5637" max="5637" width="2.5" style="95" customWidth="1"/>
    <col min="5638" max="5638" width="9.6640625" style="95" customWidth="1"/>
    <col min="5639" max="5639" width="8.6640625" style="95" customWidth="1"/>
    <col min="5640" max="5640" width="2.6640625" style="95" customWidth="1"/>
    <col min="5641" max="5641" width="9.6640625" style="95" customWidth="1"/>
    <col min="5642" max="5642" width="8.6640625" style="95" customWidth="1"/>
    <col min="5643" max="5643" width="2.83203125" style="95" customWidth="1"/>
    <col min="5644" max="5644" width="9.5" style="95" customWidth="1"/>
    <col min="5645" max="5645" width="9.6640625" style="95" customWidth="1"/>
    <col min="5646" max="5646" width="3.6640625" style="95" customWidth="1"/>
    <col min="5647" max="5888" width="8.83203125" style="95"/>
    <col min="5889" max="5889" width="30.83203125" style="95" customWidth="1"/>
    <col min="5890" max="5890" width="2.5" style="95" customWidth="1"/>
    <col min="5891" max="5891" width="9.6640625" style="95" customWidth="1"/>
    <col min="5892" max="5892" width="8.6640625" style="95" customWidth="1"/>
    <col min="5893" max="5893" width="2.5" style="95" customWidth="1"/>
    <col min="5894" max="5894" width="9.6640625" style="95" customWidth="1"/>
    <col min="5895" max="5895" width="8.6640625" style="95" customWidth="1"/>
    <col min="5896" max="5896" width="2.6640625" style="95" customWidth="1"/>
    <col min="5897" max="5897" width="9.6640625" style="95" customWidth="1"/>
    <col min="5898" max="5898" width="8.6640625" style="95" customWidth="1"/>
    <col min="5899" max="5899" width="2.83203125" style="95" customWidth="1"/>
    <col min="5900" max="5900" width="9.5" style="95" customWidth="1"/>
    <col min="5901" max="5901" width="9.6640625" style="95" customWidth="1"/>
    <col min="5902" max="5902" width="3.6640625" style="95" customWidth="1"/>
    <col min="5903" max="6144" width="8.83203125" style="95"/>
    <col min="6145" max="6145" width="30.83203125" style="95" customWidth="1"/>
    <col min="6146" max="6146" width="2.5" style="95" customWidth="1"/>
    <col min="6147" max="6147" width="9.6640625" style="95" customWidth="1"/>
    <col min="6148" max="6148" width="8.6640625" style="95" customWidth="1"/>
    <col min="6149" max="6149" width="2.5" style="95" customWidth="1"/>
    <col min="6150" max="6150" width="9.6640625" style="95" customWidth="1"/>
    <col min="6151" max="6151" width="8.6640625" style="95" customWidth="1"/>
    <col min="6152" max="6152" width="2.6640625" style="95" customWidth="1"/>
    <col min="6153" max="6153" width="9.6640625" style="95" customWidth="1"/>
    <col min="6154" max="6154" width="8.6640625" style="95" customWidth="1"/>
    <col min="6155" max="6155" width="2.83203125" style="95" customWidth="1"/>
    <col min="6156" max="6156" width="9.5" style="95" customWidth="1"/>
    <col min="6157" max="6157" width="9.6640625" style="95" customWidth="1"/>
    <col min="6158" max="6158" width="3.6640625" style="95" customWidth="1"/>
    <col min="6159" max="6400" width="8.83203125" style="95"/>
    <col min="6401" max="6401" width="30.83203125" style="95" customWidth="1"/>
    <col min="6402" max="6402" width="2.5" style="95" customWidth="1"/>
    <col min="6403" max="6403" width="9.6640625" style="95" customWidth="1"/>
    <col min="6404" max="6404" width="8.6640625" style="95" customWidth="1"/>
    <col min="6405" max="6405" width="2.5" style="95" customWidth="1"/>
    <col min="6406" max="6406" width="9.6640625" style="95" customWidth="1"/>
    <col min="6407" max="6407" width="8.6640625" style="95" customWidth="1"/>
    <col min="6408" max="6408" width="2.6640625" style="95" customWidth="1"/>
    <col min="6409" max="6409" width="9.6640625" style="95" customWidth="1"/>
    <col min="6410" max="6410" width="8.6640625" style="95" customWidth="1"/>
    <col min="6411" max="6411" width="2.83203125" style="95" customWidth="1"/>
    <col min="6412" max="6412" width="9.5" style="95" customWidth="1"/>
    <col min="6413" max="6413" width="9.6640625" style="95" customWidth="1"/>
    <col min="6414" max="6414" width="3.6640625" style="95" customWidth="1"/>
    <col min="6415" max="6656" width="8.83203125" style="95"/>
    <col min="6657" max="6657" width="30.83203125" style="95" customWidth="1"/>
    <col min="6658" max="6658" width="2.5" style="95" customWidth="1"/>
    <col min="6659" max="6659" width="9.6640625" style="95" customWidth="1"/>
    <col min="6660" max="6660" width="8.6640625" style="95" customWidth="1"/>
    <col min="6661" max="6661" width="2.5" style="95" customWidth="1"/>
    <col min="6662" max="6662" width="9.6640625" style="95" customWidth="1"/>
    <col min="6663" max="6663" width="8.6640625" style="95" customWidth="1"/>
    <col min="6664" max="6664" width="2.6640625" style="95" customWidth="1"/>
    <col min="6665" max="6665" width="9.6640625" style="95" customWidth="1"/>
    <col min="6666" max="6666" width="8.6640625" style="95" customWidth="1"/>
    <col min="6667" max="6667" width="2.83203125" style="95" customWidth="1"/>
    <col min="6668" max="6668" width="9.5" style="95" customWidth="1"/>
    <col min="6669" max="6669" width="9.6640625" style="95" customWidth="1"/>
    <col min="6670" max="6670" width="3.6640625" style="95" customWidth="1"/>
    <col min="6671" max="6912" width="8.83203125" style="95"/>
    <col min="6913" max="6913" width="30.83203125" style="95" customWidth="1"/>
    <col min="6914" max="6914" width="2.5" style="95" customWidth="1"/>
    <col min="6915" max="6915" width="9.6640625" style="95" customWidth="1"/>
    <col min="6916" max="6916" width="8.6640625" style="95" customWidth="1"/>
    <col min="6917" max="6917" width="2.5" style="95" customWidth="1"/>
    <col min="6918" max="6918" width="9.6640625" style="95" customWidth="1"/>
    <col min="6919" max="6919" width="8.6640625" style="95" customWidth="1"/>
    <col min="6920" max="6920" width="2.6640625" style="95" customWidth="1"/>
    <col min="6921" max="6921" width="9.6640625" style="95" customWidth="1"/>
    <col min="6922" max="6922" width="8.6640625" style="95" customWidth="1"/>
    <col min="6923" max="6923" width="2.83203125" style="95" customWidth="1"/>
    <col min="6924" max="6924" width="9.5" style="95" customWidth="1"/>
    <col min="6925" max="6925" width="9.6640625" style="95" customWidth="1"/>
    <col min="6926" max="6926" width="3.6640625" style="95" customWidth="1"/>
    <col min="6927" max="7168" width="8.83203125" style="95"/>
    <col min="7169" max="7169" width="30.83203125" style="95" customWidth="1"/>
    <col min="7170" max="7170" width="2.5" style="95" customWidth="1"/>
    <col min="7171" max="7171" width="9.6640625" style="95" customWidth="1"/>
    <col min="7172" max="7172" width="8.6640625" style="95" customWidth="1"/>
    <col min="7173" max="7173" width="2.5" style="95" customWidth="1"/>
    <col min="7174" max="7174" width="9.6640625" style="95" customWidth="1"/>
    <col min="7175" max="7175" width="8.6640625" style="95" customWidth="1"/>
    <col min="7176" max="7176" width="2.6640625" style="95" customWidth="1"/>
    <col min="7177" max="7177" width="9.6640625" style="95" customWidth="1"/>
    <col min="7178" max="7178" width="8.6640625" style="95" customWidth="1"/>
    <col min="7179" max="7179" width="2.83203125" style="95" customWidth="1"/>
    <col min="7180" max="7180" width="9.5" style="95" customWidth="1"/>
    <col min="7181" max="7181" width="9.6640625" style="95" customWidth="1"/>
    <col min="7182" max="7182" width="3.6640625" style="95" customWidth="1"/>
    <col min="7183" max="7424" width="8.83203125" style="95"/>
    <col min="7425" max="7425" width="30.83203125" style="95" customWidth="1"/>
    <col min="7426" max="7426" width="2.5" style="95" customWidth="1"/>
    <col min="7427" max="7427" width="9.6640625" style="95" customWidth="1"/>
    <col min="7428" max="7428" width="8.6640625" style="95" customWidth="1"/>
    <col min="7429" max="7429" width="2.5" style="95" customWidth="1"/>
    <col min="7430" max="7430" width="9.6640625" style="95" customWidth="1"/>
    <col min="7431" max="7431" width="8.6640625" style="95" customWidth="1"/>
    <col min="7432" max="7432" width="2.6640625" style="95" customWidth="1"/>
    <col min="7433" max="7433" width="9.6640625" style="95" customWidth="1"/>
    <col min="7434" max="7434" width="8.6640625" style="95" customWidth="1"/>
    <col min="7435" max="7435" width="2.83203125" style="95" customWidth="1"/>
    <col min="7436" max="7436" width="9.5" style="95" customWidth="1"/>
    <col min="7437" max="7437" width="9.6640625" style="95" customWidth="1"/>
    <col min="7438" max="7438" width="3.6640625" style="95" customWidth="1"/>
    <col min="7439" max="7680" width="8.83203125" style="95"/>
    <col min="7681" max="7681" width="30.83203125" style="95" customWidth="1"/>
    <col min="7682" max="7682" width="2.5" style="95" customWidth="1"/>
    <col min="7683" max="7683" width="9.6640625" style="95" customWidth="1"/>
    <col min="7684" max="7684" width="8.6640625" style="95" customWidth="1"/>
    <col min="7685" max="7685" width="2.5" style="95" customWidth="1"/>
    <col min="7686" max="7686" width="9.6640625" style="95" customWidth="1"/>
    <col min="7687" max="7687" width="8.6640625" style="95" customWidth="1"/>
    <col min="7688" max="7688" width="2.6640625" style="95" customWidth="1"/>
    <col min="7689" max="7689" width="9.6640625" style="95" customWidth="1"/>
    <col min="7690" max="7690" width="8.6640625" style="95" customWidth="1"/>
    <col min="7691" max="7691" width="2.83203125" style="95" customWidth="1"/>
    <col min="7692" max="7692" width="9.5" style="95" customWidth="1"/>
    <col min="7693" max="7693" width="9.6640625" style="95" customWidth="1"/>
    <col min="7694" max="7694" width="3.6640625" style="95" customWidth="1"/>
    <col min="7695" max="7936" width="8.83203125" style="95"/>
    <col min="7937" max="7937" width="30.83203125" style="95" customWidth="1"/>
    <col min="7938" max="7938" width="2.5" style="95" customWidth="1"/>
    <col min="7939" max="7939" width="9.6640625" style="95" customWidth="1"/>
    <col min="7940" max="7940" width="8.6640625" style="95" customWidth="1"/>
    <col min="7941" max="7941" width="2.5" style="95" customWidth="1"/>
    <col min="7942" max="7942" width="9.6640625" style="95" customWidth="1"/>
    <col min="7943" max="7943" width="8.6640625" style="95" customWidth="1"/>
    <col min="7944" max="7944" width="2.6640625" style="95" customWidth="1"/>
    <col min="7945" max="7945" width="9.6640625" style="95" customWidth="1"/>
    <col min="7946" max="7946" width="8.6640625" style="95" customWidth="1"/>
    <col min="7947" max="7947" width="2.83203125" style="95" customWidth="1"/>
    <col min="7948" max="7948" width="9.5" style="95" customWidth="1"/>
    <col min="7949" max="7949" width="9.6640625" style="95" customWidth="1"/>
    <col min="7950" max="7950" width="3.6640625" style="95" customWidth="1"/>
    <col min="7951" max="8192" width="8.83203125" style="95"/>
    <col min="8193" max="8193" width="30.83203125" style="95" customWidth="1"/>
    <col min="8194" max="8194" width="2.5" style="95" customWidth="1"/>
    <col min="8195" max="8195" width="9.6640625" style="95" customWidth="1"/>
    <col min="8196" max="8196" width="8.6640625" style="95" customWidth="1"/>
    <col min="8197" max="8197" width="2.5" style="95" customWidth="1"/>
    <col min="8198" max="8198" width="9.6640625" style="95" customWidth="1"/>
    <col min="8199" max="8199" width="8.6640625" style="95" customWidth="1"/>
    <col min="8200" max="8200" width="2.6640625" style="95" customWidth="1"/>
    <col min="8201" max="8201" width="9.6640625" style="95" customWidth="1"/>
    <col min="8202" max="8202" width="8.6640625" style="95" customWidth="1"/>
    <col min="8203" max="8203" width="2.83203125" style="95" customWidth="1"/>
    <col min="8204" max="8204" width="9.5" style="95" customWidth="1"/>
    <col min="8205" max="8205" width="9.6640625" style="95" customWidth="1"/>
    <col min="8206" max="8206" width="3.6640625" style="95" customWidth="1"/>
    <col min="8207" max="8448" width="8.83203125" style="95"/>
    <col min="8449" max="8449" width="30.83203125" style="95" customWidth="1"/>
    <col min="8450" max="8450" width="2.5" style="95" customWidth="1"/>
    <col min="8451" max="8451" width="9.6640625" style="95" customWidth="1"/>
    <col min="8452" max="8452" width="8.6640625" style="95" customWidth="1"/>
    <col min="8453" max="8453" width="2.5" style="95" customWidth="1"/>
    <col min="8454" max="8454" width="9.6640625" style="95" customWidth="1"/>
    <col min="8455" max="8455" width="8.6640625" style="95" customWidth="1"/>
    <col min="8456" max="8456" width="2.6640625" style="95" customWidth="1"/>
    <col min="8457" max="8457" width="9.6640625" style="95" customWidth="1"/>
    <col min="8458" max="8458" width="8.6640625" style="95" customWidth="1"/>
    <col min="8459" max="8459" width="2.83203125" style="95" customWidth="1"/>
    <col min="8460" max="8460" width="9.5" style="95" customWidth="1"/>
    <col min="8461" max="8461" width="9.6640625" style="95" customWidth="1"/>
    <col min="8462" max="8462" width="3.6640625" style="95" customWidth="1"/>
    <col min="8463" max="8704" width="8.83203125" style="95"/>
    <col min="8705" max="8705" width="30.83203125" style="95" customWidth="1"/>
    <col min="8706" max="8706" width="2.5" style="95" customWidth="1"/>
    <col min="8707" max="8707" width="9.6640625" style="95" customWidth="1"/>
    <col min="8708" max="8708" width="8.6640625" style="95" customWidth="1"/>
    <col min="8709" max="8709" width="2.5" style="95" customWidth="1"/>
    <col min="8710" max="8710" width="9.6640625" style="95" customWidth="1"/>
    <col min="8711" max="8711" width="8.6640625" style="95" customWidth="1"/>
    <col min="8712" max="8712" width="2.6640625" style="95" customWidth="1"/>
    <col min="8713" max="8713" width="9.6640625" style="95" customWidth="1"/>
    <col min="8714" max="8714" width="8.6640625" style="95" customWidth="1"/>
    <col min="8715" max="8715" width="2.83203125" style="95" customWidth="1"/>
    <col min="8716" max="8716" width="9.5" style="95" customWidth="1"/>
    <col min="8717" max="8717" width="9.6640625" style="95" customWidth="1"/>
    <col min="8718" max="8718" width="3.6640625" style="95" customWidth="1"/>
    <col min="8719" max="8960" width="8.83203125" style="95"/>
    <col min="8961" max="8961" width="30.83203125" style="95" customWidth="1"/>
    <col min="8962" max="8962" width="2.5" style="95" customWidth="1"/>
    <col min="8963" max="8963" width="9.6640625" style="95" customWidth="1"/>
    <col min="8964" max="8964" width="8.6640625" style="95" customWidth="1"/>
    <col min="8965" max="8965" width="2.5" style="95" customWidth="1"/>
    <col min="8966" max="8966" width="9.6640625" style="95" customWidth="1"/>
    <col min="8967" max="8967" width="8.6640625" style="95" customWidth="1"/>
    <col min="8968" max="8968" width="2.6640625" style="95" customWidth="1"/>
    <col min="8969" max="8969" width="9.6640625" style="95" customWidth="1"/>
    <col min="8970" max="8970" width="8.6640625" style="95" customWidth="1"/>
    <col min="8971" max="8971" width="2.83203125" style="95" customWidth="1"/>
    <col min="8972" max="8972" width="9.5" style="95" customWidth="1"/>
    <col min="8973" max="8973" width="9.6640625" style="95" customWidth="1"/>
    <col min="8974" max="8974" width="3.6640625" style="95" customWidth="1"/>
    <col min="8975" max="9216" width="8.83203125" style="95"/>
    <col min="9217" max="9217" width="30.83203125" style="95" customWidth="1"/>
    <col min="9218" max="9218" width="2.5" style="95" customWidth="1"/>
    <col min="9219" max="9219" width="9.6640625" style="95" customWidth="1"/>
    <col min="9220" max="9220" width="8.6640625" style="95" customWidth="1"/>
    <col min="9221" max="9221" width="2.5" style="95" customWidth="1"/>
    <col min="9222" max="9222" width="9.6640625" style="95" customWidth="1"/>
    <col min="9223" max="9223" width="8.6640625" style="95" customWidth="1"/>
    <col min="9224" max="9224" width="2.6640625" style="95" customWidth="1"/>
    <col min="9225" max="9225" width="9.6640625" style="95" customWidth="1"/>
    <col min="9226" max="9226" width="8.6640625" style="95" customWidth="1"/>
    <col min="9227" max="9227" width="2.83203125" style="95" customWidth="1"/>
    <col min="9228" max="9228" width="9.5" style="95" customWidth="1"/>
    <col min="9229" max="9229" width="9.6640625" style="95" customWidth="1"/>
    <col min="9230" max="9230" width="3.6640625" style="95" customWidth="1"/>
    <col min="9231" max="9472" width="8.83203125" style="95"/>
    <col min="9473" max="9473" width="30.83203125" style="95" customWidth="1"/>
    <col min="9474" max="9474" width="2.5" style="95" customWidth="1"/>
    <col min="9475" max="9475" width="9.6640625" style="95" customWidth="1"/>
    <col min="9476" max="9476" width="8.6640625" style="95" customWidth="1"/>
    <col min="9477" max="9477" width="2.5" style="95" customWidth="1"/>
    <col min="9478" max="9478" width="9.6640625" style="95" customWidth="1"/>
    <col min="9479" max="9479" width="8.6640625" style="95" customWidth="1"/>
    <col min="9480" max="9480" width="2.6640625" style="95" customWidth="1"/>
    <col min="9481" max="9481" width="9.6640625" style="95" customWidth="1"/>
    <col min="9482" max="9482" width="8.6640625" style="95" customWidth="1"/>
    <col min="9483" max="9483" width="2.83203125" style="95" customWidth="1"/>
    <col min="9484" max="9484" width="9.5" style="95" customWidth="1"/>
    <col min="9485" max="9485" width="9.6640625" style="95" customWidth="1"/>
    <col min="9486" max="9486" width="3.6640625" style="95" customWidth="1"/>
    <col min="9487" max="9728" width="8.83203125" style="95"/>
    <col min="9729" max="9729" width="30.83203125" style="95" customWidth="1"/>
    <col min="9730" max="9730" width="2.5" style="95" customWidth="1"/>
    <col min="9731" max="9731" width="9.6640625" style="95" customWidth="1"/>
    <col min="9732" max="9732" width="8.6640625" style="95" customWidth="1"/>
    <col min="9733" max="9733" width="2.5" style="95" customWidth="1"/>
    <col min="9734" max="9734" width="9.6640625" style="95" customWidth="1"/>
    <col min="9735" max="9735" width="8.6640625" style="95" customWidth="1"/>
    <col min="9736" max="9736" width="2.6640625" style="95" customWidth="1"/>
    <col min="9737" max="9737" width="9.6640625" style="95" customWidth="1"/>
    <col min="9738" max="9738" width="8.6640625" style="95" customWidth="1"/>
    <col min="9739" max="9739" width="2.83203125" style="95" customWidth="1"/>
    <col min="9740" max="9740" width="9.5" style="95" customWidth="1"/>
    <col min="9741" max="9741" width="9.6640625" style="95" customWidth="1"/>
    <col min="9742" max="9742" width="3.6640625" style="95" customWidth="1"/>
    <col min="9743" max="9984" width="8.83203125" style="95"/>
    <col min="9985" max="9985" width="30.83203125" style="95" customWidth="1"/>
    <col min="9986" max="9986" width="2.5" style="95" customWidth="1"/>
    <col min="9987" max="9987" width="9.6640625" style="95" customWidth="1"/>
    <col min="9988" max="9988" width="8.6640625" style="95" customWidth="1"/>
    <col min="9989" max="9989" width="2.5" style="95" customWidth="1"/>
    <col min="9990" max="9990" width="9.6640625" style="95" customWidth="1"/>
    <col min="9991" max="9991" width="8.6640625" style="95" customWidth="1"/>
    <col min="9992" max="9992" width="2.6640625" style="95" customWidth="1"/>
    <col min="9993" max="9993" width="9.6640625" style="95" customWidth="1"/>
    <col min="9994" max="9994" width="8.6640625" style="95" customWidth="1"/>
    <col min="9995" max="9995" width="2.83203125" style="95" customWidth="1"/>
    <col min="9996" max="9996" width="9.5" style="95" customWidth="1"/>
    <col min="9997" max="9997" width="9.6640625" style="95" customWidth="1"/>
    <col min="9998" max="9998" width="3.6640625" style="95" customWidth="1"/>
    <col min="9999" max="10240" width="8.83203125" style="95"/>
    <col min="10241" max="10241" width="30.83203125" style="95" customWidth="1"/>
    <col min="10242" max="10242" width="2.5" style="95" customWidth="1"/>
    <col min="10243" max="10243" width="9.6640625" style="95" customWidth="1"/>
    <col min="10244" max="10244" width="8.6640625" style="95" customWidth="1"/>
    <col min="10245" max="10245" width="2.5" style="95" customWidth="1"/>
    <col min="10246" max="10246" width="9.6640625" style="95" customWidth="1"/>
    <col min="10247" max="10247" width="8.6640625" style="95" customWidth="1"/>
    <col min="10248" max="10248" width="2.6640625" style="95" customWidth="1"/>
    <col min="10249" max="10249" width="9.6640625" style="95" customWidth="1"/>
    <col min="10250" max="10250" width="8.6640625" style="95" customWidth="1"/>
    <col min="10251" max="10251" width="2.83203125" style="95" customWidth="1"/>
    <col min="10252" max="10252" width="9.5" style="95" customWidth="1"/>
    <col min="10253" max="10253" width="9.6640625" style="95" customWidth="1"/>
    <col min="10254" max="10254" width="3.6640625" style="95" customWidth="1"/>
    <col min="10255" max="10496" width="8.83203125" style="95"/>
    <col min="10497" max="10497" width="30.83203125" style="95" customWidth="1"/>
    <col min="10498" max="10498" width="2.5" style="95" customWidth="1"/>
    <col min="10499" max="10499" width="9.6640625" style="95" customWidth="1"/>
    <col min="10500" max="10500" width="8.6640625" style="95" customWidth="1"/>
    <col min="10501" max="10501" width="2.5" style="95" customWidth="1"/>
    <col min="10502" max="10502" width="9.6640625" style="95" customWidth="1"/>
    <col min="10503" max="10503" width="8.6640625" style="95" customWidth="1"/>
    <col min="10504" max="10504" width="2.6640625" style="95" customWidth="1"/>
    <col min="10505" max="10505" width="9.6640625" style="95" customWidth="1"/>
    <col min="10506" max="10506" width="8.6640625" style="95" customWidth="1"/>
    <col min="10507" max="10507" width="2.83203125" style="95" customWidth="1"/>
    <col min="10508" max="10508" width="9.5" style="95" customWidth="1"/>
    <col min="10509" max="10509" width="9.6640625" style="95" customWidth="1"/>
    <col min="10510" max="10510" width="3.6640625" style="95" customWidth="1"/>
    <col min="10511" max="10752" width="8.83203125" style="95"/>
    <col min="10753" max="10753" width="30.83203125" style="95" customWidth="1"/>
    <col min="10754" max="10754" width="2.5" style="95" customWidth="1"/>
    <col min="10755" max="10755" width="9.6640625" style="95" customWidth="1"/>
    <col min="10756" max="10756" width="8.6640625" style="95" customWidth="1"/>
    <col min="10757" max="10757" width="2.5" style="95" customWidth="1"/>
    <col min="10758" max="10758" width="9.6640625" style="95" customWidth="1"/>
    <col min="10759" max="10759" width="8.6640625" style="95" customWidth="1"/>
    <col min="10760" max="10760" width="2.6640625" style="95" customWidth="1"/>
    <col min="10761" max="10761" width="9.6640625" style="95" customWidth="1"/>
    <col min="10762" max="10762" width="8.6640625" style="95" customWidth="1"/>
    <col min="10763" max="10763" width="2.83203125" style="95" customWidth="1"/>
    <col min="10764" max="10764" width="9.5" style="95" customWidth="1"/>
    <col min="10765" max="10765" width="9.6640625" style="95" customWidth="1"/>
    <col min="10766" max="10766" width="3.6640625" style="95" customWidth="1"/>
    <col min="10767" max="11008" width="8.83203125" style="95"/>
    <col min="11009" max="11009" width="30.83203125" style="95" customWidth="1"/>
    <col min="11010" max="11010" width="2.5" style="95" customWidth="1"/>
    <col min="11011" max="11011" width="9.6640625" style="95" customWidth="1"/>
    <col min="11012" max="11012" width="8.6640625" style="95" customWidth="1"/>
    <col min="11013" max="11013" width="2.5" style="95" customWidth="1"/>
    <col min="11014" max="11014" width="9.6640625" style="95" customWidth="1"/>
    <col min="11015" max="11015" width="8.6640625" style="95" customWidth="1"/>
    <col min="11016" max="11016" width="2.6640625" style="95" customWidth="1"/>
    <col min="11017" max="11017" width="9.6640625" style="95" customWidth="1"/>
    <col min="11018" max="11018" width="8.6640625" style="95" customWidth="1"/>
    <col min="11019" max="11019" width="2.83203125" style="95" customWidth="1"/>
    <col min="11020" max="11020" width="9.5" style="95" customWidth="1"/>
    <col min="11021" max="11021" width="9.6640625" style="95" customWidth="1"/>
    <col min="11022" max="11022" width="3.6640625" style="95" customWidth="1"/>
    <col min="11023" max="11264" width="8.83203125" style="95"/>
    <col min="11265" max="11265" width="30.83203125" style="95" customWidth="1"/>
    <col min="11266" max="11266" width="2.5" style="95" customWidth="1"/>
    <col min="11267" max="11267" width="9.6640625" style="95" customWidth="1"/>
    <col min="11268" max="11268" width="8.6640625" style="95" customWidth="1"/>
    <col min="11269" max="11269" width="2.5" style="95" customWidth="1"/>
    <col min="11270" max="11270" width="9.6640625" style="95" customWidth="1"/>
    <col min="11271" max="11271" width="8.6640625" style="95" customWidth="1"/>
    <col min="11272" max="11272" width="2.6640625" style="95" customWidth="1"/>
    <col min="11273" max="11273" width="9.6640625" style="95" customWidth="1"/>
    <col min="11274" max="11274" width="8.6640625" style="95" customWidth="1"/>
    <col min="11275" max="11275" width="2.83203125" style="95" customWidth="1"/>
    <col min="11276" max="11276" width="9.5" style="95" customWidth="1"/>
    <col min="11277" max="11277" width="9.6640625" style="95" customWidth="1"/>
    <col min="11278" max="11278" width="3.6640625" style="95" customWidth="1"/>
    <col min="11279" max="11520" width="8.83203125" style="95"/>
    <col min="11521" max="11521" width="30.83203125" style="95" customWidth="1"/>
    <col min="11522" max="11522" width="2.5" style="95" customWidth="1"/>
    <col min="11523" max="11523" width="9.6640625" style="95" customWidth="1"/>
    <col min="11524" max="11524" width="8.6640625" style="95" customWidth="1"/>
    <col min="11525" max="11525" width="2.5" style="95" customWidth="1"/>
    <col min="11526" max="11526" width="9.6640625" style="95" customWidth="1"/>
    <col min="11527" max="11527" width="8.6640625" style="95" customWidth="1"/>
    <col min="11528" max="11528" width="2.6640625" style="95" customWidth="1"/>
    <col min="11529" max="11529" width="9.6640625" style="95" customWidth="1"/>
    <col min="11530" max="11530" width="8.6640625" style="95" customWidth="1"/>
    <col min="11531" max="11531" width="2.83203125" style="95" customWidth="1"/>
    <col min="11532" max="11532" width="9.5" style="95" customWidth="1"/>
    <col min="11533" max="11533" width="9.6640625" style="95" customWidth="1"/>
    <col min="11534" max="11534" width="3.6640625" style="95" customWidth="1"/>
    <col min="11535" max="11776" width="8.83203125" style="95"/>
    <col min="11777" max="11777" width="30.83203125" style="95" customWidth="1"/>
    <col min="11778" max="11778" width="2.5" style="95" customWidth="1"/>
    <col min="11779" max="11779" width="9.6640625" style="95" customWidth="1"/>
    <col min="11780" max="11780" width="8.6640625" style="95" customWidth="1"/>
    <col min="11781" max="11781" width="2.5" style="95" customWidth="1"/>
    <col min="11782" max="11782" width="9.6640625" style="95" customWidth="1"/>
    <col min="11783" max="11783" width="8.6640625" style="95" customWidth="1"/>
    <col min="11784" max="11784" width="2.6640625" style="95" customWidth="1"/>
    <col min="11785" max="11785" width="9.6640625" style="95" customWidth="1"/>
    <col min="11786" max="11786" width="8.6640625" style="95" customWidth="1"/>
    <col min="11787" max="11787" width="2.83203125" style="95" customWidth="1"/>
    <col min="11788" max="11788" width="9.5" style="95" customWidth="1"/>
    <col min="11789" max="11789" width="9.6640625" style="95" customWidth="1"/>
    <col min="11790" max="11790" width="3.6640625" style="95" customWidth="1"/>
    <col min="11791" max="12032" width="8.83203125" style="95"/>
    <col min="12033" max="12033" width="30.83203125" style="95" customWidth="1"/>
    <col min="12034" max="12034" width="2.5" style="95" customWidth="1"/>
    <col min="12035" max="12035" width="9.6640625" style="95" customWidth="1"/>
    <col min="12036" max="12036" width="8.6640625" style="95" customWidth="1"/>
    <col min="12037" max="12037" width="2.5" style="95" customWidth="1"/>
    <col min="12038" max="12038" width="9.6640625" style="95" customWidth="1"/>
    <col min="12039" max="12039" width="8.6640625" style="95" customWidth="1"/>
    <col min="12040" max="12040" width="2.6640625" style="95" customWidth="1"/>
    <col min="12041" max="12041" width="9.6640625" style="95" customWidth="1"/>
    <col min="12042" max="12042" width="8.6640625" style="95" customWidth="1"/>
    <col min="12043" max="12043" width="2.83203125" style="95" customWidth="1"/>
    <col min="12044" max="12044" width="9.5" style="95" customWidth="1"/>
    <col min="12045" max="12045" width="9.6640625" style="95" customWidth="1"/>
    <col min="12046" max="12046" width="3.6640625" style="95" customWidth="1"/>
    <col min="12047" max="12288" width="8.83203125" style="95"/>
    <col min="12289" max="12289" width="30.83203125" style="95" customWidth="1"/>
    <col min="12290" max="12290" width="2.5" style="95" customWidth="1"/>
    <col min="12291" max="12291" width="9.6640625" style="95" customWidth="1"/>
    <col min="12292" max="12292" width="8.6640625" style="95" customWidth="1"/>
    <col min="12293" max="12293" width="2.5" style="95" customWidth="1"/>
    <col min="12294" max="12294" width="9.6640625" style="95" customWidth="1"/>
    <col min="12295" max="12295" width="8.6640625" style="95" customWidth="1"/>
    <col min="12296" max="12296" width="2.6640625" style="95" customWidth="1"/>
    <col min="12297" max="12297" width="9.6640625" style="95" customWidth="1"/>
    <col min="12298" max="12298" width="8.6640625" style="95" customWidth="1"/>
    <col min="12299" max="12299" width="2.83203125" style="95" customWidth="1"/>
    <col min="12300" max="12300" width="9.5" style="95" customWidth="1"/>
    <col min="12301" max="12301" width="9.6640625" style="95" customWidth="1"/>
    <col min="12302" max="12302" width="3.6640625" style="95" customWidth="1"/>
    <col min="12303" max="12544" width="8.83203125" style="95"/>
    <col min="12545" max="12545" width="30.83203125" style="95" customWidth="1"/>
    <col min="12546" max="12546" width="2.5" style="95" customWidth="1"/>
    <col min="12547" max="12547" width="9.6640625" style="95" customWidth="1"/>
    <col min="12548" max="12548" width="8.6640625" style="95" customWidth="1"/>
    <col min="12549" max="12549" width="2.5" style="95" customWidth="1"/>
    <col min="12550" max="12550" width="9.6640625" style="95" customWidth="1"/>
    <col min="12551" max="12551" width="8.6640625" style="95" customWidth="1"/>
    <col min="12552" max="12552" width="2.6640625" style="95" customWidth="1"/>
    <col min="12553" max="12553" width="9.6640625" style="95" customWidth="1"/>
    <col min="12554" max="12554" width="8.6640625" style="95" customWidth="1"/>
    <col min="12555" max="12555" width="2.83203125" style="95" customWidth="1"/>
    <col min="12556" max="12556" width="9.5" style="95" customWidth="1"/>
    <col min="12557" max="12557" width="9.6640625" style="95" customWidth="1"/>
    <col min="12558" max="12558" width="3.6640625" style="95" customWidth="1"/>
    <col min="12559" max="12800" width="8.83203125" style="95"/>
    <col min="12801" max="12801" width="30.83203125" style="95" customWidth="1"/>
    <col min="12802" max="12802" width="2.5" style="95" customWidth="1"/>
    <col min="12803" max="12803" width="9.6640625" style="95" customWidth="1"/>
    <col min="12804" max="12804" width="8.6640625" style="95" customWidth="1"/>
    <col min="12805" max="12805" width="2.5" style="95" customWidth="1"/>
    <col min="12806" max="12806" width="9.6640625" style="95" customWidth="1"/>
    <col min="12807" max="12807" width="8.6640625" style="95" customWidth="1"/>
    <col min="12808" max="12808" width="2.6640625" style="95" customWidth="1"/>
    <col min="12809" max="12809" width="9.6640625" style="95" customWidth="1"/>
    <col min="12810" max="12810" width="8.6640625" style="95" customWidth="1"/>
    <col min="12811" max="12811" width="2.83203125" style="95" customWidth="1"/>
    <col min="12812" max="12812" width="9.5" style="95" customWidth="1"/>
    <col min="12813" max="12813" width="9.6640625" style="95" customWidth="1"/>
    <col min="12814" max="12814" width="3.6640625" style="95" customWidth="1"/>
    <col min="12815" max="13056" width="8.83203125" style="95"/>
    <col min="13057" max="13057" width="30.83203125" style="95" customWidth="1"/>
    <col min="13058" max="13058" width="2.5" style="95" customWidth="1"/>
    <col min="13059" max="13059" width="9.6640625" style="95" customWidth="1"/>
    <col min="13060" max="13060" width="8.6640625" style="95" customWidth="1"/>
    <col min="13061" max="13061" width="2.5" style="95" customWidth="1"/>
    <col min="13062" max="13062" width="9.6640625" style="95" customWidth="1"/>
    <col min="13063" max="13063" width="8.6640625" style="95" customWidth="1"/>
    <col min="13064" max="13064" width="2.6640625" style="95" customWidth="1"/>
    <col min="13065" max="13065" width="9.6640625" style="95" customWidth="1"/>
    <col min="13066" max="13066" width="8.6640625" style="95" customWidth="1"/>
    <col min="13067" max="13067" width="2.83203125" style="95" customWidth="1"/>
    <col min="13068" max="13068" width="9.5" style="95" customWidth="1"/>
    <col min="13069" max="13069" width="9.6640625" style="95" customWidth="1"/>
    <col min="13070" max="13070" width="3.6640625" style="95" customWidth="1"/>
    <col min="13071" max="13312" width="8.83203125" style="95"/>
    <col min="13313" max="13313" width="30.83203125" style="95" customWidth="1"/>
    <col min="13314" max="13314" width="2.5" style="95" customWidth="1"/>
    <col min="13315" max="13315" width="9.6640625" style="95" customWidth="1"/>
    <col min="13316" max="13316" width="8.6640625" style="95" customWidth="1"/>
    <col min="13317" max="13317" width="2.5" style="95" customWidth="1"/>
    <col min="13318" max="13318" width="9.6640625" style="95" customWidth="1"/>
    <col min="13319" max="13319" width="8.6640625" style="95" customWidth="1"/>
    <col min="13320" max="13320" width="2.6640625" style="95" customWidth="1"/>
    <col min="13321" max="13321" width="9.6640625" style="95" customWidth="1"/>
    <col min="13322" max="13322" width="8.6640625" style="95" customWidth="1"/>
    <col min="13323" max="13323" width="2.83203125" style="95" customWidth="1"/>
    <col min="13324" max="13324" width="9.5" style="95" customWidth="1"/>
    <col min="13325" max="13325" width="9.6640625" style="95" customWidth="1"/>
    <col min="13326" max="13326" width="3.6640625" style="95" customWidth="1"/>
    <col min="13327" max="13568" width="8.83203125" style="95"/>
    <col min="13569" max="13569" width="30.83203125" style="95" customWidth="1"/>
    <col min="13570" max="13570" width="2.5" style="95" customWidth="1"/>
    <col min="13571" max="13571" width="9.6640625" style="95" customWidth="1"/>
    <col min="13572" max="13572" width="8.6640625" style="95" customWidth="1"/>
    <col min="13573" max="13573" width="2.5" style="95" customWidth="1"/>
    <col min="13574" max="13574" width="9.6640625" style="95" customWidth="1"/>
    <col min="13575" max="13575" width="8.6640625" style="95" customWidth="1"/>
    <col min="13576" max="13576" width="2.6640625" style="95" customWidth="1"/>
    <col min="13577" max="13577" width="9.6640625" style="95" customWidth="1"/>
    <col min="13578" max="13578" width="8.6640625" style="95" customWidth="1"/>
    <col min="13579" max="13579" width="2.83203125" style="95" customWidth="1"/>
    <col min="13580" max="13580" width="9.5" style="95" customWidth="1"/>
    <col min="13581" max="13581" width="9.6640625" style="95" customWidth="1"/>
    <col min="13582" max="13582" width="3.6640625" style="95" customWidth="1"/>
    <col min="13583" max="13824" width="8.83203125" style="95"/>
    <col min="13825" max="13825" width="30.83203125" style="95" customWidth="1"/>
    <col min="13826" max="13826" width="2.5" style="95" customWidth="1"/>
    <col min="13827" max="13827" width="9.6640625" style="95" customWidth="1"/>
    <col min="13828" max="13828" width="8.6640625" style="95" customWidth="1"/>
    <col min="13829" max="13829" width="2.5" style="95" customWidth="1"/>
    <col min="13830" max="13830" width="9.6640625" style="95" customWidth="1"/>
    <col min="13831" max="13831" width="8.6640625" style="95" customWidth="1"/>
    <col min="13832" max="13832" width="2.6640625" style="95" customWidth="1"/>
    <col min="13833" max="13833" width="9.6640625" style="95" customWidth="1"/>
    <col min="13834" max="13834" width="8.6640625" style="95" customWidth="1"/>
    <col min="13835" max="13835" width="2.83203125" style="95" customWidth="1"/>
    <col min="13836" max="13836" width="9.5" style="95" customWidth="1"/>
    <col min="13837" max="13837" width="9.6640625" style="95" customWidth="1"/>
    <col min="13838" max="13838" width="3.6640625" style="95" customWidth="1"/>
    <col min="13839" max="14080" width="8.83203125" style="95"/>
    <col min="14081" max="14081" width="30.83203125" style="95" customWidth="1"/>
    <col min="14082" max="14082" width="2.5" style="95" customWidth="1"/>
    <col min="14083" max="14083" width="9.6640625" style="95" customWidth="1"/>
    <col min="14084" max="14084" width="8.6640625" style="95" customWidth="1"/>
    <col min="14085" max="14085" width="2.5" style="95" customWidth="1"/>
    <col min="14086" max="14086" width="9.6640625" style="95" customWidth="1"/>
    <col min="14087" max="14087" width="8.6640625" style="95" customWidth="1"/>
    <col min="14088" max="14088" width="2.6640625" style="95" customWidth="1"/>
    <col min="14089" max="14089" width="9.6640625" style="95" customWidth="1"/>
    <col min="14090" max="14090" width="8.6640625" style="95" customWidth="1"/>
    <col min="14091" max="14091" width="2.83203125" style="95" customWidth="1"/>
    <col min="14092" max="14092" width="9.5" style="95" customWidth="1"/>
    <col min="14093" max="14093" width="9.6640625" style="95" customWidth="1"/>
    <col min="14094" max="14094" width="3.6640625" style="95" customWidth="1"/>
    <col min="14095" max="14336" width="8.83203125" style="95"/>
    <col min="14337" max="14337" width="30.83203125" style="95" customWidth="1"/>
    <col min="14338" max="14338" width="2.5" style="95" customWidth="1"/>
    <col min="14339" max="14339" width="9.6640625" style="95" customWidth="1"/>
    <col min="14340" max="14340" width="8.6640625" style="95" customWidth="1"/>
    <col min="14341" max="14341" width="2.5" style="95" customWidth="1"/>
    <col min="14342" max="14342" width="9.6640625" style="95" customWidth="1"/>
    <col min="14343" max="14343" width="8.6640625" style="95" customWidth="1"/>
    <col min="14344" max="14344" width="2.6640625" style="95" customWidth="1"/>
    <col min="14345" max="14345" width="9.6640625" style="95" customWidth="1"/>
    <col min="14346" max="14346" width="8.6640625" style="95" customWidth="1"/>
    <col min="14347" max="14347" width="2.83203125" style="95" customWidth="1"/>
    <col min="14348" max="14348" width="9.5" style="95" customWidth="1"/>
    <col min="14349" max="14349" width="9.6640625" style="95" customWidth="1"/>
    <col min="14350" max="14350" width="3.6640625" style="95" customWidth="1"/>
    <col min="14351" max="14592" width="8.83203125" style="95"/>
    <col min="14593" max="14593" width="30.83203125" style="95" customWidth="1"/>
    <col min="14594" max="14594" width="2.5" style="95" customWidth="1"/>
    <col min="14595" max="14595" width="9.6640625" style="95" customWidth="1"/>
    <col min="14596" max="14596" width="8.6640625" style="95" customWidth="1"/>
    <col min="14597" max="14597" width="2.5" style="95" customWidth="1"/>
    <col min="14598" max="14598" width="9.6640625" style="95" customWidth="1"/>
    <col min="14599" max="14599" width="8.6640625" style="95" customWidth="1"/>
    <col min="14600" max="14600" width="2.6640625" style="95" customWidth="1"/>
    <col min="14601" max="14601" width="9.6640625" style="95" customWidth="1"/>
    <col min="14602" max="14602" width="8.6640625" style="95" customWidth="1"/>
    <col min="14603" max="14603" width="2.83203125" style="95" customWidth="1"/>
    <col min="14604" max="14604" width="9.5" style="95" customWidth="1"/>
    <col min="14605" max="14605" width="9.6640625" style="95" customWidth="1"/>
    <col min="14606" max="14606" width="3.6640625" style="95" customWidth="1"/>
    <col min="14607" max="14848" width="8.83203125" style="95"/>
    <col min="14849" max="14849" width="30.83203125" style="95" customWidth="1"/>
    <col min="14850" max="14850" width="2.5" style="95" customWidth="1"/>
    <col min="14851" max="14851" width="9.6640625" style="95" customWidth="1"/>
    <col min="14852" max="14852" width="8.6640625" style="95" customWidth="1"/>
    <col min="14853" max="14853" width="2.5" style="95" customWidth="1"/>
    <col min="14854" max="14854" width="9.6640625" style="95" customWidth="1"/>
    <col min="14855" max="14855" width="8.6640625" style="95" customWidth="1"/>
    <col min="14856" max="14856" width="2.6640625" style="95" customWidth="1"/>
    <col min="14857" max="14857" width="9.6640625" style="95" customWidth="1"/>
    <col min="14858" max="14858" width="8.6640625" style="95" customWidth="1"/>
    <col min="14859" max="14859" width="2.83203125" style="95" customWidth="1"/>
    <col min="14860" max="14860" width="9.5" style="95" customWidth="1"/>
    <col min="14861" max="14861" width="9.6640625" style="95" customWidth="1"/>
    <col min="14862" max="14862" width="3.6640625" style="95" customWidth="1"/>
    <col min="14863" max="15104" width="8.83203125" style="95"/>
    <col min="15105" max="15105" width="30.83203125" style="95" customWidth="1"/>
    <col min="15106" max="15106" width="2.5" style="95" customWidth="1"/>
    <col min="15107" max="15107" width="9.6640625" style="95" customWidth="1"/>
    <col min="15108" max="15108" width="8.6640625" style="95" customWidth="1"/>
    <col min="15109" max="15109" width="2.5" style="95" customWidth="1"/>
    <col min="15110" max="15110" width="9.6640625" style="95" customWidth="1"/>
    <col min="15111" max="15111" width="8.6640625" style="95" customWidth="1"/>
    <col min="15112" max="15112" width="2.6640625" style="95" customWidth="1"/>
    <col min="15113" max="15113" width="9.6640625" style="95" customWidth="1"/>
    <col min="15114" max="15114" width="8.6640625" style="95" customWidth="1"/>
    <col min="15115" max="15115" width="2.83203125" style="95" customWidth="1"/>
    <col min="15116" max="15116" width="9.5" style="95" customWidth="1"/>
    <col min="15117" max="15117" width="9.6640625" style="95" customWidth="1"/>
    <col min="15118" max="15118" width="3.6640625" style="95" customWidth="1"/>
    <col min="15119" max="15360" width="8.83203125" style="95"/>
    <col min="15361" max="15361" width="30.83203125" style="95" customWidth="1"/>
    <col min="15362" max="15362" width="2.5" style="95" customWidth="1"/>
    <col min="15363" max="15363" width="9.6640625" style="95" customWidth="1"/>
    <col min="15364" max="15364" width="8.6640625" style="95" customWidth="1"/>
    <col min="15365" max="15365" width="2.5" style="95" customWidth="1"/>
    <col min="15366" max="15366" width="9.6640625" style="95" customWidth="1"/>
    <col min="15367" max="15367" width="8.6640625" style="95" customWidth="1"/>
    <col min="15368" max="15368" width="2.6640625" style="95" customWidth="1"/>
    <col min="15369" max="15369" width="9.6640625" style="95" customWidth="1"/>
    <col min="15370" max="15370" width="8.6640625" style="95" customWidth="1"/>
    <col min="15371" max="15371" width="2.83203125" style="95" customWidth="1"/>
    <col min="15372" max="15372" width="9.5" style="95" customWidth="1"/>
    <col min="15373" max="15373" width="9.6640625" style="95" customWidth="1"/>
    <col min="15374" max="15374" width="3.6640625" style="95" customWidth="1"/>
    <col min="15375" max="15616" width="8.83203125" style="95"/>
    <col min="15617" max="15617" width="30.83203125" style="95" customWidth="1"/>
    <col min="15618" max="15618" width="2.5" style="95" customWidth="1"/>
    <col min="15619" max="15619" width="9.6640625" style="95" customWidth="1"/>
    <col min="15620" max="15620" width="8.6640625" style="95" customWidth="1"/>
    <col min="15621" max="15621" width="2.5" style="95" customWidth="1"/>
    <col min="15622" max="15622" width="9.6640625" style="95" customWidth="1"/>
    <col min="15623" max="15623" width="8.6640625" style="95" customWidth="1"/>
    <col min="15624" max="15624" width="2.6640625" style="95" customWidth="1"/>
    <col min="15625" max="15625" width="9.6640625" style="95" customWidth="1"/>
    <col min="15626" max="15626" width="8.6640625" style="95" customWidth="1"/>
    <col min="15627" max="15627" width="2.83203125" style="95" customWidth="1"/>
    <col min="15628" max="15628" width="9.5" style="95" customWidth="1"/>
    <col min="15629" max="15629" width="9.6640625" style="95" customWidth="1"/>
    <col min="15630" max="15630" width="3.6640625" style="95" customWidth="1"/>
    <col min="15631" max="15872" width="8.83203125" style="95"/>
    <col min="15873" max="15873" width="30.83203125" style="95" customWidth="1"/>
    <col min="15874" max="15874" width="2.5" style="95" customWidth="1"/>
    <col min="15875" max="15875" width="9.6640625" style="95" customWidth="1"/>
    <col min="15876" max="15876" width="8.6640625" style="95" customWidth="1"/>
    <col min="15877" max="15877" width="2.5" style="95" customWidth="1"/>
    <col min="15878" max="15878" width="9.6640625" style="95" customWidth="1"/>
    <col min="15879" max="15879" width="8.6640625" style="95" customWidth="1"/>
    <col min="15880" max="15880" width="2.6640625" style="95" customWidth="1"/>
    <col min="15881" max="15881" width="9.6640625" style="95" customWidth="1"/>
    <col min="15882" max="15882" width="8.6640625" style="95" customWidth="1"/>
    <col min="15883" max="15883" width="2.83203125" style="95" customWidth="1"/>
    <col min="15884" max="15884" width="9.5" style="95" customWidth="1"/>
    <col min="15885" max="15885" width="9.6640625" style="95" customWidth="1"/>
    <col min="15886" max="15886" width="3.6640625" style="95" customWidth="1"/>
    <col min="15887" max="16128" width="8.83203125" style="95"/>
    <col min="16129" max="16129" width="30.83203125" style="95" customWidth="1"/>
    <col min="16130" max="16130" width="2.5" style="95" customWidth="1"/>
    <col min="16131" max="16131" width="9.6640625" style="95" customWidth="1"/>
    <col min="16132" max="16132" width="8.6640625" style="95" customWidth="1"/>
    <col min="16133" max="16133" width="2.5" style="95" customWidth="1"/>
    <col min="16134" max="16134" width="9.6640625" style="95" customWidth="1"/>
    <col min="16135" max="16135" width="8.6640625" style="95" customWidth="1"/>
    <col min="16136" max="16136" width="2.6640625" style="95" customWidth="1"/>
    <col min="16137" max="16137" width="9.6640625" style="95" customWidth="1"/>
    <col min="16138" max="16138" width="8.6640625" style="95" customWidth="1"/>
    <col min="16139" max="16139" width="2.83203125" style="95" customWidth="1"/>
    <col min="16140" max="16140" width="9.5" style="95" customWidth="1"/>
    <col min="16141" max="16141" width="9.6640625" style="95" customWidth="1"/>
    <col min="16142" max="16142" width="3.6640625" style="95" customWidth="1"/>
    <col min="16143" max="16384" width="8.83203125" style="95"/>
  </cols>
  <sheetData>
    <row r="1" spans="1:14">
      <c r="A1" s="111" t="s">
        <v>144</v>
      </c>
    </row>
    <row r="2" spans="1:14">
      <c r="A2" s="111" t="s">
        <v>145</v>
      </c>
    </row>
    <row r="3" spans="1:14" ht="7" customHeight="1"/>
    <row r="4" spans="1:14">
      <c r="A4" s="14" t="s">
        <v>2042</v>
      </c>
    </row>
    <row r="5" spans="1:14" ht="7.5" customHeight="1" thickBot="1"/>
    <row r="6" spans="1:14" ht="7" customHeight="1">
      <c r="A6" s="114"/>
      <c r="B6" s="97"/>
      <c r="C6" s="133"/>
      <c r="D6" s="114"/>
      <c r="E6" s="114"/>
      <c r="F6" s="133"/>
      <c r="G6" s="133"/>
      <c r="H6" s="133"/>
      <c r="I6" s="133"/>
      <c r="J6" s="133"/>
      <c r="K6" s="133"/>
      <c r="L6" s="133"/>
      <c r="M6" s="133"/>
    </row>
    <row r="7" spans="1:14" ht="15">
      <c r="C7" s="1012" t="s">
        <v>146</v>
      </c>
      <c r="D7" s="1012"/>
      <c r="E7" s="1012"/>
      <c r="F7" s="1012"/>
      <c r="G7" s="1012"/>
      <c r="H7" s="1012"/>
      <c r="I7" s="1012"/>
      <c r="J7" s="1012"/>
      <c r="K7" s="1012"/>
      <c r="L7" s="1012"/>
      <c r="M7" s="1012"/>
      <c r="N7" s="16"/>
    </row>
    <row r="8" spans="1:14">
      <c r="A8" s="17" t="s">
        <v>147</v>
      </c>
      <c r="C8" s="1013" t="s">
        <v>148</v>
      </c>
      <c r="D8" s="1013"/>
      <c r="F8" s="1059" t="s">
        <v>149</v>
      </c>
      <c r="G8" s="1059"/>
      <c r="H8" s="19"/>
      <c r="I8" s="1059" t="s">
        <v>150</v>
      </c>
      <c r="J8" s="1059"/>
      <c r="K8" s="19"/>
      <c r="L8" s="1059" t="s">
        <v>151</v>
      </c>
      <c r="M8" s="1059"/>
      <c r="N8" s="16"/>
    </row>
    <row r="9" spans="1:14">
      <c r="C9" s="20" t="s">
        <v>152</v>
      </c>
      <c r="D9" s="21" t="s">
        <v>153</v>
      </c>
      <c r="F9" s="21" t="s">
        <v>152</v>
      </c>
      <c r="G9" s="21" t="s">
        <v>153</v>
      </c>
      <c r="I9" s="21" t="s">
        <v>152</v>
      </c>
      <c r="J9" s="21" t="s">
        <v>153</v>
      </c>
      <c r="L9" s="21" t="s">
        <v>152</v>
      </c>
      <c r="M9" s="21" t="s">
        <v>153</v>
      </c>
      <c r="N9" s="22"/>
    </row>
    <row r="10" spans="1:14" ht="7" customHeight="1" thickBot="1">
      <c r="A10" s="124"/>
      <c r="B10" s="102"/>
      <c r="C10" s="136"/>
      <c r="D10" s="124"/>
      <c r="E10" s="124"/>
      <c r="F10" s="136"/>
      <c r="G10" s="136"/>
      <c r="H10" s="136"/>
      <c r="I10" s="136"/>
      <c r="J10" s="136"/>
      <c r="K10" s="136"/>
      <c r="L10" s="136"/>
      <c r="M10" s="136"/>
    </row>
    <row r="12" spans="1:14">
      <c r="A12" s="17" t="s">
        <v>20</v>
      </c>
      <c r="C12" s="112">
        <f>IF($A12&lt;&gt;0,F12+I12+L12,"")</f>
        <v>193.625</v>
      </c>
      <c r="D12" s="139">
        <f>IF($A12&lt;&gt;0,G12+J12+M12,"")</f>
        <v>100</v>
      </c>
      <c r="F12" s="112">
        <f>SUM(F14+F32)</f>
        <v>48.5</v>
      </c>
      <c r="G12" s="112">
        <f>IF($A12&lt;&gt;0,F12/$C12*100,"")</f>
        <v>25.048418334409295</v>
      </c>
      <c r="I12" s="112">
        <f>SUM(I14+I32)</f>
        <v>96.375</v>
      </c>
      <c r="J12" s="112">
        <f>IF($A12&lt;&gt;0,I12/$C12*100,"")</f>
        <v>49.774047772756617</v>
      </c>
      <c r="L12" s="112">
        <f>SUM(L14+L32)</f>
        <v>48.75</v>
      </c>
      <c r="M12" s="112">
        <f>IF($A12&lt;&gt;0,L12/$C12*100,"")</f>
        <v>25.177533892834088</v>
      </c>
    </row>
    <row r="13" spans="1:14">
      <c r="C13" s="112" t="str">
        <f>IF($A13&lt;&gt;0,F13+I13+L13,"")</f>
        <v/>
      </c>
      <c r="D13" s="139" t="str">
        <f>IF($A13&lt;&gt;0,G13+J13+M13,"")</f>
        <v/>
      </c>
      <c r="G13" s="112" t="str">
        <f>IF($A13&lt;&gt;0,F13/$C13*100,"")</f>
        <v/>
      </c>
      <c r="J13" s="112" t="str">
        <f>IF($A13&lt;&gt;0,I13/$C13*100,"")</f>
        <v/>
      </c>
      <c r="L13" s="112" t="s">
        <v>154</v>
      </c>
      <c r="M13" s="112" t="str">
        <f>IF($A13&lt;&gt;0,L13/$C13*100,"")</f>
        <v/>
      </c>
    </row>
    <row r="14" spans="1:14">
      <c r="A14" s="17" t="s">
        <v>1462</v>
      </c>
      <c r="C14" s="112">
        <f t="shared" ref="C14:D31" si="0">IF($A14&lt;&gt;0,F14+I14+L14,"")</f>
        <v>174.625</v>
      </c>
      <c r="D14" s="139">
        <f t="shared" si="0"/>
        <v>100</v>
      </c>
      <c r="F14" s="112">
        <f>F16+F23</f>
        <v>37.25</v>
      </c>
      <c r="G14" s="112">
        <f t="shared" ref="G14:G38" si="1">IF($A14&lt;&gt;0,F14/$C14*100,"")</f>
        <v>21.33142448103078</v>
      </c>
      <c r="I14" s="112">
        <f>I16+I23</f>
        <v>93.375</v>
      </c>
      <c r="J14" s="112">
        <f t="shared" ref="J14:J38" si="2">IF($A14&lt;&gt;0,I14/$C14*100,"")</f>
        <v>53.471725125268435</v>
      </c>
      <c r="L14" s="112">
        <f>L16+L23</f>
        <v>44</v>
      </c>
      <c r="M14" s="112">
        <f t="shared" ref="M14:M38" si="3">IF($A14&lt;&gt;0,L14/$C14*100,"")</f>
        <v>25.196850393700785</v>
      </c>
    </row>
    <row r="15" spans="1:14">
      <c r="C15" s="112" t="str">
        <f t="shared" si="0"/>
        <v/>
      </c>
      <c r="D15" s="139" t="str">
        <f t="shared" si="0"/>
        <v/>
      </c>
      <c r="G15" s="112" t="str">
        <f t="shared" si="1"/>
        <v/>
      </c>
      <c r="J15" s="112" t="str">
        <f t="shared" si="2"/>
        <v/>
      </c>
      <c r="L15" s="112" t="s">
        <v>154</v>
      </c>
      <c r="M15" s="112" t="str">
        <f t="shared" si="3"/>
        <v/>
      </c>
    </row>
    <row r="16" spans="1:14">
      <c r="A16" s="111" t="s">
        <v>291</v>
      </c>
      <c r="C16" s="112">
        <f t="shared" si="0"/>
        <v>118.75</v>
      </c>
      <c r="D16" s="139">
        <f t="shared" si="0"/>
        <v>100</v>
      </c>
      <c r="F16" s="112">
        <f>SUM(F18:F21)</f>
        <v>0</v>
      </c>
      <c r="G16" s="112">
        <f t="shared" si="1"/>
        <v>0</v>
      </c>
      <c r="I16" s="112">
        <f>SUM(I18:I21)</f>
        <v>86.5</v>
      </c>
      <c r="J16" s="112">
        <f t="shared" si="2"/>
        <v>72.84210526315789</v>
      </c>
      <c r="L16" s="112">
        <f>SUM(L18:L21)</f>
        <v>32.25</v>
      </c>
      <c r="M16" s="112">
        <f t="shared" si="3"/>
        <v>27.157894736842103</v>
      </c>
    </row>
    <row r="17" spans="1:13">
      <c r="C17" s="112" t="str">
        <f t="shared" si="0"/>
        <v/>
      </c>
      <c r="D17" s="139" t="str">
        <f t="shared" si="0"/>
        <v/>
      </c>
      <c r="G17" s="112" t="str">
        <f t="shared" si="1"/>
        <v/>
      </c>
      <c r="J17" s="112" t="str">
        <f t="shared" si="2"/>
        <v/>
      </c>
      <c r="L17" s="112" t="s">
        <v>154</v>
      </c>
      <c r="M17" s="112" t="str">
        <f t="shared" si="3"/>
        <v/>
      </c>
    </row>
    <row r="18" spans="1:13">
      <c r="A18" s="26" t="s">
        <v>292</v>
      </c>
      <c r="C18" s="112">
        <f t="shared" si="0"/>
        <v>20.5</v>
      </c>
      <c r="D18" s="139">
        <f t="shared" si="0"/>
        <v>100</v>
      </c>
      <c r="F18" s="25">
        <v>0</v>
      </c>
      <c r="G18" s="112">
        <f t="shared" si="1"/>
        <v>0</v>
      </c>
      <c r="H18" s="25"/>
      <c r="I18" s="25">
        <v>11</v>
      </c>
      <c r="J18" s="112">
        <f t="shared" si="2"/>
        <v>53.658536585365859</v>
      </c>
      <c r="K18" s="25"/>
      <c r="L18" s="112">
        <v>9.5</v>
      </c>
      <c r="M18" s="112">
        <f t="shared" si="3"/>
        <v>46.341463414634148</v>
      </c>
    </row>
    <row r="19" spans="1:13">
      <c r="A19" s="26" t="s">
        <v>293</v>
      </c>
      <c r="C19" s="112">
        <f t="shared" si="0"/>
        <v>30</v>
      </c>
      <c r="D19" s="139">
        <f t="shared" si="0"/>
        <v>100.00000000000001</v>
      </c>
      <c r="F19" s="25">
        <v>0</v>
      </c>
      <c r="G19" s="112">
        <f t="shared" si="1"/>
        <v>0</v>
      </c>
      <c r="H19" s="25"/>
      <c r="I19" s="25">
        <v>21.25</v>
      </c>
      <c r="J19" s="112">
        <f t="shared" si="2"/>
        <v>70.833333333333343</v>
      </c>
      <c r="K19" s="25"/>
      <c r="L19" s="112">
        <v>8.75</v>
      </c>
      <c r="M19" s="112">
        <f t="shared" si="3"/>
        <v>29.166666666666668</v>
      </c>
    </row>
    <row r="20" spans="1:13">
      <c r="A20" s="26" t="s">
        <v>294</v>
      </c>
      <c r="C20" s="112">
        <f t="shared" si="0"/>
        <v>39</v>
      </c>
      <c r="D20" s="139">
        <f t="shared" si="0"/>
        <v>100</v>
      </c>
      <c r="F20" s="25">
        <v>0</v>
      </c>
      <c r="G20" s="112">
        <f t="shared" si="1"/>
        <v>0</v>
      </c>
      <c r="H20" s="25"/>
      <c r="I20" s="25">
        <v>36</v>
      </c>
      <c r="J20" s="112">
        <f t="shared" si="2"/>
        <v>92.307692307692307</v>
      </c>
      <c r="K20" s="25"/>
      <c r="L20" s="112">
        <v>3</v>
      </c>
      <c r="M20" s="112">
        <f t="shared" si="3"/>
        <v>7.6923076923076925</v>
      </c>
    </row>
    <row r="21" spans="1:13">
      <c r="A21" s="26" t="s">
        <v>295</v>
      </c>
      <c r="C21" s="112">
        <f t="shared" si="0"/>
        <v>29.25</v>
      </c>
      <c r="D21" s="139">
        <f t="shared" si="0"/>
        <v>100</v>
      </c>
      <c r="F21" s="25">
        <v>0</v>
      </c>
      <c r="G21" s="112">
        <f t="shared" si="1"/>
        <v>0</v>
      </c>
      <c r="H21" s="25"/>
      <c r="I21" s="25">
        <v>18.25</v>
      </c>
      <c r="J21" s="112">
        <f t="shared" si="2"/>
        <v>62.393162393162392</v>
      </c>
      <c r="K21" s="25"/>
      <c r="L21" s="112">
        <v>11</v>
      </c>
      <c r="M21" s="112">
        <f t="shared" si="3"/>
        <v>37.606837606837608</v>
      </c>
    </row>
    <row r="22" spans="1:13">
      <c r="A22" s="26"/>
      <c r="C22" s="112" t="str">
        <f t="shared" si="0"/>
        <v/>
      </c>
      <c r="D22" s="139" t="str">
        <f t="shared" si="0"/>
        <v/>
      </c>
      <c r="G22" s="112" t="str">
        <f t="shared" si="1"/>
        <v/>
      </c>
      <c r="J22" s="112" t="str">
        <f t="shared" si="2"/>
        <v/>
      </c>
      <c r="L22" s="112" t="s">
        <v>154</v>
      </c>
      <c r="M22" s="112" t="str">
        <f t="shared" si="3"/>
        <v/>
      </c>
    </row>
    <row r="23" spans="1:13">
      <c r="A23" s="14" t="s">
        <v>296</v>
      </c>
      <c r="C23" s="112">
        <f t="shared" si="0"/>
        <v>55.875</v>
      </c>
      <c r="D23" s="139">
        <f t="shared" si="0"/>
        <v>99.999999999999986</v>
      </c>
      <c r="F23" s="112">
        <f>SUM(F25:F30)</f>
        <v>37.25</v>
      </c>
      <c r="G23" s="112">
        <f t="shared" si="1"/>
        <v>66.666666666666657</v>
      </c>
      <c r="I23" s="112">
        <f>SUM(I25:I30)</f>
        <v>6.875</v>
      </c>
      <c r="J23" s="112">
        <f t="shared" si="2"/>
        <v>12.304250559284116</v>
      </c>
      <c r="L23" s="112">
        <f>SUM(L25:L30)</f>
        <v>11.75</v>
      </c>
      <c r="M23" s="112">
        <f t="shared" si="3"/>
        <v>21.029082774049218</v>
      </c>
    </row>
    <row r="24" spans="1:13">
      <c r="A24" s="14"/>
      <c r="C24" s="112" t="str">
        <f t="shared" si="0"/>
        <v/>
      </c>
      <c r="D24" s="139" t="str">
        <f t="shared" si="0"/>
        <v/>
      </c>
      <c r="G24" s="112" t="str">
        <f t="shared" si="1"/>
        <v/>
      </c>
      <c r="J24" s="112" t="str">
        <f t="shared" si="2"/>
        <v/>
      </c>
      <c r="L24" s="112" t="s">
        <v>154</v>
      </c>
      <c r="M24" s="112" t="str">
        <f t="shared" si="3"/>
        <v/>
      </c>
    </row>
    <row r="25" spans="1:13" ht="12.5" hidden="1" customHeight="1">
      <c r="A25" s="26" t="s">
        <v>297</v>
      </c>
      <c r="C25" s="112">
        <f t="shared" si="0"/>
        <v>0</v>
      </c>
      <c r="D25" s="139" t="e">
        <f t="shared" si="0"/>
        <v>#DIV/0!</v>
      </c>
      <c r="F25" s="25">
        <v>0</v>
      </c>
      <c r="G25" s="112" t="e">
        <f t="shared" si="1"/>
        <v>#DIV/0!</v>
      </c>
      <c r="H25" s="25"/>
      <c r="I25" s="25">
        <v>0</v>
      </c>
      <c r="J25" s="112" t="e">
        <f t="shared" si="2"/>
        <v>#DIV/0!</v>
      </c>
      <c r="K25" s="25"/>
      <c r="L25" s="112">
        <v>0</v>
      </c>
      <c r="M25" s="112" t="e">
        <f t="shared" si="3"/>
        <v>#DIV/0!</v>
      </c>
    </row>
    <row r="26" spans="1:13">
      <c r="A26" s="14" t="s">
        <v>298</v>
      </c>
      <c r="C26" s="112">
        <f t="shared" si="0"/>
        <v>1.25</v>
      </c>
      <c r="D26" s="139">
        <f t="shared" si="0"/>
        <v>100</v>
      </c>
      <c r="F26" s="25">
        <v>0</v>
      </c>
      <c r="G26" s="112">
        <f t="shared" si="1"/>
        <v>0</v>
      </c>
      <c r="H26" s="25"/>
      <c r="I26" s="25">
        <v>1</v>
      </c>
      <c r="J26" s="112">
        <f t="shared" si="2"/>
        <v>80</v>
      </c>
      <c r="K26" s="25"/>
      <c r="L26" s="112">
        <v>0.25</v>
      </c>
      <c r="M26" s="112">
        <f t="shared" si="3"/>
        <v>20</v>
      </c>
    </row>
    <row r="27" spans="1:13" ht="12.5" hidden="1" customHeight="1">
      <c r="A27" s="26" t="s">
        <v>299</v>
      </c>
      <c r="C27" s="112">
        <f t="shared" si="0"/>
        <v>0</v>
      </c>
      <c r="D27" s="139" t="e">
        <f t="shared" si="0"/>
        <v>#DIV/0!</v>
      </c>
      <c r="F27" s="25">
        <v>0</v>
      </c>
      <c r="G27" s="112" t="e">
        <f t="shared" si="1"/>
        <v>#DIV/0!</v>
      </c>
      <c r="H27" s="25"/>
      <c r="I27" s="25">
        <v>0</v>
      </c>
      <c r="J27" s="112" t="e">
        <f t="shared" si="2"/>
        <v>#DIV/0!</v>
      </c>
      <c r="K27" s="25"/>
      <c r="L27" s="112">
        <v>0</v>
      </c>
      <c r="M27" s="112" t="e">
        <f t="shared" si="3"/>
        <v>#DIV/0!</v>
      </c>
    </row>
    <row r="28" spans="1:13">
      <c r="A28" s="14" t="s">
        <v>300</v>
      </c>
      <c r="C28" s="112">
        <f t="shared" si="0"/>
        <v>39.5</v>
      </c>
      <c r="D28" s="139">
        <f t="shared" si="0"/>
        <v>100</v>
      </c>
      <c r="F28" s="25">
        <v>36.25</v>
      </c>
      <c r="G28" s="112">
        <f t="shared" si="1"/>
        <v>91.77215189873418</v>
      </c>
      <c r="H28" s="25"/>
      <c r="I28" s="25">
        <v>2.25</v>
      </c>
      <c r="J28" s="112">
        <f t="shared" si="2"/>
        <v>5.6962025316455698</v>
      </c>
      <c r="K28" s="25"/>
      <c r="L28" s="112">
        <v>1</v>
      </c>
      <c r="M28" s="112">
        <f t="shared" si="3"/>
        <v>2.5316455696202533</v>
      </c>
    </row>
    <row r="29" spans="1:13" ht="12.5" hidden="1" customHeight="1">
      <c r="A29" s="14" t="s">
        <v>301</v>
      </c>
      <c r="C29" s="112">
        <f t="shared" si="0"/>
        <v>0</v>
      </c>
      <c r="D29" s="139" t="e">
        <f t="shared" si="0"/>
        <v>#DIV/0!</v>
      </c>
      <c r="F29" s="25">
        <v>0</v>
      </c>
      <c r="G29" s="112" t="e">
        <f t="shared" si="1"/>
        <v>#DIV/0!</v>
      </c>
      <c r="H29" s="25"/>
      <c r="I29" s="25">
        <v>0</v>
      </c>
      <c r="J29" s="112" t="e">
        <f t="shared" si="2"/>
        <v>#DIV/0!</v>
      </c>
      <c r="K29" s="25"/>
      <c r="L29" s="112">
        <v>0</v>
      </c>
      <c r="M29" s="112" t="e">
        <f t="shared" si="3"/>
        <v>#DIV/0!</v>
      </c>
    </row>
    <row r="30" spans="1:13">
      <c r="A30" s="14" t="s">
        <v>302</v>
      </c>
      <c r="C30" s="112">
        <f t="shared" si="0"/>
        <v>15.125</v>
      </c>
      <c r="D30" s="139">
        <f t="shared" si="0"/>
        <v>100</v>
      </c>
      <c r="F30" s="25">
        <v>1</v>
      </c>
      <c r="G30" s="112">
        <f t="shared" si="1"/>
        <v>6.6115702479338845</v>
      </c>
      <c r="H30" s="25"/>
      <c r="I30" s="25">
        <v>3.625</v>
      </c>
      <c r="J30" s="112">
        <f t="shared" si="2"/>
        <v>23.966942148760332</v>
      </c>
      <c r="K30" s="25"/>
      <c r="L30" s="112">
        <v>10.5</v>
      </c>
      <c r="M30" s="112">
        <f t="shared" si="3"/>
        <v>69.421487603305792</v>
      </c>
    </row>
    <row r="31" spans="1:13">
      <c r="A31" s="14"/>
      <c r="C31" s="112" t="str">
        <f t="shared" si="0"/>
        <v/>
      </c>
      <c r="D31" s="139" t="str">
        <f t="shared" si="0"/>
        <v/>
      </c>
      <c r="G31" s="112" t="str">
        <f t="shared" si="1"/>
        <v/>
      </c>
      <c r="J31" s="112" t="str">
        <f t="shared" si="2"/>
        <v/>
      </c>
      <c r="L31" s="112" t="s">
        <v>154</v>
      </c>
      <c r="M31" s="112" t="str">
        <f t="shared" si="3"/>
        <v/>
      </c>
    </row>
    <row r="32" spans="1:13">
      <c r="A32" s="17" t="s">
        <v>351</v>
      </c>
      <c r="C32" s="112">
        <f t="shared" ref="C32:D38" si="4">IF($A32&lt;&gt;0,F32+I32+L32,"")</f>
        <v>19</v>
      </c>
      <c r="D32" s="139">
        <f t="shared" si="4"/>
        <v>99.999999999999986</v>
      </c>
      <c r="F32" s="112">
        <f>SUM(F34:F38)</f>
        <v>11.25</v>
      </c>
      <c r="G32" s="112">
        <f t="shared" si="1"/>
        <v>59.210526315789465</v>
      </c>
      <c r="I32" s="112">
        <f>SUM(I34:I38)</f>
        <v>3</v>
      </c>
      <c r="J32" s="112">
        <f t="shared" si="2"/>
        <v>15.789473684210526</v>
      </c>
      <c r="L32" s="112">
        <f>SUM(L34:L38)</f>
        <v>4.75</v>
      </c>
      <c r="M32" s="112">
        <f t="shared" si="3"/>
        <v>25</v>
      </c>
    </row>
    <row r="33" spans="1:13">
      <c r="C33" s="112" t="str">
        <f t="shared" si="4"/>
        <v/>
      </c>
      <c r="D33" s="139" t="str">
        <f t="shared" si="4"/>
        <v/>
      </c>
      <c r="G33" s="112" t="str">
        <f t="shared" si="1"/>
        <v/>
      </c>
      <c r="J33" s="112" t="str">
        <f t="shared" si="2"/>
        <v/>
      </c>
      <c r="L33" s="112" t="s">
        <v>154</v>
      </c>
      <c r="M33" s="112" t="str">
        <f t="shared" si="3"/>
        <v/>
      </c>
    </row>
    <row r="34" spans="1:13">
      <c r="A34" s="26" t="s">
        <v>355</v>
      </c>
      <c r="C34" s="112">
        <f t="shared" si="4"/>
        <v>6.25</v>
      </c>
      <c r="D34" s="139">
        <f t="shared" si="4"/>
        <v>100</v>
      </c>
      <c r="F34" s="156">
        <v>1</v>
      </c>
      <c r="G34" s="112">
        <f t="shared" si="1"/>
        <v>16</v>
      </c>
      <c r="H34" s="25"/>
      <c r="I34" s="25">
        <v>3</v>
      </c>
      <c r="J34" s="112">
        <f t="shared" si="2"/>
        <v>48</v>
      </c>
      <c r="K34" s="25"/>
      <c r="L34" s="112">
        <v>2.25</v>
      </c>
      <c r="M34" s="112">
        <f t="shared" si="3"/>
        <v>36</v>
      </c>
    </row>
    <row r="35" spans="1:13">
      <c r="A35" s="26" t="s">
        <v>361</v>
      </c>
      <c r="C35" s="112">
        <f t="shared" si="4"/>
        <v>4.75</v>
      </c>
      <c r="D35" s="139">
        <f t="shared" si="4"/>
        <v>100</v>
      </c>
      <c r="F35" s="25">
        <v>4.75</v>
      </c>
      <c r="G35" s="112">
        <f t="shared" si="1"/>
        <v>100</v>
      </c>
      <c r="H35" s="25"/>
      <c r="I35" s="25">
        <v>0</v>
      </c>
      <c r="J35" s="112">
        <f t="shared" si="2"/>
        <v>0</v>
      </c>
      <c r="K35" s="25"/>
      <c r="L35" s="112">
        <v>0</v>
      </c>
      <c r="M35" s="112">
        <f t="shared" si="3"/>
        <v>0</v>
      </c>
    </row>
    <row r="36" spans="1:13">
      <c r="A36" s="26" t="s">
        <v>367</v>
      </c>
      <c r="C36" s="112">
        <f t="shared" si="4"/>
        <v>2</v>
      </c>
      <c r="D36" s="139">
        <f t="shared" si="4"/>
        <v>100</v>
      </c>
      <c r="F36" s="156">
        <v>0.5</v>
      </c>
      <c r="G36" s="112">
        <f t="shared" si="1"/>
        <v>25</v>
      </c>
      <c r="H36" s="25"/>
      <c r="I36" s="25">
        <v>0</v>
      </c>
      <c r="J36" s="112">
        <f t="shared" si="2"/>
        <v>0</v>
      </c>
      <c r="K36" s="25"/>
      <c r="L36" s="112">
        <v>1.5</v>
      </c>
      <c r="M36" s="112">
        <f t="shared" si="3"/>
        <v>75</v>
      </c>
    </row>
    <row r="37" spans="1:13">
      <c r="A37" s="26" t="s">
        <v>373</v>
      </c>
      <c r="C37" s="112">
        <f t="shared" si="4"/>
        <v>1</v>
      </c>
      <c r="D37" s="139">
        <f t="shared" si="4"/>
        <v>100</v>
      </c>
      <c r="F37" s="25">
        <v>0</v>
      </c>
      <c r="G37" s="112">
        <f t="shared" si="1"/>
        <v>0</v>
      </c>
      <c r="H37" s="25"/>
      <c r="I37" s="25">
        <v>0</v>
      </c>
      <c r="J37" s="112">
        <f t="shared" si="2"/>
        <v>0</v>
      </c>
      <c r="K37" s="25"/>
      <c r="L37" s="112">
        <v>1</v>
      </c>
      <c r="M37" s="112">
        <f t="shared" si="3"/>
        <v>100</v>
      </c>
    </row>
    <row r="38" spans="1:13">
      <c r="A38" s="26" t="s">
        <v>379</v>
      </c>
      <c r="C38" s="112">
        <f t="shared" si="4"/>
        <v>5</v>
      </c>
      <c r="D38" s="139">
        <f t="shared" si="4"/>
        <v>100</v>
      </c>
      <c r="F38" s="112">
        <v>5</v>
      </c>
      <c r="G38" s="112">
        <f t="shared" si="1"/>
        <v>100</v>
      </c>
      <c r="I38" s="112">
        <v>0</v>
      </c>
      <c r="J38" s="112">
        <f t="shared" si="2"/>
        <v>0</v>
      </c>
      <c r="L38" s="112">
        <v>0</v>
      </c>
      <c r="M38" s="112">
        <f t="shared" si="3"/>
        <v>0</v>
      </c>
    </row>
    <row r="39" spans="1:13" ht="14" thickBot="1">
      <c r="A39" s="124"/>
      <c r="B39" s="102"/>
      <c r="C39" s="136"/>
      <c r="D39" s="124"/>
      <c r="E39" s="124"/>
      <c r="F39" s="136"/>
      <c r="G39" s="136"/>
      <c r="H39" s="136"/>
      <c r="I39" s="136"/>
      <c r="J39" s="136"/>
      <c r="K39" s="136"/>
      <c r="L39" s="136"/>
      <c r="M39" s="136"/>
    </row>
    <row r="40" spans="1:13" ht="7" customHeight="1"/>
    <row r="41" spans="1:13" ht="13.5" customHeight="1">
      <c r="A41" s="27" t="s">
        <v>1841</v>
      </c>
    </row>
    <row r="42" spans="1:13" ht="4.5" customHeight="1">
      <c r="A42" s="27" t="s">
        <v>386</v>
      </c>
    </row>
    <row r="43" spans="1:13">
      <c r="A43" s="14" t="s">
        <v>1842</v>
      </c>
    </row>
    <row r="44" spans="1:13">
      <c r="A44" s="111" t="s">
        <v>387</v>
      </c>
    </row>
    <row r="46" spans="1:13">
      <c r="A46" s="157"/>
    </row>
  </sheetData>
  <mergeCells count="5">
    <mergeCell ref="C7:M7"/>
    <mergeCell ref="C8:D8"/>
    <mergeCell ref="F8:G8"/>
    <mergeCell ref="I8:J8"/>
    <mergeCell ref="L8:M8"/>
  </mergeCells>
  <conditionalFormatting sqref="A1:XFD1048576">
    <cfRule type="cellIs" dxfId="12" priority="1" operator="equal">
      <formula>0</formula>
    </cfRule>
  </conditionalFormatting>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249977111117893"/>
  </sheetPr>
  <dimension ref="B2:K4"/>
  <sheetViews>
    <sheetView workbookViewId="0"/>
  </sheetViews>
  <sheetFormatPr baseColWidth="10" defaultRowHeight="15"/>
  <sheetData>
    <row r="2" spans="2:11" ht="23">
      <c r="J2" s="431"/>
    </row>
    <row r="3" spans="2:11" ht="23">
      <c r="H3" s="30"/>
    </row>
    <row r="4" spans="2:11" ht="23">
      <c r="B4" s="724"/>
      <c r="C4" s="546"/>
      <c r="D4" s="546"/>
      <c r="H4" s="31"/>
      <c r="K4" s="32"/>
    </row>
  </sheetData>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W42"/>
  <sheetViews>
    <sheetView workbookViewId="0"/>
  </sheetViews>
  <sheetFormatPr baseColWidth="10" defaultColWidth="8.83203125" defaultRowHeight="14"/>
  <cols>
    <col min="1" max="1" width="35.6640625" style="392" customWidth="1"/>
    <col min="2" max="2" width="2.6640625" style="392" customWidth="1"/>
    <col min="3" max="4" width="0" style="392" hidden="1" customWidth="1"/>
    <col min="5" max="5" width="2.83203125" style="392" hidden="1" customWidth="1"/>
    <col min="6" max="7" width="0" style="392" hidden="1" customWidth="1"/>
    <col min="8" max="8" width="3" style="392" hidden="1" customWidth="1"/>
    <col min="9" max="10" width="8.83203125" style="392"/>
    <col min="11" max="11" width="3.1640625" style="392" customWidth="1"/>
    <col min="12" max="13" width="8.83203125" style="392"/>
    <col min="14" max="14" width="3" style="392" customWidth="1"/>
    <col min="15" max="16" width="8.83203125" style="392"/>
    <col min="17" max="17" width="3" style="392" customWidth="1"/>
    <col min="18" max="19" width="8.83203125" style="392"/>
    <col min="20" max="20" width="2.5" style="392" customWidth="1"/>
    <col min="21" max="22" width="8.83203125" style="392"/>
    <col min="23" max="23" width="2.33203125" style="392" customWidth="1"/>
    <col min="24" max="256" width="8.83203125" style="392"/>
    <col min="257" max="257" width="35.6640625" style="392" customWidth="1"/>
    <col min="258" max="258" width="2.6640625" style="392" customWidth="1"/>
    <col min="259" max="264" width="0" style="392" hidden="1" customWidth="1"/>
    <col min="265" max="266" width="8.83203125" style="392"/>
    <col min="267" max="267" width="3.1640625" style="392" customWidth="1"/>
    <col min="268" max="269" width="8.83203125" style="392"/>
    <col min="270" max="270" width="3" style="392" customWidth="1"/>
    <col min="271" max="272" width="8.83203125" style="392"/>
    <col min="273" max="273" width="3" style="392" customWidth="1"/>
    <col min="274" max="275" width="8.83203125" style="392"/>
    <col min="276" max="276" width="2.5" style="392" customWidth="1"/>
    <col min="277" max="278" width="8.83203125" style="392"/>
    <col min="279" max="279" width="2.33203125" style="392" customWidth="1"/>
    <col min="280" max="512" width="8.83203125" style="392"/>
    <col min="513" max="513" width="35.6640625" style="392" customWidth="1"/>
    <col min="514" max="514" width="2.6640625" style="392" customWidth="1"/>
    <col min="515" max="520" width="0" style="392" hidden="1" customWidth="1"/>
    <col min="521" max="522" width="8.83203125" style="392"/>
    <col min="523" max="523" width="3.1640625" style="392" customWidth="1"/>
    <col min="524" max="525" width="8.83203125" style="392"/>
    <col min="526" max="526" width="3" style="392" customWidth="1"/>
    <col min="527" max="528" width="8.83203125" style="392"/>
    <col min="529" max="529" width="3" style="392" customWidth="1"/>
    <col min="530" max="531" width="8.83203125" style="392"/>
    <col min="532" max="532" width="2.5" style="392" customWidth="1"/>
    <col min="533" max="534" width="8.83203125" style="392"/>
    <col min="535" max="535" width="2.33203125" style="392" customWidth="1"/>
    <col min="536" max="768" width="8.83203125" style="392"/>
    <col min="769" max="769" width="35.6640625" style="392" customWidth="1"/>
    <col min="770" max="770" width="2.6640625" style="392" customWidth="1"/>
    <col min="771" max="776" width="0" style="392" hidden="1" customWidth="1"/>
    <col min="777" max="778" width="8.83203125" style="392"/>
    <col min="779" max="779" width="3.1640625" style="392" customWidth="1"/>
    <col min="780" max="781" width="8.83203125" style="392"/>
    <col min="782" max="782" width="3" style="392" customWidth="1"/>
    <col min="783" max="784" width="8.83203125" style="392"/>
    <col min="785" max="785" width="3" style="392" customWidth="1"/>
    <col min="786" max="787" width="8.83203125" style="392"/>
    <col min="788" max="788" width="2.5" style="392" customWidth="1"/>
    <col min="789" max="790" width="8.83203125" style="392"/>
    <col min="791" max="791" width="2.33203125" style="392" customWidth="1"/>
    <col min="792" max="1024" width="8.83203125" style="392"/>
    <col min="1025" max="1025" width="35.6640625" style="392" customWidth="1"/>
    <col min="1026" max="1026" width="2.6640625" style="392" customWidth="1"/>
    <col min="1027" max="1032" width="0" style="392" hidden="1" customWidth="1"/>
    <col min="1033" max="1034" width="8.83203125" style="392"/>
    <col min="1035" max="1035" width="3.1640625" style="392" customWidth="1"/>
    <col min="1036" max="1037" width="8.83203125" style="392"/>
    <col min="1038" max="1038" width="3" style="392" customWidth="1"/>
    <col min="1039" max="1040" width="8.83203125" style="392"/>
    <col min="1041" max="1041" width="3" style="392" customWidth="1"/>
    <col min="1042" max="1043" width="8.83203125" style="392"/>
    <col min="1044" max="1044" width="2.5" style="392" customWidth="1"/>
    <col min="1045" max="1046" width="8.83203125" style="392"/>
    <col min="1047" max="1047" width="2.33203125" style="392" customWidth="1"/>
    <col min="1048" max="1280" width="8.83203125" style="392"/>
    <col min="1281" max="1281" width="35.6640625" style="392" customWidth="1"/>
    <col min="1282" max="1282" width="2.6640625" style="392" customWidth="1"/>
    <col min="1283" max="1288" width="0" style="392" hidden="1" customWidth="1"/>
    <col min="1289" max="1290" width="8.83203125" style="392"/>
    <col min="1291" max="1291" width="3.1640625" style="392" customWidth="1"/>
    <col min="1292" max="1293" width="8.83203125" style="392"/>
    <col min="1294" max="1294" width="3" style="392" customWidth="1"/>
    <col min="1295" max="1296" width="8.83203125" style="392"/>
    <col min="1297" max="1297" width="3" style="392" customWidth="1"/>
    <col min="1298" max="1299" width="8.83203125" style="392"/>
    <col min="1300" max="1300" width="2.5" style="392" customWidth="1"/>
    <col min="1301" max="1302" width="8.83203125" style="392"/>
    <col min="1303" max="1303" width="2.33203125" style="392" customWidth="1"/>
    <col min="1304" max="1536" width="8.83203125" style="392"/>
    <col min="1537" max="1537" width="35.6640625" style="392" customWidth="1"/>
    <col min="1538" max="1538" width="2.6640625" style="392" customWidth="1"/>
    <col min="1539" max="1544" width="0" style="392" hidden="1" customWidth="1"/>
    <col min="1545" max="1546" width="8.83203125" style="392"/>
    <col min="1547" max="1547" width="3.1640625" style="392" customWidth="1"/>
    <col min="1548" max="1549" width="8.83203125" style="392"/>
    <col min="1550" max="1550" width="3" style="392" customWidth="1"/>
    <col min="1551" max="1552" width="8.83203125" style="392"/>
    <col min="1553" max="1553" width="3" style="392" customWidth="1"/>
    <col min="1554" max="1555" width="8.83203125" style="392"/>
    <col min="1556" max="1556" width="2.5" style="392" customWidth="1"/>
    <col min="1557" max="1558" width="8.83203125" style="392"/>
    <col min="1559" max="1559" width="2.33203125" style="392" customWidth="1"/>
    <col min="1560" max="1792" width="8.83203125" style="392"/>
    <col min="1793" max="1793" width="35.6640625" style="392" customWidth="1"/>
    <col min="1794" max="1794" width="2.6640625" style="392" customWidth="1"/>
    <col min="1795" max="1800" width="0" style="392" hidden="1" customWidth="1"/>
    <col min="1801" max="1802" width="8.83203125" style="392"/>
    <col min="1803" max="1803" width="3.1640625" style="392" customWidth="1"/>
    <col min="1804" max="1805" width="8.83203125" style="392"/>
    <col min="1806" max="1806" width="3" style="392" customWidth="1"/>
    <col min="1807" max="1808" width="8.83203125" style="392"/>
    <col min="1809" max="1809" width="3" style="392" customWidth="1"/>
    <col min="1810" max="1811" width="8.83203125" style="392"/>
    <col min="1812" max="1812" width="2.5" style="392" customWidth="1"/>
    <col min="1813" max="1814" width="8.83203125" style="392"/>
    <col min="1815" max="1815" width="2.33203125" style="392" customWidth="1"/>
    <col min="1816" max="2048" width="8.83203125" style="392"/>
    <col min="2049" max="2049" width="35.6640625" style="392" customWidth="1"/>
    <col min="2050" max="2050" width="2.6640625" style="392" customWidth="1"/>
    <col min="2051" max="2056" width="0" style="392" hidden="1" customWidth="1"/>
    <col min="2057" max="2058" width="8.83203125" style="392"/>
    <col min="2059" max="2059" width="3.1640625" style="392" customWidth="1"/>
    <col min="2060" max="2061" width="8.83203125" style="392"/>
    <col min="2062" max="2062" width="3" style="392" customWidth="1"/>
    <col min="2063" max="2064" width="8.83203125" style="392"/>
    <col min="2065" max="2065" width="3" style="392" customWidth="1"/>
    <col min="2066" max="2067" width="8.83203125" style="392"/>
    <col min="2068" max="2068" width="2.5" style="392" customWidth="1"/>
    <col min="2069" max="2070" width="8.83203125" style="392"/>
    <col min="2071" max="2071" width="2.33203125" style="392" customWidth="1"/>
    <col min="2072" max="2304" width="8.83203125" style="392"/>
    <col min="2305" max="2305" width="35.6640625" style="392" customWidth="1"/>
    <col min="2306" max="2306" width="2.6640625" style="392" customWidth="1"/>
    <col min="2307" max="2312" width="0" style="392" hidden="1" customWidth="1"/>
    <col min="2313" max="2314" width="8.83203125" style="392"/>
    <col min="2315" max="2315" width="3.1640625" style="392" customWidth="1"/>
    <col min="2316" max="2317" width="8.83203125" style="392"/>
    <col min="2318" max="2318" width="3" style="392" customWidth="1"/>
    <col min="2319" max="2320" width="8.83203125" style="392"/>
    <col min="2321" max="2321" width="3" style="392" customWidth="1"/>
    <col min="2322" max="2323" width="8.83203125" style="392"/>
    <col min="2324" max="2324" width="2.5" style="392" customWidth="1"/>
    <col min="2325" max="2326" width="8.83203125" style="392"/>
    <col min="2327" max="2327" width="2.33203125" style="392" customWidth="1"/>
    <col min="2328" max="2560" width="8.83203125" style="392"/>
    <col min="2561" max="2561" width="35.6640625" style="392" customWidth="1"/>
    <col min="2562" max="2562" width="2.6640625" style="392" customWidth="1"/>
    <col min="2563" max="2568" width="0" style="392" hidden="1" customWidth="1"/>
    <col min="2569" max="2570" width="8.83203125" style="392"/>
    <col min="2571" max="2571" width="3.1640625" style="392" customWidth="1"/>
    <col min="2572" max="2573" width="8.83203125" style="392"/>
    <col min="2574" max="2574" width="3" style="392" customWidth="1"/>
    <col min="2575" max="2576" width="8.83203125" style="392"/>
    <col min="2577" max="2577" width="3" style="392" customWidth="1"/>
    <col min="2578" max="2579" width="8.83203125" style="392"/>
    <col min="2580" max="2580" width="2.5" style="392" customWidth="1"/>
    <col min="2581" max="2582" width="8.83203125" style="392"/>
    <col min="2583" max="2583" width="2.33203125" style="392" customWidth="1"/>
    <col min="2584" max="2816" width="8.83203125" style="392"/>
    <col min="2817" max="2817" width="35.6640625" style="392" customWidth="1"/>
    <col min="2818" max="2818" width="2.6640625" style="392" customWidth="1"/>
    <col min="2819" max="2824" width="0" style="392" hidden="1" customWidth="1"/>
    <col min="2825" max="2826" width="8.83203125" style="392"/>
    <col min="2827" max="2827" width="3.1640625" style="392" customWidth="1"/>
    <col min="2828" max="2829" width="8.83203125" style="392"/>
    <col min="2830" max="2830" width="3" style="392" customWidth="1"/>
    <col min="2831" max="2832" width="8.83203125" style="392"/>
    <col min="2833" max="2833" width="3" style="392" customWidth="1"/>
    <col min="2834" max="2835" width="8.83203125" style="392"/>
    <col min="2836" max="2836" width="2.5" style="392" customWidth="1"/>
    <col min="2837" max="2838" width="8.83203125" style="392"/>
    <col min="2839" max="2839" width="2.33203125" style="392" customWidth="1"/>
    <col min="2840" max="3072" width="8.83203125" style="392"/>
    <col min="3073" max="3073" width="35.6640625" style="392" customWidth="1"/>
    <col min="3074" max="3074" width="2.6640625" style="392" customWidth="1"/>
    <col min="3075" max="3080" width="0" style="392" hidden="1" customWidth="1"/>
    <col min="3081" max="3082" width="8.83203125" style="392"/>
    <col min="3083" max="3083" width="3.1640625" style="392" customWidth="1"/>
    <col min="3084" max="3085" width="8.83203125" style="392"/>
    <col min="3086" max="3086" width="3" style="392" customWidth="1"/>
    <col min="3087" max="3088" width="8.83203125" style="392"/>
    <col min="3089" max="3089" width="3" style="392" customWidth="1"/>
    <col min="3090" max="3091" width="8.83203125" style="392"/>
    <col min="3092" max="3092" width="2.5" style="392" customWidth="1"/>
    <col min="3093" max="3094" width="8.83203125" style="392"/>
    <col min="3095" max="3095" width="2.33203125" style="392" customWidth="1"/>
    <col min="3096" max="3328" width="8.83203125" style="392"/>
    <col min="3329" max="3329" width="35.6640625" style="392" customWidth="1"/>
    <col min="3330" max="3330" width="2.6640625" style="392" customWidth="1"/>
    <col min="3331" max="3336" width="0" style="392" hidden="1" customWidth="1"/>
    <col min="3337" max="3338" width="8.83203125" style="392"/>
    <col min="3339" max="3339" width="3.1640625" style="392" customWidth="1"/>
    <col min="3340" max="3341" width="8.83203125" style="392"/>
    <col min="3342" max="3342" width="3" style="392" customWidth="1"/>
    <col min="3343" max="3344" width="8.83203125" style="392"/>
    <col min="3345" max="3345" width="3" style="392" customWidth="1"/>
    <col min="3346" max="3347" width="8.83203125" style="392"/>
    <col min="3348" max="3348" width="2.5" style="392" customWidth="1"/>
    <col min="3349" max="3350" width="8.83203125" style="392"/>
    <col min="3351" max="3351" width="2.33203125" style="392" customWidth="1"/>
    <col min="3352" max="3584" width="8.83203125" style="392"/>
    <col min="3585" max="3585" width="35.6640625" style="392" customWidth="1"/>
    <col min="3586" max="3586" width="2.6640625" style="392" customWidth="1"/>
    <col min="3587" max="3592" width="0" style="392" hidden="1" customWidth="1"/>
    <col min="3593" max="3594" width="8.83203125" style="392"/>
    <col min="3595" max="3595" width="3.1640625" style="392" customWidth="1"/>
    <col min="3596" max="3597" width="8.83203125" style="392"/>
    <col min="3598" max="3598" width="3" style="392" customWidth="1"/>
    <col min="3599" max="3600" width="8.83203125" style="392"/>
    <col min="3601" max="3601" width="3" style="392" customWidth="1"/>
    <col min="3602" max="3603" width="8.83203125" style="392"/>
    <col min="3604" max="3604" width="2.5" style="392" customWidth="1"/>
    <col min="3605" max="3606" width="8.83203125" style="392"/>
    <col min="3607" max="3607" width="2.33203125" style="392" customWidth="1"/>
    <col min="3608" max="3840" width="8.83203125" style="392"/>
    <col min="3841" max="3841" width="35.6640625" style="392" customWidth="1"/>
    <col min="3842" max="3842" width="2.6640625" style="392" customWidth="1"/>
    <col min="3843" max="3848" width="0" style="392" hidden="1" customWidth="1"/>
    <col min="3849" max="3850" width="8.83203125" style="392"/>
    <col min="3851" max="3851" width="3.1640625" style="392" customWidth="1"/>
    <col min="3852" max="3853" width="8.83203125" style="392"/>
    <col min="3854" max="3854" width="3" style="392" customWidth="1"/>
    <col min="3855" max="3856" width="8.83203125" style="392"/>
    <col min="3857" max="3857" width="3" style="392" customWidth="1"/>
    <col min="3858" max="3859" width="8.83203125" style="392"/>
    <col min="3860" max="3860" width="2.5" style="392" customWidth="1"/>
    <col min="3861" max="3862" width="8.83203125" style="392"/>
    <col min="3863" max="3863" width="2.33203125" style="392" customWidth="1"/>
    <col min="3864" max="4096" width="8.83203125" style="392"/>
    <col min="4097" max="4097" width="35.6640625" style="392" customWidth="1"/>
    <col min="4098" max="4098" width="2.6640625" style="392" customWidth="1"/>
    <col min="4099" max="4104" width="0" style="392" hidden="1" customWidth="1"/>
    <col min="4105" max="4106" width="8.83203125" style="392"/>
    <col min="4107" max="4107" width="3.1640625" style="392" customWidth="1"/>
    <col min="4108" max="4109" width="8.83203125" style="392"/>
    <col min="4110" max="4110" width="3" style="392" customWidth="1"/>
    <col min="4111" max="4112" width="8.83203125" style="392"/>
    <col min="4113" max="4113" width="3" style="392" customWidth="1"/>
    <col min="4114" max="4115" width="8.83203125" style="392"/>
    <col min="4116" max="4116" width="2.5" style="392" customWidth="1"/>
    <col min="4117" max="4118" width="8.83203125" style="392"/>
    <col min="4119" max="4119" width="2.33203125" style="392" customWidth="1"/>
    <col min="4120" max="4352" width="8.83203125" style="392"/>
    <col min="4353" max="4353" width="35.6640625" style="392" customWidth="1"/>
    <col min="4354" max="4354" width="2.6640625" style="392" customWidth="1"/>
    <col min="4355" max="4360" width="0" style="392" hidden="1" customWidth="1"/>
    <col min="4361" max="4362" width="8.83203125" style="392"/>
    <col min="4363" max="4363" width="3.1640625" style="392" customWidth="1"/>
    <col min="4364" max="4365" width="8.83203125" style="392"/>
    <col min="4366" max="4366" width="3" style="392" customWidth="1"/>
    <col min="4367" max="4368" width="8.83203125" style="392"/>
    <col min="4369" max="4369" width="3" style="392" customWidth="1"/>
    <col min="4370" max="4371" width="8.83203125" style="392"/>
    <col min="4372" max="4372" width="2.5" style="392" customWidth="1"/>
    <col min="4373" max="4374" width="8.83203125" style="392"/>
    <col min="4375" max="4375" width="2.33203125" style="392" customWidth="1"/>
    <col min="4376" max="4608" width="8.83203125" style="392"/>
    <col min="4609" max="4609" width="35.6640625" style="392" customWidth="1"/>
    <col min="4610" max="4610" width="2.6640625" style="392" customWidth="1"/>
    <col min="4611" max="4616" width="0" style="392" hidden="1" customWidth="1"/>
    <col min="4617" max="4618" width="8.83203125" style="392"/>
    <col min="4619" max="4619" width="3.1640625" style="392" customWidth="1"/>
    <col min="4620" max="4621" width="8.83203125" style="392"/>
    <col min="4622" max="4622" width="3" style="392" customWidth="1"/>
    <col min="4623" max="4624" width="8.83203125" style="392"/>
    <col min="4625" max="4625" width="3" style="392" customWidth="1"/>
    <col min="4626" max="4627" width="8.83203125" style="392"/>
    <col min="4628" max="4628" width="2.5" style="392" customWidth="1"/>
    <col min="4629" max="4630" width="8.83203125" style="392"/>
    <col min="4631" max="4631" width="2.33203125" style="392" customWidth="1"/>
    <col min="4632" max="4864" width="8.83203125" style="392"/>
    <col min="4865" max="4865" width="35.6640625" style="392" customWidth="1"/>
    <col min="4866" max="4866" width="2.6640625" style="392" customWidth="1"/>
    <col min="4867" max="4872" width="0" style="392" hidden="1" customWidth="1"/>
    <col min="4873" max="4874" width="8.83203125" style="392"/>
    <col min="4875" max="4875" width="3.1640625" style="392" customWidth="1"/>
    <col min="4876" max="4877" width="8.83203125" style="392"/>
    <col min="4878" max="4878" width="3" style="392" customWidth="1"/>
    <col min="4879" max="4880" width="8.83203125" style="392"/>
    <col min="4881" max="4881" width="3" style="392" customWidth="1"/>
    <col min="4882" max="4883" width="8.83203125" style="392"/>
    <col min="4884" max="4884" width="2.5" style="392" customWidth="1"/>
    <col min="4885" max="4886" width="8.83203125" style="392"/>
    <col min="4887" max="4887" width="2.33203125" style="392" customWidth="1"/>
    <col min="4888" max="5120" width="8.83203125" style="392"/>
    <col min="5121" max="5121" width="35.6640625" style="392" customWidth="1"/>
    <col min="5122" max="5122" width="2.6640625" style="392" customWidth="1"/>
    <col min="5123" max="5128" width="0" style="392" hidden="1" customWidth="1"/>
    <col min="5129" max="5130" width="8.83203125" style="392"/>
    <col min="5131" max="5131" width="3.1640625" style="392" customWidth="1"/>
    <col min="5132" max="5133" width="8.83203125" style="392"/>
    <col min="5134" max="5134" width="3" style="392" customWidth="1"/>
    <col min="5135" max="5136" width="8.83203125" style="392"/>
    <col min="5137" max="5137" width="3" style="392" customWidth="1"/>
    <col min="5138" max="5139" width="8.83203125" style="392"/>
    <col min="5140" max="5140" width="2.5" style="392" customWidth="1"/>
    <col min="5141" max="5142" width="8.83203125" style="392"/>
    <col min="5143" max="5143" width="2.33203125" style="392" customWidth="1"/>
    <col min="5144" max="5376" width="8.83203125" style="392"/>
    <col min="5377" max="5377" width="35.6640625" style="392" customWidth="1"/>
    <col min="5378" max="5378" width="2.6640625" style="392" customWidth="1"/>
    <col min="5379" max="5384" width="0" style="392" hidden="1" customWidth="1"/>
    <col min="5385" max="5386" width="8.83203125" style="392"/>
    <col min="5387" max="5387" width="3.1640625" style="392" customWidth="1"/>
    <col min="5388" max="5389" width="8.83203125" style="392"/>
    <col min="5390" max="5390" width="3" style="392" customWidth="1"/>
    <col min="5391" max="5392" width="8.83203125" style="392"/>
    <col min="5393" max="5393" width="3" style="392" customWidth="1"/>
    <col min="5394" max="5395" width="8.83203125" style="392"/>
    <col min="5396" max="5396" width="2.5" style="392" customWidth="1"/>
    <col min="5397" max="5398" width="8.83203125" style="392"/>
    <col min="5399" max="5399" width="2.33203125" style="392" customWidth="1"/>
    <col min="5400" max="5632" width="8.83203125" style="392"/>
    <col min="5633" max="5633" width="35.6640625" style="392" customWidth="1"/>
    <col min="5634" max="5634" width="2.6640625" style="392" customWidth="1"/>
    <col min="5635" max="5640" width="0" style="392" hidden="1" customWidth="1"/>
    <col min="5641" max="5642" width="8.83203125" style="392"/>
    <col min="5643" max="5643" width="3.1640625" style="392" customWidth="1"/>
    <col min="5644" max="5645" width="8.83203125" style="392"/>
    <col min="5646" max="5646" width="3" style="392" customWidth="1"/>
    <col min="5647" max="5648" width="8.83203125" style="392"/>
    <col min="5649" max="5649" width="3" style="392" customWidth="1"/>
    <col min="5650" max="5651" width="8.83203125" style="392"/>
    <col min="5652" max="5652" width="2.5" style="392" customWidth="1"/>
    <col min="5653" max="5654" width="8.83203125" style="392"/>
    <col min="5655" max="5655" width="2.33203125" style="392" customWidth="1"/>
    <col min="5656" max="5888" width="8.83203125" style="392"/>
    <col min="5889" max="5889" width="35.6640625" style="392" customWidth="1"/>
    <col min="5890" max="5890" width="2.6640625" style="392" customWidth="1"/>
    <col min="5891" max="5896" width="0" style="392" hidden="1" customWidth="1"/>
    <col min="5897" max="5898" width="8.83203125" style="392"/>
    <col min="5899" max="5899" width="3.1640625" style="392" customWidth="1"/>
    <col min="5900" max="5901" width="8.83203125" style="392"/>
    <col min="5902" max="5902" width="3" style="392" customWidth="1"/>
    <col min="5903" max="5904" width="8.83203125" style="392"/>
    <col min="5905" max="5905" width="3" style="392" customWidth="1"/>
    <col min="5906" max="5907" width="8.83203125" style="392"/>
    <col min="5908" max="5908" width="2.5" style="392" customWidth="1"/>
    <col min="5909" max="5910" width="8.83203125" style="392"/>
    <col min="5911" max="5911" width="2.33203125" style="392" customWidth="1"/>
    <col min="5912" max="6144" width="8.83203125" style="392"/>
    <col min="6145" max="6145" width="35.6640625" style="392" customWidth="1"/>
    <col min="6146" max="6146" width="2.6640625" style="392" customWidth="1"/>
    <col min="6147" max="6152" width="0" style="392" hidden="1" customWidth="1"/>
    <col min="6153" max="6154" width="8.83203125" style="392"/>
    <col min="6155" max="6155" width="3.1640625" style="392" customWidth="1"/>
    <col min="6156" max="6157" width="8.83203125" style="392"/>
    <col min="6158" max="6158" width="3" style="392" customWidth="1"/>
    <col min="6159" max="6160" width="8.83203125" style="392"/>
    <col min="6161" max="6161" width="3" style="392" customWidth="1"/>
    <col min="6162" max="6163" width="8.83203125" style="392"/>
    <col min="6164" max="6164" width="2.5" style="392" customWidth="1"/>
    <col min="6165" max="6166" width="8.83203125" style="392"/>
    <col min="6167" max="6167" width="2.33203125" style="392" customWidth="1"/>
    <col min="6168" max="6400" width="8.83203125" style="392"/>
    <col min="6401" max="6401" width="35.6640625" style="392" customWidth="1"/>
    <col min="6402" max="6402" width="2.6640625" style="392" customWidth="1"/>
    <col min="6403" max="6408" width="0" style="392" hidden="1" customWidth="1"/>
    <col min="6409" max="6410" width="8.83203125" style="392"/>
    <col min="6411" max="6411" width="3.1640625" style="392" customWidth="1"/>
    <col min="6412" max="6413" width="8.83203125" style="392"/>
    <col min="6414" max="6414" width="3" style="392" customWidth="1"/>
    <col min="6415" max="6416" width="8.83203125" style="392"/>
    <col min="6417" max="6417" width="3" style="392" customWidth="1"/>
    <col min="6418" max="6419" width="8.83203125" style="392"/>
    <col min="6420" max="6420" width="2.5" style="392" customWidth="1"/>
    <col min="6421" max="6422" width="8.83203125" style="392"/>
    <col min="6423" max="6423" width="2.33203125" style="392" customWidth="1"/>
    <col min="6424" max="6656" width="8.83203125" style="392"/>
    <col min="6657" max="6657" width="35.6640625" style="392" customWidth="1"/>
    <col min="6658" max="6658" width="2.6640625" style="392" customWidth="1"/>
    <col min="6659" max="6664" width="0" style="392" hidden="1" customWidth="1"/>
    <col min="6665" max="6666" width="8.83203125" style="392"/>
    <col min="6667" max="6667" width="3.1640625" style="392" customWidth="1"/>
    <col min="6668" max="6669" width="8.83203125" style="392"/>
    <col min="6670" max="6670" width="3" style="392" customWidth="1"/>
    <col min="6671" max="6672" width="8.83203125" style="392"/>
    <col min="6673" max="6673" width="3" style="392" customWidth="1"/>
    <col min="6674" max="6675" width="8.83203125" style="392"/>
    <col min="6676" max="6676" width="2.5" style="392" customWidth="1"/>
    <col min="6677" max="6678" width="8.83203125" style="392"/>
    <col min="6679" max="6679" width="2.33203125" style="392" customWidth="1"/>
    <col min="6680" max="6912" width="8.83203125" style="392"/>
    <col min="6913" max="6913" width="35.6640625" style="392" customWidth="1"/>
    <col min="6914" max="6914" width="2.6640625" style="392" customWidth="1"/>
    <col min="6915" max="6920" width="0" style="392" hidden="1" customWidth="1"/>
    <col min="6921" max="6922" width="8.83203125" style="392"/>
    <col min="6923" max="6923" width="3.1640625" style="392" customWidth="1"/>
    <col min="6924" max="6925" width="8.83203125" style="392"/>
    <col min="6926" max="6926" width="3" style="392" customWidth="1"/>
    <col min="6927" max="6928" width="8.83203125" style="392"/>
    <col min="6929" max="6929" width="3" style="392" customWidth="1"/>
    <col min="6930" max="6931" width="8.83203125" style="392"/>
    <col min="6932" max="6932" width="2.5" style="392" customWidth="1"/>
    <col min="6933" max="6934" width="8.83203125" style="392"/>
    <col min="6935" max="6935" width="2.33203125" style="392" customWidth="1"/>
    <col min="6936" max="7168" width="8.83203125" style="392"/>
    <col min="7169" max="7169" width="35.6640625" style="392" customWidth="1"/>
    <col min="7170" max="7170" width="2.6640625" style="392" customWidth="1"/>
    <col min="7171" max="7176" width="0" style="392" hidden="1" customWidth="1"/>
    <col min="7177" max="7178" width="8.83203125" style="392"/>
    <col min="7179" max="7179" width="3.1640625" style="392" customWidth="1"/>
    <col min="7180" max="7181" width="8.83203125" style="392"/>
    <col min="7182" max="7182" width="3" style="392" customWidth="1"/>
    <col min="7183" max="7184" width="8.83203125" style="392"/>
    <col min="7185" max="7185" width="3" style="392" customWidth="1"/>
    <col min="7186" max="7187" width="8.83203125" style="392"/>
    <col min="7188" max="7188" width="2.5" style="392" customWidth="1"/>
    <col min="7189" max="7190" width="8.83203125" style="392"/>
    <col min="7191" max="7191" width="2.33203125" style="392" customWidth="1"/>
    <col min="7192" max="7424" width="8.83203125" style="392"/>
    <col min="7425" max="7425" width="35.6640625" style="392" customWidth="1"/>
    <col min="7426" max="7426" width="2.6640625" style="392" customWidth="1"/>
    <col min="7427" max="7432" width="0" style="392" hidden="1" customWidth="1"/>
    <col min="7433" max="7434" width="8.83203125" style="392"/>
    <col min="7435" max="7435" width="3.1640625" style="392" customWidth="1"/>
    <col min="7436" max="7437" width="8.83203125" style="392"/>
    <col min="7438" max="7438" width="3" style="392" customWidth="1"/>
    <col min="7439" max="7440" width="8.83203125" style="392"/>
    <col min="7441" max="7441" width="3" style="392" customWidth="1"/>
    <col min="7442" max="7443" width="8.83203125" style="392"/>
    <col min="7444" max="7444" width="2.5" style="392" customWidth="1"/>
    <col min="7445" max="7446" width="8.83203125" style="392"/>
    <col min="7447" max="7447" width="2.33203125" style="392" customWidth="1"/>
    <col min="7448" max="7680" width="8.83203125" style="392"/>
    <col min="7681" max="7681" width="35.6640625" style="392" customWidth="1"/>
    <col min="7682" max="7682" width="2.6640625" style="392" customWidth="1"/>
    <col min="7683" max="7688" width="0" style="392" hidden="1" customWidth="1"/>
    <col min="7689" max="7690" width="8.83203125" style="392"/>
    <col min="7691" max="7691" width="3.1640625" style="392" customWidth="1"/>
    <col min="7692" max="7693" width="8.83203125" style="392"/>
    <col min="7694" max="7694" width="3" style="392" customWidth="1"/>
    <col min="7695" max="7696" width="8.83203125" style="392"/>
    <col min="7697" max="7697" width="3" style="392" customWidth="1"/>
    <col min="7698" max="7699" width="8.83203125" style="392"/>
    <col min="7700" max="7700" width="2.5" style="392" customWidth="1"/>
    <col min="7701" max="7702" width="8.83203125" style="392"/>
    <col min="7703" max="7703" width="2.33203125" style="392" customWidth="1"/>
    <col min="7704" max="7936" width="8.83203125" style="392"/>
    <col min="7937" max="7937" width="35.6640625" style="392" customWidth="1"/>
    <col min="7938" max="7938" width="2.6640625" style="392" customWidth="1"/>
    <col min="7939" max="7944" width="0" style="392" hidden="1" customWidth="1"/>
    <col min="7945" max="7946" width="8.83203125" style="392"/>
    <col min="7947" max="7947" width="3.1640625" style="392" customWidth="1"/>
    <col min="7948" max="7949" width="8.83203125" style="392"/>
    <col min="7950" max="7950" width="3" style="392" customWidth="1"/>
    <col min="7951" max="7952" width="8.83203125" style="392"/>
    <col min="7953" max="7953" width="3" style="392" customWidth="1"/>
    <col min="7954" max="7955" width="8.83203125" style="392"/>
    <col min="7956" max="7956" width="2.5" style="392" customWidth="1"/>
    <col min="7957" max="7958" width="8.83203125" style="392"/>
    <col min="7959" max="7959" width="2.33203125" style="392" customWidth="1"/>
    <col min="7960" max="8192" width="8.83203125" style="392"/>
    <col min="8193" max="8193" width="35.6640625" style="392" customWidth="1"/>
    <col min="8194" max="8194" width="2.6640625" style="392" customWidth="1"/>
    <col min="8195" max="8200" width="0" style="392" hidden="1" customWidth="1"/>
    <col min="8201" max="8202" width="8.83203125" style="392"/>
    <col min="8203" max="8203" width="3.1640625" style="392" customWidth="1"/>
    <col min="8204" max="8205" width="8.83203125" style="392"/>
    <col min="8206" max="8206" width="3" style="392" customWidth="1"/>
    <col min="8207" max="8208" width="8.83203125" style="392"/>
    <col min="8209" max="8209" width="3" style="392" customWidth="1"/>
    <col min="8210" max="8211" width="8.83203125" style="392"/>
    <col min="8212" max="8212" width="2.5" style="392" customWidth="1"/>
    <col min="8213" max="8214" width="8.83203125" style="392"/>
    <col min="8215" max="8215" width="2.33203125" style="392" customWidth="1"/>
    <col min="8216" max="8448" width="8.83203125" style="392"/>
    <col min="8449" max="8449" width="35.6640625" style="392" customWidth="1"/>
    <col min="8450" max="8450" width="2.6640625" style="392" customWidth="1"/>
    <col min="8451" max="8456" width="0" style="392" hidden="1" customWidth="1"/>
    <col min="8457" max="8458" width="8.83203125" style="392"/>
    <col min="8459" max="8459" width="3.1640625" style="392" customWidth="1"/>
    <col min="8460" max="8461" width="8.83203125" style="392"/>
    <col min="8462" max="8462" width="3" style="392" customWidth="1"/>
    <col min="8463" max="8464" width="8.83203125" style="392"/>
    <col min="8465" max="8465" width="3" style="392" customWidth="1"/>
    <col min="8466" max="8467" width="8.83203125" style="392"/>
    <col min="8468" max="8468" width="2.5" style="392" customWidth="1"/>
    <col min="8469" max="8470" width="8.83203125" style="392"/>
    <col min="8471" max="8471" width="2.33203125" style="392" customWidth="1"/>
    <col min="8472" max="8704" width="8.83203125" style="392"/>
    <col min="8705" max="8705" width="35.6640625" style="392" customWidth="1"/>
    <col min="8706" max="8706" width="2.6640625" style="392" customWidth="1"/>
    <col min="8707" max="8712" width="0" style="392" hidden="1" customWidth="1"/>
    <col min="8713" max="8714" width="8.83203125" style="392"/>
    <col min="8715" max="8715" width="3.1640625" style="392" customWidth="1"/>
    <col min="8716" max="8717" width="8.83203125" style="392"/>
    <col min="8718" max="8718" width="3" style="392" customWidth="1"/>
    <col min="8719" max="8720" width="8.83203125" style="392"/>
    <col min="8721" max="8721" width="3" style="392" customWidth="1"/>
    <col min="8722" max="8723" width="8.83203125" style="392"/>
    <col min="8724" max="8724" width="2.5" style="392" customWidth="1"/>
    <col min="8725" max="8726" width="8.83203125" style="392"/>
    <col min="8727" max="8727" width="2.33203125" style="392" customWidth="1"/>
    <col min="8728" max="8960" width="8.83203125" style="392"/>
    <col min="8961" max="8961" width="35.6640625" style="392" customWidth="1"/>
    <col min="8962" max="8962" width="2.6640625" style="392" customWidth="1"/>
    <col min="8963" max="8968" width="0" style="392" hidden="1" customWidth="1"/>
    <col min="8969" max="8970" width="8.83203125" style="392"/>
    <col min="8971" max="8971" width="3.1640625" style="392" customWidth="1"/>
    <col min="8972" max="8973" width="8.83203125" style="392"/>
    <col min="8974" max="8974" width="3" style="392" customWidth="1"/>
    <col min="8975" max="8976" width="8.83203125" style="392"/>
    <col min="8977" max="8977" width="3" style="392" customWidth="1"/>
    <col min="8978" max="8979" width="8.83203125" style="392"/>
    <col min="8980" max="8980" width="2.5" style="392" customWidth="1"/>
    <col min="8981" max="8982" width="8.83203125" style="392"/>
    <col min="8983" max="8983" width="2.33203125" style="392" customWidth="1"/>
    <col min="8984" max="9216" width="8.83203125" style="392"/>
    <col min="9217" max="9217" width="35.6640625" style="392" customWidth="1"/>
    <col min="9218" max="9218" width="2.6640625" style="392" customWidth="1"/>
    <col min="9219" max="9224" width="0" style="392" hidden="1" customWidth="1"/>
    <col min="9225" max="9226" width="8.83203125" style="392"/>
    <col min="9227" max="9227" width="3.1640625" style="392" customWidth="1"/>
    <col min="9228" max="9229" width="8.83203125" style="392"/>
    <col min="9230" max="9230" width="3" style="392" customWidth="1"/>
    <col min="9231" max="9232" width="8.83203125" style="392"/>
    <col min="9233" max="9233" width="3" style="392" customWidth="1"/>
    <col min="9234" max="9235" width="8.83203125" style="392"/>
    <col min="9236" max="9236" width="2.5" style="392" customWidth="1"/>
    <col min="9237" max="9238" width="8.83203125" style="392"/>
    <col min="9239" max="9239" width="2.33203125" style="392" customWidth="1"/>
    <col min="9240" max="9472" width="8.83203125" style="392"/>
    <col min="9473" max="9473" width="35.6640625" style="392" customWidth="1"/>
    <col min="9474" max="9474" width="2.6640625" style="392" customWidth="1"/>
    <col min="9475" max="9480" width="0" style="392" hidden="1" customWidth="1"/>
    <col min="9481" max="9482" width="8.83203125" style="392"/>
    <col min="9483" max="9483" width="3.1640625" style="392" customWidth="1"/>
    <col min="9484" max="9485" width="8.83203125" style="392"/>
    <col min="9486" max="9486" width="3" style="392" customWidth="1"/>
    <col min="9487" max="9488" width="8.83203125" style="392"/>
    <col min="9489" max="9489" width="3" style="392" customWidth="1"/>
    <col min="9490" max="9491" width="8.83203125" style="392"/>
    <col min="9492" max="9492" width="2.5" style="392" customWidth="1"/>
    <col min="9493" max="9494" width="8.83203125" style="392"/>
    <col min="9495" max="9495" width="2.33203125" style="392" customWidth="1"/>
    <col min="9496" max="9728" width="8.83203125" style="392"/>
    <col min="9729" max="9729" width="35.6640625" style="392" customWidth="1"/>
    <col min="9730" max="9730" width="2.6640625" style="392" customWidth="1"/>
    <col min="9731" max="9736" width="0" style="392" hidden="1" customWidth="1"/>
    <col min="9737" max="9738" width="8.83203125" style="392"/>
    <col min="9739" max="9739" width="3.1640625" style="392" customWidth="1"/>
    <col min="9740" max="9741" width="8.83203125" style="392"/>
    <col min="9742" max="9742" width="3" style="392" customWidth="1"/>
    <col min="9743" max="9744" width="8.83203125" style="392"/>
    <col min="9745" max="9745" width="3" style="392" customWidth="1"/>
    <col min="9746" max="9747" width="8.83203125" style="392"/>
    <col min="9748" max="9748" width="2.5" style="392" customWidth="1"/>
    <col min="9749" max="9750" width="8.83203125" style="392"/>
    <col min="9751" max="9751" width="2.33203125" style="392" customWidth="1"/>
    <col min="9752" max="9984" width="8.83203125" style="392"/>
    <col min="9985" max="9985" width="35.6640625" style="392" customWidth="1"/>
    <col min="9986" max="9986" width="2.6640625" style="392" customWidth="1"/>
    <col min="9987" max="9992" width="0" style="392" hidden="1" customWidth="1"/>
    <col min="9993" max="9994" width="8.83203125" style="392"/>
    <col min="9995" max="9995" width="3.1640625" style="392" customWidth="1"/>
    <col min="9996" max="9997" width="8.83203125" style="392"/>
    <col min="9998" max="9998" width="3" style="392" customWidth="1"/>
    <col min="9999" max="10000" width="8.83203125" style="392"/>
    <col min="10001" max="10001" width="3" style="392" customWidth="1"/>
    <col min="10002" max="10003" width="8.83203125" style="392"/>
    <col min="10004" max="10004" width="2.5" style="392" customWidth="1"/>
    <col min="10005" max="10006" width="8.83203125" style="392"/>
    <col min="10007" max="10007" width="2.33203125" style="392" customWidth="1"/>
    <col min="10008" max="10240" width="8.83203125" style="392"/>
    <col min="10241" max="10241" width="35.6640625" style="392" customWidth="1"/>
    <col min="10242" max="10242" width="2.6640625" style="392" customWidth="1"/>
    <col min="10243" max="10248" width="0" style="392" hidden="1" customWidth="1"/>
    <col min="10249" max="10250" width="8.83203125" style="392"/>
    <col min="10251" max="10251" width="3.1640625" style="392" customWidth="1"/>
    <col min="10252" max="10253" width="8.83203125" style="392"/>
    <col min="10254" max="10254" width="3" style="392" customWidth="1"/>
    <col min="10255" max="10256" width="8.83203125" style="392"/>
    <col min="10257" max="10257" width="3" style="392" customWidth="1"/>
    <col min="10258" max="10259" width="8.83203125" style="392"/>
    <col min="10260" max="10260" width="2.5" style="392" customWidth="1"/>
    <col min="10261" max="10262" width="8.83203125" style="392"/>
    <col min="10263" max="10263" width="2.33203125" style="392" customWidth="1"/>
    <col min="10264" max="10496" width="8.83203125" style="392"/>
    <col min="10497" max="10497" width="35.6640625" style="392" customWidth="1"/>
    <col min="10498" max="10498" width="2.6640625" style="392" customWidth="1"/>
    <col min="10499" max="10504" width="0" style="392" hidden="1" customWidth="1"/>
    <col min="10505" max="10506" width="8.83203125" style="392"/>
    <col min="10507" max="10507" width="3.1640625" style="392" customWidth="1"/>
    <col min="10508" max="10509" width="8.83203125" style="392"/>
    <col min="10510" max="10510" width="3" style="392" customWidth="1"/>
    <col min="10511" max="10512" width="8.83203125" style="392"/>
    <col min="10513" max="10513" width="3" style="392" customWidth="1"/>
    <col min="10514" max="10515" width="8.83203125" style="392"/>
    <col min="10516" max="10516" width="2.5" style="392" customWidth="1"/>
    <col min="10517" max="10518" width="8.83203125" style="392"/>
    <col min="10519" max="10519" width="2.33203125" style="392" customWidth="1"/>
    <col min="10520" max="10752" width="8.83203125" style="392"/>
    <col min="10753" max="10753" width="35.6640625" style="392" customWidth="1"/>
    <col min="10754" max="10754" width="2.6640625" style="392" customWidth="1"/>
    <col min="10755" max="10760" width="0" style="392" hidden="1" customWidth="1"/>
    <col min="10761" max="10762" width="8.83203125" style="392"/>
    <col min="10763" max="10763" width="3.1640625" style="392" customWidth="1"/>
    <col min="10764" max="10765" width="8.83203125" style="392"/>
    <col min="10766" max="10766" width="3" style="392" customWidth="1"/>
    <col min="10767" max="10768" width="8.83203125" style="392"/>
    <col min="10769" max="10769" width="3" style="392" customWidth="1"/>
    <col min="10770" max="10771" width="8.83203125" style="392"/>
    <col min="10772" max="10772" width="2.5" style="392" customWidth="1"/>
    <col min="10773" max="10774" width="8.83203125" style="392"/>
    <col min="10775" max="10775" width="2.33203125" style="392" customWidth="1"/>
    <col min="10776" max="11008" width="8.83203125" style="392"/>
    <col min="11009" max="11009" width="35.6640625" style="392" customWidth="1"/>
    <col min="11010" max="11010" width="2.6640625" style="392" customWidth="1"/>
    <col min="11011" max="11016" width="0" style="392" hidden="1" customWidth="1"/>
    <col min="11017" max="11018" width="8.83203125" style="392"/>
    <col min="11019" max="11019" width="3.1640625" style="392" customWidth="1"/>
    <col min="11020" max="11021" width="8.83203125" style="392"/>
    <col min="11022" max="11022" width="3" style="392" customWidth="1"/>
    <col min="11023" max="11024" width="8.83203125" style="392"/>
    <col min="11025" max="11025" width="3" style="392" customWidth="1"/>
    <col min="11026" max="11027" width="8.83203125" style="392"/>
    <col min="11028" max="11028" width="2.5" style="392" customWidth="1"/>
    <col min="11029" max="11030" width="8.83203125" style="392"/>
    <col min="11031" max="11031" width="2.33203125" style="392" customWidth="1"/>
    <col min="11032" max="11264" width="8.83203125" style="392"/>
    <col min="11265" max="11265" width="35.6640625" style="392" customWidth="1"/>
    <col min="11266" max="11266" width="2.6640625" style="392" customWidth="1"/>
    <col min="11267" max="11272" width="0" style="392" hidden="1" customWidth="1"/>
    <col min="11273" max="11274" width="8.83203125" style="392"/>
    <col min="11275" max="11275" width="3.1640625" style="392" customWidth="1"/>
    <col min="11276" max="11277" width="8.83203125" style="392"/>
    <col min="11278" max="11278" width="3" style="392" customWidth="1"/>
    <col min="11279" max="11280" width="8.83203125" style="392"/>
    <col min="11281" max="11281" width="3" style="392" customWidth="1"/>
    <col min="11282" max="11283" width="8.83203125" style="392"/>
    <col min="11284" max="11284" width="2.5" style="392" customWidth="1"/>
    <col min="11285" max="11286" width="8.83203125" style="392"/>
    <col min="11287" max="11287" width="2.33203125" style="392" customWidth="1"/>
    <col min="11288" max="11520" width="8.83203125" style="392"/>
    <col min="11521" max="11521" width="35.6640625" style="392" customWidth="1"/>
    <col min="11522" max="11522" width="2.6640625" style="392" customWidth="1"/>
    <col min="11523" max="11528" width="0" style="392" hidden="1" customWidth="1"/>
    <col min="11529" max="11530" width="8.83203125" style="392"/>
    <col min="11531" max="11531" width="3.1640625" style="392" customWidth="1"/>
    <col min="11532" max="11533" width="8.83203125" style="392"/>
    <col min="11534" max="11534" width="3" style="392" customWidth="1"/>
    <col min="11535" max="11536" width="8.83203125" style="392"/>
    <col min="11537" max="11537" width="3" style="392" customWidth="1"/>
    <col min="11538" max="11539" width="8.83203125" style="392"/>
    <col min="11540" max="11540" width="2.5" style="392" customWidth="1"/>
    <col min="11541" max="11542" width="8.83203125" style="392"/>
    <col min="11543" max="11543" width="2.33203125" style="392" customWidth="1"/>
    <col min="11544" max="11776" width="8.83203125" style="392"/>
    <col min="11777" max="11777" width="35.6640625" style="392" customWidth="1"/>
    <col min="11778" max="11778" width="2.6640625" style="392" customWidth="1"/>
    <col min="11779" max="11784" width="0" style="392" hidden="1" customWidth="1"/>
    <col min="11785" max="11786" width="8.83203125" style="392"/>
    <col min="11787" max="11787" width="3.1640625" style="392" customWidth="1"/>
    <col min="11788" max="11789" width="8.83203125" style="392"/>
    <col min="11790" max="11790" width="3" style="392" customWidth="1"/>
    <col min="11791" max="11792" width="8.83203125" style="392"/>
    <col min="11793" max="11793" width="3" style="392" customWidth="1"/>
    <col min="11794" max="11795" width="8.83203125" style="392"/>
    <col min="11796" max="11796" width="2.5" style="392" customWidth="1"/>
    <col min="11797" max="11798" width="8.83203125" style="392"/>
    <col min="11799" max="11799" width="2.33203125" style="392" customWidth="1"/>
    <col min="11800" max="12032" width="8.83203125" style="392"/>
    <col min="12033" max="12033" width="35.6640625" style="392" customWidth="1"/>
    <col min="12034" max="12034" width="2.6640625" style="392" customWidth="1"/>
    <col min="12035" max="12040" width="0" style="392" hidden="1" customWidth="1"/>
    <col min="12041" max="12042" width="8.83203125" style="392"/>
    <col min="12043" max="12043" width="3.1640625" style="392" customWidth="1"/>
    <col min="12044" max="12045" width="8.83203125" style="392"/>
    <col min="12046" max="12046" width="3" style="392" customWidth="1"/>
    <col min="12047" max="12048" width="8.83203125" style="392"/>
    <col min="12049" max="12049" width="3" style="392" customWidth="1"/>
    <col min="12050" max="12051" width="8.83203125" style="392"/>
    <col min="12052" max="12052" width="2.5" style="392" customWidth="1"/>
    <col min="12053" max="12054" width="8.83203125" style="392"/>
    <col min="12055" max="12055" width="2.33203125" style="392" customWidth="1"/>
    <col min="12056" max="12288" width="8.83203125" style="392"/>
    <col min="12289" max="12289" width="35.6640625" style="392" customWidth="1"/>
    <col min="12290" max="12290" width="2.6640625" style="392" customWidth="1"/>
    <col min="12291" max="12296" width="0" style="392" hidden="1" customWidth="1"/>
    <col min="12297" max="12298" width="8.83203125" style="392"/>
    <col min="12299" max="12299" width="3.1640625" style="392" customWidth="1"/>
    <col min="12300" max="12301" width="8.83203125" style="392"/>
    <col min="12302" max="12302" width="3" style="392" customWidth="1"/>
    <col min="12303" max="12304" width="8.83203125" style="392"/>
    <col min="12305" max="12305" width="3" style="392" customWidth="1"/>
    <col min="12306" max="12307" width="8.83203125" style="392"/>
    <col min="12308" max="12308" width="2.5" style="392" customWidth="1"/>
    <col min="12309" max="12310" width="8.83203125" style="392"/>
    <col min="12311" max="12311" width="2.33203125" style="392" customWidth="1"/>
    <col min="12312" max="12544" width="8.83203125" style="392"/>
    <col min="12545" max="12545" width="35.6640625" style="392" customWidth="1"/>
    <col min="12546" max="12546" width="2.6640625" style="392" customWidth="1"/>
    <col min="12547" max="12552" width="0" style="392" hidden="1" customWidth="1"/>
    <col min="12553" max="12554" width="8.83203125" style="392"/>
    <col min="12555" max="12555" width="3.1640625" style="392" customWidth="1"/>
    <col min="12556" max="12557" width="8.83203125" style="392"/>
    <col min="12558" max="12558" width="3" style="392" customWidth="1"/>
    <col min="12559" max="12560" width="8.83203125" style="392"/>
    <col min="12561" max="12561" width="3" style="392" customWidth="1"/>
    <col min="12562" max="12563" width="8.83203125" style="392"/>
    <col min="12564" max="12564" width="2.5" style="392" customWidth="1"/>
    <col min="12565" max="12566" width="8.83203125" style="392"/>
    <col min="12567" max="12567" width="2.33203125" style="392" customWidth="1"/>
    <col min="12568" max="12800" width="8.83203125" style="392"/>
    <col min="12801" max="12801" width="35.6640625" style="392" customWidth="1"/>
    <col min="12802" max="12802" width="2.6640625" style="392" customWidth="1"/>
    <col min="12803" max="12808" width="0" style="392" hidden="1" customWidth="1"/>
    <col min="12809" max="12810" width="8.83203125" style="392"/>
    <col min="12811" max="12811" width="3.1640625" style="392" customWidth="1"/>
    <col min="12812" max="12813" width="8.83203125" style="392"/>
    <col min="12814" max="12814" width="3" style="392" customWidth="1"/>
    <col min="12815" max="12816" width="8.83203125" style="392"/>
    <col min="12817" max="12817" width="3" style="392" customWidth="1"/>
    <col min="12818" max="12819" width="8.83203125" style="392"/>
    <col min="12820" max="12820" width="2.5" style="392" customWidth="1"/>
    <col min="12821" max="12822" width="8.83203125" style="392"/>
    <col min="12823" max="12823" width="2.33203125" style="392" customWidth="1"/>
    <col min="12824" max="13056" width="8.83203125" style="392"/>
    <col min="13057" max="13057" width="35.6640625" style="392" customWidth="1"/>
    <col min="13058" max="13058" width="2.6640625" style="392" customWidth="1"/>
    <col min="13059" max="13064" width="0" style="392" hidden="1" customWidth="1"/>
    <col min="13065" max="13066" width="8.83203125" style="392"/>
    <col min="13067" max="13067" width="3.1640625" style="392" customWidth="1"/>
    <col min="13068" max="13069" width="8.83203125" style="392"/>
    <col min="13070" max="13070" width="3" style="392" customWidth="1"/>
    <col min="13071" max="13072" width="8.83203125" style="392"/>
    <col min="13073" max="13073" width="3" style="392" customWidth="1"/>
    <col min="13074" max="13075" width="8.83203125" style="392"/>
    <col min="13076" max="13076" width="2.5" style="392" customWidth="1"/>
    <col min="13077" max="13078" width="8.83203125" style="392"/>
    <col min="13079" max="13079" width="2.33203125" style="392" customWidth="1"/>
    <col min="13080" max="13312" width="8.83203125" style="392"/>
    <col min="13313" max="13313" width="35.6640625" style="392" customWidth="1"/>
    <col min="13314" max="13314" width="2.6640625" style="392" customWidth="1"/>
    <col min="13315" max="13320" width="0" style="392" hidden="1" customWidth="1"/>
    <col min="13321" max="13322" width="8.83203125" style="392"/>
    <col min="13323" max="13323" width="3.1640625" style="392" customWidth="1"/>
    <col min="13324" max="13325" width="8.83203125" style="392"/>
    <col min="13326" max="13326" width="3" style="392" customWidth="1"/>
    <col min="13327" max="13328" width="8.83203125" style="392"/>
    <col min="13329" max="13329" width="3" style="392" customWidth="1"/>
    <col min="13330" max="13331" width="8.83203125" style="392"/>
    <col min="13332" max="13332" width="2.5" style="392" customWidth="1"/>
    <col min="13333" max="13334" width="8.83203125" style="392"/>
    <col min="13335" max="13335" width="2.33203125" style="392" customWidth="1"/>
    <col min="13336" max="13568" width="8.83203125" style="392"/>
    <col min="13569" max="13569" width="35.6640625" style="392" customWidth="1"/>
    <col min="13570" max="13570" width="2.6640625" style="392" customWidth="1"/>
    <col min="13571" max="13576" width="0" style="392" hidden="1" customWidth="1"/>
    <col min="13577" max="13578" width="8.83203125" style="392"/>
    <col min="13579" max="13579" width="3.1640625" style="392" customWidth="1"/>
    <col min="13580" max="13581" width="8.83203125" style="392"/>
    <col min="13582" max="13582" width="3" style="392" customWidth="1"/>
    <col min="13583" max="13584" width="8.83203125" style="392"/>
    <col min="13585" max="13585" width="3" style="392" customWidth="1"/>
    <col min="13586" max="13587" width="8.83203125" style="392"/>
    <col min="13588" max="13588" width="2.5" style="392" customWidth="1"/>
    <col min="13589" max="13590" width="8.83203125" style="392"/>
    <col min="13591" max="13591" width="2.33203125" style="392" customWidth="1"/>
    <col min="13592" max="13824" width="8.83203125" style="392"/>
    <col min="13825" max="13825" width="35.6640625" style="392" customWidth="1"/>
    <col min="13826" max="13826" width="2.6640625" style="392" customWidth="1"/>
    <col min="13827" max="13832" width="0" style="392" hidden="1" customWidth="1"/>
    <col min="13833" max="13834" width="8.83203125" style="392"/>
    <col min="13835" max="13835" width="3.1640625" style="392" customWidth="1"/>
    <col min="13836" max="13837" width="8.83203125" style="392"/>
    <col min="13838" max="13838" width="3" style="392" customWidth="1"/>
    <col min="13839" max="13840" width="8.83203125" style="392"/>
    <col min="13841" max="13841" width="3" style="392" customWidth="1"/>
    <col min="13842" max="13843" width="8.83203125" style="392"/>
    <col min="13844" max="13844" width="2.5" style="392" customWidth="1"/>
    <col min="13845" max="13846" width="8.83203125" style="392"/>
    <col min="13847" max="13847" width="2.33203125" style="392" customWidth="1"/>
    <col min="13848" max="14080" width="8.83203125" style="392"/>
    <col min="14081" max="14081" width="35.6640625" style="392" customWidth="1"/>
    <col min="14082" max="14082" width="2.6640625" style="392" customWidth="1"/>
    <col min="14083" max="14088" width="0" style="392" hidden="1" customWidth="1"/>
    <col min="14089" max="14090" width="8.83203125" style="392"/>
    <col min="14091" max="14091" width="3.1640625" style="392" customWidth="1"/>
    <col min="14092" max="14093" width="8.83203125" style="392"/>
    <col min="14094" max="14094" width="3" style="392" customWidth="1"/>
    <col min="14095" max="14096" width="8.83203125" style="392"/>
    <col min="14097" max="14097" width="3" style="392" customWidth="1"/>
    <col min="14098" max="14099" width="8.83203125" style="392"/>
    <col min="14100" max="14100" width="2.5" style="392" customWidth="1"/>
    <col min="14101" max="14102" width="8.83203125" style="392"/>
    <col min="14103" max="14103" width="2.33203125" style="392" customWidth="1"/>
    <col min="14104" max="14336" width="8.83203125" style="392"/>
    <col min="14337" max="14337" width="35.6640625" style="392" customWidth="1"/>
    <col min="14338" max="14338" width="2.6640625" style="392" customWidth="1"/>
    <col min="14339" max="14344" width="0" style="392" hidden="1" customWidth="1"/>
    <col min="14345" max="14346" width="8.83203125" style="392"/>
    <col min="14347" max="14347" width="3.1640625" style="392" customWidth="1"/>
    <col min="14348" max="14349" width="8.83203125" style="392"/>
    <col min="14350" max="14350" width="3" style="392" customWidth="1"/>
    <col min="14351" max="14352" width="8.83203125" style="392"/>
    <col min="14353" max="14353" width="3" style="392" customWidth="1"/>
    <col min="14354" max="14355" width="8.83203125" style="392"/>
    <col min="14356" max="14356" width="2.5" style="392" customWidth="1"/>
    <col min="14357" max="14358" width="8.83203125" style="392"/>
    <col min="14359" max="14359" width="2.33203125" style="392" customWidth="1"/>
    <col min="14360" max="14592" width="8.83203125" style="392"/>
    <col min="14593" max="14593" width="35.6640625" style="392" customWidth="1"/>
    <col min="14594" max="14594" width="2.6640625" style="392" customWidth="1"/>
    <col min="14595" max="14600" width="0" style="392" hidden="1" customWidth="1"/>
    <col min="14601" max="14602" width="8.83203125" style="392"/>
    <col min="14603" max="14603" width="3.1640625" style="392" customWidth="1"/>
    <col min="14604" max="14605" width="8.83203125" style="392"/>
    <col min="14606" max="14606" width="3" style="392" customWidth="1"/>
    <col min="14607" max="14608" width="8.83203125" style="392"/>
    <col min="14609" max="14609" width="3" style="392" customWidth="1"/>
    <col min="14610" max="14611" width="8.83203125" style="392"/>
    <col min="14612" max="14612" width="2.5" style="392" customWidth="1"/>
    <col min="14613" max="14614" width="8.83203125" style="392"/>
    <col min="14615" max="14615" width="2.33203125" style="392" customWidth="1"/>
    <col min="14616" max="14848" width="8.83203125" style="392"/>
    <col min="14849" max="14849" width="35.6640625" style="392" customWidth="1"/>
    <col min="14850" max="14850" width="2.6640625" style="392" customWidth="1"/>
    <col min="14851" max="14856" width="0" style="392" hidden="1" customWidth="1"/>
    <col min="14857" max="14858" width="8.83203125" style="392"/>
    <col min="14859" max="14859" width="3.1640625" style="392" customWidth="1"/>
    <col min="14860" max="14861" width="8.83203125" style="392"/>
    <col min="14862" max="14862" width="3" style="392" customWidth="1"/>
    <col min="14863" max="14864" width="8.83203125" style="392"/>
    <col min="14865" max="14865" width="3" style="392" customWidth="1"/>
    <col min="14866" max="14867" width="8.83203125" style="392"/>
    <col min="14868" max="14868" width="2.5" style="392" customWidth="1"/>
    <col min="14869" max="14870" width="8.83203125" style="392"/>
    <col min="14871" max="14871" width="2.33203125" style="392" customWidth="1"/>
    <col min="14872" max="15104" width="8.83203125" style="392"/>
    <col min="15105" max="15105" width="35.6640625" style="392" customWidth="1"/>
    <col min="15106" max="15106" width="2.6640625" style="392" customWidth="1"/>
    <col min="15107" max="15112" width="0" style="392" hidden="1" customWidth="1"/>
    <col min="15113" max="15114" width="8.83203125" style="392"/>
    <col min="15115" max="15115" width="3.1640625" style="392" customWidth="1"/>
    <col min="15116" max="15117" width="8.83203125" style="392"/>
    <col min="15118" max="15118" width="3" style="392" customWidth="1"/>
    <col min="15119" max="15120" width="8.83203125" style="392"/>
    <col min="15121" max="15121" width="3" style="392" customWidth="1"/>
    <col min="15122" max="15123" width="8.83203125" style="392"/>
    <col min="15124" max="15124" width="2.5" style="392" customWidth="1"/>
    <col min="15125" max="15126" width="8.83203125" style="392"/>
    <col min="15127" max="15127" width="2.33203125" style="392" customWidth="1"/>
    <col min="15128" max="15360" width="8.83203125" style="392"/>
    <col min="15361" max="15361" width="35.6640625" style="392" customWidth="1"/>
    <col min="15362" max="15362" width="2.6640625" style="392" customWidth="1"/>
    <col min="15363" max="15368" width="0" style="392" hidden="1" customWidth="1"/>
    <col min="15369" max="15370" width="8.83203125" style="392"/>
    <col min="15371" max="15371" width="3.1640625" style="392" customWidth="1"/>
    <col min="15372" max="15373" width="8.83203125" style="392"/>
    <col min="15374" max="15374" width="3" style="392" customWidth="1"/>
    <col min="15375" max="15376" width="8.83203125" style="392"/>
    <col min="15377" max="15377" width="3" style="392" customWidth="1"/>
    <col min="15378" max="15379" width="8.83203125" style="392"/>
    <col min="15380" max="15380" width="2.5" style="392" customWidth="1"/>
    <col min="15381" max="15382" width="8.83203125" style="392"/>
    <col min="15383" max="15383" width="2.33203125" style="392" customWidth="1"/>
    <col min="15384" max="15616" width="8.83203125" style="392"/>
    <col min="15617" max="15617" width="35.6640625" style="392" customWidth="1"/>
    <col min="15618" max="15618" width="2.6640625" style="392" customWidth="1"/>
    <col min="15619" max="15624" width="0" style="392" hidden="1" customWidth="1"/>
    <col min="15625" max="15626" width="8.83203125" style="392"/>
    <col min="15627" max="15627" width="3.1640625" style="392" customWidth="1"/>
    <col min="15628" max="15629" width="8.83203125" style="392"/>
    <col min="15630" max="15630" width="3" style="392" customWidth="1"/>
    <col min="15631" max="15632" width="8.83203125" style="392"/>
    <col min="15633" max="15633" width="3" style="392" customWidth="1"/>
    <col min="15634" max="15635" width="8.83203125" style="392"/>
    <col min="15636" max="15636" width="2.5" style="392" customWidth="1"/>
    <col min="15637" max="15638" width="8.83203125" style="392"/>
    <col min="15639" max="15639" width="2.33203125" style="392" customWidth="1"/>
    <col min="15640" max="15872" width="8.83203125" style="392"/>
    <col min="15873" max="15873" width="35.6640625" style="392" customWidth="1"/>
    <col min="15874" max="15874" width="2.6640625" style="392" customWidth="1"/>
    <col min="15875" max="15880" width="0" style="392" hidden="1" customWidth="1"/>
    <col min="15881" max="15882" width="8.83203125" style="392"/>
    <col min="15883" max="15883" width="3.1640625" style="392" customWidth="1"/>
    <col min="15884" max="15885" width="8.83203125" style="392"/>
    <col min="15886" max="15886" width="3" style="392" customWidth="1"/>
    <col min="15887" max="15888" width="8.83203125" style="392"/>
    <col min="15889" max="15889" width="3" style="392" customWidth="1"/>
    <col min="15890" max="15891" width="8.83203125" style="392"/>
    <col min="15892" max="15892" width="2.5" style="392" customWidth="1"/>
    <col min="15893" max="15894" width="8.83203125" style="392"/>
    <col min="15895" max="15895" width="2.33203125" style="392" customWidth="1"/>
    <col min="15896" max="16128" width="8.83203125" style="392"/>
    <col min="16129" max="16129" width="35.6640625" style="392" customWidth="1"/>
    <col min="16130" max="16130" width="2.6640625" style="392" customWidth="1"/>
    <col min="16131" max="16136" width="0" style="392" hidden="1" customWidth="1"/>
    <col min="16137" max="16138" width="8.83203125" style="392"/>
    <col min="16139" max="16139" width="3.1640625" style="392" customWidth="1"/>
    <col min="16140" max="16141" width="8.83203125" style="392"/>
    <col min="16142" max="16142" width="3" style="392" customWidth="1"/>
    <col min="16143" max="16144" width="8.83203125" style="392"/>
    <col min="16145" max="16145" width="3" style="392" customWidth="1"/>
    <col min="16146" max="16147" width="8.83203125" style="392"/>
    <col min="16148" max="16148" width="2.5" style="392" customWidth="1"/>
    <col min="16149" max="16150" width="8.83203125" style="392"/>
    <col min="16151" max="16151" width="2.33203125" style="392" customWidth="1"/>
    <col min="16152" max="16384" width="8.83203125" style="392"/>
  </cols>
  <sheetData>
    <row r="1" spans="1:23">
      <c r="A1" s="33" t="s">
        <v>144</v>
      </c>
    </row>
    <row r="2" spans="1:23">
      <c r="A2" s="33" t="s">
        <v>145</v>
      </c>
    </row>
    <row r="3" spans="1:23">
      <c r="A3" s="33"/>
    </row>
    <row r="4" spans="1:23">
      <c r="A4" s="14" t="s">
        <v>2043</v>
      </c>
    </row>
    <row r="5" spans="1:23" ht="15" thickBot="1">
      <c r="A5" s="33"/>
    </row>
    <row r="6" spans="1:23" ht="20" customHeight="1">
      <c r="A6" s="188"/>
      <c r="B6" s="827"/>
      <c r="C6" s="827"/>
      <c r="D6" s="827"/>
      <c r="E6" s="827"/>
      <c r="F6" s="827"/>
      <c r="G6" s="827"/>
      <c r="H6" s="827"/>
      <c r="I6" s="827"/>
      <c r="J6" s="827"/>
      <c r="K6" s="827"/>
      <c r="L6" s="827"/>
      <c r="M6" s="827"/>
      <c r="N6" s="827"/>
      <c r="O6" s="827"/>
      <c r="P6" s="827"/>
      <c r="Q6" s="827"/>
      <c r="R6" s="827"/>
      <c r="S6" s="827"/>
      <c r="T6" s="827"/>
      <c r="U6" s="827"/>
      <c r="V6" s="827"/>
      <c r="W6" s="827"/>
    </row>
    <row r="7" spans="1:23" ht="20" customHeight="1">
      <c r="A7" s="33" t="s">
        <v>1463</v>
      </c>
      <c r="C7" s="1060">
        <v>2013</v>
      </c>
      <c r="D7" s="1061"/>
      <c r="F7" s="1060">
        <v>2014</v>
      </c>
      <c r="G7" s="1061"/>
      <c r="I7" s="1060">
        <v>2015</v>
      </c>
      <c r="J7" s="1061"/>
      <c r="L7" s="1060">
        <v>2016</v>
      </c>
      <c r="M7" s="1061"/>
      <c r="O7" s="1060">
        <v>2017</v>
      </c>
      <c r="P7" s="1061"/>
      <c r="R7" s="1060">
        <v>2018</v>
      </c>
      <c r="S7" s="1061"/>
      <c r="U7" s="1060">
        <v>2019</v>
      </c>
      <c r="V7" s="1061"/>
    </row>
    <row r="8" spans="1:23" ht="20" customHeight="1">
      <c r="A8" s="490" t="s">
        <v>1464</v>
      </c>
      <c r="C8" s="791" t="s">
        <v>152</v>
      </c>
      <c r="D8" s="794" t="s">
        <v>153</v>
      </c>
      <c r="F8" s="791" t="s">
        <v>152</v>
      </c>
      <c r="G8" s="794" t="s">
        <v>153</v>
      </c>
      <c r="I8" s="791" t="s">
        <v>152</v>
      </c>
      <c r="J8" s="794" t="s">
        <v>153</v>
      </c>
      <c r="L8" s="791" t="s">
        <v>152</v>
      </c>
      <c r="M8" s="794" t="s">
        <v>153</v>
      </c>
      <c r="O8" s="791" t="s">
        <v>152</v>
      </c>
      <c r="P8" s="794" t="s">
        <v>153</v>
      </c>
      <c r="R8" s="791" t="s">
        <v>152</v>
      </c>
      <c r="S8" s="794" t="s">
        <v>153</v>
      </c>
      <c r="U8" s="791" t="s">
        <v>152</v>
      </c>
      <c r="V8" s="794" t="s">
        <v>153</v>
      </c>
    </row>
    <row r="9" spans="1:23" ht="20" customHeight="1" thickBot="1">
      <c r="A9" s="199"/>
      <c r="C9" s="828"/>
      <c r="D9" s="828"/>
      <c r="F9" s="828"/>
      <c r="G9" s="828"/>
      <c r="I9" s="828"/>
      <c r="J9" s="828"/>
      <c r="L9" s="828"/>
      <c r="M9" s="828"/>
      <c r="O9" s="828"/>
      <c r="P9" s="828"/>
      <c r="R9" s="828"/>
      <c r="S9" s="828"/>
      <c r="U9" s="828"/>
      <c r="V9" s="828"/>
    </row>
    <row r="10" spans="1:23" ht="17" customHeight="1">
      <c r="A10" s="57"/>
      <c r="B10" s="827"/>
      <c r="E10" s="827"/>
      <c r="H10" s="827"/>
      <c r="K10" s="827"/>
      <c r="N10" s="827"/>
      <c r="Q10" s="827"/>
      <c r="T10" s="827"/>
      <c r="W10" s="827"/>
    </row>
    <row r="11" spans="1:23" ht="17" customHeight="1">
      <c r="A11" s="55" t="s">
        <v>402</v>
      </c>
      <c r="C11" s="33">
        <f>SUM(C13+C29)</f>
        <v>483</v>
      </c>
      <c r="D11" s="84">
        <f>(SUM(D13+D29))</f>
        <v>99.999999999999986</v>
      </c>
      <c r="F11" s="33">
        <f>SUM(F13+F29)</f>
        <v>440</v>
      </c>
      <c r="G11" s="84">
        <f>(SUM(G13+G29))</f>
        <v>100</v>
      </c>
      <c r="I11" s="33">
        <f>SUM(I13+I29)</f>
        <v>470</v>
      </c>
      <c r="J11" s="84">
        <f>(SUM(J13+J29))</f>
        <v>100</v>
      </c>
      <c r="L11" s="33">
        <f>SUM(L13+L29)</f>
        <v>463</v>
      </c>
      <c r="M11" s="84">
        <f>(SUM(M13+M29))</f>
        <v>100</v>
      </c>
      <c r="O11" s="33">
        <f>SUM(O13+O29)</f>
        <v>460</v>
      </c>
      <c r="P11" s="84">
        <f>(SUM(P13+P29))</f>
        <v>100</v>
      </c>
      <c r="R11" s="33">
        <f>SUM(R13+R29)</f>
        <v>463</v>
      </c>
      <c r="S11" s="84">
        <f>(SUM(S13+S29))</f>
        <v>100</v>
      </c>
      <c r="U11" s="33">
        <f>SUM(U13+U29)</f>
        <v>485</v>
      </c>
      <c r="V11" s="84">
        <f>(SUM(V13+V29))</f>
        <v>100</v>
      </c>
    </row>
    <row r="12" spans="1:23" ht="17" customHeight="1">
      <c r="A12" s="33"/>
      <c r="C12" s="33"/>
      <c r="D12" s="33"/>
      <c r="F12" s="33"/>
      <c r="G12" s="33"/>
      <c r="I12" s="33"/>
      <c r="J12" s="33"/>
      <c r="L12" s="33"/>
      <c r="M12" s="33"/>
      <c r="O12" s="33"/>
      <c r="P12" s="33"/>
      <c r="R12" s="33"/>
      <c r="S12" s="33"/>
      <c r="U12" s="33"/>
      <c r="V12" s="33"/>
    </row>
    <row r="13" spans="1:23" ht="17" customHeight="1">
      <c r="A13" s="55" t="s">
        <v>1462</v>
      </c>
      <c r="C13" s="33">
        <f>SUM(C15:C27)</f>
        <v>382</v>
      </c>
      <c r="D13" s="84">
        <f>IF($A13&lt;&gt;0,C13/C$11*100,"")</f>
        <v>79.089026915113863</v>
      </c>
      <c r="F13" s="33">
        <f>SUM(F15:F27)</f>
        <v>352</v>
      </c>
      <c r="G13" s="84">
        <f>IF($A13&lt;&gt;0,F13/F$11*100,"")</f>
        <v>80</v>
      </c>
      <c r="I13" s="33">
        <f>SUM(I15:I27)</f>
        <v>375</v>
      </c>
      <c r="J13" s="84">
        <f>IF($A13&lt;&gt;0,I13/I$11*100,"")</f>
        <v>79.787234042553195</v>
      </c>
      <c r="L13" s="33">
        <f>SUM(L15:L27)</f>
        <v>368</v>
      </c>
      <c r="M13" s="84">
        <f>IF($A13&lt;&gt;0,L13/L$11*100,"")</f>
        <v>79.481641468682511</v>
      </c>
      <c r="O13" s="33">
        <f>SUM(O15:O27)</f>
        <v>363</v>
      </c>
      <c r="P13" s="84">
        <f>IF($A13&lt;&gt;0,O13/O$11*100,"")</f>
        <v>78.913043478260875</v>
      </c>
      <c r="R13" s="33">
        <f>SUM(R15:R27)</f>
        <v>353</v>
      </c>
      <c r="S13" s="84">
        <f>IF($A13&lt;&gt;0,R13/R$11*100,"")</f>
        <v>76.241900647948171</v>
      </c>
      <c r="U13" s="33">
        <f>SUM(U15:U27)</f>
        <v>380</v>
      </c>
      <c r="V13" s="84">
        <f>IF($A13&lt;&gt;0,U13/U$11*100,"")</f>
        <v>78.350515463917532</v>
      </c>
    </row>
    <row r="14" spans="1:23" ht="17" customHeight="1">
      <c r="A14" s="33"/>
      <c r="C14" s="33"/>
      <c r="D14" s="84" t="str">
        <f t="shared" ref="D14:D25" si="0">IF($A14&lt;&gt;0,C14/C$11*100,"")</f>
        <v/>
      </c>
      <c r="F14" s="33"/>
      <c r="G14" s="84" t="str">
        <f t="shared" ref="G14:G25" si="1">IF($A14&lt;&gt;0,F14/F$11*100,"")</f>
        <v/>
      </c>
      <c r="I14" s="33"/>
      <c r="J14" s="84" t="str">
        <f t="shared" ref="J14:J25" si="2">IF($A14&lt;&gt;0,I14/I$11*100,"")</f>
        <v/>
      </c>
      <c r="L14" s="33"/>
      <c r="M14" s="84" t="str">
        <f t="shared" ref="M14:M25" si="3">IF($A14&lt;&gt;0,L14/L$11*100,"")</f>
        <v/>
      </c>
    </row>
    <row r="15" spans="1:23" ht="17" customHeight="1">
      <c r="A15" s="33" t="s">
        <v>1465</v>
      </c>
      <c r="C15" s="14">
        <v>27</v>
      </c>
      <c r="D15" s="84">
        <f t="shared" si="0"/>
        <v>5.5900621118012426</v>
      </c>
      <c r="F15" s="14">
        <v>26</v>
      </c>
      <c r="G15" s="84">
        <f t="shared" si="1"/>
        <v>5.9090909090909092</v>
      </c>
      <c r="I15" s="14">
        <v>27</v>
      </c>
      <c r="J15" s="84">
        <f t="shared" si="2"/>
        <v>5.7446808510638299</v>
      </c>
      <c r="L15" s="14">
        <v>25</v>
      </c>
      <c r="M15" s="84">
        <f t="shared" si="3"/>
        <v>5.3995680345572357</v>
      </c>
      <c r="O15" s="14">
        <v>27</v>
      </c>
      <c r="P15" s="84">
        <f>IF($A15&lt;&gt;0,O15/O$11*100,"")</f>
        <v>5.8695652173913047</v>
      </c>
      <c r="R15" s="14">
        <v>30</v>
      </c>
      <c r="S15" s="84">
        <f>IF($A15&lt;&gt;0,R15/R$11*100,"")</f>
        <v>6.4794816414686833</v>
      </c>
      <c r="U15" s="14">
        <v>29</v>
      </c>
      <c r="V15" s="84">
        <f>IF($A15&lt;&gt;0,U15/U$11*100,"")</f>
        <v>5.9793814432989691</v>
      </c>
    </row>
    <row r="16" spans="1:23" ht="17" customHeight="1">
      <c r="A16" s="33"/>
      <c r="C16" s="14"/>
      <c r="D16" s="84" t="str">
        <f t="shared" si="0"/>
        <v/>
      </c>
      <c r="F16" s="14"/>
      <c r="G16" s="84" t="str">
        <f t="shared" si="1"/>
        <v/>
      </c>
      <c r="I16" s="14"/>
      <c r="J16" s="84" t="str">
        <f t="shared" si="2"/>
        <v/>
      </c>
      <c r="L16" s="14"/>
      <c r="M16" s="84" t="str">
        <f t="shared" si="3"/>
        <v/>
      </c>
      <c r="O16" s="14"/>
      <c r="P16" s="84" t="str">
        <f t="shared" ref="P16:P25" si="4">IF($A16&lt;&gt;0,O16/O$11*100,"")</f>
        <v/>
      </c>
      <c r="R16" s="14"/>
      <c r="S16" s="84" t="str">
        <f t="shared" ref="S16:S25" si="5">IF($A16&lt;&gt;0,R16/R$11*100,"")</f>
        <v/>
      </c>
      <c r="U16" s="14"/>
      <c r="V16" s="84" t="str">
        <f t="shared" ref="V16:V25" si="6">IF($A16&lt;&gt;0,U16/U$11*100,"")</f>
        <v/>
      </c>
    </row>
    <row r="17" spans="1:23" ht="17" customHeight="1">
      <c r="A17" s="33" t="s">
        <v>1466</v>
      </c>
      <c r="C17" s="14">
        <v>35</v>
      </c>
      <c r="D17" s="84">
        <f t="shared" si="0"/>
        <v>7.2463768115942031</v>
      </c>
      <c r="F17" s="14">
        <v>27</v>
      </c>
      <c r="G17" s="84">
        <f t="shared" si="1"/>
        <v>6.1363636363636367</v>
      </c>
      <c r="I17" s="14">
        <v>31</v>
      </c>
      <c r="J17" s="84">
        <f t="shared" si="2"/>
        <v>6.5957446808510634</v>
      </c>
      <c r="L17" s="14">
        <v>33</v>
      </c>
      <c r="M17" s="84">
        <f t="shared" si="3"/>
        <v>7.1274298056155514</v>
      </c>
      <c r="O17" s="14">
        <v>37</v>
      </c>
      <c r="P17" s="84">
        <f t="shared" si="4"/>
        <v>8.0434782608695645</v>
      </c>
      <c r="R17" s="14">
        <v>33</v>
      </c>
      <c r="S17" s="84">
        <f t="shared" si="5"/>
        <v>7.1274298056155514</v>
      </c>
      <c r="U17" s="14">
        <v>32</v>
      </c>
      <c r="V17" s="84">
        <f t="shared" si="6"/>
        <v>6.5979381443298974</v>
      </c>
    </row>
    <row r="18" spans="1:23" ht="17" customHeight="1">
      <c r="A18" s="33"/>
      <c r="C18" s="14"/>
      <c r="D18" s="84" t="str">
        <f t="shared" si="0"/>
        <v/>
      </c>
      <c r="F18" s="14"/>
      <c r="G18" s="84" t="str">
        <f t="shared" si="1"/>
        <v/>
      </c>
      <c r="I18" s="14"/>
      <c r="J18" s="84" t="str">
        <f t="shared" si="2"/>
        <v/>
      </c>
      <c r="L18" s="14"/>
      <c r="M18" s="84" t="str">
        <f t="shared" si="3"/>
        <v/>
      </c>
      <c r="O18" s="14"/>
      <c r="P18" s="84" t="str">
        <f t="shared" si="4"/>
        <v/>
      </c>
      <c r="R18" s="14"/>
      <c r="S18" s="84" t="str">
        <f t="shared" si="5"/>
        <v/>
      </c>
      <c r="U18" s="14"/>
      <c r="V18" s="84" t="str">
        <f t="shared" si="6"/>
        <v/>
      </c>
    </row>
    <row r="19" spans="1:23" ht="17" customHeight="1">
      <c r="A19" s="33" t="s">
        <v>1467</v>
      </c>
      <c r="C19" s="14">
        <v>134</v>
      </c>
      <c r="D19" s="84">
        <f t="shared" si="0"/>
        <v>27.74327122153209</v>
      </c>
      <c r="F19" s="14">
        <v>122</v>
      </c>
      <c r="G19" s="84">
        <f t="shared" si="1"/>
        <v>27.727272727272727</v>
      </c>
      <c r="I19" s="14">
        <v>129</v>
      </c>
      <c r="J19" s="84">
        <f t="shared" si="2"/>
        <v>27.446808510638299</v>
      </c>
      <c r="L19" s="14">
        <v>126</v>
      </c>
      <c r="M19" s="84">
        <f t="shared" si="3"/>
        <v>27.213822894168466</v>
      </c>
      <c r="O19" s="14">
        <v>128</v>
      </c>
      <c r="P19" s="84">
        <f t="shared" si="4"/>
        <v>27.826086956521738</v>
      </c>
      <c r="R19" s="14">
        <v>147</v>
      </c>
      <c r="S19" s="84">
        <f t="shared" si="5"/>
        <v>31.749460043196542</v>
      </c>
      <c r="U19" s="14">
        <v>149</v>
      </c>
      <c r="V19" s="84">
        <f t="shared" si="6"/>
        <v>30.721649484536083</v>
      </c>
    </row>
    <row r="20" spans="1:23" ht="17" customHeight="1">
      <c r="A20" s="33"/>
      <c r="C20" s="14"/>
      <c r="D20" s="84" t="str">
        <f t="shared" si="0"/>
        <v/>
      </c>
      <c r="F20" s="14"/>
      <c r="G20" s="84" t="str">
        <f t="shared" si="1"/>
        <v/>
      </c>
      <c r="I20" s="14"/>
      <c r="J20" s="84" t="str">
        <f t="shared" si="2"/>
        <v/>
      </c>
      <c r="L20" s="14"/>
      <c r="M20" s="84" t="str">
        <f t="shared" si="3"/>
        <v/>
      </c>
      <c r="O20" s="14"/>
      <c r="P20" s="84" t="str">
        <f t="shared" si="4"/>
        <v/>
      </c>
      <c r="R20" s="14"/>
      <c r="S20" s="84" t="str">
        <f t="shared" si="5"/>
        <v/>
      </c>
      <c r="U20" s="14"/>
      <c r="V20" s="84" t="str">
        <f t="shared" si="6"/>
        <v/>
      </c>
    </row>
    <row r="21" spans="1:23" ht="17" customHeight="1">
      <c r="A21" s="33" t="s">
        <v>1468</v>
      </c>
      <c r="C21" s="14">
        <v>83</v>
      </c>
      <c r="D21" s="84">
        <f t="shared" si="0"/>
        <v>17.184265010351968</v>
      </c>
      <c r="F21" s="14">
        <v>85</v>
      </c>
      <c r="G21" s="84">
        <f t="shared" si="1"/>
        <v>19.318181818181817</v>
      </c>
      <c r="I21" s="14">
        <v>89</v>
      </c>
      <c r="J21" s="84">
        <f t="shared" si="2"/>
        <v>18.936170212765958</v>
      </c>
      <c r="L21" s="14">
        <v>83</v>
      </c>
      <c r="M21" s="84">
        <f t="shared" si="3"/>
        <v>17.92656587473002</v>
      </c>
      <c r="O21" s="14">
        <v>77</v>
      </c>
      <c r="P21" s="84">
        <f t="shared" si="4"/>
        <v>16.739130434782609</v>
      </c>
      <c r="R21" s="14">
        <v>76</v>
      </c>
      <c r="S21" s="84">
        <f t="shared" si="5"/>
        <v>16.414686825053995</v>
      </c>
      <c r="U21" s="14">
        <v>86</v>
      </c>
      <c r="V21" s="84">
        <f t="shared" si="6"/>
        <v>17.731958762886599</v>
      </c>
    </row>
    <row r="22" spans="1:23" ht="17" customHeight="1">
      <c r="A22" s="33"/>
      <c r="C22" s="14"/>
      <c r="D22" s="84" t="str">
        <f t="shared" si="0"/>
        <v/>
      </c>
      <c r="F22" s="14"/>
      <c r="G22" s="84" t="str">
        <f t="shared" si="1"/>
        <v/>
      </c>
      <c r="I22" s="14"/>
      <c r="J22" s="84" t="str">
        <f t="shared" si="2"/>
        <v/>
      </c>
      <c r="L22" s="14"/>
      <c r="M22" s="84" t="str">
        <f t="shared" si="3"/>
        <v/>
      </c>
      <c r="O22" s="14"/>
      <c r="P22" s="84" t="str">
        <f t="shared" si="4"/>
        <v/>
      </c>
      <c r="R22" s="14"/>
      <c r="S22" s="84" t="str">
        <f t="shared" si="5"/>
        <v/>
      </c>
      <c r="U22" s="14"/>
      <c r="V22" s="84" t="str">
        <f t="shared" si="6"/>
        <v/>
      </c>
    </row>
    <row r="23" spans="1:23" ht="17" customHeight="1">
      <c r="A23" s="33" t="s">
        <v>1469</v>
      </c>
      <c r="C23" s="14">
        <v>50</v>
      </c>
      <c r="D23" s="84">
        <f t="shared" si="0"/>
        <v>10.351966873706004</v>
      </c>
      <c r="F23" s="14">
        <v>51</v>
      </c>
      <c r="G23" s="84">
        <f t="shared" si="1"/>
        <v>11.59090909090909</v>
      </c>
      <c r="I23" s="14">
        <v>51</v>
      </c>
      <c r="J23" s="84">
        <f t="shared" si="2"/>
        <v>10.851063829787234</v>
      </c>
      <c r="L23" s="14">
        <v>53</v>
      </c>
      <c r="M23" s="84">
        <f t="shared" si="3"/>
        <v>11.447084233261338</v>
      </c>
      <c r="O23" s="14">
        <v>54</v>
      </c>
      <c r="P23" s="84">
        <f t="shared" si="4"/>
        <v>11.739130434782609</v>
      </c>
      <c r="R23" s="14">
        <v>40</v>
      </c>
      <c r="S23" s="84">
        <f t="shared" si="5"/>
        <v>8.639308855291576</v>
      </c>
      <c r="U23" s="14">
        <v>42</v>
      </c>
      <c r="V23" s="84">
        <f t="shared" si="6"/>
        <v>8.6597938144329891</v>
      </c>
    </row>
    <row r="24" spans="1:23" ht="17" customHeight="1">
      <c r="A24" s="33"/>
      <c r="C24" s="14"/>
      <c r="D24" s="84" t="str">
        <f t="shared" si="0"/>
        <v/>
      </c>
      <c r="F24" s="14"/>
      <c r="G24" s="84" t="str">
        <f t="shared" si="1"/>
        <v/>
      </c>
      <c r="I24" s="14"/>
      <c r="J24" s="84" t="str">
        <f t="shared" si="2"/>
        <v/>
      </c>
      <c r="L24" s="14"/>
      <c r="M24" s="84" t="str">
        <f t="shared" si="3"/>
        <v/>
      </c>
      <c r="O24" s="14"/>
      <c r="P24" s="84" t="str">
        <f t="shared" si="4"/>
        <v/>
      </c>
      <c r="R24" s="14"/>
      <c r="S24" s="84" t="str">
        <f t="shared" si="5"/>
        <v/>
      </c>
      <c r="U24" s="14"/>
      <c r="V24" s="84" t="str">
        <f t="shared" si="6"/>
        <v/>
      </c>
    </row>
    <row r="25" spans="1:23" ht="17" customHeight="1">
      <c r="A25" s="33" t="s">
        <v>1470</v>
      </c>
      <c r="C25" s="14">
        <v>20</v>
      </c>
      <c r="D25" s="84">
        <f t="shared" si="0"/>
        <v>4.1407867494824018</v>
      </c>
      <c r="F25" s="14">
        <v>22</v>
      </c>
      <c r="G25" s="84">
        <f t="shared" si="1"/>
        <v>5</v>
      </c>
      <c r="I25" s="14">
        <v>27</v>
      </c>
      <c r="J25" s="84">
        <f t="shared" si="2"/>
        <v>5.7446808510638299</v>
      </c>
      <c r="L25" s="14">
        <v>27</v>
      </c>
      <c r="M25" s="84">
        <f t="shared" si="3"/>
        <v>5.8315334773218144</v>
      </c>
      <c r="O25" s="14">
        <v>26</v>
      </c>
      <c r="P25" s="84">
        <f t="shared" si="4"/>
        <v>5.6521739130434785</v>
      </c>
      <c r="R25" s="14">
        <v>27</v>
      </c>
      <c r="S25" s="84">
        <f t="shared" si="5"/>
        <v>5.8315334773218144</v>
      </c>
      <c r="U25" s="14">
        <v>29</v>
      </c>
      <c r="V25" s="84">
        <f t="shared" si="6"/>
        <v>5.9793814432989691</v>
      </c>
    </row>
    <row r="26" spans="1:23" ht="17" customHeight="1">
      <c r="A26" s="33"/>
      <c r="C26" s="14"/>
      <c r="D26" s="84" t="str">
        <f>IF($A26&lt;&gt;0,C26/C$11*100,"")</f>
        <v/>
      </c>
      <c r="F26" s="14"/>
      <c r="G26" s="84" t="str">
        <f>IF($A26&lt;&gt;0,F26/F$11*100,"")</f>
        <v/>
      </c>
      <c r="I26" s="14"/>
      <c r="J26" s="84" t="str">
        <f>IF($A26&lt;&gt;0,I26/I$11*100,"")</f>
        <v/>
      </c>
      <c r="L26" s="14"/>
      <c r="M26" s="84" t="str">
        <f>IF($A26&lt;&gt;0,L26/L$11*100,"")</f>
        <v/>
      </c>
      <c r="O26" s="14"/>
      <c r="P26" s="84" t="str">
        <f>IF($A26&lt;&gt;0,O26/O$11*100,"")</f>
        <v/>
      </c>
      <c r="R26" s="14"/>
      <c r="S26" s="84" t="str">
        <f>IF($A26&lt;&gt;0,R26/R$11*100,"")</f>
        <v/>
      </c>
      <c r="U26" s="14"/>
      <c r="V26" s="84" t="str">
        <f>IF($A26&lt;&gt;0,U26/U$11*100,"")</f>
        <v/>
      </c>
    </row>
    <row r="27" spans="1:23" ht="17" customHeight="1">
      <c r="A27" s="33" t="s">
        <v>2044</v>
      </c>
      <c r="C27" s="14">
        <v>33</v>
      </c>
      <c r="D27" s="84">
        <f>IF($A27&lt;&gt;0,C27/C$11*100,"")</f>
        <v>6.8322981366459627</v>
      </c>
      <c r="F27" s="14">
        <v>19</v>
      </c>
      <c r="G27" s="84">
        <f>IF($A27&lt;&gt;0,F27/F$11*100,"")</f>
        <v>4.3181818181818183</v>
      </c>
      <c r="I27" s="14">
        <v>21</v>
      </c>
      <c r="J27" s="84">
        <f>IF($A27&lt;&gt;0,I27/I$11*100,"")</f>
        <v>4.4680851063829792</v>
      </c>
      <c r="L27" s="14">
        <v>21</v>
      </c>
      <c r="M27" s="84">
        <f>IF($A27&lt;&gt;0,L27/L$11*100,"")</f>
        <v>4.5356371490280782</v>
      </c>
      <c r="O27" s="14">
        <v>14</v>
      </c>
      <c r="P27" s="84">
        <f>IF($A27&lt;&gt;0,O27/O$11*100,"")</f>
        <v>3.0434782608695654</v>
      </c>
      <c r="R27" s="14"/>
      <c r="S27" s="84">
        <f>IF($A27&lt;&gt;0,R27/R$11*100,"")</f>
        <v>0</v>
      </c>
      <c r="U27" s="14">
        <v>13</v>
      </c>
      <c r="V27" s="84">
        <f>IF($A27&lt;&gt;0,U27/U$11*100,"")</f>
        <v>2.6804123711340204</v>
      </c>
    </row>
    <row r="28" spans="1:23" ht="17" customHeight="1">
      <c r="A28" s="33"/>
      <c r="C28" s="14"/>
      <c r="D28" s="84" t="str">
        <f>IF($A28&lt;&gt;0,C28/C$11*100,"")</f>
        <v/>
      </c>
      <c r="F28" s="14"/>
      <c r="G28" s="84" t="str">
        <f>IF($A28&lt;&gt;0,F28/F$11*100,"")</f>
        <v/>
      </c>
      <c r="I28" s="14"/>
      <c r="J28" s="84" t="str">
        <f>IF($A28&lt;&gt;0,I28/I$11*100,"")</f>
        <v/>
      </c>
      <c r="L28" s="14"/>
      <c r="M28" s="84" t="str">
        <f>IF($A28&lt;&gt;0,L28/L$11*100,"")</f>
        <v/>
      </c>
      <c r="O28" s="14"/>
      <c r="P28" s="84" t="str">
        <f>IF($A28&lt;&gt;0,O28/O$11*100,"")</f>
        <v/>
      </c>
      <c r="R28" s="14"/>
      <c r="S28" s="84" t="str">
        <f>IF($A28&lt;&gt;0,R28/R$11*100,"")</f>
        <v/>
      </c>
      <c r="U28" s="14"/>
      <c r="V28" s="84" t="str">
        <f>IF($A28&lt;&gt;0,U28/U$11*100,"")</f>
        <v/>
      </c>
    </row>
    <row r="29" spans="1:23" ht="17" customHeight="1">
      <c r="A29" s="55" t="s">
        <v>423</v>
      </c>
      <c r="C29" s="14">
        <v>101</v>
      </c>
      <c r="D29" s="84">
        <f>IF($A29&lt;&gt;0,C29/C$11*100,"")</f>
        <v>20.910973084886127</v>
      </c>
      <c r="F29" s="14">
        <v>88</v>
      </c>
      <c r="G29" s="84">
        <f>IF($A29&lt;&gt;0,F29/F$11*100,"")</f>
        <v>20</v>
      </c>
      <c r="I29" s="14">
        <f>6+16+19+27+14+13</f>
        <v>95</v>
      </c>
      <c r="J29" s="84">
        <f>IF($A29&lt;&gt;0,I29/I$11*100,"")</f>
        <v>20.212765957446805</v>
      </c>
      <c r="L29" s="14">
        <v>95</v>
      </c>
      <c r="M29" s="84">
        <f>IF($A29&lt;&gt;0,L29/L$11*100,"")</f>
        <v>20.518358531317496</v>
      </c>
      <c r="O29" s="14">
        <v>97</v>
      </c>
      <c r="P29" s="84">
        <f>IF($A29&lt;&gt;0,O29/O$11*100,"")</f>
        <v>21.086956521739133</v>
      </c>
      <c r="R29" s="14">
        <v>110</v>
      </c>
      <c r="S29" s="84">
        <f>IF($A29&lt;&gt;0,R29/R$11*100,"")</f>
        <v>23.758099352051836</v>
      </c>
      <c r="U29" s="14">
        <v>105</v>
      </c>
      <c r="V29" s="84">
        <f>IF($A29&lt;&gt;0,U29/U$11*100,"")</f>
        <v>21.649484536082475</v>
      </c>
    </row>
    <row r="30" spans="1:23" ht="10.5" customHeight="1" thickBot="1">
      <c r="A30" s="199"/>
      <c r="C30" s="828"/>
      <c r="D30" s="828"/>
      <c r="F30" s="828"/>
      <c r="G30" s="828"/>
      <c r="I30" s="828"/>
      <c r="J30" s="828"/>
      <c r="L30" s="828"/>
      <c r="M30" s="828"/>
      <c r="O30" s="828"/>
      <c r="P30" s="828"/>
      <c r="Q30" s="828"/>
      <c r="R30" s="828"/>
      <c r="S30" s="828"/>
      <c r="T30" s="828"/>
      <c r="U30" s="828"/>
      <c r="V30" s="828"/>
      <c r="W30" s="828"/>
    </row>
    <row r="31" spans="1:23" ht="11.25" customHeight="1">
      <c r="A31" s="33"/>
      <c r="B31" s="827"/>
      <c r="E31" s="827"/>
      <c r="H31" s="827"/>
      <c r="K31" s="827"/>
      <c r="N31" s="827"/>
    </row>
    <row r="32" spans="1:23">
      <c r="A32" s="890" t="s">
        <v>1471</v>
      </c>
      <c r="B32" s="829"/>
      <c r="C32" s="829"/>
      <c r="D32" s="829"/>
      <c r="E32" s="829"/>
      <c r="F32" s="829"/>
      <c r="G32" s="829"/>
    </row>
    <row r="33" spans="1:1" ht="9.75" customHeight="1">
      <c r="A33" s="33"/>
    </row>
    <row r="34" spans="1:1">
      <c r="A34" s="33" t="s">
        <v>1472</v>
      </c>
    </row>
    <row r="35" spans="1:1">
      <c r="A35" s="33" t="s">
        <v>471</v>
      </c>
    </row>
    <row r="36" spans="1:1">
      <c r="A36" s="33"/>
    </row>
    <row r="42" spans="1:1">
      <c r="A42" s="504"/>
    </row>
  </sheetData>
  <mergeCells count="7">
    <mergeCell ref="U7:V7"/>
    <mergeCell ref="R7:S7"/>
    <mergeCell ref="C7:D7"/>
    <mergeCell ref="F7:G7"/>
    <mergeCell ref="I7:J7"/>
    <mergeCell ref="L7:M7"/>
    <mergeCell ref="O7:P7"/>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5" tint="-0.249977111117893"/>
  </sheetPr>
  <dimension ref="B2:S12"/>
  <sheetViews>
    <sheetView workbookViewId="0"/>
  </sheetViews>
  <sheetFormatPr baseColWidth="10" defaultRowHeight="15"/>
  <cols>
    <col min="2" max="2" width="7.5" customWidth="1"/>
    <col min="3" max="3" width="6.6640625" customWidth="1"/>
    <col min="4" max="4" width="8.5" customWidth="1"/>
    <col min="5" max="5" width="7.1640625" customWidth="1"/>
    <col min="6" max="6" width="8.83203125" customWidth="1"/>
    <col min="7" max="7" width="7.5" customWidth="1"/>
    <col min="8" max="8" width="8.5" customWidth="1"/>
    <col min="258" max="258" width="7.5" customWidth="1"/>
    <col min="259" max="259" width="6.6640625" customWidth="1"/>
    <col min="260" max="260" width="8.5" customWidth="1"/>
    <col min="261" max="261" width="7.1640625" customWidth="1"/>
    <col min="262" max="262" width="8.83203125" customWidth="1"/>
    <col min="263" max="263" width="7.5" customWidth="1"/>
    <col min="264" max="264" width="8.5" customWidth="1"/>
    <col min="514" max="514" width="7.5" customWidth="1"/>
    <col min="515" max="515" width="6.6640625" customWidth="1"/>
    <col min="516" max="516" width="8.5" customWidth="1"/>
    <col min="517" max="517" width="7.1640625" customWidth="1"/>
    <col min="518" max="518" width="8.83203125" customWidth="1"/>
    <col min="519" max="519" width="7.5" customWidth="1"/>
    <col min="520" max="520" width="8.5" customWidth="1"/>
    <col min="770" max="770" width="7.5" customWidth="1"/>
    <col min="771" max="771" width="6.6640625" customWidth="1"/>
    <col min="772" max="772" width="8.5" customWidth="1"/>
    <col min="773" max="773" width="7.1640625" customWidth="1"/>
    <col min="774" max="774" width="8.83203125" customWidth="1"/>
    <col min="775" max="775" width="7.5" customWidth="1"/>
    <col min="776" max="776" width="8.5" customWidth="1"/>
    <col min="1026" max="1026" width="7.5" customWidth="1"/>
    <col min="1027" max="1027" width="6.6640625" customWidth="1"/>
    <col min="1028" max="1028" width="8.5" customWidth="1"/>
    <col min="1029" max="1029" width="7.1640625" customWidth="1"/>
    <col min="1030" max="1030" width="8.83203125" customWidth="1"/>
    <col min="1031" max="1031" width="7.5" customWidth="1"/>
    <col min="1032" max="1032" width="8.5" customWidth="1"/>
    <col min="1282" max="1282" width="7.5" customWidth="1"/>
    <col min="1283" max="1283" width="6.6640625" customWidth="1"/>
    <col min="1284" max="1284" width="8.5" customWidth="1"/>
    <col min="1285" max="1285" width="7.1640625" customWidth="1"/>
    <col min="1286" max="1286" width="8.83203125" customWidth="1"/>
    <col min="1287" max="1287" width="7.5" customWidth="1"/>
    <col min="1288" max="1288" width="8.5" customWidth="1"/>
    <col min="1538" max="1538" width="7.5" customWidth="1"/>
    <col min="1539" max="1539" width="6.6640625" customWidth="1"/>
    <col min="1540" max="1540" width="8.5" customWidth="1"/>
    <col min="1541" max="1541" width="7.1640625" customWidth="1"/>
    <col min="1542" max="1542" width="8.83203125" customWidth="1"/>
    <col min="1543" max="1543" width="7.5" customWidth="1"/>
    <col min="1544" max="1544" width="8.5" customWidth="1"/>
    <col min="1794" max="1794" width="7.5" customWidth="1"/>
    <col min="1795" max="1795" width="6.6640625" customWidth="1"/>
    <col min="1796" max="1796" width="8.5" customWidth="1"/>
    <col min="1797" max="1797" width="7.1640625" customWidth="1"/>
    <col min="1798" max="1798" width="8.83203125" customWidth="1"/>
    <col min="1799" max="1799" width="7.5" customWidth="1"/>
    <col min="1800" max="1800" width="8.5" customWidth="1"/>
    <col min="2050" max="2050" width="7.5" customWidth="1"/>
    <col min="2051" max="2051" width="6.6640625" customWidth="1"/>
    <col min="2052" max="2052" width="8.5" customWidth="1"/>
    <col min="2053" max="2053" width="7.1640625" customWidth="1"/>
    <col min="2054" max="2054" width="8.83203125" customWidth="1"/>
    <col min="2055" max="2055" width="7.5" customWidth="1"/>
    <col min="2056" max="2056" width="8.5" customWidth="1"/>
    <col min="2306" max="2306" width="7.5" customWidth="1"/>
    <col min="2307" max="2307" width="6.6640625" customWidth="1"/>
    <col min="2308" max="2308" width="8.5" customWidth="1"/>
    <col min="2309" max="2309" width="7.1640625" customWidth="1"/>
    <col min="2310" max="2310" width="8.83203125" customWidth="1"/>
    <col min="2311" max="2311" width="7.5" customWidth="1"/>
    <col min="2312" max="2312" width="8.5" customWidth="1"/>
    <col min="2562" max="2562" width="7.5" customWidth="1"/>
    <col min="2563" max="2563" width="6.6640625" customWidth="1"/>
    <col min="2564" max="2564" width="8.5" customWidth="1"/>
    <col min="2565" max="2565" width="7.1640625" customWidth="1"/>
    <col min="2566" max="2566" width="8.83203125" customWidth="1"/>
    <col min="2567" max="2567" width="7.5" customWidth="1"/>
    <col min="2568" max="2568" width="8.5" customWidth="1"/>
    <col min="2818" max="2818" width="7.5" customWidth="1"/>
    <col min="2819" max="2819" width="6.6640625" customWidth="1"/>
    <col min="2820" max="2820" width="8.5" customWidth="1"/>
    <col min="2821" max="2821" width="7.1640625" customWidth="1"/>
    <col min="2822" max="2822" width="8.83203125" customWidth="1"/>
    <col min="2823" max="2823" width="7.5" customWidth="1"/>
    <col min="2824" max="2824" width="8.5" customWidth="1"/>
    <col min="3074" max="3074" width="7.5" customWidth="1"/>
    <col min="3075" max="3075" width="6.6640625" customWidth="1"/>
    <col min="3076" max="3076" width="8.5" customWidth="1"/>
    <col min="3077" max="3077" width="7.1640625" customWidth="1"/>
    <col min="3078" max="3078" width="8.83203125" customWidth="1"/>
    <col min="3079" max="3079" width="7.5" customWidth="1"/>
    <col min="3080" max="3080" width="8.5" customWidth="1"/>
    <col min="3330" max="3330" width="7.5" customWidth="1"/>
    <col min="3331" max="3331" width="6.6640625" customWidth="1"/>
    <col min="3332" max="3332" width="8.5" customWidth="1"/>
    <col min="3333" max="3333" width="7.1640625" customWidth="1"/>
    <col min="3334" max="3334" width="8.83203125" customWidth="1"/>
    <col min="3335" max="3335" width="7.5" customWidth="1"/>
    <col min="3336" max="3336" width="8.5" customWidth="1"/>
    <col min="3586" max="3586" width="7.5" customWidth="1"/>
    <col min="3587" max="3587" width="6.6640625" customWidth="1"/>
    <col min="3588" max="3588" width="8.5" customWidth="1"/>
    <col min="3589" max="3589" width="7.1640625" customWidth="1"/>
    <col min="3590" max="3590" width="8.83203125" customWidth="1"/>
    <col min="3591" max="3591" width="7.5" customWidth="1"/>
    <col min="3592" max="3592" width="8.5" customWidth="1"/>
    <col min="3842" max="3842" width="7.5" customWidth="1"/>
    <col min="3843" max="3843" width="6.6640625" customWidth="1"/>
    <col min="3844" max="3844" width="8.5" customWidth="1"/>
    <col min="3845" max="3845" width="7.1640625" customWidth="1"/>
    <col min="3846" max="3846" width="8.83203125" customWidth="1"/>
    <col min="3847" max="3847" width="7.5" customWidth="1"/>
    <col min="3848" max="3848" width="8.5" customWidth="1"/>
    <col min="4098" max="4098" width="7.5" customWidth="1"/>
    <col min="4099" max="4099" width="6.6640625" customWidth="1"/>
    <col min="4100" max="4100" width="8.5" customWidth="1"/>
    <col min="4101" max="4101" width="7.1640625" customWidth="1"/>
    <col min="4102" max="4102" width="8.83203125" customWidth="1"/>
    <col min="4103" max="4103" width="7.5" customWidth="1"/>
    <col min="4104" max="4104" width="8.5" customWidth="1"/>
    <col min="4354" max="4354" width="7.5" customWidth="1"/>
    <col min="4355" max="4355" width="6.6640625" customWidth="1"/>
    <col min="4356" max="4356" width="8.5" customWidth="1"/>
    <col min="4357" max="4357" width="7.1640625" customWidth="1"/>
    <col min="4358" max="4358" width="8.83203125" customWidth="1"/>
    <col min="4359" max="4359" width="7.5" customWidth="1"/>
    <col min="4360" max="4360" width="8.5" customWidth="1"/>
    <col min="4610" max="4610" width="7.5" customWidth="1"/>
    <col min="4611" max="4611" width="6.6640625" customWidth="1"/>
    <col min="4612" max="4612" width="8.5" customWidth="1"/>
    <col min="4613" max="4613" width="7.1640625" customWidth="1"/>
    <col min="4614" max="4614" width="8.83203125" customWidth="1"/>
    <col min="4615" max="4615" width="7.5" customWidth="1"/>
    <col min="4616" max="4616" width="8.5" customWidth="1"/>
    <col min="4866" max="4866" width="7.5" customWidth="1"/>
    <col min="4867" max="4867" width="6.6640625" customWidth="1"/>
    <col min="4868" max="4868" width="8.5" customWidth="1"/>
    <col min="4869" max="4869" width="7.1640625" customWidth="1"/>
    <col min="4870" max="4870" width="8.83203125" customWidth="1"/>
    <col min="4871" max="4871" width="7.5" customWidth="1"/>
    <col min="4872" max="4872" width="8.5" customWidth="1"/>
    <col min="5122" max="5122" width="7.5" customWidth="1"/>
    <col min="5123" max="5123" width="6.6640625" customWidth="1"/>
    <col min="5124" max="5124" width="8.5" customWidth="1"/>
    <col min="5125" max="5125" width="7.1640625" customWidth="1"/>
    <col min="5126" max="5126" width="8.83203125" customWidth="1"/>
    <col min="5127" max="5127" width="7.5" customWidth="1"/>
    <col min="5128" max="5128" width="8.5" customWidth="1"/>
    <col min="5378" max="5378" width="7.5" customWidth="1"/>
    <col min="5379" max="5379" width="6.6640625" customWidth="1"/>
    <col min="5380" max="5380" width="8.5" customWidth="1"/>
    <col min="5381" max="5381" width="7.1640625" customWidth="1"/>
    <col min="5382" max="5382" width="8.83203125" customWidth="1"/>
    <col min="5383" max="5383" width="7.5" customWidth="1"/>
    <col min="5384" max="5384" width="8.5" customWidth="1"/>
    <col min="5634" max="5634" width="7.5" customWidth="1"/>
    <col min="5635" max="5635" width="6.6640625" customWidth="1"/>
    <col min="5636" max="5636" width="8.5" customWidth="1"/>
    <col min="5637" max="5637" width="7.1640625" customWidth="1"/>
    <col min="5638" max="5638" width="8.83203125" customWidth="1"/>
    <col min="5639" max="5639" width="7.5" customWidth="1"/>
    <col min="5640" max="5640" width="8.5" customWidth="1"/>
    <col min="5890" max="5890" width="7.5" customWidth="1"/>
    <col min="5891" max="5891" width="6.6640625" customWidth="1"/>
    <col min="5892" max="5892" width="8.5" customWidth="1"/>
    <col min="5893" max="5893" width="7.1640625" customWidth="1"/>
    <col min="5894" max="5894" width="8.83203125" customWidth="1"/>
    <col min="5895" max="5895" width="7.5" customWidth="1"/>
    <col min="5896" max="5896" width="8.5" customWidth="1"/>
    <col min="6146" max="6146" width="7.5" customWidth="1"/>
    <col min="6147" max="6147" width="6.6640625" customWidth="1"/>
    <col min="6148" max="6148" width="8.5" customWidth="1"/>
    <col min="6149" max="6149" width="7.1640625" customWidth="1"/>
    <col min="6150" max="6150" width="8.83203125" customWidth="1"/>
    <col min="6151" max="6151" width="7.5" customWidth="1"/>
    <col min="6152" max="6152" width="8.5" customWidth="1"/>
    <col min="6402" max="6402" width="7.5" customWidth="1"/>
    <col min="6403" max="6403" width="6.6640625" customWidth="1"/>
    <col min="6404" max="6404" width="8.5" customWidth="1"/>
    <col min="6405" max="6405" width="7.1640625" customWidth="1"/>
    <col min="6406" max="6406" width="8.83203125" customWidth="1"/>
    <col min="6407" max="6407" width="7.5" customWidth="1"/>
    <col min="6408" max="6408" width="8.5" customWidth="1"/>
    <col min="6658" max="6658" width="7.5" customWidth="1"/>
    <col min="6659" max="6659" width="6.6640625" customWidth="1"/>
    <col min="6660" max="6660" width="8.5" customWidth="1"/>
    <col min="6661" max="6661" width="7.1640625" customWidth="1"/>
    <col min="6662" max="6662" width="8.83203125" customWidth="1"/>
    <col min="6663" max="6663" width="7.5" customWidth="1"/>
    <col min="6664" max="6664" width="8.5" customWidth="1"/>
    <col min="6914" max="6914" width="7.5" customWidth="1"/>
    <col min="6915" max="6915" width="6.6640625" customWidth="1"/>
    <col min="6916" max="6916" width="8.5" customWidth="1"/>
    <col min="6917" max="6917" width="7.1640625" customWidth="1"/>
    <col min="6918" max="6918" width="8.83203125" customWidth="1"/>
    <col min="6919" max="6919" width="7.5" customWidth="1"/>
    <col min="6920" max="6920" width="8.5" customWidth="1"/>
    <col min="7170" max="7170" width="7.5" customWidth="1"/>
    <col min="7171" max="7171" width="6.6640625" customWidth="1"/>
    <col min="7172" max="7172" width="8.5" customWidth="1"/>
    <col min="7173" max="7173" width="7.1640625" customWidth="1"/>
    <col min="7174" max="7174" width="8.83203125" customWidth="1"/>
    <col min="7175" max="7175" width="7.5" customWidth="1"/>
    <col min="7176" max="7176" width="8.5" customWidth="1"/>
    <col min="7426" max="7426" width="7.5" customWidth="1"/>
    <col min="7427" max="7427" width="6.6640625" customWidth="1"/>
    <col min="7428" max="7428" width="8.5" customWidth="1"/>
    <col min="7429" max="7429" width="7.1640625" customWidth="1"/>
    <col min="7430" max="7430" width="8.83203125" customWidth="1"/>
    <col min="7431" max="7431" width="7.5" customWidth="1"/>
    <col min="7432" max="7432" width="8.5" customWidth="1"/>
    <col min="7682" max="7682" width="7.5" customWidth="1"/>
    <col min="7683" max="7683" width="6.6640625" customWidth="1"/>
    <col min="7684" max="7684" width="8.5" customWidth="1"/>
    <col min="7685" max="7685" width="7.1640625" customWidth="1"/>
    <col min="7686" max="7686" width="8.83203125" customWidth="1"/>
    <col min="7687" max="7687" width="7.5" customWidth="1"/>
    <col min="7688" max="7688" width="8.5" customWidth="1"/>
    <col min="7938" max="7938" width="7.5" customWidth="1"/>
    <col min="7939" max="7939" width="6.6640625" customWidth="1"/>
    <col min="7940" max="7940" width="8.5" customWidth="1"/>
    <col min="7941" max="7941" width="7.1640625" customWidth="1"/>
    <col min="7942" max="7942" width="8.83203125" customWidth="1"/>
    <col min="7943" max="7943" width="7.5" customWidth="1"/>
    <col min="7944" max="7944" width="8.5" customWidth="1"/>
    <col min="8194" max="8194" width="7.5" customWidth="1"/>
    <col min="8195" max="8195" width="6.6640625" customWidth="1"/>
    <col min="8196" max="8196" width="8.5" customWidth="1"/>
    <col min="8197" max="8197" width="7.1640625" customWidth="1"/>
    <col min="8198" max="8198" width="8.83203125" customWidth="1"/>
    <col min="8199" max="8199" width="7.5" customWidth="1"/>
    <col min="8200" max="8200" width="8.5" customWidth="1"/>
    <col min="8450" max="8450" width="7.5" customWidth="1"/>
    <col min="8451" max="8451" width="6.6640625" customWidth="1"/>
    <col min="8452" max="8452" width="8.5" customWidth="1"/>
    <col min="8453" max="8453" width="7.1640625" customWidth="1"/>
    <col min="8454" max="8454" width="8.83203125" customWidth="1"/>
    <col min="8455" max="8455" width="7.5" customWidth="1"/>
    <col min="8456" max="8456" width="8.5" customWidth="1"/>
    <col min="8706" max="8706" width="7.5" customWidth="1"/>
    <col min="8707" max="8707" width="6.6640625" customWidth="1"/>
    <col min="8708" max="8708" width="8.5" customWidth="1"/>
    <col min="8709" max="8709" width="7.1640625" customWidth="1"/>
    <col min="8710" max="8710" width="8.83203125" customWidth="1"/>
    <col min="8711" max="8711" width="7.5" customWidth="1"/>
    <col min="8712" max="8712" width="8.5" customWidth="1"/>
    <col min="8962" max="8962" width="7.5" customWidth="1"/>
    <col min="8963" max="8963" width="6.6640625" customWidth="1"/>
    <col min="8964" max="8964" width="8.5" customWidth="1"/>
    <col min="8965" max="8965" width="7.1640625" customWidth="1"/>
    <col min="8966" max="8966" width="8.83203125" customWidth="1"/>
    <col min="8967" max="8967" width="7.5" customWidth="1"/>
    <col min="8968" max="8968" width="8.5" customWidth="1"/>
    <col min="9218" max="9218" width="7.5" customWidth="1"/>
    <col min="9219" max="9219" width="6.6640625" customWidth="1"/>
    <col min="9220" max="9220" width="8.5" customWidth="1"/>
    <col min="9221" max="9221" width="7.1640625" customWidth="1"/>
    <col min="9222" max="9222" width="8.83203125" customWidth="1"/>
    <col min="9223" max="9223" width="7.5" customWidth="1"/>
    <col min="9224" max="9224" width="8.5" customWidth="1"/>
    <col min="9474" max="9474" width="7.5" customWidth="1"/>
    <col min="9475" max="9475" width="6.6640625" customWidth="1"/>
    <col min="9476" max="9476" width="8.5" customWidth="1"/>
    <col min="9477" max="9477" width="7.1640625" customWidth="1"/>
    <col min="9478" max="9478" width="8.83203125" customWidth="1"/>
    <col min="9479" max="9479" width="7.5" customWidth="1"/>
    <col min="9480" max="9480" width="8.5" customWidth="1"/>
    <col min="9730" max="9730" width="7.5" customWidth="1"/>
    <col min="9731" max="9731" width="6.6640625" customWidth="1"/>
    <col min="9732" max="9732" width="8.5" customWidth="1"/>
    <col min="9733" max="9733" width="7.1640625" customWidth="1"/>
    <col min="9734" max="9734" width="8.83203125" customWidth="1"/>
    <col min="9735" max="9735" width="7.5" customWidth="1"/>
    <col min="9736" max="9736" width="8.5" customWidth="1"/>
    <col min="9986" max="9986" width="7.5" customWidth="1"/>
    <col min="9987" max="9987" width="6.6640625" customWidth="1"/>
    <col min="9988" max="9988" width="8.5" customWidth="1"/>
    <col min="9989" max="9989" width="7.1640625" customWidth="1"/>
    <col min="9990" max="9990" width="8.83203125" customWidth="1"/>
    <col min="9991" max="9991" width="7.5" customWidth="1"/>
    <col min="9992" max="9992" width="8.5" customWidth="1"/>
    <col min="10242" max="10242" width="7.5" customWidth="1"/>
    <col min="10243" max="10243" width="6.6640625" customWidth="1"/>
    <col min="10244" max="10244" width="8.5" customWidth="1"/>
    <col min="10245" max="10245" width="7.1640625" customWidth="1"/>
    <col min="10246" max="10246" width="8.83203125" customWidth="1"/>
    <col min="10247" max="10247" width="7.5" customWidth="1"/>
    <col min="10248" max="10248" width="8.5" customWidth="1"/>
    <col min="10498" max="10498" width="7.5" customWidth="1"/>
    <col min="10499" max="10499" width="6.6640625" customWidth="1"/>
    <col min="10500" max="10500" width="8.5" customWidth="1"/>
    <col min="10501" max="10501" width="7.1640625" customWidth="1"/>
    <col min="10502" max="10502" width="8.83203125" customWidth="1"/>
    <col min="10503" max="10503" width="7.5" customWidth="1"/>
    <col min="10504" max="10504" width="8.5" customWidth="1"/>
    <col min="10754" max="10754" width="7.5" customWidth="1"/>
    <col min="10755" max="10755" width="6.6640625" customWidth="1"/>
    <col min="10756" max="10756" width="8.5" customWidth="1"/>
    <col min="10757" max="10757" width="7.1640625" customWidth="1"/>
    <col min="10758" max="10758" width="8.83203125" customWidth="1"/>
    <col min="10759" max="10759" width="7.5" customWidth="1"/>
    <col min="10760" max="10760" width="8.5" customWidth="1"/>
    <col min="11010" max="11010" width="7.5" customWidth="1"/>
    <col min="11011" max="11011" width="6.6640625" customWidth="1"/>
    <col min="11012" max="11012" width="8.5" customWidth="1"/>
    <col min="11013" max="11013" width="7.1640625" customWidth="1"/>
    <col min="11014" max="11014" width="8.83203125" customWidth="1"/>
    <col min="11015" max="11015" width="7.5" customWidth="1"/>
    <col min="11016" max="11016" width="8.5" customWidth="1"/>
    <col min="11266" max="11266" width="7.5" customWidth="1"/>
    <col min="11267" max="11267" width="6.6640625" customWidth="1"/>
    <col min="11268" max="11268" width="8.5" customWidth="1"/>
    <col min="11269" max="11269" width="7.1640625" customWidth="1"/>
    <col min="11270" max="11270" width="8.83203125" customWidth="1"/>
    <col min="11271" max="11271" width="7.5" customWidth="1"/>
    <col min="11272" max="11272" width="8.5" customWidth="1"/>
    <col min="11522" max="11522" width="7.5" customWidth="1"/>
    <col min="11523" max="11523" width="6.6640625" customWidth="1"/>
    <col min="11524" max="11524" width="8.5" customWidth="1"/>
    <col min="11525" max="11525" width="7.1640625" customWidth="1"/>
    <col min="11526" max="11526" width="8.83203125" customWidth="1"/>
    <col min="11527" max="11527" width="7.5" customWidth="1"/>
    <col min="11528" max="11528" width="8.5" customWidth="1"/>
    <col min="11778" max="11778" width="7.5" customWidth="1"/>
    <col min="11779" max="11779" width="6.6640625" customWidth="1"/>
    <col min="11780" max="11780" width="8.5" customWidth="1"/>
    <col min="11781" max="11781" width="7.1640625" customWidth="1"/>
    <col min="11782" max="11782" width="8.83203125" customWidth="1"/>
    <col min="11783" max="11783" width="7.5" customWidth="1"/>
    <col min="11784" max="11784" width="8.5" customWidth="1"/>
    <col min="12034" max="12034" width="7.5" customWidth="1"/>
    <col min="12035" max="12035" width="6.6640625" customWidth="1"/>
    <col min="12036" max="12036" width="8.5" customWidth="1"/>
    <col min="12037" max="12037" width="7.1640625" customWidth="1"/>
    <col min="12038" max="12038" width="8.83203125" customWidth="1"/>
    <col min="12039" max="12039" width="7.5" customWidth="1"/>
    <col min="12040" max="12040" width="8.5" customWidth="1"/>
    <col min="12290" max="12290" width="7.5" customWidth="1"/>
    <col min="12291" max="12291" width="6.6640625" customWidth="1"/>
    <col min="12292" max="12292" width="8.5" customWidth="1"/>
    <col min="12293" max="12293" width="7.1640625" customWidth="1"/>
    <col min="12294" max="12294" width="8.83203125" customWidth="1"/>
    <col min="12295" max="12295" width="7.5" customWidth="1"/>
    <col min="12296" max="12296" width="8.5" customWidth="1"/>
    <col min="12546" max="12546" width="7.5" customWidth="1"/>
    <col min="12547" max="12547" width="6.6640625" customWidth="1"/>
    <col min="12548" max="12548" width="8.5" customWidth="1"/>
    <col min="12549" max="12549" width="7.1640625" customWidth="1"/>
    <col min="12550" max="12550" width="8.83203125" customWidth="1"/>
    <col min="12551" max="12551" width="7.5" customWidth="1"/>
    <col min="12552" max="12552" width="8.5" customWidth="1"/>
    <col min="12802" max="12802" width="7.5" customWidth="1"/>
    <col min="12803" max="12803" width="6.6640625" customWidth="1"/>
    <col min="12804" max="12804" width="8.5" customWidth="1"/>
    <col min="12805" max="12805" width="7.1640625" customWidth="1"/>
    <col min="12806" max="12806" width="8.83203125" customWidth="1"/>
    <col min="12807" max="12807" width="7.5" customWidth="1"/>
    <col min="12808" max="12808" width="8.5" customWidth="1"/>
    <col min="13058" max="13058" width="7.5" customWidth="1"/>
    <col min="13059" max="13059" width="6.6640625" customWidth="1"/>
    <col min="13060" max="13060" width="8.5" customWidth="1"/>
    <col min="13061" max="13061" width="7.1640625" customWidth="1"/>
    <col min="13062" max="13062" width="8.83203125" customWidth="1"/>
    <col min="13063" max="13063" width="7.5" customWidth="1"/>
    <col min="13064" max="13064" width="8.5" customWidth="1"/>
    <col min="13314" max="13314" width="7.5" customWidth="1"/>
    <col min="13315" max="13315" width="6.6640625" customWidth="1"/>
    <col min="13316" max="13316" width="8.5" customWidth="1"/>
    <col min="13317" max="13317" width="7.1640625" customWidth="1"/>
    <col min="13318" max="13318" width="8.83203125" customWidth="1"/>
    <col min="13319" max="13319" width="7.5" customWidth="1"/>
    <col min="13320" max="13320" width="8.5" customWidth="1"/>
    <col min="13570" max="13570" width="7.5" customWidth="1"/>
    <col min="13571" max="13571" width="6.6640625" customWidth="1"/>
    <col min="13572" max="13572" width="8.5" customWidth="1"/>
    <col min="13573" max="13573" width="7.1640625" customWidth="1"/>
    <col min="13574" max="13574" width="8.83203125" customWidth="1"/>
    <col min="13575" max="13575" width="7.5" customWidth="1"/>
    <col min="13576" max="13576" width="8.5" customWidth="1"/>
    <col min="13826" max="13826" width="7.5" customWidth="1"/>
    <col min="13827" max="13827" width="6.6640625" customWidth="1"/>
    <col min="13828" max="13828" width="8.5" customWidth="1"/>
    <col min="13829" max="13829" width="7.1640625" customWidth="1"/>
    <col min="13830" max="13830" width="8.83203125" customWidth="1"/>
    <col min="13831" max="13831" width="7.5" customWidth="1"/>
    <col min="13832" max="13832" width="8.5" customWidth="1"/>
    <col min="14082" max="14082" width="7.5" customWidth="1"/>
    <col min="14083" max="14083" width="6.6640625" customWidth="1"/>
    <col min="14084" max="14084" width="8.5" customWidth="1"/>
    <col min="14085" max="14085" width="7.1640625" customWidth="1"/>
    <col min="14086" max="14086" width="8.83203125" customWidth="1"/>
    <col min="14087" max="14087" width="7.5" customWidth="1"/>
    <col min="14088" max="14088" width="8.5" customWidth="1"/>
    <col min="14338" max="14338" width="7.5" customWidth="1"/>
    <col min="14339" max="14339" width="6.6640625" customWidth="1"/>
    <col min="14340" max="14340" width="8.5" customWidth="1"/>
    <col min="14341" max="14341" width="7.1640625" customWidth="1"/>
    <col min="14342" max="14342" width="8.83203125" customWidth="1"/>
    <col min="14343" max="14343" width="7.5" customWidth="1"/>
    <col min="14344" max="14344" width="8.5" customWidth="1"/>
    <col min="14594" max="14594" width="7.5" customWidth="1"/>
    <col min="14595" max="14595" width="6.6640625" customWidth="1"/>
    <col min="14596" max="14596" width="8.5" customWidth="1"/>
    <col min="14597" max="14597" width="7.1640625" customWidth="1"/>
    <col min="14598" max="14598" width="8.83203125" customWidth="1"/>
    <col min="14599" max="14599" width="7.5" customWidth="1"/>
    <col min="14600" max="14600" width="8.5" customWidth="1"/>
    <col min="14850" max="14850" width="7.5" customWidth="1"/>
    <col min="14851" max="14851" width="6.6640625" customWidth="1"/>
    <col min="14852" max="14852" width="8.5" customWidth="1"/>
    <col min="14853" max="14853" width="7.1640625" customWidth="1"/>
    <col min="14854" max="14854" width="8.83203125" customWidth="1"/>
    <col min="14855" max="14855" width="7.5" customWidth="1"/>
    <col min="14856" max="14856" width="8.5" customWidth="1"/>
    <col min="15106" max="15106" width="7.5" customWidth="1"/>
    <col min="15107" max="15107" width="6.6640625" customWidth="1"/>
    <col min="15108" max="15108" width="8.5" customWidth="1"/>
    <col min="15109" max="15109" width="7.1640625" customWidth="1"/>
    <col min="15110" max="15110" width="8.83203125" customWidth="1"/>
    <col min="15111" max="15111" width="7.5" customWidth="1"/>
    <col min="15112" max="15112" width="8.5" customWidth="1"/>
    <col min="15362" max="15362" width="7.5" customWidth="1"/>
    <col min="15363" max="15363" width="6.6640625" customWidth="1"/>
    <col min="15364" max="15364" width="8.5" customWidth="1"/>
    <col min="15365" max="15365" width="7.1640625" customWidth="1"/>
    <col min="15366" max="15366" width="8.83203125" customWidth="1"/>
    <col min="15367" max="15367" width="7.5" customWidth="1"/>
    <col min="15368" max="15368" width="8.5" customWidth="1"/>
    <col min="15618" max="15618" width="7.5" customWidth="1"/>
    <col min="15619" max="15619" width="6.6640625" customWidth="1"/>
    <col min="15620" max="15620" width="8.5" customWidth="1"/>
    <col min="15621" max="15621" width="7.1640625" customWidth="1"/>
    <col min="15622" max="15622" width="8.83203125" customWidth="1"/>
    <col min="15623" max="15623" width="7.5" customWidth="1"/>
    <col min="15624" max="15624" width="8.5" customWidth="1"/>
    <col min="15874" max="15874" width="7.5" customWidth="1"/>
    <col min="15875" max="15875" width="6.6640625" customWidth="1"/>
    <col min="15876" max="15876" width="8.5" customWidth="1"/>
    <col min="15877" max="15877" width="7.1640625" customWidth="1"/>
    <col min="15878" max="15878" width="8.83203125" customWidth="1"/>
    <col min="15879" max="15879" width="7.5" customWidth="1"/>
    <col min="15880" max="15880" width="8.5" customWidth="1"/>
    <col min="16130" max="16130" width="7.5" customWidth="1"/>
    <col min="16131" max="16131" width="6.6640625" customWidth="1"/>
    <col min="16132" max="16132" width="8.5" customWidth="1"/>
    <col min="16133" max="16133" width="7.1640625" customWidth="1"/>
    <col min="16134" max="16134" width="8.83203125" customWidth="1"/>
    <col min="16135" max="16135" width="7.5" customWidth="1"/>
    <col min="16136" max="16136" width="8.5" customWidth="1"/>
  </cols>
  <sheetData>
    <row r="2" spans="2:19">
      <c r="B2" s="28"/>
      <c r="C2" s="28"/>
      <c r="D2" s="28"/>
      <c r="E2" s="28"/>
      <c r="F2" s="28"/>
    </row>
    <row r="3" spans="2:19">
      <c r="B3" s="33"/>
      <c r="C3" s="33"/>
      <c r="D3" s="33"/>
      <c r="E3" s="33"/>
      <c r="F3" s="33"/>
      <c r="G3" s="33"/>
      <c r="H3" s="33"/>
      <c r="I3" s="33"/>
      <c r="L3" s="28"/>
      <c r="M3" s="28"/>
      <c r="N3" s="28"/>
      <c r="O3" s="28"/>
      <c r="P3" s="28"/>
      <c r="Q3" s="28"/>
      <c r="R3" s="28"/>
      <c r="S3" s="28"/>
    </row>
    <row r="4" spans="2:19">
      <c r="B4" s="28"/>
      <c r="C4" s="28"/>
      <c r="D4" s="28"/>
      <c r="E4" s="28"/>
      <c r="F4" s="28"/>
      <c r="G4" s="28"/>
      <c r="H4" s="28"/>
      <c r="I4" s="28"/>
      <c r="K4" s="28"/>
    </row>
    <row r="5" spans="2:19">
      <c r="B5" s="28"/>
      <c r="C5" s="28"/>
      <c r="D5" s="28"/>
      <c r="E5" s="28"/>
      <c r="F5" s="28"/>
      <c r="G5" s="28"/>
      <c r="H5" s="28"/>
      <c r="I5" s="28"/>
      <c r="K5" s="28"/>
    </row>
    <row r="6" spans="2:19">
      <c r="B6" s="28"/>
      <c r="C6" s="28"/>
      <c r="D6" s="28"/>
      <c r="E6" s="28"/>
      <c r="F6" s="28"/>
      <c r="G6" s="28"/>
      <c r="H6" s="28"/>
      <c r="I6" s="28"/>
      <c r="K6" s="28"/>
    </row>
    <row r="7" spans="2:19">
      <c r="B7" s="28"/>
      <c r="C7" s="28"/>
      <c r="D7" s="28"/>
      <c r="E7" s="28"/>
      <c r="F7" s="28"/>
      <c r="G7" s="28"/>
      <c r="H7" s="28"/>
      <c r="I7" s="28"/>
      <c r="K7" s="28"/>
    </row>
    <row r="8" spans="2:19">
      <c r="B8" s="28"/>
      <c r="C8" s="28"/>
      <c r="D8" s="28"/>
      <c r="E8" s="28"/>
      <c r="F8" s="28"/>
      <c r="G8" s="28"/>
      <c r="H8" s="28"/>
      <c r="I8" s="28"/>
    </row>
    <row r="9" spans="2:19">
      <c r="B9" s="28"/>
      <c r="C9" s="28"/>
      <c r="D9" s="28"/>
      <c r="E9" s="28"/>
      <c r="F9" s="28"/>
      <c r="G9" s="28"/>
      <c r="H9" s="28"/>
      <c r="I9" s="28"/>
    </row>
    <row r="10" spans="2:19">
      <c r="B10" s="28"/>
      <c r="C10" s="28"/>
      <c r="D10" s="28"/>
      <c r="E10" s="28"/>
      <c r="F10" s="28"/>
      <c r="G10" s="28"/>
      <c r="H10" s="28"/>
      <c r="I10" s="28"/>
      <c r="N10" s="33"/>
    </row>
    <row r="11" spans="2:19">
      <c r="B11" s="28"/>
      <c r="C11" s="28"/>
      <c r="D11" s="28"/>
      <c r="E11" s="28"/>
      <c r="F11" s="28"/>
      <c r="G11" s="28"/>
      <c r="H11" s="28"/>
      <c r="I11" s="28"/>
    </row>
    <row r="12" spans="2:19">
      <c r="B12" s="28"/>
      <c r="C12" s="28"/>
      <c r="D12" s="28"/>
      <c r="E12" s="28"/>
      <c r="F12" s="28"/>
      <c r="G12" s="28"/>
      <c r="I12" s="28"/>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W30"/>
  <sheetViews>
    <sheetView workbookViewId="0"/>
  </sheetViews>
  <sheetFormatPr baseColWidth="10" defaultRowHeight="15"/>
  <cols>
    <col min="1" max="1" width="17.33203125" customWidth="1"/>
    <col min="2" max="2" width="9" customWidth="1"/>
    <col min="3" max="4" width="8.6640625" customWidth="1"/>
    <col min="5" max="5" width="3.1640625" customWidth="1"/>
    <col min="6" max="7" width="8.33203125" customWidth="1"/>
    <col min="8" max="8" width="2.33203125" customWidth="1"/>
    <col min="9" max="10" width="8.33203125" customWidth="1"/>
    <col min="11" max="11" width="2.6640625" customWidth="1"/>
    <col min="12" max="12" width="8.33203125" customWidth="1"/>
    <col min="13" max="13" width="8.6640625" customWidth="1"/>
    <col min="14" max="14" width="2.6640625" customWidth="1"/>
    <col min="15" max="16" width="8.6640625" customWidth="1"/>
    <col min="17" max="17" width="2.6640625" customWidth="1"/>
    <col min="18" max="19" width="8.6640625" customWidth="1"/>
    <col min="20" max="20" width="2.6640625" customWidth="1"/>
    <col min="21" max="22" width="8.6640625" customWidth="1"/>
    <col min="23" max="23" width="2.6640625" customWidth="1"/>
    <col min="257" max="257" width="17.33203125" customWidth="1"/>
    <col min="258" max="258" width="9" customWidth="1"/>
    <col min="259" max="260" width="8.6640625" customWidth="1"/>
    <col min="261" max="261" width="3.1640625" customWidth="1"/>
    <col min="262" max="263" width="8.33203125" customWidth="1"/>
    <col min="264" max="264" width="2.33203125" customWidth="1"/>
    <col min="265" max="266" width="8.33203125" customWidth="1"/>
    <col min="267" max="267" width="2.6640625" customWidth="1"/>
    <col min="268" max="268" width="8.33203125" customWidth="1"/>
    <col min="269" max="269" width="8.6640625" customWidth="1"/>
    <col min="270" max="270" width="2.6640625" customWidth="1"/>
    <col min="271" max="272" width="8.6640625" customWidth="1"/>
    <col min="273" max="273" width="2.6640625" customWidth="1"/>
    <col min="274" max="275" width="8.6640625" customWidth="1"/>
    <col min="276" max="276" width="2.6640625" customWidth="1"/>
    <col min="277" max="278" width="8.6640625" customWidth="1"/>
    <col min="279" max="279" width="2.6640625" customWidth="1"/>
    <col min="513" max="513" width="17.33203125" customWidth="1"/>
    <col min="514" max="514" width="9" customWidth="1"/>
    <col min="515" max="516" width="8.6640625" customWidth="1"/>
    <col min="517" max="517" width="3.1640625" customWidth="1"/>
    <col min="518" max="519" width="8.33203125" customWidth="1"/>
    <col min="520" max="520" width="2.33203125" customWidth="1"/>
    <col min="521" max="522" width="8.33203125" customWidth="1"/>
    <col min="523" max="523" width="2.6640625" customWidth="1"/>
    <col min="524" max="524" width="8.33203125" customWidth="1"/>
    <col min="525" max="525" width="8.6640625" customWidth="1"/>
    <col min="526" max="526" width="2.6640625" customWidth="1"/>
    <col min="527" max="528" width="8.6640625" customWidth="1"/>
    <col min="529" max="529" width="2.6640625" customWidth="1"/>
    <col min="530" max="531" width="8.6640625" customWidth="1"/>
    <col min="532" max="532" width="2.6640625" customWidth="1"/>
    <col min="533" max="534" width="8.6640625" customWidth="1"/>
    <col min="535" max="535" width="2.6640625" customWidth="1"/>
    <col min="769" max="769" width="17.33203125" customWidth="1"/>
    <col min="770" max="770" width="9" customWidth="1"/>
    <col min="771" max="772" width="8.6640625" customWidth="1"/>
    <col min="773" max="773" width="3.1640625" customWidth="1"/>
    <col min="774" max="775" width="8.33203125" customWidth="1"/>
    <col min="776" max="776" width="2.33203125" customWidth="1"/>
    <col min="777" max="778" width="8.33203125" customWidth="1"/>
    <col min="779" max="779" width="2.6640625" customWidth="1"/>
    <col min="780" max="780" width="8.33203125" customWidth="1"/>
    <col min="781" max="781" width="8.6640625" customWidth="1"/>
    <col min="782" max="782" width="2.6640625" customWidth="1"/>
    <col min="783" max="784" width="8.6640625" customWidth="1"/>
    <col min="785" max="785" width="2.6640625" customWidth="1"/>
    <col min="786" max="787" width="8.6640625" customWidth="1"/>
    <col min="788" max="788" width="2.6640625" customWidth="1"/>
    <col min="789" max="790" width="8.6640625" customWidth="1"/>
    <col min="791" max="791" width="2.6640625" customWidth="1"/>
    <col min="1025" max="1025" width="17.33203125" customWidth="1"/>
    <col min="1026" max="1026" width="9" customWidth="1"/>
    <col min="1027" max="1028" width="8.6640625" customWidth="1"/>
    <col min="1029" max="1029" width="3.1640625" customWidth="1"/>
    <col min="1030" max="1031" width="8.33203125" customWidth="1"/>
    <col min="1032" max="1032" width="2.33203125" customWidth="1"/>
    <col min="1033" max="1034" width="8.33203125" customWidth="1"/>
    <col min="1035" max="1035" width="2.6640625" customWidth="1"/>
    <col min="1036" max="1036" width="8.33203125" customWidth="1"/>
    <col min="1037" max="1037" width="8.6640625" customWidth="1"/>
    <col min="1038" max="1038" width="2.6640625" customWidth="1"/>
    <col min="1039" max="1040" width="8.6640625" customWidth="1"/>
    <col min="1041" max="1041" width="2.6640625" customWidth="1"/>
    <col min="1042" max="1043" width="8.6640625" customWidth="1"/>
    <col min="1044" max="1044" width="2.6640625" customWidth="1"/>
    <col min="1045" max="1046" width="8.6640625" customWidth="1"/>
    <col min="1047" max="1047" width="2.6640625" customWidth="1"/>
    <col min="1281" max="1281" width="17.33203125" customWidth="1"/>
    <col min="1282" max="1282" width="9" customWidth="1"/>
    <col min="1283" max="1284" width="8.6640625" customWidth="1"/>
    <col min="1285" max="1285" width="3.1640625" customWidth="1"/>
    <col min="1286" max="1287" width="8.33203125" customWidth="1"/>
    <col min="1288" max="1288" width="2.33203125" customWidth="1"/>
    <col min="1289" max="1290" width="8.33203125" customWidth="1"/>
    <col min="1291" max="1291" width="2.6640625" customWidth="1"/>
    <col min="1292" max="1292" width="8.33203125" customWidth="1"/>
    <col min="1293" max="1293" width="8.6640625" customWidth="1"/>
    <col min="1294" max="1294" width="2.6640625" customWidth="1"/>
    <col min="1295" max="1296" width="8.6640625" customWidth="1"/>
    <col min="1297" max="1297" width="2.6640625" customWidth="1"/>
    <col min="1298" max="1299" width="8.6640625" customWidth="1"/>
    <col min="1300" max="1300" width="2.6640625" customWidth="1"/>
    <col min="1301" max="1302" width="8.6640625" customWidth="1"/>
    <col min="1303" max="1303" width="2.6640625" customWidth="1"/>
    <col min="1537" max="1537" width="17.33203125" customWidth="1"/>
    <col min="1538" max="1538" width="9" customWidth="1"/>
    <col min="1539" max="1540" width="8.6640625" customWidth="1"/>
    <col min="1541" max="1541" width="3.1640625" customWidth="1"/>
    <col min="1542" max="1543" width="8.33203125" customWidth="1"/>
    <col min="1544" max="1544" width="2.33203125" customWidth="1"/>
    <col min="1545" max="1546" width="8.33203125" customWidth="1"/>
    <col min="1547" max="1547" width="2.6640625" customWidth="1"/>
    <col min="1548" max="1548" width="8.33203125" customWidth="1"/>
    <col min="1549" max="1549" width="8.6640625" customWidth="1"/>
    <col min="1550" max="1550" width="2.6640625" customWidth="1"/>
    <col min="1551" max="1552" width="8.6640625" customWidth="1"/>
    <col min="1553" max="1553" width="2.6640625" customWidth="1"/>
    <col min="1554" max="1555" width="8.6640625" customWidth="1"/>
    <col min="1556" max="1556" width="2.6640625" customWidth="1"/>
    <col min="1557" max="1558" width="8.6640625" customWidth="1"/>
    <col min="1559" max="1559" width="2.6640625" customWidth="1"/>
    <col min="1793" max="1793" width="17.33203125" customWidth="1"/>
    <col min="1794" max="1794" width="9" customWidth="1"/>
    <col min="1795" max="1796" width="8.6640625" customWidth="1"/>
    <col min="1797" max="1797" width="3.1640625" customWidth="1"/>
    <col min="1798" max="1799" width="8.33203125" customWidth="1"/>
    <col min="1800" max="1800" width="2.33203125" customWidth="1"/>
    <col min="1801" max="1802" width="8.33203125" customWidth="1"/>
    <col min="1803" max="1803" width="2.6640625" customWidth="1"/>
    <col min="1804" max="1804" width="8.33203125" customWidth="1"/>
    <col min="1805" max="1805" width="8.6640625" customWidth="1"/>
    <col min="1806" max="1806" width="2.6640625" customWidth="1"/>
    <col min="1807" max="1808" width="8.6640625" customWidth="1"/>
    <col min="1809" max="1809" width="2.6640625" customWidth="1"/>
    <col min="1810" max="1811" width="8.6640625" customWidth="1"/>
    <col min="1812" max="1812" width="2.6640625" customWidth="1"/>
    <col min="1813" max="1814" width="8.6640625" customWidth="1"/>
    <col min="1815" max="1815" width="2.6640625" customWidth="1"/>
    <col min="2049" max="2049" width="17.33203125" customWidth="1"/>
    <col min="2050" max="2050" width="9" customWidth="1"/>
    <col min="2051" max="2052" width="8.6640625" customWidth="1"/>
    <col min="2053" max="2053" width="3.1640625" customWidth="1"/>
    <col min="2054" max="2055" width="8.33203125" customWidth="1"/>
    <col min="2056" max="2056" width="2.33203125" customWidth="1"/>
    <col min="2057" max="2058" width="8.33203125" customWidth="1"/>
    <col min="2059" max="2059" width="2.6640625" customWidth="1"/>
    <col min="2060" max="2060" width="8.33203125" customWidth="1"/>
    <col min="2061" max="2061" width="8.6640625" customWidth="1"/>
    <col min="2062" max="2062" width="2.6640625" customWidth="1"/>
    <col min="2063" max="2064" width="8.6640625" customWidth="1"/>
    <col min="2065" max="2065" width="2.6640625" customWidth="1"/>
    <col min="2066" max="2067" width="8.6640625" customWidth="1"/>
    <col min="2068" max="2068" width="2.6640625" customWidth="1"/>
    <col min="2069" max="2070" width="8.6640625" customWidth="1"/>
    <col min="2071" max="2071" width="2.6640625" customWidth="1"/>
    <col min="2305" max="2305" width="17.33203125" customWidth="1"/>
    <col min="2306" max="2306" width="9" customWidth="1"/>
    <col min="2307" max="2308" width="8.6640625" customWidth="1"/>
    <col min="2309" max="2309" width="3.1640625" customWidth="1"/>
    <col min="2310" max="2311" width="8.33203125" customWidth="1"/>
    <col min="2312" max="2312" width="2.33203125" customWidth="1"/>
    <col min="2313" max="2314" width="8.33203125" customWidth="1"/>
    <col min="2315" max="2315" width="2.6640625" customWidth="1"/>
    <col min="2316" max="2316" width="8.33203125" customWidth="1"/>
    <col min="2317" max="2317" width="8.6640625" customWidth="1"/>
    <col min="2318" max="2318" width="2.6640625" customWidth="1"/>
    <col min="2319" max="2320" width="8.6640625" customWidth="1"/>
    <col min="2321" max="2321" width="2.6640625" customWidth="1"/>
    <col min="2322" max="2323" width="8.6640625" customWidth="1"/>
    <col min="2324" max="2324" width="2.6640625" customWidth="1"/>
    <col min="2325" max="2326" width="8.6640625" customWidth="1"/>
    <col min="2327" max="2327" width="2.6640625" customWidth="1"/>
    <col min="2561" max="2561" width="17.33203125" customWidth="1"/>
    <col min="2562" max="2562" width="9" customWidth="1"/>
    <col min="2563" max="2564" width="8.6640625" customWidth="1"/>
    <col min="2565" max="2565" width="3.1640625" customWidth="1"/>
    <col min="2566" max="2567" width="8.33203125" customWidth="1"/>
    <col min="2568" max="2568" width="2.33203125" customWidth="1"/>
    <col min="2569" max="2570" width="8.33203125" customWidth="1"/>
    <col min="2571" max="2571" width="2.6640625" customWidth="1"/>
    <col min="2572" max="2572" width="8.33203125" customWidth="1"/>
    <col min="2573" max="2573" width="8.6640625" customWidth="1"/>
    <col min="2574" max="2574" width="2.6640625" customWidth="1"/>
    <col min="2575" max="2576" width="8.6640625" customWidth="1"/>
    <col min="2577" max="2577" width="2.6640625" customWidth="1"/>
    <col min="2578" max="2579" width="8.6640625" customWidth="1"/>
    <col min="2580" max="2580" width="2.6640625" customWidth="1"/>
    <col min="2581" max="2582" width="8.6640625" customWidth="1"/>
    <col min="2583" max="2583" width="2.6640625" customWidth="1"/>
    <col min="2817" max="2817" width="17.33203125" customWidth="1"/>
    <col min="2818" max="2818" width="9" customWidth="1"/>
    <col min="2819" max="2820" width="8.6640625" customWidth="1"/>
    <col min="2821" max="2821" width="3.1640625" customWidth="1"/>
    <col min="2822" max="2823" width="8.33203125" customWidth="1"/>
    <col min="2824" max="2824" width="2.33203125" customWidth="1"/>
    <col min="2825" max="2826" width="8.33203125" customWidth="1"/>
    <col min="2827" max="2827" width="2.6640625" customWidth="1"/>
    <col min="2828" max="2828" width="8.33203125" customWidth="1"/>
    <col min="2829" max="2829" width="8.6640625" customWidth="1"/>
    <col min="2830" max="2830" width="2.6640625" customWidth="1"/>
    <col min="2831" max="2832" width="8.6640625" customWidth="1"/>
    <col min="2833" max="2833" width="2.6640625" customWidth="1"/>
    <col min="2834" max="2835" width="8.6640625" customWidth="1"/>
    <col min="2836" max="2836" width="2.6640625" customWidth="1"/>
    <col min="2837" max="2838" width="8.6640625" customWidth="1"/>
    <col min="2839" max="2839" width="2.6640625" customWidth="1"/>
    <col min="3073" max="3073" width="17.33203125" customWidth="1"/>
    <col min="3074" max="3074" width="9" customWidth="1"/>
    <col min="3075" max="3076" width="8.6640625" customWidth="1"/>
    <col min="3077" max="3077" width="3.1640625" customWidth="1"/>
    <col min="3078" max="3079" width="8.33203125" customWidth="1"/>
    <col min="3080" max="3080" width="2.33203125" customWidth="1"/>
    <col min="3081" max="3082" width="8.33203125" customWidth="1"/>
    <col min="3083" max="3083" width="2.6640625" customWidth="1"/>
    <col min="3084" max="3084" width="8.33203125" customWidth="1"/>
    <col min="3085" max="3085" width="8.6640625" customWidth="1"/>
    <col min="3086" max="3086" width="2.6640625" customWidth="1"/>
    <col min="3087" max="3088" width="8.6640625" customWidth="1"/>
    <col min="3089" max="3089" width="2.6640625" customWidth="1"/>
    <col min="3090" max="3091" width="8.6640625" customWidth="1"/>
    <col min="3092" max="3092" width="2.6640625" customWidth="1"/>
    <col min="3093" max="3094" width="8.6640625" customWidth="1"/>
    <col min="3095" max="3095" width="2.6640625" customWidth="1"/>
    <col min="3329" max="3329" width="17.33203125" customWidth="1"/>
    <col min="3330" max="3330" width="9" customWidth="1"/>
    <col min="3331" max="3332" width="8.6640625" customWidth="1"/>
    <col min="3333" max="3333" width="3.1640625" customWidth="1"/>
    <col min="3334" max="3335" width="8.33203125" customWidth="1"/>
    <col min="3336" max="3336" width="2.33203125" customWidth="1"/>
    <col min="3337" max="3338" width="8.33203125" customWidth="1"/>
    <col min="3339" max="3339" width="2.6640625" customWidth="1"/>
    <col min="3340" max="3340" width="8.33203125" customWidth="1"/>
    <col min="3341" max="3341" width="8.6640625" customWidth="1"/>
    <col min="3342" max="3342" width="2.6640625" customWidth="1"/>
    <col min="3343" max="3344" width="8.6640625" customWidth="1"/>
    <col min="3345" max="3345" width="2.6640625" customWidth="1"/>
    <col min="3346" max="3347" width="8.6640625" customWidth="1"/>
    <col min="3348" max="3348" width="2.6640625" customWidth="1"/>
    <col min="3349" max="3350" width="8.6640625" customWidth="1"/>
    <col min="3351" max="3351" width="2.6640625" customWidth="1"/>
    <col min="3585" max="3585" width="17.33203125" customWidth="1"/>
    <col min="3586" max="3586" width="9" customWidth="1"/>
    <col min="3587" max="3588" width="8.6640625" customWidth="1"/>
    <col min="3589" max="3589" width="3.1640625" customWidth="1"/>
    <col min="3590" max="3591" width="8.33203125" customWidth="1"/>
    <col min="3592" max="3592" width="2.33203125" customWidth="1"/>
    <col min="3593" max="3594" width="8.33203125" customWidth="1"/>
    <col min="3595" max="3595" width="2.6640625" customWidth="1"/>
    <col min="3596" max="3596" width="8.33203125" customWidth="1"/>
    <col min="3597" max="3597" width="8.6640625" customWidth="1"/>
    <col min="3598" max="3598" width="2.6640625" customWidth="1"/>
    <col min="3599" max="3600" width="8.6640625" customWidth="1"/>
    <col min="3601" max="3601" width="2.6640625" customWidth="1"/>
    <col min="3602" max="3603" width="8.6640625" customWidth="1"/>
    <col min="3604" max="3604" width="2.6640625" customWidth="1"/>
    <col min="3605" max="3606" width="8.6640625" customWidth="1"/>
    <col min="3607" max="3607" width="2.6640625" customWidth="1"/>
    <col min="3841" max="3841" width="17.33203125" customWidth="1"/>
    <col min="3842" max="3842" width="9" customWidth="1"/>
    <col min="3843" max="3844" width="8.6640625" customWidth="1"/>
    <col min="3845" max="3845" width="3.1640625" customWidth="1"/>
    <col min="3846" max="3847" width="8.33203125" customWidth="1"/>
    <col min="3848" max="3848" width="2.33203125" customWidth="1"/>
    <col min="3849" max="3850" width="8.33203125" customWidth="1"/>
    <col min="3851" max="3851" width="2.6640625" customWidth="1"/>
    <col min="3852" max="3852" width="8.33203125" customWidth="1"/>
    <col min="3853" max="3853" width="8.6640625" customWidth="1"/>
    <col min="3854" max="3854" width="2.6640625" customWidth="1"/>
    <col min="3855" max="3856" width="8.6640625" customWidth="1"/>
    <col min="3857" max="3857" width="2.6640625" customWidth="1"/>
    <col min="3858" max="3859" width="8.6640625" customWidth="1"/>
    <col min="3860" max="3860" width="2.6640625" customWidth="1"/>
    <col min="3861" max="3862" width="8.6640625" customWidth="1"/>
    <col min="3863" max="3863" width="2.6640625" customWidth="1"/>
    <col min="4097" max="4097" width="17.33203125" customWidth="1"/>
    <col min="4098" max="4098" width="9" customWidth="1"/>
    <col min="4099" max="4100" width="8.6640625" customWidth="1"/>
    <col min="4101" max="4101" width="3.1640625" customWidth="1"/>
    <col min="4102" max="4103" width="8.33203125" customWidth="1"/>
    <col min="4104" max="4104" width="2.33203125" customWidth="1"/>
    <col min="4105" max="4106" width="8.33203125" customWidth="1"/>
    <col min="4107" max="4107" width="2.6640625" customWidth="1"/>
    <col min="4108" max="4108" width="8.33203125" customWidth="1"/>
    <col min="4109" max="4109" width="8.6640625" customWidth="1"/>
    <col min="4110" max="4110" width="2.6640625" customWidth="1"/>
    <col min="4111" max="4112" width="8.6640625" customWidth="1"/>
    <col min="4113" max="4113" width="2.6640625" customWidth="1"/>
    <col min="4114" max="4115" width="8.6640625" customWidth="1"/>
    <col min="4116" max="4116" width="2.6640625" customWidth="1"/>
    <col min="4117" max="4118" width="8.6640625" customWidth="1"/>
    <col min="4119" max="4119" width="2.6640625" customWidth="1"/>
    <col min="4353" max="4353" width="17.33203125" customWidth="1"/>
    <col min="4354" max="4354" width="9" customWidth="1"/>
    <col min="4355" max="4356" width="8.6640625" customWidth="1"/>
    <col min="4357" max="4357" width="3.1640625" customWidth="1"/>
    <col min="4358" max="4359" width="8.33203125" customWidth="1"/>
    <col min="4360" max="4360" width="2.33203125" customWidth="1"/>
    <col min="4361" max="4362" width="8.33203125" customWidth="1"/>
    <col min="4363" max="4363" width="2.6640625" customWidth="1"/>
    <col min="4364" max="4364" width="8.33203125" customWidth="1"/>
    <col min="4365" max="4365" width="8.6640625" customWidth="1"/>
    <col min="4366" max="4366" width="2.6640625" customWidth="1"/>
    <col min="4367" max="4368" width="8.6640625" customWidth="1"/>
    <col min="4369" max="4369" width="2.6640625" customWidth="1"/>
    <col min="4370" max="4371" width="8.6640625" customWidth="1"/>
    <col min="4372" max="4372" width="2.6640625" customWidth="1"/>
    <col min="4373" max="4374" width="8.6640625" customWidth="1"/>
    <col min="4375" max="4375" width="2.6640625" customWidth="1"/>
    <col min="4609" max="4609" width="17.33203125" customWidth="1"/>
    <col min="4610" max="4610" width="9" customWidth="1"/>
    <col min="4611" max="4612" width="8.6640625" customWidth="1"/>
    <col min="4613" max="4613" width="3.1640625" customWidth="1"/>
    <col min="4614" max="4615" width="8.33203125" customWidth="1"/>
    <col min="4616" max="4616" width="2.33203125" customWidth="1"/>
    <col min="4617" max="4618" width="8.33203125" customWidth="1"/>
    <col min="4619" max="4619" width="2.6640625" customWidth="1"/>
    <col min="4620" max="4620" width="8.33203125" customWidth="1"/>
    <col min="4621" max="4621" width="8.6640625" customWidth="1"/>
    <col min="4622" max="4622" width="2.6640625" customWidth="1"/>
    <col min="4623" max="4624" width="8.6640625" customWidth="1"/>
    <col min="4625" max="4625" width="2.6640625" customWidth="1"/>
    <col min="4626" max="4627" width="8.6640625" customWidth="1"/>
    <col min="4628" max="4628" width="2.6640625" customWidth="1"/>
    <col min="4629" max="4630" width="8.6640625" customWidth="1"/>
    <col min="4631" max="4631" width="2.6640625" customWidth="1"/>
    <col min="4865" max="4865" width="17.33203125" customWidth="1"/>
    <col min="4866" max="4866" width="9" customWidth="1"/>
    <col min="4867" max="4868" width="8.6640625" customWidth="1"/>
    <col min="4869" max="4869" width="3.1640625" customWidth="1"/>
    <col min="4870" max="4871" width="8.33203125" customWidth="1"/>
    <col min="4872" max="4872" width="2.33203125" customWidth="1"/>
    <col min="4873" max="4874" width="8.33203125" customWidth="1"/>
    <col min="4875" max="4875" width="2.6640625" customWidth="1"/>
    <col min="4876" max="4876" width="8.33203125" customWidth="1"/>
    <col min="4877" max="4877" width="8.6640625" customWidth="1"/>
    <col min="4878" max="4878" width="2.6640625" customWidth="1"/>
    <col min="4879" max="4880" width="8.6640625" customWidth="1"/>
    <col min="4881" max="4881" width="2.6640625" customWidth="1"/>
    <col min="4882" max="4883" width="8.6640625" customWidth="1"/>
    <col min="4884" max="4884" width="2.6640625" customWidth="1"/>
    <col min="4885" max="4886" width="8.6640625" customWidth="1"/>
    <col min="4887" max="4887" width="2.6640625" customWidth="1"/>
    <col min="5121" max="5121" width="17.33203125" customWidth="1"/>
    <col min="5122" max="5122" width="9" customWidth="1"/>
    <col min="5123" max="5124" width="8.6640625" customWidth="1"/>
    <col min="5125" max="5125" width="3.1640625" customWidth="1"/>
    <col min="5126" max="5127" width="8.33203125" customWidth="1"/>
    <col min="5128" max="5128" width="2.33203125" customWidth="1"/>
    <col min="5129" max="5130" width="8.33203125" customWidth="1"/>
    <col min="5131" max="5131" width="2.6640625" customWidth="1"/>
    <col min="5132" max="5132" width="8.33203125" customWidth="1"/>
    <col min="5133" max="5133" width="8.6640625" customWidth="1"/>
    <col min="5134" max="5134" width="2.6640625" customWidth="1"/>
    <col min="5135" max="5136" width="8.6640625" customWidth="1"/>
    <col min="5137" max="5137" width="2.6640625" customWidth="1"/>
    <col min="5138" max="5139" width="8.6640625" customWidth="1"/>
    <col min="5140" max="5140" width="2.6640625" customWidth="1"/>
    <col min="5141" max="5142" width="8.6640625" customWidth="1"/>
    <col min="5143" max="5143" width="2.6640625" customWidth="1"/>
    <col min="5377" max="5377" width="17.33203125" customWidth="1"/>
    <col min="5378" max="5378" width="9" customWidth="1"/>
    <col min="5379" max="5380" width="8.6640625" customWidth="1"/>
    <col min="5381" max="5381" width="3.1640625" customWidth="1"/>
    <col min="5382" max="5383" width="8.33203125" customWidth="1"/>
    <col min="5384" max="5384" width="2.33203125" customWidth="1"/>
    <col min="5385" max="5386" width="8.33203125" customWidth="1"/>
    <col min="5387" max="5387" width="2.6640625" customWidth="1"/>
    <col min="5388" max="5388" width="8.33203125" customWidth="1"/>
    <col min="5389" max="5389" width="8.6640625" customWidth="1"/>
    <col min="5390" max="5390" width="2.6640625" customWidth="1"/>
    <col min="5391" max="5392" width="8.6640625" customWidth="1"/>
    <col min="5393" max="5393" width="2.6640625" customWidth="1"/>
    <col min="5394" max="5395" width="8.6640625" customWidth="1"/>
    <col min="5396" max="5396" width="2.6640625" customWidth="1"/>
    <col min="5397" max="5398" width="8.6640625" customWidth="1"/>
    <col min="5399" max="5399" width="2.6640625" customWidth="1"/>
    <col min="5633" max="5633" width="17.33203125" customWidth="1"/>
    <col min="5634" max="5634" width="9" customWidth="1"/>
    <col min="5635" max="5636" width="8.6640625" customWidth="1"/>
    <col min="5637" max="5637" width="3.1640625" customWidth="1"/>
    <col min="5638" max="5639" width="8.33203125" customWidth="1"/>
    <col min="5640" max="5640" width="2.33203125" customWidth="1"/>
    <col min="5641" max="5642" width="8.33203125" customWidth="1"/>
    <col min="5643" max="5643" width="2.6640625" customWidth="1"/>
    <col min="5644" max="5644" width="8.33203125" customWidth="1"/>
    <col min="5645" max="5645" width="8.6640625" customWidth="1"/>
    <col min="5646" max="5646" width="2.6640625" customWidth="1"/>
    <col min="5647" max="5648" width="8.6640625" customWidth="1"/>
    <col min="5649" max="5649" width="2.6640625" customWidth="1"/>
    <col min="5650" max="5651" width="8.6640625" customWidth="1"/>
    <col min="5652" max="5652" width="2.6640625" customWidth="1"/>
    <col min="5653" max="5654" width="8.6640625" customWidth="1"/>
    <col min="5655" max="5655" width="2.6640625" customWidth="1"/>
    <col min="5889" max="5889" width="17.33203125" customWidth="1"/>
    <col min="5890" max="5890" width="9" customWidth="1"/>
    <col min="5891" max="5892" width="8.6640625" customWidth="1"/>
    <col min="5893" max="5893" width="3.1640625" customWidth="1"/>
    <col min="5894" max="5895" width="8.33203125" customWidth="1"/>
    <col min="5896" max="5896" width="2.33203125" customWidth="1"/>
    <col min="5897" max="5898" width="8.33203125" customWidth="1"/>
    <col min="5899" max="5899" width="2.6640625" customWidth="1"/>
    <col min="5900" max="5900" width="8.33203125" customWidth="1"/>
    <col min="5901" max="5901" width="8.6640625" customWidth="1"/>
    <col min="5902" max="5902" width="2.6640625" customWidth="1"/>
    <col min="5903" max="5904" width="8.6640625" customWidth="1"/>
    <col min="5905" max="5905" width="2.6640625" customWidth="1"/>
    <col min="5906" max="5907" width="8.6640625" customWidth="1"/>
    <col min="5908" max="5908" width="2.6640625" customWidth="1"/>
    <col min="5909" max="5910" width="8.6640625" customWidth="1"/>
    <col min="5911" max="5911" width="2.6640625" customWidth="1"/>
    <col min="6145" max="6145" width="17.33203125" customWidth="1"/>
    <col min="6146" max="6146" width="9" customWidth="1"/>
    <col min="6147" max="6148" width="8.6640625" customWidth="1"/>
    <col min="6149" max="6149" width="3.1640625" customWidth="1"/>
    <col min="6150" max="6151" width="8.33203125" customWidth="1"/>
    <col min="6152" max="6152" width="2.33203125" customWidth="1"/>
    <col min="6153" max="6154" width="8.33203125" customWidth="1"/>
    <col min="6155" max="6155" width="2.6640625" customWidth="1"/>
    <col min="6156" max="6156" width="8.33203125" customWidth="1"/>
    <col min="6157" max="6157" width="8.6640625" customWidth="1"/>
    <col min="6158" max="6158" width="2.6640625" customWidth="1"/>
    <col min="6159" max="6160" width="8.6640625" customWidth="1"/>
    <col min="6161" max="6161" width="2.6640625" customWidth="1"/>
    <col min="6162" max="6163" width="8.6640625" customWidth="1"/>
    <col min="6164" max="6164" width="2.6640625" customWidth="1"/>
    <col min="6165" max="6166" width="8.6640625" customWidth="1"/>
    <col min="6167" max="6167" width="2.6640625" customWidth="1"/>
    <col min="6401" max="6401" width="17.33203125" customWidth="1"/>
    <col min="6402" max="6402" width="9" customWidth="1"/>
    <col min="6403" max="6404" width="8.6640625" customWidth="1"/>
    <col min="6405" max="6405" width="3.1640625" customWidth="1"/>
    <col min="6406" max="6407" width="8.33203125" customWidth="1"/>
    <col min="6408" max="6408" width="2.33203125" customWidth="1"/>
    <col min="6409" max="6410" width="8.33203125" customWidth="1"/>
    <col min="6411" max="6411" width="2.6640625" customWidth="1"/>
    <col min="6412" max="6412" width="8.33203125" customWidth="1"/>
    <col min="6413" max="6413" width="8.6640625" customWidth="1"/>
    <col min="6414" max="6414" width="2.6640625" customWidth="1"/>
    <col min="6415" max="6416" width="8.6640625" customWidth="1"/>
    <col min="6417" max="6417" width="2.6640625" customWidth="1"/>
    <col min="6418" max="6419" width="8.6640625" customWidth="1"/>
    <col min="6420" max="6420" width="2.6640625" customWidth="1"/>
    <col min="6421" max="6422" width="8.6640625" customWidth="1"/>
    <col min="6423" max="6423" width="2.6640625" customWidth="1"/>
    <col min="6657" max="6657" width="17.33203125" customWidth="1"/>
    <col min="6658" max="6658" width="9" customWidth="1"/>
    <col min="6659" max="6660" width="8.6640625" customWidth="1"/>
    <col min="6661" max="6661" width="3.1640625" customWidth="1"/>
    <col min="6662" max="6663" width="8.33203125" customWidth="1"/>
    <col min="6664" max="6664" width="2.33203125" customWidth="1"/>
    <col min="6665" max="6666" width="8.33203125" customWidth="1"/>
    <col min="6667" max="6667" width="2.6640625" customWidth="1"/>
    <col min="6668" max="6668" width="8.33203125" customWidth="1"/>
    <col min="6669" max="6669" width="8.6640625" customWidth="1"/>
    <col min="6670" max="6670" width="2.6640625" customWidth="1"/>
    <col min="6671" max="6672" width="8.6640625" customWidth="1"/>
    <col min="6673" max="6673" width="2.6640625" customWidth="1"/>
    <col min="6674" max="6675" width="8.6640625" customWidth="1"/>
    <col min="6676" max="6676" width="2.6640625" customWidth="1"/>
    <col min="6677" max="6678" width="8.6640625" customWidth="1"/>
    <col min="6679" max="6679" width="2.6640625" customWidth="1"/>
    <col min="6913" max="6913" width="17.33203125" customWidth="1"/>
    <col min="6914" max="6914" width="9" customWidth="1"/>
    <col min="6915" max="6916" width="8.6640625" customWidth="1"/>
    <col min="6917" max="6917" width="3.1640625" customWidth="1"/>
    <col min="6918" max="6919" width="8.33203125" customWidth="1"/>
    <col min="6920" max="6920" width="2.33203125" customWidth="1"/>
    <col min="6921" max="6922" width="8.33203125" customWidth="1"/>
    <col min="6923" max="6923" width="2.6640625" customWidth="1"/>
    <col min="6924" max="6924" width="8.33203125" customWidth="1"/>
    <col min="6925" max="6925" width="8.6640625" customWidth="1"/>
    <col min="6926" max="6926" width="2.6640625" customWidth="1"/>
    <col min="6927" max="6928" width="8.6640625" customWidth="1"/>
    <col min="6929" max="6929" width="2.6640625" customWidth="1"/>
    <col min="6930" max="6931" width="8.6640625" customWidth="1"/>
    <col min="6932" max="6932" width="2.6640625" customWidth="1"/>
    <col min="6933" max="6934" width="8.6640625" customWidth="1"/>
    <col min="6935" max="6935" width="2.6640625" customWidth="1"/>
    <col min="7169" max="7169" width="17.33203125" customWidth="1"/>
    <col min="7170" max="7170" width="9" customWidth="1"/>
    <col min="7171" max="7172" width="8.6640625" customWidth="1"/>
    <col min="7173" max="7173" width="3.1640625" customWidth="1"/>
    <col min="7174" max="7175" width="8.33203125" customWidth="1"/>
    <col min="7176" max="7176" width="2.33203125" customWidth="1"/>
    <col min="7177" max="7178" width="8.33203125" customWidth="1"/>
    <col min="7179" max="7179" width="2.6640625" customWidth="1"/>
    <col min="7180" max="7180" width="8.33203125" customWidth="1"/>
    <col min="7181" max="7181" width="8.6640625" customWidth="1"/>
    <col min="7182" max="7182" width="2.6640625" customWidth="1"/>
    <col min="7183" max="7184" width="8.6640625" customWidth="1"/>
    <col min="7185" max="7185" width="2.6640625" customWidth="1"/>
    <col min="7186" max="7187" width="8.6640625" customWidth="1"/>
    <col min="7188" max="7188" width="2.6640625" customWidth="1"/>
    <col min="7189" max="7190" width="8.6640625" customWidth="1"/>
    <col min="7191" max="7191" width="2.6640625" customWidth="1"/>
    <col min="7425" max="7425" width="17.33203125" customWidth="1"/>
    <col min="7426" max="7426" width="9" customWidth="1"/>
    <col min="7427" max="7428" width="8.6640625" customWidth="1"/>
    <col min="7429" max="7429" width="3.1640625" customWidth="1"/>
    <col min="7430" max="7431" width="8.33203125" customWidth="1"/>
    <col min="7432" max="7432" width="2.33203125" customWidth="1"/>
    <col min="7433" max="7434" width="8.33203125" customWidth="1"/>
    <col min="7435" max="7435" width="2.6640625" customWidth="1"/>
    <col min="7436" max="7436" width="8.33203125" customWidth="1"/>
    <col min="7437" max="7437" width="8.6640625" customWidth="1"/>
    <col min="7438" max="7438" width="2.6640625" customWidth="1"/>
    <col min="7439" max="7440" width="8.6640625" customWidth="1"/>
    <col min="7441" max="7441" width="2.6640625" customWidth="1"/>
    <col min="7442" max="7443" width="8.6640625" customWidth="1"/>
    <col min="7444" max="7444" width="2.6640625" customWidth="1"/>
    <col min="7445" max="7446" width="8.6640625" customWidth="1"/>
    <col min="7447" max="7447" width="2.6640625" customWidth="1"/>
    <col min="7681" max="7681" width="17.33203125" customWidth="1"/>
    <col min="7682" max="7682" width="9" customWidth="1"/>
    <col min="7683" max="7684" width="8.6640625" customWidth="1"/>
    <col min="7685" max="7685" width="3.1640625" customWidth="1"/>
    <col min="7686" max="7687" width="8.33203125" customWidth="1"/>
    <col min="7688" max="7688" width="2.33203125" customWidth="1"/>
    <col min="7689" max="7690" width="8.33203125" customWidth="1"/>
    <col min="7691" max="7691" width="2.6640625" customWidth="1"/>
    <col min="7692" max="7692" width="8.33203125" customWidth="1"/>
    <col min="7693" max="7693" width="8.6640625" customWidth="1"/>
    <col min="7694" max="7694" width="2.6640625" customWidth="1"/>
    <col min="7695" max="7696" width="8.6640625" customWidth="1"/>
    <col min="7697" max="7697" width="2.6640625" customWidth="1"/>
    <col min="7698" max="7699" width="8.6640625" customWidth="1"/>
    <col min="7700" max="7700" width="2.6640625" customWidth="1"/>
    <col min="7701" max="7702" width="8.6640625" customWidth="1"/>
    <col min="7703" max="7703" width="2.6640625" customWidth="1"/>
    <col min="7937" max="7937" width="17.33203125" customWidth="1"/>
    <col min="7938" max="7938" width="9" customWidth="1"/>
    <col min="7939" max="7940" width="8.6640625" customWidth="1"/>
    <col min="7941" max="7941" width="3.1640625" customWidth="1"/>
    <col min="7942" max="7943" width="8.33203125" customWidth="1"/>
    <col min="7944" max="7944" width="2.33203125" customWidth="1"/>
    <col min="7945" max="7946" width="8.33203125" customWidth="1"/>
    <col min="7947" max="7947" width="2.6640625" customWidth="1"/>
    <col min="7948" max="7948" width="8.33203125" customWidth="1"/>
    <col min="7949" max="7949" width="8.6640625" customWidth="1"/>
    <col min="7950" max="7950" width="2.6640625" customWidth="1"/>
    <col min="7951" max="7952" width="8.6640625" customWidth="1"/>
    <col min="7953" max="7953" width="2.6640625" customWidth="1"/>
    <col min="7954" max="7955" width="8.6640625" customWidth="1"/>
    <col min="7956" max="7956" width="2.6640625" customWidth="1"/>
    <col min="7957" max="7958" width="8.6640625" customWidth="1"/>
    <col min="7959" max="7959" width="2.6640625" customWidth="1"/>
    <col min="8193" max="8193" width="17.33203125" customWidth="1"/>
    <col min="8194" max="8194" width="9" customWidth="1"/>
    <col min="8195" max="8196" width="8.6640625" customWidth="1"/>
    <col min="8197" max="8197" width="3.1640625" customWidth="1"/>
    <col min="8198" max="8199" width="8.33203125" customWidth="1"/>
    <col min="8200" max="8200" width="2.33203125" customWidth="1"/>
    <col min="8201" max="8202" width="8.33203125" customWidth="1"/>
    <col min="8203" max="8203" width="2.6640625" customWidth="1"/>
    <col min="8204" max="8204" width="8.33203125" customWidth="1"/>
    <col min="8205" max="8205" width="8.6640625" customWidth="1"/>
    <col min="8206" max="8206" width="2.6640625" customWidth="1"/>
    <col min="8207" max="8208" width="8.6640625" customWidth="1"/>
    <col min="8209" max="8209" width="2.6640625" customWidth="1"/>
    <col min="8210" max="8211" width="8.6640625" customWidth="1"/>
    <col min="8212" max="8212" width="2.6640625" customWidth="1"/>
    <col min="8213" max="8214" width="8.6640625" customWidth="1"/>
    <col min="8215" max="8215" width="2.6640625" customWidth="1"/>
    <col min="8449" max="8449" width="17.33203125" customWidth="1"/>
    <col min="8450" max="8450" width="9" customWidth="1"/>
    <col min="8451" max="8452" width="8.6640625" customWidth="1"/>
    <col min="8453" max="8453" width="3.1640625" customWidth="1"/>
    <col min="8454" max="8455" width="8.33203125" customWidth="1"/>
    <col min="8456" max="8456" width="2.33203125" customWidth="1"/>
    <col min="8457" max="8458" width="8.33203125" customWidth="1"/>
    <col min="8459" max="8459" width="2.6640625" customWidth="1"/>
    <col min="8460" max="8460" width="8.33203125" customWidth="1"/>
    <col min="8461" max="8461" width="8.6640625" customWidth="1"/>
    <col min="8462" max="8462" width="2.6640625" customWidth="1"/>
    <col min="8463" max="8464" width="8.6640625" customWidth="1"/>
    <col min="8465" max="8465" width="2.6640625" customWidth="1"/>
    <col min="8466" max="8467" width="8.6640625" customWidth="1"/>
    <col min="8468" max="8468" width="2.6640625" customWidth="1"/>
    <col min="8469" max="8470" width="8.6640625" customWidth="1"/>
    <col min="8471" max="8471" width="2.6640625" customWidth="1"/>
    <col min="8705" max="8705" width="17.33203125" customWidth="1"/>
    <col min="8706" max="8706" width="9" customWidth="1"/>
    <col min="8707" max="8708" width="8.6640625" customWidth="1"/>
    <col min="8709" max="8709" width="3.1640625" customWidth="1"/>
    <col min="8710" max="8711" width="8.33203125" customWidth="1"/>
    <col min="8712" max="8712" width="2.33203125" customWidth="1"/>
    <col min="8713" max="8714" width="8.33203125" customWidth="1"/>
    <col min="8715" max="8715" width="2.6640625" customWidth="1"/>
    <col min="8716" max="8716" width="8.33203125" customWidth="1"/>
    <col min="8717" max="8717" width="8.6640625" customWidth="1"/>
    <col min="8718" max="8718" width="2.6640625" customWidth="1"/>
    <col min="8719" max="8720" width="8.6640625" customWidth="1"/>
    <col min="8721" max="8721" width="2.6640625" customWidth="1"/>
    <col min="8722" max="8723" width="8.6640625" customWidth="1"/>
    <col min="8724" max="8724" width="2.6640625" customWidth="1"/>
    <col min="8725" max="8726" width="8.6640625" customWidth="1"/>
    <col min="8727" max="8727" width="2.6640625" customWidth="1"/>
    <col min="8961" max="8961" width="17.33203125" customWidth="1"/>
    <col min="8962" max="8962" width="9" customWidth="1"/>
    <col min="8963" max="8964" width="8.6640625" customWidth="1"/>
    <col min="8965" max="8965" width="3.1640625" customWidth="1"/>
    <col min="8966" max="8967" width="8.33203125" customWidth="1"/>
    <col min="8968" max="8968" width="2.33203125" customWidth="1"/>
    <col min="8969" max="8970" width="8.33203125" customWidth="1"/>
    <col min="8971" max="8971" width="2.6640625" customWidth="1"/>
    <col min="8972" max="8972" width="8.33203125" customWidth="1"/>
    <col min="8973" max="8973" width="8.6640625" customWidth="1"/>
    <col min="8974" max="8974" width="2.6640625" customWidth="1"/>
    <col min="8975" max="8976" width="8.6640625" customWidth="1"/>
    <col min="8977" max="8977" width="2.6640625" customWidth="1"/>
    <col min="8978" max="8979" width="8.6640625" customWidth="1"/>
    <col min="8980" max="8980" width="2.6640625" customWidth="1"/>
    <col min="8981" max="8982" width="8.6640625" customWidth="1"/>
    <col min="8983" max="8983" width="2.6640625" customWidth="1"/>
    <col min="9217" max="9217" width="17.33203125" customWidth="1"/>
    <col min="9218" max="9218" width="9" customWidth="1"/>
    <col min="9219" max="9220" width="8.6640625" customWidth="1"/>
    <col min="9221" max="9221" width="3.1640625" customWidth="1"/>
    <col min="9222" max="9223" width="8.33203125" customWidth="1"/>
    <col min="9224" max="9224" width="2.33203125" customWidth="1"/>
    <col min="9225" max="9226" width="8.33203125" customWidth="1"/>
    <col min="9227" max="9227" width="2.6640625" customWidth="1"/>
    <col min="9228" max="9228" width="8.33203125" customWidth="1"/>
    <col min="9229" max="9229" width="8.6640625" customWidth="1"/>
    <col min="9230" max="9230" width="2.6640625" customWidth="1"/>
    <col min="9231" max="9232" width="8.6640625" customWidth="1"/>
    <col min="9233" max="9233" width="2.6640625" customWidth="1"/>
    <col min="9234" max="9235" width="8.6640625" customWidth="1"/>
    <col min="9236" max="9236" width="2.6640625" customWidth="1"/>
    <col min="9237" max="9238" width="8.6640625" customWidth="1"/>
    <col min="9239" max="9239" width="2.6640625" customWidth="1"/>
    <col min="9473" max="9473" width="17.33203125" customWidth="1"/>
    <col min="9474" max="9474" width="9" customWidth="1"/>
    <col min="9475" max="9476" width="8.6640625" customWidth="1"/>
    <col min="9477" max="9477" width="3.1640625" customWidth="1"/>
    <col min="9478" max="9479" width="8.33203125" customWidth="1"/>
    <col min="9480" max="9480" width="2.33203125" customWidth="1"/>
    <col min="9481" max="9482" width="8.33203125" customWidth="1"/>
    <col min="9483" max="9483" width="2.6640625" customWidth="1"/>
    <col min="9484" max="9484" width="8.33203125" customWidth="1"/>
    <col min="9485" max="9485" width="8.6640625" customWidth="1"/>
    <col min="9486" max="9486" width="2.6640625" customWidth="1"/>
    <col min="9487" max="9488" width="8.6640625" customWidth="1"/>
    <col min="9489" max="9489" width="2.6640625" customWidth="1"/>
    <col min="9490" max="9491" width="8.6640625" customWidth="1"/>
    <col min="9492" max="9492" width="2.6640625" customWidth="1"/>
    <col min="9493" max="9494" width="8.6640625" customWidth="1"/>
    <col min="9495" max="9495" width="2.6640625" customWidth="1"/>
    <col min="9729" max="9729" width="17.33203125" customWidth="1"/>
    <col min="9730" max="9730" width="9" customWidth="1"/>
    <col min="9731" max="9732" width="8.6640625" customWidth="1"/>
    <col min="9733" max="9733" width="3.1640625" customWidth="1"/>
    <col min="9734" max="9735" width="8.33203125" customWidth="1"/>
    <col min="9736" max="9736" width="2.33203125" customWidth="1"/>
    <col min="9737" max="9738" width="8.33203125" customWidth="1"/>
    <col min="9739" max="9739" width="2.6640625" customWidth="1"/>
    <col min="9740" max="9740" width="8.33203125" customWidth="1"/>
    <col min="9741" max="9741" width="8.6640625" customWidth="1"/>
    <col min="9742" max="9742" width="2.6640625" customWidth="1"/>
    <col min="9743" max="9744" width="8.6640625" customWidth="1"/>
    <col min="9745" max="9745" width="2.6640625" customWidth="1"/>
    <col min="9746" max="9747" width="8.6640625" customWidth="1"/>
    <col min="9748" max="9748" width="2.6640625" customWidth="1"/>
    <col min="9749" max="9750" width="8.6640625" customWidth="1"/>
    <col min="9751" max="9751" width="2.6640625" customWidth="1"/>
    <col min="9985" max="9985" width="17.33203125" customWidth="1"/>
    <col min="9986" max="9986" width="9" customWidth="1"/>
    <col min="9987" max="9988" width="8.6640625" customWidth="1"/>
    <col min="9989" max="9989" width="3.1640625" customWidth="1"/>
    <col min="9990" max="9991" width="8.33203125" customWidth="1"/>
    <col min="9992" max="9992" width="2.33203125" customWidth="1"/>
    <col min="9993" max="9994" width="8.33203125" customWidth="1"/>
    <col min="9995" max="9995" width="2.6640625" customWidth="1"/>
    <col min="9996" max="9996" width="8.33203125" customWidth="1"/>
    <col min="9997" max="9997" width="8.6640625" customWidth="1"/>
    <col min="9998" max="9998" width="2.6640625" customWidth="1"/>
    <col min="9999" max="10000" width="8.6640625" customWidth="1"/>
    <col min="10001" max="10001" width="2.6640625" customWidth="1"/>
    <col min="10002" max="10003" width="8.6640625" customWidth="1"/>
    <col min="10004" max="10004" width="2.6640625" customWidth="1"/>
    <col min="10005" max="10006" width="8.6640625" customWidth="1"/>
    <col min="10007" max="10007" width="2.6640625" customWidth="1"/>
    <col min="10241" max="10241" width="17.33203125" customWidth="1"/>
    <col min="10242" max="10242" width="9" customWidth="1"/>
    <col min="10243" max="10244" width="8.6640625" customWidth="1"/>
    <col min="10245" max="10245" width="3.1640625" customWidth="1"/>
    <col min="10246" max="10247" width="8.33203125" customWidth="1"/>
    <col min="10248" max="10248" width="2.33203125" customWidth="1"/>
    <col min="10249" max="10250" width="8.33203125" customWidth="1"/>
    <col min="10251" max="10251" width="2.6640625" customWidth="1"/>
    <col min="10252" max="10252" width="8.33203125" customWidth="1"/>
    <col min="10253" max="10253" width="8.6640625" customWidth="1"/>
    <col min="10254" max="10254" width="2.6640625" customWidth="1"/>
    <col min="10255" max="10256" width="8.6640625" customWidth="1"/>
    <col min="10257" max="10257" width="2.6640625" customWidth="1"/>
    <col min="10258" max="10259" width="8.6640625" customWidth="1"/>
    <col min="10260" max="10260" width="2.6640625" customWidth="1"/>
    <col min="10261" max="10262" width="8.6640625" customWidth="1"/>
    <col min="10263" max="10263" width="2.6640625" customWidth="1"/>
    <col min="10497" max="10497" width="17.33203125" customWidth="1"/>
    <col min="10498" max="10498" width="9" customWidth="1"/>
    <col min="10499" max="10500" width="8.6640625" customWidth="1"/>
    <col min="10501" max="10501" width="3.1640625" customWidth="1"/>
    <col min="10502" max="10503" width="8.33203125" customWidth="1"/>
    <col min="10504" max="10504" width="2.33203125" customWidth="1"/>
    <col min="10505" max="10506" width="8.33203125" customWidth="1"/>
    <col min="10507" max="10507" width="2.6640625" customWidth="1"/>
    <col min="10508" max="10508" width="8.33203125" customWidth="1"/>
    <col min="10509" max="10509" width="8.6640625" customWidth="1"/>
    <col min="10510" max="10510" width="2.6640625" customWidth="1"/>
    <col min="10511" max="10512" width="8.6640625" customWidth="1"/>
    <col min="10513" max="10513" width="2.6640625" customWidth="1"/>
    <col min="10514" max="10515" width="8.6640625" customWidth="1"/>
    <col min="10516" max="10516" width="2.6640625" customWidth="1"/>
    <col min="10517" max="10518" width="8.6640625" customWidth="1"/>
    <col min="10519" max="10519" width="2.6640625" customWidth="1"/>
    <col min="10753" max="10753" width="17.33203125" customWidth="1"/>
    <col min="10754" max="10754" width="9" customWidth="1"/>
    <col min="10755" max="10756" width="8.6640625" customWidth="1"/>
    <col min="10757" max="10757" width="3.1640625" customWidth="1"/>
    <col min="10758" max="10759" width="8.33203125" customWidth="1"/>
    <col min="10760" max="10760" width="2.33203125" customWidth="1"/>
    <col min="10761" max="10762" width="8.33203125" customWidth="1"/>
    <col min="10763" max="10763" width="2.6640625" customWidth="1"/>
    <col min="10764" max="10764" width="8.33203125" customWidth="1"/>
    <col min="10765" max="10765" width="8.6640625" customWidth="1"/>
    <col min="10766" max="10766" width="2.6640625" customWidth="1"/>
    <col min="10767" max="10768" width="8.6640625" customWidth="1"/>
    <col min="10769" max="10769" width="2.6640625" customWidth="1"/>
    <col min="10770" max="10771" width="8.6640625" customWidth="1"/>
    <col min="10772" max="10772" width="2.6640625" customWidth="1"/>
    <col min="10773" max="10774" width="8.6640625" customWidth="1"/>
    <col min="10775" max="10775" width="2.6640625" customWidth="1"/>
    <col min="11009" max="11009" width="17.33203125" customWidth="1"/>
    <col min="11010" max="11010" width="9" customWidth="1"/>
    <col min="11011" max="11012" width="8.6640625" customWidth="1"/>
    <col min="11013" max="11013" width="3.1640625" customWidth="1"/>
    <col min="11014" max="11015" width="8.33203125" customWidth="1"/>
    <col min="11016" max="11016" width="2.33203125" customWidth="1"/>
    <col min="11017" max="11018" width="8.33203125" customWidth="1"/>
    <col min="11019" max="11019" width="2.6640625" customWidth="1"/>
    <col min="11020" max="11020" width="8.33203125" customWidth="1"/>
    <col min="11021" max="11021" width="8.6640625" customWidth="1"/>
    <col min="11022" max="11022" width="2.6640625" customWidth="1"/>
    <col min="11023" max="11024" width="8.6640625" customWidth="1"/>
    <col min="11025" max="11025" width="2.6640625" customWidth="1"/>
    <col min="11026" max="11027" width="8.6640625" customWidth="1"/>
    <col min="11028" max="11028" width="2.6640625" customWidth="1"/>
    <col min="11029" max="11030" width="8.6640625" customWidth="1"/>
    <col min="11031" max="11031" width="2.6640625" customWidth="1"/>
    <col min="11265" max="11265" width="17.33203125" customWidth="1"/>
    <col min="11266" max="11266" width="9" customWidth="1"/>
    <col min="11267" max="11268" width="8.6640625" customWidth="1"/>
    <col min="11269" max="11269" width="3.1640625" customWidth="1"/>
    <col min="11270" max="11271" width="8.33203125" customWidth="1"/>
    <col min="11272" max="11272" width="2.33203125" customWidth="1"/>
    <col min="11273" max="11274" width="8.33203125" customWidth="1"/>
    <col min="11275" max="11275" width="2.6640625" customWidth="1"/>
    <col min="11276" max="11276" width="8.33203125" customWidth="1"/>
    <col min="11277" max="11277" width="8.6640625" customWidth="1"/>
    <col min="11278" max="11278" width="2.6640625" customWidth="1"/>
    <col min="11279" max="11280" width="8.6640625" customWidth="1"/>
    <col min="11281" max="11281" width="2.6640625" customWidth="1"/>
    <col min="11282" max="11283" width="8.6640625" customWidth="1"/>
    <col min="11284" max="11284" width="2.6640625" customWidth="1"/>
    <col min="11285" max="11286" width="8.6640625" customWidth="1"/>
    <col min="11287" max="11287" width="2.6640625" customWidth="1"/>
    <col min="11521" max="11521" width="17.33203125" customWidth="1"/>
    <col min="11522" max="11522" width="9" customWidth="1"/>
    <col min="11523" max="11524" width="8.6640625" customWidth="1"/>
    <col min="11525" max="11525" width="3.1640625" customWidth="1"/>
    <col min="11526" max="11527" width="8.33203125" customWidth="1"/>
    <col min="11528" max="11528" width="2.33203125" customWidth="1"/>
    <col min="11529" max="11530" width="8.33203125" customWidth="1"/>
    <col min="11531" max="11531" width="2.6640625" customWidth="1"/>
    <col min="11532" max="11532" width="8.33203125" customWidth="1"/>
    <col min="11533" max="11533" width="8.6640625" customWidth="1"/>
    <col min="11534" max="11534" width="2.6640625" customWidth="1"/>
    <col min="11535" max="11536" width="8.6640625" customWidth="1"/>
    <col min="11537" max="11537" width="2.6640625" customWidth="1"/>
    <col min="11538" max="11539" width="8.6640625" customWidth="1"/>
    <col min="11540" max="11540" width="2.6640625" customWidth="1"/>
    <col min="11541" max="11542" width="8.6640625" customWidth="1"/>
    <col min="11543" max="11543" width="2.6640625" customWidth="1"/>
    <col min="11777" max="11777" width="17.33203125" customWidth="1"/>
    <col min="11778" max="11778" width="9" customWidth="1"/>
    <col min="11779" max="11780" width="8.6640625" customWidth="1"/>
    <col min="11781" max="11781" width="3.1640625" customWidth="1"/>
    <col min="11782" max="11783" width="8.33203125" customWidth="1"/>
    <col min="11784" max="11784" width="2.33203125" customWidth="1"/>
    <col min="11785" max="11786" width="8.33203125" customWidth="1"/>
    <col min="11787" max="11787" width="2.6640625" customWidth="1"/>
    <col min="11788" max="11788" width="8.33203125" customWidth="1"/>
    <col min="11789" max="11789" width="8.6640625" customWidth="1"/>
    <col min="11790" max="11790" width="2.6640625" customWidth="1"/>
    <col min="11791" max="11792" width="8.6640625" customWidth="1"/>
    <col min="11793" max="11793" width="2.6640625" customWidth="1"/>
    <col min="11794" max="11795" width="8.6640625" customWidth="1"/>
    <col min="11796" max="11796" width="2.6640625" customWidth="1"/>
    <col min="11797" max="11798" width="8.6640625" customWidth="1"/>
    <col min="11799" max="11799" width="2.6640625" customWidth="1"/>
    <col min="12033" max="12033" width="17.33203125" customWidth="1"/>
    <col min="12034" max="12034" width="9" customWidth="1"/>
    <col min="12035" max="12036" width="8.6640625" customWidth="1"/>
    <col min="12037" max="12037" width="3.1640625" customWidth="1"/>
    <col min="12038" max="12039" width="8.33203125" customWidth="1"/>
    <col min="12040" max="12040" width="2.33203125" customWidth="1"/>
    <col min="12041" max="12042" width="8.33203125" customWidth="1"/>
    <col min="12043" max="12043" width="2.6640625" customWidth="1"/>
    <col min="12044" max="12044" width="8.33203125" customWidth="1"/>
    <col min="12045" max="12045" width="8.6640625" customWidth="1"/>
    <col min="12046" max="12046" width="2.6640625" customWidth="1"/>
    <col min="12047" max="12048" width="8.6640625" customWidth="1"/>
    <col min="12049" max="12049" width="2.6640625" customWidth="1"/>
    <col min="12050" max="12051" width="8.6640625" customWidth="1"/>
    <col min="12052" max="12052" width="2.6640625" customWidth="1"/>
    <col min="12053" max="12054" width="8.6640625" customWidth="1"/>
    <col min="12055" max="12055" width="2.6640625" customWidth="1"/>
    <col min="12289" max="12289" width="17.33203125" customWidth="1"/>
    <col min="12290" max="12290" width="9" customWidth="1"/>
    <col min="12291" max="12292" width="8.6640625" customWidth="1"/>
    <col min="12293" max="12293" width="3.1640625" customWidth="1"/>
    <col min="12294" max="12295" width="8.33203125" customWidth="1"/>
    <col min="12296" max="12296" width="2.33203125" customWidth="1"/>
    <col min="12297" max="12298" width="8.33203125" customWidth="1"/>
    <col min="12299" max="12299" width="2.6640625" customWidth="1"/>
    <col min="12300" max="12300" width="8.33203125" customWidth="1"/>
    <col min="12301" max="12301" width="8.6640625" customWidth="1"/>
    <col min="12302" max="12302" width="2.6640625" customWidth="1"/>
    <col min="12303" max="12304" width="8.6640625" customWidth="1"/>
    <col min="12305" max="12305" width="2.6640625" customWidth="1"/>
    <col min="12306" max="12307" width="8.6640625" customWidth="1"/>
    <col min="12308" max="12308" width="2.6640625" customWidth="1"/>
    <col min="12309" max="12310" width="8.6640625" customWidth="1"/>
    <col min="12311" max="12311" width="2.6640625" customWidth="1"/>
    <col min="12545" max="12545" width="17.33203125" customWidth="1"/>
    <col min="12546" max="12546" width="9" customWidth="1"/>
    <col min="12547" max="12548" width="8.6640625" customWidth="1"/>
    <col min="12549" max="12549" width="3.1640625" customWidth="1"/>
    <col min="12550" max="12551" width="8.33203125" customWidth="1"/>
    <col min="12552" max="12552" width="2.33203125" customWidth="1"/>
    <col min="12553" max="12554" width="8.33203125" customWidth="1"/>
    <col min="12555" max="12555" width="2.6640625" customWidth="1"/>
    <col min="12556" max="12556" width="8.33203125" customWidth="1"/>
    <col min="12557" max="12557" width="8.6640625" customWidth="1"/>
    <col min="12558" max="12558" width="2.6640625" customWidth="1"/>
    <col min="12559" max="12560" width="8.6640625" customWidth="1"/>
    <col min="12561" max="12561" width="2.6640625" customWidth="1"/>
    <col min="12562" max="12563" width="8.6640625" customWidth="1"/>
    <col min="12564" max="12564" width="2.6640625" customWidth="1"/>
    <col min="12565" max="12566" width="8.6640625" customWidth="1"/>
    <col min="12567" max="12567" width="2.6640625" customWidth="1"/>
    <col min="12801" max="12801" width="17.33203125" customWidth="1"/>
    <col min="12802" max="12802" width="9" customWidth="1"/>
    <col min="12803" max="12804" width="8.6640625" customWidth="1"/>
    <col min="12805" max="12805" width="3.1640625" customWidth="1"/>
    <col min="12806" max="12807" width="8.33203125" customWidth="1"/>
    <col min="12808" max="12808" width="2.33203125" customWidth="1"/>
    <col min="12809" max="12810" width="8.33203125" customWidth="1"/>
    <col min="12811" max="12811" width="2.6640625" customWidth="1"/>
    <col min="12812" max="12812" width="8.33203125" customWidth="1"/>
    <col min="12813" max="12813" width="8.6640625" customWidth="1"/>
    <col min="12814" max="12814" width="2.6640625" customWidth="1"/>
    <col min="12815" max="12816" width="8.6640625" customWidth="1"/>
    <col min="12817" max="12817" width="2.6640625" customWidth="1"/>
    <col min="12818" max="12819" width="8.6640625" customWidth="1"/>
    <col min="12820" max="12820" width="2.6640625" customWidth="1"/>
    <col min="12821" max="12822" width="8.6640625" customWidth="1"/>
    <col min="12823" max="12823" width="2.6640625" customWidth="1"/>
    <col min="13057" max="13057" width="17.33203125" customWidth="1"/>
    <col min="13058" max="13058" width="9" customWidth="1"/>
    <col min="13059" max="13060" width="8.6640625" customWidth="1"/>
    <col min="13061" max="13061" width="3.1640625" customWidth="1"/>
    <col min="13062" max="13063" width="8.33203125" customWidth="1"/>
    <col min="13064" max="13064" width="2.33203125" customWidth="1"/>
    <col min="13065" max="13066" width="8.33203125" customWidth="1"/>
    <col min="13067" max="13067" width="2.6640625" customWidth="1"/>
    <col min="13068" max="13068" width="8.33203125" customWidth="1"/>
    <col min="13069" max="13069" width="8.6640625" customWidth="1"/>
    <col min="13070" max="13070" width="2.6640625" customWidth="1"/>
    <col min="13071" max="13072" width="8.6640625" customWidth="1"/>
    <col min="13073" max="13073" width="2.6640625" customWidth="1"/>
    <col min="13074" max="13075" width="8.6640625" customWidth="1"/>
    <col min="13076" max="13076" width="2.6640625" customWidth="1"/>
    <col min="13077" max="13078" width="8.6640625" customWidth="1"/>
    <col min="13079" max="13079" width="2.6640625" customWidth="1"/>
    <col min="13313" max="13313" width="17.33203125" customWidth="1"/>
    <col min="13314" max="13314" width="9" customWidth="1"/>
    <col min="13315" max="13316" width="8.6640625" customWidth="1"/>
    <col min="13317" max="13317" width="3.1640625" customWidth="1"/>
    <col min="13318" max="13319" width="8.33203125" customWidth="1"/>
    <col min="13320" max="13320" width="2.33203125" customWidth="1"/>
    <col min="13321" max="13322" width="8.33203125" customWidth="1"/>
    <col min="13323" max="13323" width="2.6640625" customWidth="1"/>
    <col min="13324" max="13324" width="8.33203125" customWidth="1"/>
    <col min="13325" max="13325" width="8.6640625" customWidth="1"/>
    <col min="13326" max="13326" width="2.6640625" customWidth="1"/>
    <col min="13327" max="13328" width="8.6640625" customWidth="1"/>
    <col min="13329" max="13329" width="2.6640625" customWidth="1"/>
    <col min="13330" max="13331" width="8.6640625" customWidth="1"/>
    <col min="13332" max="13332" width="2.6640625" customWidth="1"/>
    <col min="13333" max="13334" width="8.6640625" customWidth="1"/>
    <col min="13335" max="13335" width="2.6640625" customWidth="1"/>
    <col min="13569" max="13569" width="17.33203125" customWidth="1"/>
    <col min="13570" max="13570" width="9" customWidth="1"/>
    <col min="13571" max="13572" width="8.6640625" customWidth="1"/>
    <col min="13573" max="13573" width="3.1640625" customWidth="1"/>
    <col min="13574" max="13575" width="8.33203125" customWidth="1"/>
    <col min="13576" max="13576" width="2.33203125" customWidth="1"/>
    <col min="13577" max="13578" width="8.33203125" customWidth="1"/>
    <col min="13579" max="13579" width="2.6640625" customWidth="1"/>
    <col min="13580" max="13580" width="8.33203125" customWidth="1"/>
    <col min="13581" max="13581" width="8.6640625" customWidth="1"/>
    <col min="13582" max="13582" width="2.6640625" customWidth="1"/>
    <col min="13583" max="13584" width="8.6640625" customWidth="1"/>
    <col min="13585" max="13585" width="2.6640625" customWidth="1"/>
    <col min="13586" max="13587" width="8.6640625" customWidth="1"/>
    <col min="13588" max="13588" width="2.6640625" customWidth="1"/>
    <col min="13589" max="13590" width="8.6640625" customWidth="1"/>
    <col min="13591" max="13591" width="2.6640625" customWidth="1"/>
    <col min="13825" max="13825" width="17.33203125" customWidth="1"/>
    <col min="13826" max="13826" width="9" customWidth="1"/>
    <col min="13827" max="13828" width="8.6640625" customWidth="1"/>
    <col min="13829" max="13829" width="3.1640625" customWidth="1"/>
    <col min="13830" max="13831" width="8.33203125" customWidth="1"/>
    <col min="13832" max="13832" width="2.33203125" customWidth="1"/>
    <col min="13833" max="13834" width="8.33203125" customWidth="1"/>
    <col min="13835" max="13835" width="2.6640625" customWidth="1"/>
    <col min="13836" max="13836" width="8.33203125" customWidth="1"/>
    <col min="13837" max="13837" width="8.6640625" customWidth="1"/>
    <col min="13838" max="13838" width="2.6640625" customWidth="1"/>
    <col min="13839" max="13840" width="8.6640625" customWidth="1"/>
    <col min="13841" max="13841" width="2.6640625" customWidth="1"/>
    <col min="13842" max="13843" width="8.6640625" customWidth="1"/>
    <col min="13844" max="13844" width="2.6640625" customWidth="1"/>
    <col min="13845" max="13846" width="8.6640625" customWidth="1"/>
    <col min="13847" max="13847" width="2.6640625" customWidth="1"/>
    <col min="14081" max="14081" width="17.33203125" customWidth="1"/>
    <col min="14082" max="14082" width="9" customWidth="1"/>
    <col min="14083" max="14084" width="8.6640625" customWidth="1"/>
    <col min="14085" max="14085" width="3.1640625" customWidth="1"/>
    <col min="14086" max="14087" width="8.33203125" customWidth="1"/>
    <col min="14088" max="14088" width="2.33203125" customWidth="1"/>
    <col min="14089" max="14090" width="8.33203125" customWidth="1"/>
    <col min="14091" max="14091" width="2.6640625" customWidth="1"/>
    <col min="14092" max="14092" width="8.33203125" customWidth="1"/>
    <col min="14093" max="14093" width="8.6640625" customWidth="1"/>
    <col min="14094" max="14094" width="2.6640625" customWidth="1"/>
    <col min="14095" max="14096" width="8.6640625" customWidth="1"/>
    <col min="14097" max="14097" width="2.6640625" customWidth="1"/>
    <col min="14098" max="14099" width="8.6640625" customWidth="1"/>
    <col min="14100" max="14100" width="2.6640625" customWidth="1"/>
    <col min="14101" max="14102" width="8.6640625" customWidth="1"/>
    <col min="14103" max="14103" width="2.6640625" customWidth="1"/>
    <col min="14337" max="14337" width="17.33203125" customWidth="1"/>
    <col min="14338" max="14338" width="9" customWidth="1"/>
    <col min="14339" max="14340" width="8.6640625" customWidth="1"/>
    <col min="14341" max="14341" width="3.1640625" customWidth="1"/>
    <col min="14342" max="14343" width="8.33203125" customWidth="1"/>
    <col min="14344" max="14344" width="2.33203125" customWidth="1"/>
    <col min="14345" max="14346" width="8.33203125" customWidth="1"/>
    <col min="14347" max="14347" width="2.6640625" customWidth="1"/>
    <col min="14348" max="14348" width="8.33203125" customWidth="1"/>
    <col min="14349" max="14349" width="8.6640625" customWidth="1"/>
    <col min="14350" max="14350" width="2.6640625" customWidth="1"/>
    <col min="14351" max="14352" width="8.6640625" customWidth="1"/>
    <col min="14353" max="14353" width="2.6640625" customWidth="1"/>
    <col min="14354" max="14355" width="8.6640625" customWidth="1"/>
    <col min="14356" max="14356" width="2.6640625" customWidth="1"/>
    <col min="14357" max="14358" width="8.6640625" customWidth="1"/>
    <col min="14359" max="14359" width="2.6640625" customWidth="1"/>
    <col min="14593" max="14593" width="17.33203125" customWidth="1"/>
    <col min="14594" max="14594" width="9" customWidth="1"/>
    <col min="14595" max="14596" width="8.6640625" customWidth="1"/>
    <col min="14597" max="14597" width="3.1640625" customWidth="1"/>
    <col min="14598" max="14599" width="8.33203125" customWidth="1"/>
    <col min="14600" max="14600" width="2.33203125" customWidth="1"/>
    <col min="14601" max="14602" width="8.33203125" customWidth="1"/>
    <col min="14603" max="14603" width="2.6640625" customWidth="1"/>
    <col min="14604" max="14604" width="8.33203125" customWidth="1"/>
    <col min="14605" max="14605" width="8.6640625" customWidth="1"/>
    <col min="14606" max="14606" width="2.6640625" customWidth="1"/>
    <col min="14607" max="14608" width="8.6640625" customWidth="1"/>
    <col min="14609" max="14609" width="2.6640625" customWidth="1"/>
    <col min="14610" max="14611" width="8.6640625" customWidth="1"/>
    <col min="14612" max="14612" width="2.6640625" customWidth="1"/>
    <col min="14613" max="14614" width="8.6640625" customWidth="1"/>
    <col min="14615" max="14615" width="2.6640625" customWidth="1"/>
    <col min="14849" max="14849" width="17.33203125" customWidth="1"/>
    <col min="14850" max="14850" width="9" customWidth="1"/>
    <col min="14851" max="14852" width="8.6640625" customWidth="1"/>
    <col min="14853" max="14853" width="3.1640625" customWidth="1"/>
    <col min="14854" max="14855" width="8.33203125" customWidth="1"/>
    <col min="14856" max="14856" width="2.33203125" customWidth="1"/>
    <col min="14857" max="14858" width="8.33203125" customWidth="1"/>
    <col min="14859" max="14859" width="2.6640625" customWidth="1"/>
    <col min="14860" max="14860" width="8.33203125" customWidth="1"/>
    <col min="14861" max="14861" width="8.6640625" customWidth="1"/>
    <col min="14862" max="14862" width="2.6640625" customWidth="1"/>
    <col min="14863" max="14864" width="8.6640625" customWidth="1"/>
    <col min="14865" max="14865" width="2.6640625" customWidth="1"/>
    <col min="14866" max="14867" width="8.6640625" customWidth="1"/>
    <col min="14868" max="14868" width="2.6640625" customWidth="1"/>
    <col min="14869" max="14870" width="8.6640625" customWidth="1"/>
    <col min="14871" max="14871" width="2.6640625" customWidth="1"/>
    <col min="15105" max="15105" width="17.33203125" customWidth="1"/>
    <col min="15106" max="15106" width="9" customWidth="1"/>
    <col min="15107" max="15108" width="8.6640625" customWidth="1"/>
    <col min="15109" max="15109" width="3.1640625" customWidth="1"/>
    <col min="15110" max="15111" width="8.33203125" customWidth="1"/>
    <col min="15112" max="15112" width="2.33203125" customWidth="1"/>
    <col min="15113" max="15114" width="8.33203125" customWidth="1"/>
    <col min="15115" max="15115" width="2.6640625" customWidth="1"/>
    <col min="15116" max="15116" width="8.33203125" customWidth="1"/>
    <col min="15117" max="15117" width="8.6640625" customWidth="1"/>
    <col min="15118" max="15118" width="2.6640625" customWidth="1"/>
    <col min="15119" max="15120" width="8.6640625" customWidth="1"/>
    <col min="15121" max="15121" width="2.6640625" customWidth="1"/>
    <col min="15122" max="15123" width="8.6640625" customWidth="1"/>
    <col min="15124" max="15124" width="2.6640625" customWidth="1"/>
    <col min="15125" max="15126" width="8.6640625" customWidth="1"/>
    <col min="15127" max="15127" width="2.6640625" customWidth="1"/>
    <col min="15361" max="15361" width="17.33203125" customWidth="1"/>
    <col min="15362" max="15362" width="9" customWidth="1"/>
    <col min="15363" max="15364" width="8.6640625" customWidth="1"/>
    <col min="15365" max="15365" width="3.1640625" customWidth="1"/>
    <col min="15366" max="15367" width="8.33203125" customWidth="1"/>
    <col min="15368" max="15368" width="2.33203125" customWidth="1"/>
    <col min="15369" max="15370" width="8.33203125" customWidth="1"/>
    <col min="15371" max="15371" width="2.6640625" customWidth="1"/>
    <col min="15372" max="15372" width="8.33203125" customWidth="1"/>
    <col min="15373" max="15373" width="8.6640625" customWidth="1"/>
    <col min="15374" max="15374" width="2.6640625" customWidth="1"/>
    <col min="15375" max="15376" width="8.6640625" customWidth="1"/>
    <col min="15377" max="15377" width="2.6640625" customWidth="1"/>
    <col min="15378" max="15379" width="8.6640625" customWidth="1"/>
    <col min="15380" max="15380" width="2.6640625" customWidth="1"/>
    <col min="15381" max="15382" width="8.6640625" customWidth="1"/>
    <col min="15383" max="15383" width="2.6640625" customWidth="1"/>
    <col min="15617" max="15617" width="17.33203125" customWidth="1"/>
    <col min="15618" max="15618" width="9" customWidth="1"/>
    <col min="15619" max="15620" width="8.6640625" customWidth="1"/>
    <col min="15621" max="15621" width="3.1640625" customWidth="1"/>
    <col min="15622" max="15623" width="8.33203125" customWidth="1"/>
    <col min="15624" max="15624" width="2.33203125" customWidth="1"/>
    <col min="15625" max="15626" width="8.33203125" customWidth="1"/>
    <col min="15627" max="15627" width="2.6640625" customWidth="1"/>
    <col min="15628" max="15628" width="8.33203125" customWidth="1"/>
    <col min="15629" max="15629" width="8.6640625" customWidth="1"/>
    <col min="15630" max="15630" width="2.6640625" customWidth="1"/>
    <col min="15631" max="15632" width="8.6640625" customWidth="1"/>
    <col min="15633" max="15633" width="2.6640625" customWidth="1"/>
    <col min="15634" max="15635" width="8.6640625" customWidth="1"/>
    <col min="15636" max="15636" width="2.6640625" customWidth="1"/>
    <col min="15637" max="15638" width="8.6640625" customWidth="1"/>
    <col min="15639" max="15639" width="2.6640625" customWidth="1"/>
    <col min="15873" max="15873" width="17.33203125" customWidth="1"/>
    <col min="15874" max="15874" width="9" customWidth="1"/>
    <col min="15875" max="15876" width="8.6640625" customWidth="1"/>
    <col min="15877" max="15877" width="3.1640625" customWidth="1"/>
    <col min="15878" max="15879" width="8.33203125" customWidth="1"/>
    <col min="15880" max="15880" width="2.33203125" customWidth="1"/>
    <col min="15881" max="15882" width="8.33203125" customWidth="1"/>
    <col min="15883" max="15883" width="2.6640625" customWidth="1"/>
    <col min="15884" max="15884" width="8.33203125" customWidth="1"/>
    <col min="15885" max="15885" width="8.6640625" customWidth="1"/>
    <col min="15886" max="15886" width="2.6640625" customWidth="1"/>
    <col min="15887" max="15888" width="8.6640625" customWidth="1"/>
    <col min="15889" max="15889" width="2.6640625" customWidth="1"/>
    <col min="15890" max="15891" width="8.6640625" customWidth="1"/>
    <col min="15892" max="15892" width="2.6640625" customWidth="1"/>
    <col min="15893" max="15894" width="8.6640625" customWidth="1"/>
    <col min="15895" max="15895" width="2.6640625" customWidth="1"/>
    <col min="16129" max="16129" width="17.33203125" customWidth="1"/>
    <col min="16130" max="16130" width="9" customWidth="1"/>
    <col min="16131" max="16132" width="8.6640625" customWidth="1"/>
    <col min="16133" max="16133" width="3.1640625" customWidth="1"/>
    <col min="16134" max="16135" width="8.33203125" customWidth="1"/>
    <col min="16136" max="16136" width="2.33203125" customWidth="1"/>
    <col min="16137" max="16138" width="8.33203125" customWidth="1"/>
    <col min="16139" max="16139" width="2.6640625" customWidth="1"/>
    <col min="16140" max="16140" width="8.33203125" customWidth="1"/>
    <col min="16141" max="16141" width="8.6640625" customWidth="1"/>
    <col min="16142" max="16142" width="2.6640625" customWidth="1"/>
    <col min="16143" max="16144" width="8.6640625" customWidth="1"/>
    <col min="16145" max="16145" width="2.6640625" customWidth="1"/>
    <col min="16146" max="16147" width="8.6640625" customWidth="1"/>
    <col min="16148" max="16148" width="2.6640625" customWidth="1"/>
    <col min="16149" max="16150" width="8.6640625" customWidth="1"/>
    <col min="16151" max="16151" width="2.6640625" customWidth="1"/>
  </cols>
  <sheetData>
    <row r="1" spans="1:23" ht="16">
      <c r="A1" s="387" t="s">
        <v>589</v>
      </c>
      <c r="B1" s="387"/>
      <c r="C1" s="387"/>
      <c r="E1" s="28"/>
      <c r="F1" s="28"/>
      <c r="G1" s="28"/>
      <c r="H1" s="28"/>
      <c r="I1" s="28"/>
      <c r="J1" s="28"/>
      <c r="K1" s="28"/>
      <c r="L1" s="387"/>
      <c r="M1" s="387"/>
      <c r="N1" s="387"/>
      <c r="O1" s="387"/>
      <c r="P1" s="387"/>
      <c r="Q1" s="387"/>
    </row>
    <row r="2" spans="1:23" ht="16">
      <c r="A2" s="387" t="s">
        <v>590</v>
      </c>
      <c r="B2" s="387"/>
      <c r="C2" s="387"/>
      <c r="E2" s="28"/>
      <c r="F2" s="28"/>
      <c r="G2" s="28"/>
      <c r="H2" s="28"/>
      <c r="I2" s="28"/>
      <c r="J2" s="28"/>
      <c r="K2" s="28"/>
      <c r="L2" s="387"/>
      <c r="M2" s="387"/>
      <c r="N2" s="387"/>
      <c r="O2" s="387"/>
      <c r="P2" s="387"/>
      <c r="Q2" s="387"/>
    </row>
    <row r="3" spans="1:23" ht="16">
      <c r="A3" s="387"/>
      <c r="B3" s="387"/>
      <c r="C3" s="387"/>
      <c r="D3" s="505"/>
      <c r="E3" s="506"/>
      <c r="F3" s="506"/>
      <c r="G3" s="506"/>
      <c r="H3" s="506"/>
      <c r="I3" s="506"/>
      <c r="J3" s="506"/>
      <c r="K3" s="506"/>
      <c r="L3" s="387"/>
      <c r="M3" s="387"/>
      <c r="N3" s="387"/>
      <c r="O3" s="387"/>
      <c r="P3" s="387"/>
      <c r="Q3" s="387"/>
    </row>
    <row r="4" spans="1:23" ht="16">
      <c r="A4" s="387" t="s">
        <v>2045</v>
      </c>
      <c r="B4" s="387"/>
      <c r="C4" s="387"/>
      <c r="D4" s="505"/>
      <c r="E4" s="505"/>
      <c r="F4" s="505"/>
      <c r="G4" s="505"/>
      <c r="H4" s="505"/>
      <c r="I4" s="505"/>
      <c r="J4" s="505"/>
      <c r="K4" s="505"/>
      <c r="L4" s="387"/>
      <c r="M4" s="387"/>
      <c r="N4" s="387"/>
      <c r="O4" s="387"/>
      <c r="P4" s="387"/>
      <c r="Q4" s="387"/>
    </row>
    <row r="5" spans="1:23" ht="16">
      <c r="A5" s="387" t="s">
        <v>2046</v>
      </c>
      <c r="B5" s="387"/>
      <c r="C5" s="387"/>
      <c r="D5" s="505"/>
      <c r="E5" s="505"/>
      <c r="F5" s="505"/>
      <c r="G5" s="505"/>
      <c r="H5" s="505"/>
      <c r="I5" s="505"/>
      <c r="J5" s="505"/>
      <c r="K5" s="505"/>
      <c r="L5" s="387"/>
      <c r="M5" s="387"/>
      <c r="N5" s="387"/>
      <c r="O5" s="387"/>
      <c r="P5" s="387"/>
      <c r="Q5" s="387"/>
    </row>
    <row r="6" spans="1:23" ht="16">
      <c r="A6" s="388"/>
      <c r="B6" s="388"/>
      <c r="C6" s="388"/>
      <c r="D6" s="388"/>
      <c r="E6" s="388"/>
      <c r="F6" s="388"/>
      <c r="G6" s="388"/>
      <c r="H6" s="388"/>
      <c r="I6" s="388"/>
      <c r="J6" s="388"/>
      <c r="K6" s="388"/>
      <c r="L6" s="388"/>
      <c r="M6" s="388"/>
      <c r="N6" s="388"/>
      <c r="O6" s="891"/>
      <c r="P6" s="891"/>
      <c r="Q6" s="891"/>
    </row>
    <row r="7" spans="1:23" ht="16">
      <c r="A7" s="507"/>
      <c r="B7" s="507"/>
      <c r="C7" s="507"/>
      <c r="D7" s="507"/>
      <c r="E7" s="507"/>
      <c r="F7" s="507"/>
      <c r="G7" s="507"/>
      <c r="H7" s="507"/>
      <c r="I7" s="507"/>
      <c r="J7" s="507"/>
      <c r="K7" s="507"/>
      <c r="L7" s="507"/>
      <c r="M7" s="507"/>
      <c r="N7" s="507"/>
      <c r="O7" s="507"/>
      <c r="P7" s="507"/>
      <c r="Q7" s="507"/>
      <c r="R7" s="507"/>
      <c r="S7" s="507"/>
      <c r="T7" s="507"/>
      <c r="U7" s="507"/>
      <c r="V7" s="507"/>
      <c r="W7" s="507"/>
    </row>
    <row r="8" spans="1:23" ht="18">
      <c r="A8" s="466" t="s">
        <v>2047</v>
      </c>
      <c r="B8" s="500"/>
      <c r="C8" s="1062" t="s">
        <v>2048</v>
      </c>
      <c r="D8" s="1062"/>
      <c r="E8" s="41"/>
      <c r="F8" s="1062" t="s">
        <v>2049</v>
      </c>
      <c r="G8" s="1062"/>
      <c r="H8" s="41"/>
      <c r="I8" s="1062" t="s">
        <v>1053</v>
      </c>
      <c r="J8" s="1062"/>
      <c r="K8" s="41"/>
      <c r="L8" s="1062" t="s">
        <v>501</v>
      </c>
      <c r="M8" s="1062"/>
      <c r="N8" s="466"/>
      <c r="O8" s="1062" t="s">
        <v>500</v>
      </c>
      <c r="P8" s="1062"/>
      <c r="Q8" s="388"/>
      <c r="R8" s="1062" t="s">
        <v>1163</v>
      </c>
      <c r="S8" s="1062"/>
      <c r="U8" s="1062" t="s">
        <v>498</v>
      </c>
      <c r="V8" s="1062"/>
    </row>
    <row r="9" spans="1:23" ht="16">
      <c r="A9" s="466" t="s">
        <v>2050</v>
      </c>
      <c r="B9" s="500"/>
      <c r="C9" s="500" t="s">
        <v>1475</v>
      </c>
      <c r="D9" s="500" t="s">
        <v>153</v>
      </c>
      <c r="E9" s="500"/>
      <c r="F9" s="500" t="s">
        <v>1475</v>
      </c>
      <c r="G9" s="500" t="s">
        <v>153</v>
      </c>
      <c r="H9" s="500"/>
      <c r="I9" s="500" t="s">
        <v>1475</v>
      </c>
      <c r="J9" s="500" t="s">
        <v>153</v>
      </c>
      <c r="K9" s="500"/>
      <c r="L9" s="500" t="s">
        <v>1475</v>
      </c>
      <c r="M9" s="500" t="s">
        <v>153</v>
      </c>
      <c r="N9" s="467"/>
      <c r="O9" s="500" t="s">
        <v>1475</v>
      </c>
      <c r="P9" s="500" t="s">
        <v>153</v>
      </c>
      <c r="Q9" s="500"/>
      <c r="R9" s="500" t="s">
        <v>1475</v>
      </c>
      <c r="S9" s="500" t="s">
        <v>153</v>
      </c>
      <c r="U9" s="500" t="s">
        <v>1475</v>
      </c>
      <c r="V9" s="500" t="s">
        <v>153</v>
      </c>
    </row>
    <row r="10" spans="1:23" ht="16">
      <c r="A10" s="508"/>
      <c r="B10" s="509"/>
      <c r="C10" s="509"/>
      <c r="D10" s="509"/>
      <c r="E10" s="509"/>
      <c r="F10" s="509"/>
      <c r="G10" s="509"/>
      <c r="H10" s="509"/>
      <c r="I10" s="509"/>
      <c r="J10" s="509"/>
      <c r="K10" s="509"/>
      <c r="L10" s="509"/>
      <c r="M10" s="509"/>
      <c r="N10" s="509"/>
      <c r="O10" s="892"/>
      <c r="P10" s="892"/>
      <c r="Q10" s="892"/>
      <c r="R10" s="892"/>
      <c r="S10" s="892"/>
      <c r="U10" s="892"/>
      <c r="V10" s="892"/>
    </row>
    <row r="11" spans="1:23" ht="16">
      <c r="A11" s="388"/>
      <c r="B11" s="388"/>
      <c r="C11" s="388"/>
      <c r="D11" s="388"/>
      <c r="E11" s="388"/>
      <c r="F11" s="388"/>
      <c r="G11" s="388"/>
      <c r="H11" s="388"/>
      <c r="I11" s="388"/>
      <c r="J11" s="388"/>
      <c r="K11" s="388"/>
      <c r="L11" s="388"/>
      <c r="M11" s="388"/>
      <c r="N11" s="388"/>
      <c r="O11" s="891"/>
      <c r="P11" s="891"/>
      <c r="Q11" s="891"/>
      <c r="R11" s="891"/>
      <c r="S11" s="891"/>
      <c r="T11" s="507"/>
      <c r="U11" s="891"/>
      <c r="V11" s="891"/>
      <c r="W11" s="507"/>
    </row>
    <row r="12" spans="1:23" ht="18" customHeight="1">
      <c r="A12" s="466" t="s">
        <v>148</v>
      </c>
      <c r="B12" s="388"/>
      <c r="C12" s="510">
        <f>SUM(C14:C19)</f>
        <v>1410</v>
      </c>
      <c r="D12" s="511">
        <f>SUM(D14:D19)</f>
        <v>100</v>
      </c>
      <c r="E12" s="388"/>
      <c r="F12" s="388">
        <f>SUM(F14:F19)</f>
        <v>113</v>
      </c>
      <c r="G12" s="891">
        <f>IF($A12&lt;&gt;0,F12/$C12*100,"")</f>
        <v>8.0141843971631204</v>
      </c>
      <c r="H12" s="388"/>
      <c r="I12" s="388">
        <f>SUM(I14:I19)</f>
        <v>3</v>
      </c>
      <c r="J12" s="891">
        <f>IF($A12&lt;&gt;0,I12/$C12*100,"")</f>
        <v>0.21276595744680851</v>
      </c>
      <c r="K12" s="388"/>
      <c r="L12" s="388">
        <f>SUM(L14:L19)</f>
        <v>59</v>
      </c>
      <c r="M12" s="891">
        <f>IF($A12&lt;&gt;0,L12/$C12*100,"")</f>
        <v>4.1843971631205674</v>
      </c>
      <c r="N12" s="388"/>
      <c r="O12" s="388">
        <f>SUM(O14:O19)</f>
        <v>365</v>
      </c>
      <c r="P12" s="891">
        <f t="shared" ref="P12:P19" si="0">IF($A12&lt;&gt;0,O12/$C12*100,"")</f>
        <v>25.886524822695034</v>
      </c>
      <c r="Q12" s="891"/>
      <c r="R12" s="388">
        <f>SUM(R14:R19)</f>
        <v>587</v>
      </c>
      <c r="S12" s="891">
        <f t="shared" ref="S12:S19" si="1">IF($A12&lt;&gt;0,R12/$C12*100,"")</f>
        <v>41.631205673758863</v>
      </c>
      <c r="T12" s="387"/>
      <c r="U12" s="388">
        <f>SUM(U14:U19)</f>
        <v>283</v>
      </c>
      <c r="V12" s="891">
        <f t="shared" ref="V12:V19" si="2">IF($A12&lt;&gt;0,U12/$C12*100,"")</f>
        <v>20.070921985815605</v>
      </c>
      <c r="W12" s="388"/>
    </row>
    <row r="13" spans="1:23" ht="18" customHeight="1">
      <c r="A13" s="500"/>
      <c r="B13" s="388"/>
      <c r="C13" s="388"/>
      <c r="D13" s="511"/>
      <c r="E13" s="388"/>
      <c r="F13" s="388"/>
      <c r="G13" s="891"/>
      <c r="H13" s="388"/>
      <c r="I13" s="388"/>
      <c r="J13" s="891"/>
      <c r="K13" s="388"/>
      <c r="L13" s="388"/>
      <c r="M13" s="891"/>
      <c r="N13" s="388"/>
      <c r="O13" s="388"/>
      <c r="P13" s="891" t="str">
        <f t="shared" si="0"/>
        <v/>
      </c>
      <c r="Q13" s="891"/>
      <c r="R13" s="388"/>
      <c r="S13" s="891" t="str">
        <f t="shared" si="1"/>
        <v/>
      </c>
      <c r="T13" s="387"/>
      <c r="U13" s="388"/>
      <c r="V13" s="891" t="str">
        <f t="shared" si="2"/>
        <v/>
      </c>
      <c r="W13" s="388"/>
    </row>
    <row r="14" spans="1:23" ht="18" customHeight="1">
      <c r="A14" s="512" t="s">
        <v>2051</v>
      </c>
      <c r="B14" s="41"/>
      <c r="C14" s="388">
        <f t="shared" ref="C14:C19" si="3">F14+I14+L14+O14+R14+U14</f>
        <v>721</v>
      </c>
      <c r="D14" s="511">
        <f>IF(A14&lt;&gt;0,C14/C12*100,"")</f>
        <v>51.134751773049643</v>
      </c>
      <c r="E14" s="388"/>
      <c r="F14" s="388"/>
      <c r="G14" s="891">
        <f t="shared" ref="G14:G19" si="4">IF($A14&lt;&gt;0,F14/$C14*100,"")</f>
        <v>0</v>
      </c>
      <c r="H14" s="388"/>
      <c r="I14" s="388"/>
      <c r="J14" s="891">
        <f t="shared" ref="J14:J19" si="5">IF($A14&lt;&gt;0,I14/$C14*100,"")</f>
        <v>0</v>
      </c>
      <c r="K14" s="388"/>
      <c r="L14" s="388">
        <v>59</v>
      </c>
      <c r="M14" s="891">
        <f t="shared" ref="M14:M19" si="6">IF($A14&lt;&gt;0,L14/$C14*100,"")</f>
        <v>8.1830790568654646</v>
      </c>
      <c r="N14" s="388"/>
      <c r="O14" s="388">
        <v>325</v>
      </c>
      <c r="P14" s="891">
        <f t="shared" si="0"/>
        <v>45.076282940360613</v>
      </c>
      <c r="Q14" s="388"/>
      <c r="R14" s="388">
        <f>148+4+134</f>
        <v>286</v>
      </c>
      <c r="S14" s="891">
        <f t="shared" si="1"/>
        <v>39.667128987517337</v>
      </c>
      <c r="T14" s="387"/>
      <c r="U14" s="388">
        <v>51</v>
      </c>
      <c r="V14" s="891">
        <f t="shared" si="2"/>
        <v>7.0735090152565876</v>
      </c>
      <c r="W14" s="388"/>
    </row>
    <row r="15" spans="1:23" ht="18" customHeight="1">
      <c r="A15" s="512" t="s">
        <v>2052</v>
      </c>
      <c r="B15" s="41"/>
      <c r="C15" s="388">
        <f t="shared" si="3"/>
        <v>184</v>
      </c>
      <c r="D15" s="511">
        <f>IF(A15&lt;&gt;0,C15/C12*100,"")</f>
        <v>13.049645390070921</v>
      </c>
      <c r="E15" s="388"/>
      <c r="F15" s="388"/>
      <c r="G15" s="891">
        <f t="shared" si="4"/>
        <v>0</v>
      </c>
      <c r="H15" s="388"/>
      <c r="I15" s="388"/>
      <c r="J15" s="891">
        <f t="shared" si="5"/>
        <v>0</v>
      </c>
      <c r="K15" s="388"/>
      <c r="L15" s="388"/>
      <c r="M15" s="891">
        <f t="shared" si="6"/>
        <v>0</v>
      </c>
      <c r="N15" s="388"/>
      <c r="O15" s="388">
        <v>26</v>
      </c>
      <c r="P15" s="891">
        <f t="shared" si="0"/>
        <v>14.130434782608695</v>
      </c>
      <c r="Q15" s="388"/>
      <c r="R15" s="388">
        <v>118</v>
      </c>
      <c r="S15" s="891">
        <f t="shared" si="1"/>
        <v>64.130434782608688</v>
      </c>
      <c r="T15" s="387"/>
      <c r="U15" s="388">
        <v>40</v>
      </c>
      <c r="V15" s="891">
        <f t="shared" si="2"/>
        <v>21.739130434782609</v>
      </c>
      <c r="W15" s="388"/>
    </row>
    <row r="16" spans="1:23" ht="18" customHeight="1">
      <c r="A16" s="512" t="s">
        <v>2053</v>
      </c>
      <c r="B16" s="41"/>
      <c r="C16" s="388">
        <f t="shared" si="3"/>
        <v>74</v>
      </c>
      <c r="D16" s="511">
        <f>IF(A16&lt;&gt;0,C16/C12*100,"")</f>
        <v>5.24822695035461</v>
      </c>
      <c r="E16" s="388"/>
      <c r="F16" s="388"/>
      <c r="G16" s="891">
        <f t="shared" si="4"/>
        <v>0</v>
      </c>
      <c r="H16" s="388"/>
      <c r="I16" s="388"/>
      <c r="J16" s="891">
        <f t="shared" si="5"/>
        <v>0</v>
      </c>
      <c r="K16" s="388"/>
      <c r="L16" s="388"/>
      <c r="M16" s="891">
        <f t="shared" si="6"/>
        <v>0</v>
      </c>
      <c r="N16" s="388"/>
      <c r="O16" s="388">
        <v>2</v>
      </c>
      <c r="P16" s="891">
        <f t="shared" si="0"/>
        <v>2.7027027027027026</v>
      </c>
      <c r="Q16" s="388"/>
      <c r="R16" s="388">
        <v>49</v>
      </c>
      <c r="S16" s="891">
        <f t="shared" si="1"/>
        <v>66.21621621621621</v>
      </c>
      <c r="T16" s="387"/>
      <c r="U16" s="388">
        <v>23</v>
      </c>
      <c r="V16" s="891">
        <f t="shared" si="2"/>
        <v>31.081081081081081</v>
      </c>
      <c r="W16" s="388"/>
    </row>
    <row r="17" spans="1:23" ht="18" customHeight="1">
      <c r="A17" s="512" t="s">
        <v>2054</v>
      </c>
      <c r="B17" s="41"/>
      <c r="C17" s="388">
        <f t="shared" si="3"/>
        <v>153</v>
      </c>
      <c r="D17" s="511">
        <f>IF(A17&lt;&gt;0,C17/C12*100,"")</f>
        <v>10.851063829787234</v>
      </c>
      <c r="E17" s="388"/>
      <c r="F17" s="388"/>
      <c r="G17" s="891">
        <f t="shared" si="4"/>
        <v>0</v>
      </c>
      <c r="H17" s="388"/>
      <c r="I17" s="388"/>
      <c r="J17" s="891">
        <f t="shared" si="5"/>
        <v>0</v>
      </c>
      <c r="K17" s="388"/>
      <c r="L17" s="893"/>
      <c r="M17" s="891">
        <f t="shared" si="6"/>
        <v>0</v>
      </c>
      <c r="N17" s="388"/>
      <c r="O17" s="388">
        <v>9</v>
      </c>
      <c r="P17" s="891">
        <f t="shared" si="0"/>
        <v>5.8823529411764701</v>
      </c>
      <c r="Q17" s="388"/>
      <c r="R17" s="893">
        <v>89</v>
      </c>
      <c r="S17" s="891">
        <f t="shared" si="1"/>
        <v>58.169934640522882</v>
      </c>
      <c r="T17" s="387"/>
      <c r="U17" s="388">
        <v>55</v>
      </c>
      <c r="V17" s="891">
        <f t="shared" si="2"/>
        <v>35.947712418300654</v>
      </c>
      <c r="W17" s="388"/>
    </row>
    <row r="18" spans="1:23" ht="18" customHeight="1">
      <c r="A18" s="512" t="s">
        <v>2055</v>
      </c>
      <c r="B18" s="41"/>
      <c r="C18" s="388">
        <f t="shared" si="3"/>
        <v>162</v>
      </c>
      <c r="D18" s="511">
        <f>IF(A18&lt;&gt;0,C18/C12*100,"")</f>
        <v>11.48936170212766</v>
      </c>
      <c r="E18" s="388"/>
      <c r="F18" s="388"/>
      <c r="G18" s="891">
        <f t="shared" si="4"/>
        <v>0</v>
      </c>
      <c r="H18" s="388"/>
      <c r="I18" s="388"/>
      <c r="J18" s="891">
        <f t="shared" si="5"/>
        <v>0</v>
      </c>
      <c r="K18" s="388"/>
      <c r="L18" s="893"/>
      <c r="M18" s="891">
        <f t="shared" si="6"/>
        <v>0</v>
      </c>
      <c r="N18" s="388"/>
      <c r="O18" s="388">
        <v>3</v>
      </c>
      <c r="P18" s="891">
        <f t="shared" si="0"/>
        <v>1.8518518518518516</v>
      </c>
      <c r="Q18" s="388"/>
      <c r="R18" s="893">
        <v>45</v>
      </c>
      <c r="S18" s="891">
        <f t="shared" si="1"/>
        <v>27.777777777777779</v>
      </c>
      <c r="T18" s="387"/>
      <c r="U18" s="893">
        <v>114</v>
      </c>
      <c r="V18" s="891">
        <f t="shared" si="2"/>
        <v>70.370370370370367</v>
      </c>
      <c r="W18" s="387"/>
    </row>
    <row r="19" spans="1:23" ht="18" customHeight="1">
      <c r="A19" s="512" t="s">
        <v>2056</v>
      </c>
      <c r="B19" s="41"/>
      <c r="C19" s="388">
        <f t="shared" si="3"/>
        <v>116</v>
      </c>
      <c r="D19" s="511">
        <f>IF(A19&lt;&gt;0,C19/C12*100,"")</f>
        <v>8.2269503546099276</v>
      </c>
      <c r="E19" s="388"/>
      <c r="F19" s="388">
        <v>113</v>
      </c>
      <c r="G19" s="891">
        <f t="shared" si="4"/>
        <v>97.41379310344827</v>
      </c>
      <c r="H19" s="388"/>
      <c r="I19" s="388">
        <v>3</v>
      </c>
      <c r="J19" s="891">
        <f t="shared" si="5"/>
        <v>2.5862068965517242</v>
      </c>
      <c r="K19" s="388"/>
      <c r="L19" s="893"/>
      <c r="M19" s="891">
        <f t="shared" si="6"/>
        <v>0</v>
      </c>
      <c r="N19" s="388"/>
      <c r="O19" s="893"/>
      <c r="P19" s="891">
        <f t="shared" si="0"/>
        <v>0</v>
      </c>
      <c r="Q19" s="388"/>
      <c r="R19" s="893"/>
      <c r="S19" s="891">
        <f t="shared" si="1"/>
        <v>0</v>
      </c>
      <c r="T19" s="387"/>
      <c r="U19" s="893"/>
      <c r="V19" s="891">
        <f t="shared" si="2"/>
        <v>0</v>
      </c>
      <c r="W19" s="387"/>
    </row>
    <row r="20" spans="1:23" ht="18" customHeight="1">
      <c r="A20" s="513"/>
      <c r="B20" s="513"/>
      <c r="C20" s="513"/>
      <c r="D20" s="513"/>
      <c r="E20" s="513"/>
      <c r="F20" s="513"/>
      <c r="G20" s="513"/>
      <c r="H20" s="513"/>
      <c r="I20" s="513"/>
      <c r="J20" s="513"/>
      <c r="K20" s="513"/>
      <c r="L20" s="513"/>
      <c r="M20" s="513"/>
      <c r="N20" s="513"/>
      <c r="O20" s="513"/>
      <c r="P20" s="513"/>
      <c r="Q20" s="513"/>
      <c r="R20" s="513"/>
      <c r="S20" s="513"/>
      <c r="U20" s="513"/>
      <c r="V20" s="513"/>
    </row>
    <row r="21" spans="1:23" ht="18" customHeight="1">
      <c r="T21" s="507"/>
      <c r="W21" s="507"/>
    </row>
    <row r="22" spans="1:23" ht="18" customHeight="1">
      <c r="A22" s="720" t="s">
        <v>2057</v>
      </c>
      <c r="B22" s="894"/>
      <c r="C22" s="891"/>
      <c r="D22" s="891"/>
      <c r="E22" s="894"/>
      <c r="F22" s="894"/>
      <c r="G22" s="894"/>
      <c r="H22" s="894"/>
      <c r="I22" s="894"/>
      <c r="J22" s="894"/>
      <c r="K22" s="894"/>
      <c r="L22" s="891"/>
      <c r="M22" s="891"/>
      <c r="N22" s="894"/>
      <c r="O22" s="891"/>
      <c r="P22" s="387"/>
      <c r="Q22" s="387"/>
      <c r="R22" s="387"/>
      <c r="S22" s="387"/>
      <c r="T22" s="387"/>
      <c r="U22" s="387"/>
      <c r="W22" s="388"/>
    </row>
    <row r="23" spans="1:23" ht="18" customHeight="1">
      <c r="A23" s="387" t="s">
        <v>2058</v>
      </c>
      <c r="T23" s="388"/>
      <c r="W23" s="388"/>
    </row>
    <row r="24" spans="1:23" ht="18" customHeight="1">
      <c r="T24" s="388"/>
      <c r="W24" s="388"/>
    </row>
    <row r="25" spans="1:23" s="387" customFormat="1" ht="18" customHeight="1">
      <c r="A25" s="387" t="s">
        <v>1472</v>
      </c>
    </row>
    <row r="26" spans="1:23" s="387" customFormat="1" ht="18" customHeight="1">
      <c r="A26" s="387" t="s">
        <v>471</v>
      </c>
    </row>
    <row r="27" spans="1:23" s="387" customFormat="1" ht="14.25" customHeight="1"/>
    <row r="28" spans="1:23" ht="15" customHeight="1"/>
    <row r="29" spans="1:23" ht="15" customHeight="1"/>
    <row r="30" spans="1:23" ht="11.25" customHeight="1"/>
  </sheetData>
  <mergeCells count="7">
    <mergeCell ref="O8:P8"/>
    <mergeCell ref="R8:S8"/>
    <mergeCell ref="U8:V8"/>
    <mergeCell ref="C8:D8"/>
    <mergeCell ref="F8:G8"/>
    <mergeCell ref="I8:J8"/>
    <mergeCell ref="L8:M8"/>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5"/>
  <sheetViews>
    <sheetView workbookViewId="0"/>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2060</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ht="13.5" customHeight="1">
      <c r="A11" s="521" t="s">
        <v>402</v>
      </c>
      <c r="B11" s="522"/>
      <c r="C11" s="895">
        <f>IF($A11&lt;&gt;0,C13+C29,"")</f>
        <v>186</v>
      </c>
      <c r="D11" s="577">
        <f>IF($A11&lt;&gt;0,D13+D29,"")</f>
        <v>100</v>
      </c>
    </row>
    <row r="12" spans="1:5" ht="13.5" customHeight="1">
      <c r="A12" s="522"/>
      <c r="B12" s="522"/>
      <c r="C12" s="523"/>
      <c r="D12" s="515"/>
    </row>
    <row r="13" spans="1:5" ht="13.5" customHeight="1">
      <c r="A13" s="521" t="s">
        <v>403</v>
      </c>
      <c r="B13" s="522"/>
      <c r="C13" s="613">
        <f>SUM(C15+C17+C19+C21+C23+C25+C27)</f>
        <v>134</v>
      </c>
      <c r="D13" s="577">
        <f>IF($A13&lt;&gt;"",C13/C$11*100,"")</f>
        <v>72.043010752688176</v>
      </c>
    </row>
    <row r="14" spans="1:5" ht="13.5" customHeight="1">
      <c r="A14" s="522"/>
      <c r="B14" s="522"/>
      <c r="C14" s="523"/>
      <c r="D14" s="514" t="str">
        <f t="shared" ref="D14:D19" si="0">IF($A14&lt;&gt;"",C14/C$11*100,"")</f>
        <v/>
      </c>
    </row>
    <row r="15" spans="1:5" ht="13.5" customHeight="1">
      <c r="A15" s="524" t="s">
        <v>404</v>
      </c>
      <c r="B15" s="521"/>
      <c r="C15" s="523">
        <v>14</v>
      </c>
      <c r="D15" s="514">
        <f t="shared" si="0"/>
        <v>7.5268817204301079</v>
      </c>
    </row>
    <row r="16" spans="1:5" ht="13.5" customHeight="1">
      <c r="A16" s="524"/>
      <c r="B16" s="522"/>
      <c r="C16" s="523"/>
      <c r="D16" s="514" t="str">
        <f t="shared" si="0"/>
        <v/>
      </c>
    </row>
    <row r="17" spans="1:4" ht="13.5" customHeight="1">
      <c r="A17" s="524" t="s">
        <v>464</v>
      </c>
      <c r="B17" s="521"/>
      <c r="C17" s="523">
        <v>10</v>
      </c>
      <c r="D17" s="514">
        <f t="shared" si="0"/>
        <v>5.376344086021505</v>
      </c>
    </row>
    <row r="18" spans="1:4" ht="13.5" customHeight="1">
      <c r="A18" s="524"/>
      <c r="B18" s="522"/>
      <c r="C18" s="523"/>
      <c r="D18" s="514" t="str">
        <f t="shared" si="0"/>
        <v/>
      </c>
    </row>
    <row r="19" spans="1:4" ht="13.5" customHeight="1">
      <c r="A19" s="524" t="s">
        <v>406</v>
      </c>
      <c r="B19" s="521"/>
      <c r="C19" s="523">
        <v>61</v>
      </c>
      <c r="D19" s="514">
        <f t="shared" si="0"/>
        <v>32.795698924731184</v>
      </c>
    </row>
    <row r="20" spans="1:4" ht="13.5" customHeight="1">
      <c r="A20" s="525"/>
      <c r="B20" s="522"/>
      <c r="C20" s="523"/>
      <c r="D20" s="515"/>
    </row>
    <row r="21" spans="1:4" ht="13.5" customHeight="1">
      <c r="A21" s="525" t="s">
        <v>413</v>
      </c>
      <c r="B21" s="521"/>
      <c r="C21" s="523">
        <v>6</v>
      </c>
      <c r="D21" s="514">
        <f t="shared" ref="D21:D41" si="1">IF($A21&lt;&gt;"",C21/C$11*100,"")</f>
        <v>3.225806451612903</v>
      </c>
    </row>
    <row r="22" spans="1:4" ht="13.5" customHeight="1">
      <c r="A22" s="525"/>
      <c r="B22" s="521"/>
      <c r="C22" s="523"/>
      <c r="D22" s="514"/>
    </row>
    <row r="23" spans="1:4" ht="13.5" customHeight="1">
      <c r="A23" s="524" t="s">
        <v>483</v>
      </c>
      <c r="B23" s="522"/>
      <c r="C23" s="523">
        <v>16</v>
      </c>
      <c r="D23" s="514">
        <f t="shared" si="1"/>
        <v>8.6021505376344098</v>
      </c>
    </row>
    <row r="24" spans="1:4" ht="13.5" customHeight="1">
      <c r="A24" s="524"/>
      <c r="B24" s="522"/>
      <c r="C24" s="523"/>
      <c r="D24" s="514" t="str">
        <f t="shared" si="1"/>
        <v/>
      </c>
    </row>
    <row r="25" spans="1:4" s="526" customFormat="1" ht="13.5" customHeight="1">
      <c r="A25" s="524" t="s">
        <v>410</v>
      </c>
      <c r="B25" s="521"/>
      <c r="C25" s="523">
        <v>26</v>
      </c>
      <c r="D25" s="514">
        <f t="shared" si="1"/>
        <v>13.978494623655912</v>
      </c>
    </row>
    <row r="26" spans="1:4" ht="13.5" customHeight="1">
      <c r="A26" s="522"/>
      <c r="B26" s="522"/>
      <c r="C26" s="523"/>
      <c r="D26" s="514" t="str">
        <f t="shared" si="1"/>
        <v/>
      </c>
    </row>
    <row r="27" spans="1:4" ht="13.5" customHeight="1">
      <c r="A27" s="524" t="s">
        <v>1478</v>
      </c>
      <c r="B27" s="522"/>
      <c r="C27" s="523">
        <v>1</v>
      </c>
      <c r="D27" s="514">
        <f t="shared" si="1"/>
        <v>0.53763440860215062</v>
      </c>
    </row>
    <row r="28" spans="1:4" ht="13.5" customHeight="1">
      <c r="A28" s="522"/>
      <c r="B28" s="522"/>
      <c r="C28" s="523"/>
      <c r="D28" s="514"/>
    </row>
    <row r="29" spans="1:4" ht="13.5" customHeight="1">
      <c r="A29" s="521" t="s">
        <v>423</v>
      </c>
      <c r="B29" s="521"/>
      <c r="C29" s="613">
        <v>52</v>
      </c>
      <c r="D29" s="577">
        <f t="shared" si="1"/>
        <v>27.956989247311824</v>
      </c>
    </row>
    <row r="30" spans="1:4" ht="10.5" hidden="1" customHeight="1">
      <c r="A30" s="521"/>
      <c r="B30" s="521"/>
      <c r="C30" s="523"/>
      <c r="D30" s="514"/>
    </row>
    <row r="31" spans="1:4" ht="12.5" hidden="1" customHeight="1">
      <c r="A31" s="522" t="s">
        <v>1479</v>
      </c>
      <c r="B31" s="522"/>
      <c r="C31" s="523"/>
      <c r="D31" s="514">
        <f t="shared" si="1"/>
        <v>0</v>
      </c>
    </row>
    <row r="32" spans="1:4" ht="10.5" hidden="1" customHeight="1">
      <c r="A32" s="522"/>
      <c r="B32" s="522"/>
      <c r="C32" s="523"/>
      <c r="D32" s="514" t="str">
        <f t="shared" si="1"/>
        <v/>
      </c>
    </row>
    <row r="33" spans="1:5" ht="12.5" hidden="1" customHeight="1">
      <c r="A33" s="524" t="s">
        <v>1480</v>
      </c>
      <c r="B33" s="522"/>
      <c r="C33" s="523"/>
      <c r="D33" s="514">
        <f t="shared" si="1"/>
        <v>0</v>
      </c>
    </row>
    <row r="34" spans="1:5" ht="9" hidden="1" customHeight="1">
      <c r="A34" s="522"/>
      <c r="B34" s="522"/>
      <c r="C34" s="523"/>
      <c r="D34" s="514" t="str">
        <f t="shared" si="1"/>
        <v/>
      </c>
    </row>
    <row r="35" spans="1:5" ht="12.5" hidden="1" customHeight="1">
      <c r="A35" s="522" t="s">
        <v>1481</v>
      </c>
      <c r="B35" s="522"/>
      <c r="C35" s="523"/>
      <c r="D35" s="514">
        <f t="shared" si="1"/>
        <v>0</v>
      </c>
    </row>
    <row r="36" spans="1:5" ht="9" hidden="1" customHeight="1">
      <c r="A36" s="522"/>
      <c r="B36" s="522"/>
      <c r="C36" s="523"/>
      <c r="D36" s="514"/>
    </row>
    <row r="37" spans="1:5" ht="12.5" hidden="1" customHeight="1">
      <c r="A37" s="522" t="s">
        <v>1482</v>
      </c>
      <c r="B37" s="522"/>
      <c r="C37" s="523"/>
      <c r="D37" s="514">
        <f t="shared" si="1"/>
        <v>0</v>
      </c>
    </row>
    <row r="38" spans="1:5" ht="9" hidden="1" customHeight="1">
      <c r="A38" s="522"/>
      <c r="B38" s="522"/>
      <c r="C38" s="523"/>
      <c r="D38" s="514"/>
    </row>
    <row r="39" spans="1:5" ht="12.5" hidden="1" customHeight="1">
      <c r="A39" s="522" t="s">
        <v>1483</v>
      </c>
      <c r="B39" s="522"/>
      <c r="C39" s="523"/>
      <c r="D39" s="514">
        <f t="shared" si="1"/>
        <v>0</v>
      </c>
    </row>
    <row r="40" spans="1:5" ht="9" hidden="1" customHeight="1">
      <c r="C40" s="428"/>
      <c r="D40" s="527"/>
    </row>
    <row r="41" spans="1:5" ht="12.5" hidden="1" customHeight="1">
      <c r="A41" s="422" t="s">
        <v>1484</v>
      </c>
      <c r="C41" s="428"/>
      <c r="D41" s="527">
        <f t="shared" si="1"/>
        <v>0</v>
      </c>
    </row>
    <row r="42" spans="1:5" ht="10.5" customHeight="1" thickBot="1"/>
    <row r="43" spans="1:5" ht="12" customHeight="1">
      <c r="A43" s="528"/>
      <c r="B43" s="528"/>
      <c r="C43" s="517"/>
      <c r="D43" s="517"/>
      <c r="E43" s="465"/>
    </row>
    <row r="44" spans="1:5">
      <c r="A44" s="422" t="s">
        <v>1472</v>
      </c>
    </row>
    <row r="45" spans="1:5">
      <c r="A45" s="422" t="s">
        <v>688</v>
      </c>
    </row>
  </sheetData>
  <mergeCells count="1">
    <mergeCell ref="C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274"/>
  <sheetViews>
    <sheetView topLeftCell="A73" workbookViewId="0"/>
  </sheetViews>
  <sheetFormatPr baseColWidth="10" defaultColWidth="9.1640625" defaultRowHeight="13"/>
  <cols>
    <col min="1" max="1" width="34.1640625" style="95" customWidth="1"/>
    <col min="2" max="2" width="8.33203125" style="138" customWidth="1"/>
    <col min="3" max="3" width="8.33203125" style="139" customWidth="1"/>
    <col min="4" max="4" width="3.5" style="95" customWidth="1"/>
    <col min="5" max="5" width="8" style="140" customWidth="1"/>
    <col min="6" max="6" width="8.33203125" style="105" customWidth="1"/>
    <col min="7" max="7" width="3.6640625" style="95" customWidth="1"/>
    <col min="8" max="8" width="8.33203125" style="140" customWidth="1"/>
    <col min="9" max="9" width="8.5" style="105" customWidth="1"/>
    <col min="10" max="10" width="3.6640625" style="105" customWidth="1"/>
    <col min="11" max="11" width="8.83203125" style="140" customWidth="1"/>
    <col min="12" max="12" width="9.1640625" style="105" customWidth="1"/>
    <col min="13" max="13" width="3.33203125" style="95" customWidth="1"/>
    <col min="14" max="14" width="9" style="140" customWidth="1"/>
    <col min="15" max="15" width="9.1640625" style="95" customWidth="1"/>
    <col min="16" max="16" width="2.6640625" style="95" customWidth="1"/>
    <col min="17" max="256" width="9.1640625" style="95"/>
    <col min="257" max="257" width="34.1640625" style="95" customWidth="1"/>
    <col min="258" max="259" width="8.33203125" style="95" customWidth="1"/>
    <col min="260" max="260" width="3.5" style="95" customWidth="1"/>
    <col min="261" max="261" width="8" style="95" customWidth="1"/>
    <col min="262" max="262" width="8.33203125" style="95" customWidth="1"/>
    <col min="263" max="263" width="3.6640625" style="95" customWidth="1"/>
    <col min="264" max="264" width="8.33203125" style="95" customWidth="1"/>
    <col min="265" max="265" width="8.5" style="95" customWidth="1"/>
    <col min="266" max="266" width="3.6640625" style="95" customWidth="1"/>
    <col min="267" max="267" width="8.83203125" style="95" customWidth="1"/>
    <col min="268" max="268" width="9.1640625" style="95" customWidth="1"/>
    <col min="269" max="269" width="3.33203125" style="95" customWidth="1"/>
    <col min="270" max="270" width="9" style="95" customWidth="1"/>
    <col min="271" max="271" width="9.1640625" style="95" customWidth="1"/>
    <col min="272" max="272" width="2.6640625" style="95" customWidth="1"/>
    <col min="273" max="512" width="9.1640625" style="95"/>
    <col min="513" max="513" width="34.1640625" style="95" customWidth="1"/>
    <col min="514" max="515" width="8.33203125" style="95" customWidth="1"/>
    <col min="516" max="516" width="3.5" style="95" customWidth="1"/>
    <col min="517" max="517" width="8" style="95" customWidth="1"/>
    <col min="518" max="518" width="8.33203125" style="95" customWidth="1"/>
    <col min="519" max="519" width="3.6640625" style="95" customWidth="1"/>
    <col min="520" max="520" width="8.33203125" style="95" customWidth="1"/>
    <col min="521" max="521" width="8.5" style="95" customWidth="1"/>
    <col min="522" max="522" width="3.6640625" style="95" customWidth="1"/>
    <col min="523" max="523" width="8.83203125" style="95" customWidth="1"/>
    <col min="524" max="524" width="9.1640625" style="95" customWidth="1"/>
    <col min="525" max="525" width="3.33203125" style="95" customWidth="1"/>
    <col min="526" max="526" width="9" style="95" customWidth="1"/>
    <col min="527" max="527" width="9.1640625" style="95" customWidth="1"/>
    <col min="528" max="528" width="2.6640625" style="95" customWidth="1"/>
    <col min="529" max="768" width="9.1640625" style="95"/>
    <col min="769" max="769" width="34.1640625" style="95" customWidth="1"/>
    <col min="770" max="771" width="8.33203125" style="95" customWidth="1"/>
    <col min="772" max="772" width="3.5" style="95" customWidth="1"/>
    <col min="773" max="773" width="8" style="95" customWidth="1"/>
    <col min="774" max="774" width="8.33203125" style="95" customWidth="1"/>
    <col min="775" max="775" width="3.6640625" style="95" customWidth="1"/>
    <col min="776" max="776" width="8.33203125" style="95" customWidth="1"/>
    <col min="777" max="777" width="8.5" style="95" customWidth="1"/>
    <col min="778" max="778" width="3.6640625" style="95" customWidth="1"/>
    <col min="779" max="779" width="8.83203125" style="95" customWidth="1"/>
    <col min="780" max="780" width="9.1640625" style="95" customWidth="1"/>
    <col min="781" max="781" width="3.33203125" style="95" customWidth="1"/>
    <col min="782" max="782" width="9" style="95" customWidth="1"/>
    <col min="783" max="783" width="9.1640625" style="95" customWidth="1"/>
    <col min="784" max="784" width="2.6640625" style="95" customWidth="1"/>
    <col min="785" max="1024" width="9.1640625" style="95"/>
    <col min="1025" max="1025" width="34.1640625" style="95" customWidth="1"/>
    <col min="1026" max="1027" width="8.33203125" style="95" customWidth="1"/>
    <col min="1028" max="1028" width="3.5" style="95" customWidth="1"/>
    <col min="1029" max="1029" width="8" style="95" customWidth="1"/>
    <col min="1030" max="1030" width="8.33203125" style="95" customWidth="1"/>
    <col min="1031" max="1031" width="3.6640625" style="95" customWidth="1"/>
    <col min="1032" max="1032" width="8.33203125" style="95" customWidth="1"/>
    <col min="1033" max="1033" width="8.5" style="95" customWidth="1"/>
    <col min="1034" max="1034" width="3.6640625" style="95" customWidth="1"/>
    <col min="1035" max="1035" width="8.83203125" style="95" customWidth="1"/>
    <col min="1036" max="1036" width="9.1640625" style="95" customWidth="1"/>
    <col min="1037" max="1037" width="3.33203125" style="95" customWidth="1"/>
    <col min="1038" max="1038" width="9" style="95" customWidth="1"/>
    <col min="1039" max="1039" width="9.1640625" style="95" customWidth="1"/>
    <col min="1040" max="1040" width="2.6640625" style="95" customWidth="1"/>
    <col min="1041" max="1280" width="9.1640625" style="95"/>
    <col min="1281" max="1281" width="34.1640625" style="95" customWidth="1"/>
    <col min="1282" max="1283" width="8.33203125" style="95" customWidth="1"/>
    <col min="1284" max="1284" width="3.5" style="95" customWidth="1"/>
    <col min="1285" max="1285" width="8" style="95" customWidth="1"/>
    <col min="1286" max="1286" width="8.33203125" style="95" customWidth="1"/>
    <col min="1287" max="1287" width="3.6640625" style="95" customWidth="1"/>
    <col min="1288" max="1288" width="8.33203125" style="95" customWidth="1"/>
    <col min="1289" max="1289" width="8.5" style="95" customWidth="1"/>
    <col min="1290" max="1290" width="3.6640625" style="95" customWidth="1"/>
    <col min="1291" max="1291" width="8.83203125" style="95" customWidth="1"/>
    <col min="1292" max="1292" width="9.1640625" style="95" customWidth="1"/>
    <col min="1293" max="1293" width="3.33203125" style="95" customWidth="1"/>
    <col min="1294" max="1294" width="9" style="95" customWidth="1"/>
    <col min="1295" max="1295" width="9.1640625" style="95" customWidth="1"/>
    <col min="1296" max="1296" width="2.6640625" style="95" customWidth="1"/>
    <col min="1297" max="1536" width="9.1640625" style="95"/>
    <col min="1537" max="1537" width="34.1640625" style="95" customWidth="1"/>
    <col min="1538" max="1539" width="8.33203125" style="95" customWidth="1"/>
    <col min="1540" max="1540" width="3.5" style="95" customWidth="1"/>
    <col min="1541" max="1541" width="8" style="95" customWidth="1"/>
    <col min="1542" max="1542" width="8.33203125" style="95" customWidth="1"/>
    <col min="1543" max="1543" width="3.6640625" style="95" customWidth="1"/>
    <col min="1544" max="1544" width="8.33203125" style="95" customWidth="1"/>
    <col min="1545" max="1545" width="8.5" style="95" customWidth="1"/>
    <col min="1546" max="1546" width="3.6640625" style="95" customWidth="1"/>
    <col min="1547" max="1547" width="8.83203125" style="95" customWidth="1"/>
    <col min="1548" max="1548" width="9.1640625" style="95" customWidth="1"/>
    <col min="1549" max="1549" width="3.33203125" style="95" customWidth="1"/>
    <col min="1550" max="1550" width="9" style="95" customWidth="1"/>
    <col min="1551" max="1551" width="9.1640625" style="95" customWidth="1"/>
    <col min="1552" max="1552" width="2.6640625" style="95" customWidth="1"/>
    <col min="1553" max="1792" width="9.1640625" style="95"/>
    <col min="1793" max="1793" width="34.1640625" style="95" customWidth="1"/>
    <col min="1794" max="1795" width="8.33203125" style="95" customWidth="1"/>
    <col min="1796" max="1796" width="3.5" style="95" customWidth="1"/>
    <col min="1797" max="1797" width="8" style="95" customWidth="1"/>
    <col min="1798" max="1798" width="8.33203125" style="95" customWidth="1"/>
    <col min="1799" max="1799" width="3.6640625" style="95" customWidth="1"/>
    <col min="1800" max="1800" width="8.33203125" style="95" customWidth="1"/>
    <col min="1801" max="1801" width="8.5" style="95" customWidth="1"/>
    <col min="1802" max="1802" width="3.6640625" style="95" customWidth="1"/>
    <col min="1803" max="1803" width="8.83203125" style="95" customWidth="1"/>
    <col min="1804" max="1804" width="9.1640625" style="95" customWidth="1"/>
    <col min="1805" max="1805" width="3.33203125" style="95" customWidth="1"/>
    <col min="1806" max="1806" width="9" style="95" customWidth="1"/>
    <col min="1807" max="1807" width="9.1640625" style="95" customWidth="1"/>
    <col min="1808" max="1808" width="2.6640625" style="95" customWidth="1"/>
    <col min="1809" max="2048" width="9.1640625" style="95"/>
    <col min="2049" max="2049" width="34.1640625" style="95" customWidth="1"/>
    <col min="2050" max="2051" width="8.33203125" style="95" customWidth="1"/>
    <col min="2052" max="2052" width="3.5" style="95" customWidth="1"/>
    <col min="2053" max="2053" width="8" style="95" customWidth="1"/>
    <col min="2054" max="2054" width="8.33203125" style="95" customWidth="1"/>
    <col min="2055" max="2055" width="3.6640625" style="95" customWidth="1"/>
    <col min="2056" max="2056" width="8.33203125" style="95" customWidth="1"/>
    <col min="2057" max="2057" width="8.5" style="95" customWidth="1"/>
    <col min="2058" max="2058" width="3.6640625" style="95" customWidth="1"/>
    <col min="2059" max="2059" width="8.83203125" style="95" customWidth="1"/>
    <col min="2060" max="2060" width="9.1640625" style="95" customWidth="1"/>
    <col min="2061" max="2061" width="3.33203125" style="95" customWidth="1"/>
    <col min="2062" max="2062" width="9" style="95" customWidth="1"/>
    <col min="2063" max="2063" width="9.1640625" style="95" customWidth="1"/>
    <col min="2064" max="2064" width="2.6640625" style="95" customWidth="1"/>
    <col min="2065" max="2304" width="9.1640625" style="95"/>
    <col min="2305" max="2305" width="34.1640625" style="95" customWidth="1"/>
    <col min="2306" max="2307" width="8.33203125" style="95" customWidth="1"/>
    <col min="2308" max="2308" width="3.5" style="95" customWidth="1"/>
    <col min="2309" max="2309" width="8" style="95" customWidth="1"/>
    <col min="2310" max="2310" width="8.33203125" style="95" customWidth="1"/>
    <col min="2311" max="2311" width="3.6640625" style="95" customWidth="1"/>
    <col min="2312" max="2312" width="8.33203125" style="95" customWidth="1"/>
    <col min="2313" max="2313" width="8.5" style="95" customWidth="1"/>
    <col min="2314" max="2314" width="3.6640625" style="95" customWidth="1"/>
    <col min="2315" max="2315" width="8.83203125" style="95" customWidth="1"/>
    <col min="2316" max="2316" width="9.1640625" style="95" customWidth="1"/>
    <col min="2317" max="2317" width="3.33203125" style="95" customWidth="1"/>
    <col min="2318" max="2318" width="9" style="95" customWidth="1"/>
    <col min="2319" max="2319" width="9.1640625" style="95" customWidth="1"/>
    <col min="2320" max="2320" width="2.6640625" style="95" customWidth="1"/>
    <col min="2321" max="2560" width="9.1640625" style="95"/>
    <col min="2561" max="2561" width="34.1640625" style="95" customWidth="1"/>
    <col min="2562" max="2563" width="8.33203125" style="95" customWidth="1"/>
    <col min="2564" max="2564" width="3.5" style="95" customWidth="1"/>
    <col min="2565" max="2565" width="8" style="95" customWidth="1"/>
    <col min="2566" max="2566" width="8.33203125" style="95" customWidth="1"/>
    <col min="2567" max="2567" width="3.6640625" style="95" customWidth="1"/>
    <col min="2568" max="2568" width="8.33203125" style="95" customWidth="1"/>
    <col min="2569" max="2569" width="8.5" style="95" customWidth="1"/>
    <col min="2570" max="2570" width="3.6640625" style="95" customWidth="1"/>
    <col min="2571" max="2571" width="8.83203125" style="95" customWidth="1"/>
    <col min="2572" max="2572" width="9.1640625" style="95" customWidth="1"/>
    <col min="2573" max="2573" width="3.33203125" style="95" customWidth="1"/>
    <col min="2574" max="2574" width="9" style="95" customWidth="1"/>
    <col min="2575" max="2575" width="9.1640625" style="95" customWidth="1"/>
    <col min="2576" max="2576" width="2.6640625" style="95" customWidth="1"/>
    <col min="2577" max="2816" width="9.1640625" style="95"/>
    <col min="2817" max="2817" width="34.1640625" style="95" customWidth="1"/>
    <col min="2818" max="2819" width="8.33203125" style="95" customWidth="1"/>
    <col min="2820" max="2820" width="3.5" style="95" customWidth="1"/>
    <col min="2821" max="2821" width="8" style="95" customWidth="1"/>
    <col min="2822" max="2822" width="8.33203125" style="95" customWidth="1"/>
    <col min="2823" max="2823" width="3.6640625" style="95" customWidth="1"/>
    <col min="2824" max="2824" width="8.33203125" style="95" customWidth="1"/>
    <col min="2825" max="2825" width="8.5" style="95" customWidth="1"/>
    <col min="2826" max="2826" width="3.6640625" style="95" customWidth="1"/>
    <col min="2827" max="2827" width="8.83203125" style="95" customWidth="1"/>
    <col min="2828" max="2828" width="9.1640625" style="95" customWidth="1"/>
    <col min="2829" max="2829" width="3.33203125" style="95" customWidth="1"/>
    <col min="2830" max="2830" width="9" style="95" customWidth="1"/>
    <col min="2831" max="2831" width="9.1640625" style="95" customWidth="1"/>
    <col min="2832" max="2832" width="2.6640625" style="95" customWidth="1"/>
    <col min="2833" max="3072" width="9.1640625" style="95"/>
    <col min="3073" max="3073" width="34.1640625" style="95" customWidth="1"/>
    <col min="3074" max="3075" width="8.33203125" style="95" customWidth="1"/>
    <col min="3076" max="3076" width="3.5" style="95" customWidth="1"/>
    <col min="3077" max="3077" width="8" style="95" customWidth="1"/>
    <col min="3078" max="3078" width="8.33203125" style="95" customWidth="1"/>
    <col min="3079" max="3079" width="3.6640625" style="95" customWidth="1"/>
    <col min="3080" max="3080" width="8.33203125" style="95" customWidth="1"/>
    <col min="3081" max="3081" width="8.5" style="95" customWidth="1"/>
    <col min="3082" max="3082" width="3.6640625" style="95" customWidth="1"/>
    <col min="3083" max="3083" width="8.83203125" style="95" customWidth="1"/>
    <col min="3084" max="3084" width="9.1640625" style="95" customWidth="1"/>
    <col min="3085" max="3085" width="3.33203125" style="95" customWidth="1"/>
    <col min="3086" max="3086" width="9" style="95" customWidth="1"/>
    <col min="3087" max="3087" width="9.1640625" style="95" customWidth="1"/>
    <col min="3088" max="3088" width="2.6640625" style="95" customWidth="1"/>
    <col min="3089" max="3328" width="9.1640625" style="95"/>
    <col min="3329" max="3329" width="34.1640625" style="95" customWidth="1"/>
    <col min="3330" max="3331" width="8.33203125" style="95" customWidth="1"/>
    <col min="3332" max="3332" width="3.5" style="95" customWidth="1"/>
    <col min="3333" max="3333" width="8" style="95" customWidth="1"/>
    <col min="3334" max="3334" width="8.33203125" style="95" customWidth="1"/>
    <col min="3335" max="3335" width="3.6640625" style="95" customWidth="1"/>
    <col min="3336" max="3336" width="8.33203125" style="95" customWidth="1"/>
    <col min="3337" max="3337" width="8.5" style="95" customWidth="1"/>
    <col min="3338" max="3338" width="3.6640625" style="95" customWidth="1"/>
    <col min="3339" max="3339" width="8.83203125" style="95" customWidth="1"/>
    <col min="3340" max="3340" width="9.1640625" style="95" customWidth="1"/>
    <col min="3341" max="3341" width="3.33203125" style="95" customWidth="1"/>
    <col min="3342" max="3342" width="9" style="95" customWidth="1"/>
    <col min="3343" max="3343" width="9.1640625" style="95" customWidth="1"/>
    <col min="3344" max="3344" width="2.6640625" style="95" customWidth="1"/>
    <col min="3345" max="3584" width="9.1640625" style="95"/>
    <col min="3585" max="3585" width="34.1640625" style="95" customWidth="1"/>
    <col min="3586" max="3587" width="8.33203125" style="95" customWidth="1"/>
    <col min="3588" max="3588" width="3.5" style="95" customWidth="1"/>
    <col min="3589" max="3589" width="8" style="95" customWidth="1"/>
    <col min="3590" max="3590" width="8.33203125" style="95" customWidth="1"/>
    <col min="3591" max="3591" width="3.6640625" style="95" customWidth="1"/>
    <col min="3592" max="3592" width="8.33203125" style="95" customWidth="1"/>
    <col min="3593" max="3593" width="8.5" style="95" customWidth="1"/>
    <col min="3594" max="3594" width="3.6640625" style="95" customWidth="1"/>
    <col min="3595" max="3595" width="8.83203125" style="95" customWidth="1"/>
    <col min="3596" max="3596" width="9.1640625" style="95" customWidth="1"/>
    <col min="3597" max="3597" width="3.33203125" style="95" customWidth="1"/>
    <col min="3598" max="3598" width="9" style="95" customWidth="1"/>
    <col min="3599" max="3599" width="9.1640625" style="95" customWidth="1"/>
    <col min="3600" max="3600" width="2.6640625" style="95" customWidth="1"/>
    <col min="3601" max="3840" width="9.1640625" style="95"/>
    <col min="3841" max="3841" width="34.1640625" style="95" customWidth="1"/>
    <col min="3842" max="3843" width="8.33203125" style="95" customWidth="1"/>
    <col min="3844" max="3844" width="3.5" style="95" customWidth="1"/>
    <col min="3845" max="3845" width="8" style="95" customWidth="1"/>
    <col min="3846" max="3846" width="8.33203125" style="95" customWidth="1"/>
    <col min="3847" max="3847" width="3.6640625" style="95" customWidth="1"/>
    <col min="3848" max="3848" width="8.33203125" style="95" customWidth="1"/>
    <col min="3849" max="3849" width="8.5" style="95" customWidth="1"/>
    <col min="3850" max="3850" width="3.6640625" style="95" customWidth="1"/>
    <col min="3851" max="3851" width="8.83203125" style="95" customWidth="1"/>
    <col min="3852" max="3852" width="9.1640625" style="95" customWidth="1"/>
    <col min="3853" max="3853" width="3.33203125" style="95" customWidth="1"/>
    <col min="3854" max="3854" width="9" style="95" customWidth="1"/>
    <col min="3855" max="3855" width="9.1640625" style="95" customWidth="1"/>
    <col min="3856" max="3856" width="2.6640625" style="95" customWidth="1"/>
    <col min="3857" max="4096" width="9.1640625" style="95"/>
    <col min="4097" max="4097" width="34.1640625" style="95" customWidth="1"/>
    <col min="4098" max="4099" width="8.33203125" style="95" customWidth="1"/>
    <col min="4100" max="4100" width="3.5" style="95" customWidth="1"/>
    <col min="4101" max="4101" width="8" style="95" customWidth="1"/>
    <col min="4102" max="4102" width="8.33203125" style="95" customWidth="1"/>
    <col min="4103" max="4103" width="3.6640625" style="95" customWidth="1"/>
    <col min="4104" max="4104" width="8.33203125" style="95" customWidth="1"/>
    <col min="4105" max="4105" width="8.5" style="95" customWidth="1"/>
    <col min="4106" max="4106" width="3.6640625" style="95" customWidth="1"/>
    <col min="4107" max="4107" width="8.83203125" style="95" customWidth="1"/>
    <col min="4108" max="4108" width="9.1640625" style="95" customWidth="1"/>
    <col min="4109" max="4109" width="3.33203125" style="95" customWidth="1"/>
    <col min="4110" max="4110" width="9" style="95" customWidth="1"/>
    <col min="4111" max="4111" width="9.1640625" style="95" customWidth="1"/>
    <col min="4112" max="4112" width="2.6640625" style="95" customWidth="1"/>
    <col min="4113" max="4352" width="9.1640625" style="95"/>
    <col min="4353" max="4353" width="34.1640625" style="95" customWidth="1"/>
    <col min="4354" max="4355" width="8.33203125" style="95" customWidth="1"/>
    <col min="4356" max="4356" width="3.5" style="95" customWidth="1"/>
    <col min="4357" max="4357" width="8" style="95" customWidth="1"/>
    <col min="4358" max="4358" width="8.33203125" style="95" customWidth="1"/>
    <col min="4359" max="4359" width="3.6640625" style="95" customWidth="1"/>
    <col min="4360" max="4360" width="8.33203125" style="95" customWidth="1"/>
    <col min="4361" max="4361" width="8.5" style="95" customWidth="1"/>
    <col min="4362" max="4362" width="3.6640625" style="95" customWidth="1"/>
    <col min="4363" max="4363" width="8.83203125" style="95" customWidth="1"/>
    <col min="4364" max="4364" width="9.1640625" style="95" customWidth="1"/>
    <col min="4365" max="4365" width="3.33203125" style="95" customWidth="1"/>
    <col min="4366" max="4366" width="9" style="95" customWidth="1"/>
    <col min="4367" max="4367" width="9.1640625" style="95" customWidth="1"/>
    <col min="4368" max="4368" width="2.6640625" style="95" customWidth="1"/>
    <col min="4369" max="4608" width="9.1640625" style="95"/>
    <col min="4609" max="4609" width="34.1640625" style="95" customWidth="1"/>
    <col min="4610" max="4611" width="8.33203125" style="95" customWidth="1"/>
    <col min="4612" max="4612" width="3.5" style="95" customWidth="1"/>
    <col min="4613" max="4613" width="8" style="95" customWidth="1"/>
    <col min="4614" max="4614" width="8.33203125" style="95" customWidth="1"/>
    <col min="4615" max="4615" width="3.6640625" style="95" customWidth="1"/>
    <col min="4616" max="4616" width="8.33203125" style="95" customWidth="1"/>
    <col min="4617" max="4617" width="8.5" style="95" customWidth="1"/>
    <col min="4618" max="4618" width="3.6640625" style="95" customWidth="1"/>
    <col min="4619" max="4619" width="8.83203125" style="95" customWidth="1"/>
    <col min="4620" max="4620" width="9.1640625" style="95" customWidth="1"/>
    <col min="4621" max="4621" width="3.33203125" style="95" customWidth="1"/>
    <col min="4622" max="4622" width="9" style="95" customWidth="1"/>
    <col min="4623" max="4623" width="9.1640625" style="95" customWidth="1"/>
    <col min="4624" max="4624" width="2.6640625" style="95" customWidth="1"/>
    <col min="4625" max="4864" width="9.1640625" style="95"/>
    <col min="4865" max="4865" width="34.1640625" style="95" customWidth="1"/>
    <col min="4866" max="4867" width="8.33203125" style="95" customWidth="1"/>
    <col min="4868" max="4868" width="3.5" style="95" customWidth="1"/>
    <col min="4869" max="4869" width="8" style="95" customWidth="1"/>
    <col min="4870" max="4870" width="8.33203125" style="95" customWidth="1"/>
    <col min="4871" max="4871" width="3.6640625" style="95" customWidth="1"/>
    <col min="4872" max="4872" width="8.33203125" style="95" customWidth="1"/>
    <col min="4873" max="4873" width="8.5" style="95" customWidth="1"/>
    <col min="4874" max="4874" width="3.6640625" style="95" customWidth="1"/>
    <col min="4875" max="4875" width="8.83203125" style="95" customWidth="1"/>
    <col min="4876" max="4876" width="9.1640625" style="95" customWidth="1"/>
    <col min="4877" max="4877" width="3.33203125" style="95" customWidth="1"/>
    <col min="4878" max="4878" width="9" style="95" customWidth="1"/>
    <col min="4879" max="4879" width="9.1640625" style="95" customWidth="1"/>
    <col min="4880" max="4880" width="2.6640625" style="95" customWidth="1"/>
    <col min="4881" max="5120" width="9.1640625" style="95"/>
    <col min="5121" max="5121" width="34.1640625" style="95" customWidth="1"/>
    <col min="5122" max="5123" width="8.33203125" style="95" customWidth="1"/>
    <col min="5124" max="5124" width="3.5" style="95" customWidth="1"/>
    <col min="5125" max="5125" width="8" style="95" customWidth="1"/>
    <col min="5126" max="5126" width="8.33203125" style="95" customWidth="1"/>
    <col min="5127" max="5127" width="3.6640625" style="95" customWidth="1"/>
    <col min="5128" max="5128" width="8.33203125" style="95" customWidth="1"/>
    <col min="5129" max="5129" width="8.5" style="95" customWidth="1"/>
    <col min="5130" max="5130" width="3.6640625" style="95" customWidth="1"/>
    <col min="5131" max="5131" width="8.83203125" style="95" customWidth="1"/>
    <col min="5132" max="5132" width="9.1640625" style="95" customWidth="1"/>
    <col min="5133" max="5133" width="3.33203125" style="95" customWidth="1"/>
    <col min="5134" max="5134" width="9" style="95" customWidth="1"/>
    <col min="5135" max="5135" width="9.1640625" style="95" customWidth="1"/>
    <col min="5136" max="5136" width="2.6640625" style="95" customWidth="1"/>
    <col min="5137" max="5376" width="9.1640625" style="95"/>
    <col min="5377" max="5377" width="34.1640625" style="95" customWidth="1"/>
    <col min="5378" max="5379" width="8.33203125" style="95" customWidth="1"/>
    <col min="5380" max="5380" width="3.5" style="95" customWidth="1"/>
    <col min="5381" max="5381" width="8" style="95" customWidth="1"/>
    <col min="5382" max="5382" width="8.33203125" style="95" customWidth="1"/>
    <col min="5383" max="5383" width="3.6640625" style="95" customWidth="1"/>
    <col min="5384" max="5384" width="8.33203125" style="95" customWidth="1"/>
    <col min="5385" max="5385" width="8.5" style="95" customWidth="1"/>
    <col min="5386" max="5386" width="3.6640625" style="95" customWidth="1"/>
    <col min="5387" max="5387" width="8.83203125" style="95" customWidth="1"/>
    <col min="5388" max="5388" width="9.1640625" style="95" customWidth="1"/>
    <col min="5389" max="5389" width="3.33203125" style="95" customWidth="1"/>
    <col min="5390" max="5390" width="9" style="95" customWidth="1"/>
    <col min="5391" max="5391" width="9.1640625" style="95" customWidth="1"/>
    <col min="5392" max="5392" width="2.6640625" style="95" customWidth="1"/>
    <col min="5393" max="5632" width="9.1640625" style="95"/>
    <col min="5633" max="5633" width="34.1640625" style="95" customWidth="1"/>
    <col min="5634" max="5635" width="8.33203125" style="95" customWidth="1"/>
    <col min="5636" max="5636" width="3.5" style="95" customWidth="1"/>
    <col min="5637" max="5637" width="8" style="95" customWidth="1"/>
    <col min="5638" max="5638" width="8.33203125" style="95" customWidth="1"/>
    <col min="5639" max="5639" width="3.6640625" style="95" customWidth="1"/>
    <col min="5640" max="5640" width="8.33203125" style="95" customWidth="1"/>
    <col min="5641" max="5641" width="8.5" style="95" customWidth="1"/>
    <col min="5642" max="5642" width="3.6640625" style="95" customWidth="1"/>
    <col min="5643" max="5643" width="8.83203125" style="95" customWidth="1"/>
    <col min="5644" max="5644" width="9.1640625" style="95" customWidth="1"/>
    <col min="5645" max="5645" width="3.33203125" style="95" customWidth="1"/>
    <col min="5646" max="5646" width="9" style="95" customWidth="1"/>
    <col min="5647" max="5647" width="9.1640625" style="95" customWidth="1"/>
    <col min="5648" max="5648" width="2.6640625" style="95" customWidth="1"/>
    <col min="5649" max="5888" width="9.1640625" style="95"/>
    <col min="5889" max="5889" width="34.1640625" style="95" customWidth="1"/>
    <col min="5890" max="5891" width="8.33203125" style="95" customWidth="1"/>
    <col min="5892" max="5892" width="3.5" style="95" customWidth="1"/>
    <col min="5893" max="5893" width="8" style="95" customWidth="1"/>
    <col min="5894" max="5894" width="8.33203125" style="95" customWidth="1"/>
    <col min="5895" max="5895" width="3.6640625" style="95" customWidth="1"/>
    <col min="5896" max="5896" width="8.33203125" style="95" customWidth="1"/>
    <col min="5897" max="5897" width="8.5" style="95" customWidth="1"/>
    <col min="5898" max="5898" width="3.6640625" style="95" customWidth="1"/>
    <col min="5899" max="5899" width="8.83203125" style="95" customWidth="1"/>
    <col min="5900" max="5900" width="9.1640625" style="95" customWidth="1"/>
    <col min="5901" max="5901" width="3.33203125" style="95" customWidth="1"/>
    <col min="5902" max="5902" width="9" style="95" customWidth="1"/>
    <col min="5903" max="5903" width="9.1640625" style="95" customWidth="1"/>
    <col min="5904" max="5904" width="2.6640625" style="95" customWidth="1"/>
    <col min="5905" max="6144" width="9.1640625" style="95"/>
    <col min="6145" max="6145" width="34.1640625" style="95" customWidth="1"/>
    <col min="6146" max="6147" width="8.33203125" style="95" customWidth="1"/>
    <col min="6148" max="6148" width="3.5" style="95" customWidth="1"/>
    <col min="6149" max="6149" width="8" style="95" customWidth="1"/>
    <col min="6150" max="6150" width="8.33203125" style="95" customWidth="1"/>
    <col min="6151" max="6151" width="3.6640625" style="95" customWidth="1"/>
    <col min="6152" max="6152" width="8.33203125" style="95" customWidth="1"/>
    <col min="6153" max="6153" width="8.5" style="95" customWidth="1"/>
    <col min="6154" max="6154" width="3.6640625" style="95" customWidth="1"/>
    <col min="6155" max="6155" width="8.83203125" style="95" customWidth="1"/>
    <col min="6156" max="6156" width="9.1640625" style="95" customWidth="1"/>
    <col min="6157" max="6157" width="3.33203125" style="95" customWidth="1"/>
    <col min="6158" max="6158" width="9" style="95" customWidth="1"/>
    <col min="6159" max="6159" width="9.1640625" style="95" customWidth="1"/>
    <col min="6160" max="6160" width="2.6640625" style="95" customWidth="1"/>
    <col min="6161" max="6400" width="9.1640625" style="95"/>
    <col min="6401" max="6401" width="34.1640625" style="95" customWidth="1"/>
    <col min="6402" max="6403" width="8.33203125" style="95" customWidth="1"/>
    <col min="6404" max="6404" width="3.5" style="95" customWidth="1"/>
    <col min="6405" max="6405" width="8" style="95" customWidth="1"/>
    <col min="6406" max="6406" width="8.33203125" style="95" customWidth="1"/>
    <col min="6407" max="6407" width="3.6640625" style="95" customWidth="1"/>
    <col min="6408" max="6408" width="8.33203125" style="95" customWidth="1"/>
    <col min="6409" max="6409" width="8.5" style="95" customWidth="1"/>
    <col min="6410" max="6410" width="3.6640625" style="95" customWidth="1"/>
    <col min="6411" max="6411" width="8.83203125" style="95" customWidth="1"/>
    <col min="6412" max="6412" width="9.1640625" style="95" customWidth="1"/>
    <col min="6413" max="6413" width="3.33203125" style="95" customWidth="1"/>
    <col min="6414" max="6414" width="9" style="95" customWidth="1"/>
    <col min="6415" max="6415" width="9.1640625" style="95" customWidth="1"/>
    <col min="6416" max="6416" width="2.6640625" style="95" customWidth="1"/>
    <col min="6417" max="6656" width="9.1640625" style="95"/>
    <col min="6657" max="6657" width="34.1640625" style="95" customWidth="1"/>
    <col min="6658" max="6659" width="8.33203125" style="95" customWidth="1"/>
    <col min="6660" max="6660" width="3.5" style="95" customWidth="1"/>
    <col min="6661" max="6661" width="8" style="95" customWidth="1"/>
    <col min="6662" max="6662" width="8.33203125" style="95" customWidth="1"/>
    <col min="6663" max="6663" width="3.6640625" style="95" customWidth="1"/>
    <col min="6664" max="6664" width="8.33203125" style="95" customWidth="1"/>
    <col min="6665" max="6665" width="8.5" style="95" customWidth="1"/>
    <col min="6666" max="6666" width="3.6640625" style="95" customWidth="1"/>
    <col min="6667" max="6667" width="8.83203125" style="95" customWidth="1"/>
    <col min="6668" max="6668" width="9.1640625" style="95" customWidth="1"/>
    <col min="6669" max="6669" width="3.33203125" style="95" customWidth="1"/>
    <col min="6670" max="6670" width="9" style="95" customWidth="1"/>
    <col min="6671" max="6671" width="9.1640625" style="95" customWidth="1"/>
    <col min="6672" max="6672" width="2.6640625" style="95" customWidth="1"/>
    <col min="6673" max="6912" width="9.1640625" style="95"/>
    <col min="6913" max="6913" width="34.1640625" style="95" customWidth="1"/>
    <col min="6914" max="6915" width="8.33203125" style="95" customWidth="1"/>
    <col min="6916" max="6916" width="3.5" style="95" customWidth="1"/>
    <col min="6917" max="6917" width="8" style="95" customWidth="1"/>
    <col min="6918" max="6918" width="8.33203125" style="95" customWidth="1"/>
    <col min="6919" max="6919" width="3.6640625" style="95" customWidth="1"/>
    <col min="6920" max="6920" width="8.33203125" style="95" customWidth="1"/>
    <col min="6921" max="6921" width="8.5" style="95" customWidth="1"/>
    <col min="6922" max="6922" width="3.6640625" style="95" customWidth="1"/>
    <col min="6923" max="6923" width="8.83203125" style="95" customWidth="1"/>
    <col min="6924" max="6924" width="9.1640625" style="95" customWidth="1"/>
    <col min="6925" max="6925" width="3.33203125" style="95" customWidth="1"/>
    <col min="6926" max="6926" width="9" style="95" customWidth="1"/>
    <col min="6927" max="6927" width="9.1640625" style="95" customWidth="1"/>
    <col min="6928" max="6928" width="2.6640625" style="95" customWidth="1"/>
    <col min="6929" max="7168" width="9.1640625" style="95"/>
    <col min="7169" max="7169" width="34.1640625" style="95" customWidth="1"/>
    <col min="7170" max="7171" width="8.33203125" style="95" customWidth="1"/>
    <col min="7172" max="7172" width="3.5" style="95" customWidth="1"/>
    <col min="7173" max="7173" width="8" style="95" customWidth="1"/>
    <col min="7174" max="7174" width="8.33203125" style="95" customWidth="1"/>
    <col min="7175" max="7175" width="3.6640625" style="95" customWidth="1"/>
    <col min="7176" max="7176" width="8.33203125" style="95" customWidth="1"/>
    <col min="7177" max="7177" width="8.5" style="95" customWidth="1"/>
    <col min="7178" max="7178" width="3.6640625" style="95" customWidth="1"/>
    <col min="7179" max="7179" width="8.83203125" style="95" customWidth="1"/>
    <col min="7180" max="7180" width="9.1640625" style="95" customWidth="1"/>
    <col min="7181" max="7181" width="3.33203125" style="95" customWidth="1"/>
    <col min="7182" max="7182" width="9" style="95" customWidth="1"/>
    <col min="7183" max="7183" width="9.1640625" style="95" customWidth="1"/>
    <col min="7184" max="7184" width="2.6640625" style="95" customWidth="1"/>
    <col min="7185" max="7424" width="9.1640625" style="95"/>
    <col min="7425" max="7425" width="34.1640625" style="95" customWidth="1"/>
    <col min="7426" max="7427" width="8.33203125" style="95" customWidth="1"/>
    <col min="7428" max="7428" width="3.5" style="95" customWidth="1"/>
    <col min="7429" max="7429" width="8" style="95" customWidth="1"/>
    <col min="7430" max="7430" width="8.33203125" style="95" customWidth="1"/>
    <col min="7431" max="7431" width="3.6640625" style="95" customWidth="1"/>
    <col min="7432" max="7432" width="8.33203125" style="95" customWidth="1"/>
    <col min="7433" max="7433" width="8.5" style="95" customWidth="1"/>
    <col min="7434" max="7434" width="3.6640625" style="95" customWidth="1"/>
    <col min="7435" max="7435" width="8.83203125" style="95" customWidth="1"/>
    <col min="7436" max="7436" width="9.1640625" style="95" customWidth="1"/>
    <col min="7437" max="7437" width="3.33203125" style="95" customWidth="1"/>
    <col min="7438" max="7438" width="9" style="95" customWidth="1"/>
    <col min="7439" max="7439" width="9.1640625" style="95" customWidth="1"/>
    <col min="7440" max="7440" width="2.6640625" style="95" customWidth="1"/>
    <col min="7441" max="7680" width="9.1640625" style="95"/>
    <col min="7681" max="7681" width="34.1640625" style="95" customWidth="1"/>
    <col min="7682" max="7683" width="8.33203125" style="95" customWidth="1"/>
    <col min="7684" max="7684" width="3.5" style="95" customWidth="1"/>
    <col min="7685" max="7685" width="8" style="95" customWidth="1"/>
    <col min="7686" max="7686" width="8.33203125" style="95" customWidth="1"/>
    <col min="7687" max="7687" width="3.6640625" style="95" customWidth="1"/>
    <col min="7688" max="7688" width="8.33203125" style="95" customWidth="1"/>
    <col min="7689" max="7689" width="8.5" style="95" customWidth="1"/>
    <col min="7690" max="7690" width="3.6640625" style="95" customWidth="1"/>
    <col min="7691" max="7691" width="8.83203125" style="95" customWidth="1"/>
    <col min="7692" max="7692" width="9.1640625" style="95" customWidth="1"/>
    <col min="7693" max="7693" width="3.33203125" style="95" customWidth="1"/>
    <col min="7694" max="7694" width="9" style="95" customWidth="1"/>
    <col min="7695" max="7695" width="9.1640625" style="95" customWidth="1"/>
    <col min="7696" max="7696" width="2.6640625" style="95" customWidth="1"/>
    <col min="7697" max="7936" width="9.1640625" style="95"/>
    <col min="7937" max="7937" width="34.1640625" style="95" customWidth="1"/>
    <col min="7938" max="7939" width="8.33203125" style="95" customWidth="1"/>
    <col min="7940" max="7940" width="3.5" style="95" customWidth="1"/>
    <col min="7941" max="7941" width="8" style="95" customWidth="1"/>
    <col min="7942" max="7942" width="8.33203125" style="95" customWidth="1"/>
    <col min="7943" max="7943" width="3.6640625" style="95" customWidth="1"/>
    <col min="7944" max="7944" width="8.33203125" style="95" customWidth="1"/>
    <col min="7945" max="7945" width="8.5" style="95" customWidth="1"/>
    <col min="7946" max="7946" width="3.6640625" style="95" customWidth="1"/>
    <col min="7947" max="7947" width="8.83203125" style="95" customWidth="1"/>
    <col min="7948" max="7948" width="9.1640625" style="95" customWidth="1"/>
    <col min="7949" max="7949" width="3.33203125" style="95" customWidth="1"/>
    <col min="7950" max="7950" width="9" style="95" customWidth="1"/>
    <col min="7951" max="7951" width="9.1640625" style="95" customWidth="1"/>
    <col min="7952" max="7952" width="2.6640625" style="95" customWidth="1"/>
    <col min="7953" max="8192" width="9.1640625" style="95"/>
    <col min="8193" max="8193" width="34.1640625" style="95" customWidth="1"/>
    <col min="8194" max="8195" width="8.33203125" style="95" customWidth="1"/>
    <col min="8196" max="8196" width="3.5" style="95" customWidth="1"/>
    <col min="8197" max="8197" width="8" style="95" customWidth="1"/>
    <col min="8198" max="8198" width="8.33203125" style="95" customWidth="1"/>
    <col min="8199" max="8199" width="3.6640625" style="95" customWidth="1"/>
    <col min="8200" max="8200" width="8.33203125" style="95" customWidth="1"/>
    <col min="8201" max="8201" width="8.5" style="95" customWidth="1"/>
    <col min="8202" max="8202" width="3.6640625" style="95" customWidth="1"/>
    <col min="8203" max="8203" width="8.83203125" style="95" customWidth="1"/>
    <col min="8204" max="8204" width="9.1640625" style="95" customWidth="1"/>
    <col min="8205" max="8205" width="3.33203125" style="95" customWidth="1"/>
    <col min="8206" max="8206" width="9" style="95" customWidth="1"/>
    <col min="8207" max="8207" width="9.1640625" style="95" customWidth="1"/>
    <col min="8208" max="8208" width="2.6640625" style="95" customWidth="1"/>
    <col min="8209" max="8448" width="9.1640625" style="95"/>
    <col min="8449" max="8449" width="34.1640625" style="95" customWidth="1"/>
    <col min="8450" max="8451" width="8.33203125" style="95" customWidth="1"/>
    <col min="8452" max="8452" width="3.5" style="95" customWidth="1"/>
    <col min="8453" max="8453" width="8" style="95" customWidth="1"/>
    <col min="8454" max="8454" width="8.33203125" style="95" customWidth="1"/>
    <col min="8455" max="8455" width="3.6640625" style="95" customWidth="1"/>
    <col min="8456" max="8456" width="8.33203125" style="95" customWidth="1"/>
    <col min="8457" max="8457" width="8.5" style="95" customWidth="1"/>
    <col min="8458" max="8458" width="3.6640625" style="95" customWidth="1"/>
    <col min="8459" max="8459" width="8.83203125" style="95" customWidth="1"/>
    <col min="8460" max="8460" width="9.1640625" style="95" customWidth="1"/>
    <col min="8461" max="8461" width="3.33203125" style="95" customWidth="1"/>
    <col min="8462" max="8462" width="9" style="95" customWidth="1"/>
    <col min="8463" max="8463" width="9.1640625" style="95" customWidth="1"/>
    <col min="8464" max="8464" width="2.6640625" style="95" customWidth="1"/>
    <col min="8465" max="8704" width="9.1640625" style="95"/>
    <col min="8705" max="8705" width="34.1640625" style="95" customWidth="1"/>
    <col min="8706" max="8707" width="8.33203125" style="95" customWidth="1"/>
    <col min="8708" max="8708" width="3.5" style="95" customWidth="1"/>
    <col min="8709" max="8709" width="8" style="95" customWidth="1"/>
    <col min="8710" max="8710" width="8.33203125" style="95" customWidth="1"/>
    <col min="8711" max="8711" width="3.6640625" style="95" customWidth="1"/>
    <col min="8712" max="8712" width="8.33203125" style="95" customWidth="1"/>
    <col min="8713" max="8713" width="8.5" style="95" customWidth="1"/>
    <col min="8714" max="8714" width="3.6640625" style="95" customWidth="1"/>
    <col min="8715" max="8715" width="8.83203125" style="95" customWidth="1"/>
    <col min="8716" max="8716" width="9.1640625" style="95" customWidth="1"/>
    <col min="8717" max="8717" width="3.33203125" style="95" customWidth="1"/>
    <col min="8718" max="8718" width="9" style="95" customWidth="1"/>
    <col min="8719" max="8719" width="9.1640625" style="95" customWidth="1"/>
    <col min="8720" max="8720" width="2.6640625" style="95" customWidth="1"/>
    <col min="8721" max="8960" width="9.1640625" style="95"/>
    <col min="8961" max="8961" width="34.1640625" style="95" customWidth="1"/>
    <col min="8962" max="8963" width="8.33203125" style="95" customWidth="1"/>
    <col min="8964" max="8964" width="3.5" style="95" customWidth="1"/>
    <col min="8965" max="8965" width="8" style="95" customWidth="1"/>
    <col min="8966" max="8966" width="8.33203125" style="95" customWidth="1"/>
    <col min="8967" max="8967" width="3.6640625" style="95" customWidth="1"/>
    <col min="8968" max="8968" width="8.33203125" style="95" customWidth="1"/>
    <col min="8969" max="8969" width="8.5" style="95" customWidth="1"/>
    <col min="8970" max="8970" width="3.6640625" style="95" customWidth="1"/>
    <col min="8971" max="8971" width="8.83203125" style="95" customWidth="1"/>
    <col min="8972" max="8972" width="9.1640625" style="95" customWidth="1"/>
    <col min="8973" max="8973" width="3.33203125" style="95" customWidth="1"/>
    <col min="8974" max="8974" width="9" style="95" customWidth="1"/>
    <col min="8975" max="8975" width="9.1640625" style="95" customWidth="1"/>
    <col min="8976" max="8976" width="2.6640625" style="95" customWidth="1"/>
    <col min="8977" max="9216" width="9.1640625" style="95"/>
    <col min="9217" max="9217" width="34.1640625" style="95" customWidth="1"/>
    <col min="9218" max="9219" width="8.33203125" style="95" customWidth="1"/>
    <col min="9220" max="9220" width="3.5" style="95" customWidth="1"/>
    <col min="9221" max="9221" width="8" style="95" customWidth="1"/>
    <col min="9222" max="9222" width="8.33203125" style="95" customWidth="1"/>
    <col min="9223" max="9223" width="3.6640625" style="95" customWidth="1"/>
    <col min="9224" max="9224" width="8.33203125" style="95" customWidth="1"/>
    <col min="9225" max="9225" width="8.5" style="95" customWidth="1"/>
    <col min="9226" max="9226" width="3.6640625" style="95" customWidth="1"/>
    <col min="9227" max="9227" width="8.83203125" style="95" customWidth="1"/>
    <col min="9228" max="9228" width="9.1640625" style="95" customWidth="1"/>
    <col min="9229" max="9229" width="3.33203125" style="95" customWidth="1"/>
    <col min="9230" max="9230" width="9" style="95" customWidth="1"/>
    <col min="9231" max="9231" width="9.1640625" style="95" customWidth="1"/>
    <col min="9232" max="9232" width="2.6640625" style="95" customWidth="1"/>
    <col min="9233" max="9472" width="9.1640625" style="95"/>
    <col min="9473" max="9473" width="34.1640625" style="95" customWidth="1"/>
    <col min="9474" max="9475" width="8.33203125" style="95" customWidth="1"/>
    <col min="9476" max="9476" width="3.5" style="95" customWidth="1"/>
    <col min="9477" max="9477" width="8" style="95" customWidth="1"/>
    <col min="9478" max="9478" width="8.33203125" style="95" customWidth="1"/>
    <col min="9479" max="9479" width="3.6640625" style="95" customWidth="1"/>
    <col min="9480" max="9480" width="8.33203125" style="95" customWidth="1"/>
    <col min="9481" max="9481" width="8.5" style="95" customWidth="1"/>
    <col min="9482" max="9482" width="3.6640625" style="95" customWidth="1"/>
    <col min="9483" max="9483" width="8.83203125" style="95" customWidth="1"/>
    <col min="9484" max="9484" width="9.1640625" style="95" customWidth="1"/>
    <col min="9485" max="9485" width="3.33203125" style="95" customWidth="1"/>
    <col min="9486" max="9486" width="9" style="95" customWidth="1"/>
    <col min="9487" max="9487" width="9.1640625" style="95" customWidth="1"/>
    <col min="9488" max="9488" width="2.6640625" style="95" customWidth="1"/>
    <col min="9489" max="9728" width="9.1640625" style="95"/>
    <col min="9729" max="9729" width="34.1640625" style="95" customWidth="1"/>
    <col min="9730" max="9731" width="8.33203125" style="95" customWidth="1"/>
    <col min="9732" max="9732" width="3.5" style="95" customWidth="1"/>
    <col min="9733" max="9733" width="8" style="95" customWidth="1"/>
    <col min="9734" max="9734" width="8.33203125" style="95" customWidth="1"/>
    <col min="9735" max="9735" width="3.6640625" style="95" customWidth="1"/>
    <col min="9736" max="9736" width="8.33203125" style="95" customWidth="1"/>
    <col min="9737" max="9737" width="8.5" style="95" customWidth="1"/>
    <col min="9738" max="9738" width="3.6640625" style="95" customWidth="1"/>
    <col min="9739" max="9739" width="8.83203125" style="95" customWidth="1"/>
    <col min="9740" max="9740" width="9.1640625" style="95" customWidth="1"/>
    <col min="9741" max="9741" width="3.33203125" style="95" customWidth="1"/>
    <col min="9742" max="9742" width="9" style="95" customWidth="1"/>
    <col min="9743" max="9743" width="9.1640625" style="95" customWidth="1"/>
    <col min="9744" max="9744" width="2.6640625" style="95" customWidth="1"/>
    <col min="9745" max="9984" width="9.1640625" style="95"/>
    <col min="9985" max="9985" width="34.1640625" style="95" customWidth="1"/>
    <col min="9986" max="9987" width="8.33203125" style="95" customWidth="1"/>
    <col min="9988" max="9988" width="3.5" style="95" customWidth="1"/>
    <col min="9989" max="9989" width="8" style="95" customWidth="1"/>
    <col min="9990" max="9990" width="8.33203125" style="95" customWidth="1"/>
    <col min="9991" max="9991" width="3.6640625" style="95" customWidth="1"/>
    <col min="9992" max="9992" width="8.33203125" style="95" customWidth="1"/>
    <col min="9993" max="9993" width="8.5" style="95" customWidth="1"/>
    <col min="9994" max="9994" width="3.6640625" style="95" customWidth="1"/>
    <col min="9995" max="9995" width="8.83203125" style="95" customWidth="1"/>
    <col min="9996" max="9996" width="9.1640625" style="95" customWidth="1"/>
    <col min="9997" max="9997" width="3.33203125" style="95" customWidth="1"/>
    <col min="9998" max="9998" width="9" style="95" customWidth="1"/>
    <col min="9999" max="9999" width="9.1640625" style="95" customWidth="1"/>
    <col min="10000" max="10000" width="2.6640625" style="95" customWidth="1"/>
    <col min="10001" max="10240" width="9.1640625" style="95"/>
    <col min="10241" max="10241" width="34.1640625" style="95" customWidth="1"/>
    <col min="10242" max="10243" width="8.33203125" style="95" customWidth="1"/>
    <col min="10244" max="10244" width="3.5" style="95" customWidth="1"/>
    <col min="10245" max="10245" width="8" style="95" customWidth="1"/>
    <col min="10246" max="10246" width="8.33203125" style="95" customWidth="1"/>
    <col min="10247" max="10247" width="3.6640625" style="95" customWidth="1"/>
    <col min="10248" max="10248" width="8.33203125" style="95" customWidth="1"/>
    <col min="10249" max="10249" width="8.5" style="95" customWidth="1"/>
    <col min="10250" max="10250" width="3.6640625" style="95" customWidth="1"/>
    <col min="10251" max="10251" width="8.83203125" style="95" customWidth="1"/>
    <col min="10252" max="10252" width="9.1640625" style="95" customWidth="1"/>
    <col min="10253" max="10253" width="3.33203125" style="95" customWidth="1"/>
    <col min="10254" max="10254" width="9" style="95" customWidth="1"/>
    <col min="10255" max="10255" width="9.1640625" style="95" customWidth="1"/>
    <col min="10256" max="10256" width="2.6640625" style="95" customWidth="1"/>
    <col min="10257" max="10496" width="9.1640625" style="95"/>
    <col min="10497" max="10497" width="34.1640625" style="95" customWidth="1"/>
    <col min="10498" max="10499" width="8.33203125" style="95" customWidth="1"/>
    <col min="10500" max="10500" width="3.5" style="95" customWidth="1"/>
    <col min="10501" max="10501" width="8" style="95" customWidth="1"/>
    <col min="10502" max="10502" width="8.33203125" style="95" customWidth="1"/>
    <col min="10503" max="10503" width="3.6640625" style="95" customWidth="1"/>
    <col min="10504" max="10504" width="8.33203125" style="95" customWidth="1"/>
    <col min="10505" max="10505" width="8.5" style="95" customWidth="1"/>
    <col min="10506" max="10506" width="3.6640625" style="95" customWidth="1"/>
    <col min="10507" max="10507" width="8.83203125" style="95" customWidth="1"/>
    <col min="10508" max="10508" width="9.1640625" style="95" customWidth="1"/>
    <col min="10509" max="10509" width="3.33203125" style="95" customWidth="1"/>
    <col min="10510" max="10510" width="9" style="95" customWidth="1"/>
    <col min="10511" max="10511" width="9.1640625" style="95" customWidth="1"/>
    <col min="10512" max="10512" width="2.6640625" style="95" customWidth="1"/>
    <col min="10513" max="10752" width="9.1640625" style="95"/>
    <col min="10753" max="10753" width="34.1640625" style="95" customWidth="1"/>
    <col min="10754" max="10755" width="8.33203125" style="95" customWidth="1"/>
    <col min="10756" max="10756" width="3.5" style="95" customWidth="1"/>
    <col min="10757" max="10757" width="8" style="95" customWidth="1"/>
    <col min="10758" max="10758" width="8.33203125" style="95" customWidth="1"/>
    <col min="10759" max="10759" width="3.6640625" style="95" customWidth="1"/>
    <col min="10760" max="10760" width="8.33203125" style="95" customWidth="1"/>
    <col min="10761" max="10761" width="8.5" style="95" customWidth="1"/>
    <col min="10762" max="10762" width="3.6640625" style="95" customWidth="1"/>
    <col min="10763" max="10763" width="8.83203125" style="95" customWidth="1"/>
    <col min="10764" max="10764" width="9.1640625" style="95" customWidth="1"/>
    <col min="10765" max="10765" width="3.33203125" style="95" customWidth="1"/>
    <col min="10766" max="10766" width="9" style="95" customWidth="1"/>
    <col min="10767" max="10767" width="9.1640625" style="95" customWidth="1"/>
    <col min="10768" max="10768" width="2.6640625" style="95" customWidth="1"/>
    <col min="10769" max="11008" width="9.1640625" style="95"/>
    <col min="11009" max="11009" width="34.1640625" style="95" customWidth="1"/>
    <col min="11010" max="11011" width="8.33203125" style="95" customWidth="1"/>
    <col min="11012" max="11012" width="3.5" style="95" customWidth="1"/>
    <col min="11013" max="11013" width="8" style="95" customWidth="1"/>
    <col min="11014" max="11014" width="8.33203125" style="95" customWidth="1"/>
    <col min="11015" max="11015" width="3.6640625" style="95" customWidth="1"/>
    <col min="11016" max="11016" width="8.33203125" style="95" customWidth="1"/>
    <col min="11017" max="11017" width="8.5" style="95" customWidth="1"/>
    <col min="11018" max="11018" width="3.6640625" style="95" customWidth="1"/>
    <col min="11019" max="11019" width="8.83203125" style="95" customWidth="1"/>
    <col min="11020" max="11020" width="9.1640625" style="95" customWidth="1"/>
    <col min="11021" max="11021" width="3.33203125" style="95" customWidth="1"/>
    <col min="11022" max="11022" width="9" style="95" customWidth="1"/>
    <col min="11023" max="11023" width="9.1640625" style="95" customWidth="1"/>
    <col min="11024" max="11024" width="2.6640625" style="95" customWidth="1"/>
    <col min="11025" max="11264" width="9.1640625" style="95"/>
    <col min="11265" max="11265" width="34.1640625" style="95" customWidth="1"/>
    <col min="11266" max="11267" width="8.33203125" style="95" customWidth="1"/>
    <col min="11268" max="11268" width="3.5" style="95" customWidth="1"/>
    <col min="11269" max="11269" width="8" style="95" customWidth="1"/>
    <col min="11270" max="11270" width="8.33203125" style="95" customWidth="1"/>
    <col min="11271" max="11271" width="3.6640625" style="95" customWidth="1"/>
    <col min="11272" max="11272" width="8.33203125" style="95" customWidth="1"/>
    <col min="11273" max="11273" width="8.5" style="95" customWidth="1"/>
    <col min="11274" max="11274" width="3.6640625" style="95" customWidth="1"/>
    <col min="11275" max="11275" width="8.83203125" style="95" customWidth="1"/>
    <col min="11276" max="11276" width="9.1640625" style="95" customWidth="1"/>
    <col min="11277" max="11277" width="3.33203125" style="95" customWidth="1"/>
    <col min="11278" max="11278" width="9" style="95" customWidth="1"/>
    <col min="11279" max="11279" width="9.1640625" style="95" customWidth="1"/>
    <col min="11280" max="11280" width="2.6640625" style="95" customWidth="1"/>
    <col min="11281" max="11520" width="9.1640625" style="95"/>
    <col min="11521" max="11521" width="34.1640625" style="95" customWidth="1"/>
    <col min="11522" max="11523" width="8.33203125" style="95" customWidth="1"/>
    <col min="11524" max="11524" width="3.5" style="95" customWidth="1"/>
    <col min="11525" max="11525" width="8" style="95" customWidth="1"/>
    <col min="11526" max="11526" width="8.33203125" style="95" customWidth="1"/>
    <col min="11527" max="11527" width="3.6640625" style="95" customWidth="1"/>
    <col min="11528" max="11528" width="8.33203125" style="95" customWidth="1"/>
    <col min="11529" max="11529" width="8.5" style="95" customWidth="1"/>
    <col min="11530" max="11530" width="3.6640625" style="95" customWidth="1"/>
    <col min="11531" max="11531" width="8.83203125" style="95" customWidth="1"/>
    <col min="11532" max="11532" width="9.1640625" style="95" customWidth="1"/>
    <col min="11533" max="11533" width="3.33203125" style="95" customWidth="1"/>
    <col min="11534" max="11534" width="9" style="95" customWidth="1"/>
    <col min="11535" max="11535" width="9.1640625" style="95" customWidth="1"/>
    <col min="11536" max="11536" width="2.6640625" style="95" customWidth="1"/>
    <col min="11537" max="11776" width="9.1640625" style="95"/>
    <col min="11777" max="11777" width="34.1640625" style="95" customWidth="1"/>
    <col min="11778" max="11779" width="8.33203125" style="95" customWidth="1"/>
    <col min="11780" max="11780" width="3.5" style="95" customWidth="1"/>
    <col min="11781" max="11781" width="8" style="95" customWidth="1"/>
    <col min="11782" max="11782" width="8.33203125" style="95" customWidth="1"/>
    <col min="11783" max="11783" width="3.6640625" style="95" customWidth="1"/>
    <col min="11784" max="11784" width="8.33203125" style="95" customWidth="1"/>
    <col min="11785" max="11785" width="8.5" style="95" customWidth="1"/>
    <col min="11786" max="11786" width="3.6640625" style="95" customWidth="1"/>
    <col min="11787" max="11787" width="8.83203125" style="95" customWidth="1"/>
    <col min="11788" max="11788" width="9.1640625" style="95" customWidth="1"/>
    <col min="11789" max="11789" width="3.33203125" style="95" customWidth="1"/>
    <col min="11790" max="11790" width="9" style="95" customWidth="1"/>
    <col min="11791" max="11791" width="9.1640625" style="95" customWidth="1"/>
    <col min="11792" max="11792" width="2.6640625" style="95" customWidth="1"/>
    <col min="11793" max="12032" width="9.1640625" style="95"/>
    <col min="12033" max="12033" width="34.1640625" style="95" customWidth="1"/>
    <col min="12034" max="12035" width="8.33203125" style="95" customWidth="1"/>
    <col min="12036" max="12036" width="3.5" style="95" customWidth="1"/>
    <col min="12037" max="12037" width="8" style="95" customWidth="1"/>
    <col min="12038" max="12038" width="8.33203125" style="95" customWidth="1"/>
    <col min="12039" max="12039" width="3.6640625" style="95" customWidth="1"/>
    <col min="12040" max="12040" width="8.33203125" style="95" customWidth="1"/>
    <col min="12041" max="12041" width="8.5" style="95" customWidth="1"/>
    <col min="12042" max="12042" width="3.6640625" style="95" customWidth="1"/>
    <col min="12043" max="12043" width="8.83203125" style="95" customWidth="1"/>
    <col min="12044" max="12044" width="9.1640625" style="95" customWidth="1"/>
    <col min="12045" max="12045" width="3.33203125" style="95" customWidth="1"/>
    <col min="12046" max="12046" width="9" style="95" customWidth="1"/>
    <col min="12047" max="12047" width="9.1640625" style="95" customWidth="1"/>
    <col min="12048" max="12048" width="2.6640625" style="95" customWidth="1"/>
    <col min="12049" max="12288" width="9.1640625" style="95"/>
    <col min="12289" max="12289" width="34.1640625" style="95" customWidth="1"/>
    <col min="12290" max="12291" width="8.33203125" style="95" customWidth="1"/>
    <col min="12292" max="12292" width="3.5" style="95" customWidth="1"/>
    <col min="12293" max="12293" width="8" style="95" customWidth="1"/>
    <col min="12294" max="12294" width="8.33203125" style="95" customWidth="1"/>
    <col min="12295" max="12295" width="3.6640625" style="95" customWidth="1"/>
    <col min="12296" max="12296" width="8.33203125" style="95" customWidth="1"/>
    <col min="12297" max="12297" width="8.5" style="95" customWidth="1"/>
    <col min="12298" max="12298" width="3.6640625" style="95" customWidth="1"/>
    <col min="12299" max="12299" width="8.83203125" style="95" customWidth="1"/>
    <col min="12300" max="12300" width="9.1640625" style="95" customWidth="1"/>
    <col min="12301" max="12301" width="3.33203125" style="95" customWidth="1"/>
    <col min="12302" max="12302" width="9" style="95" customWidth="1"/>
    <col min="12303" max="12303" width="9.1640625" style="95" customWidth="1"/>
    <col min="12304" max="12304" width="2.6640625" style="95" customWidth="1"/>
    <col min="12305" max="12544" width="9.1640625" style="95"/>
    <col min="12545" max="12545" width="34.1640625" style="95" customWidth="1"/>
    <col min="12546" max="12547" width="8.33203125" style="95" customWidth="1"/>
    <col min="12548" max="12548" width="3.5" style="95" customWidth="1"/>
    <col min="12549" max="12549" width="8" style="95" customWidth="1"/>
    <col min="12550" max="12550" width="8.33203125" style="95" customWidth="1"/>
    <col min="12551" max="12551" width="3.6640625" style="95" customWidth="1"/>
    <col min="12552" max="12552" width="8.33203125" style="95" customWidth="1"/>
    <col min="12553" max="12553" width="8.5" style="95" customWidth="1"/>
    <col min="12554" max="12554" width="3.6640625" style="95" customWidth="1"/>
    <col min="12555" max="12555" width="8.83203125" style="95" customWidth="1"/>
    <col min="12556" max="12556" width="9.1640625" style="95" customWidth="1"/>
    <col min="12557" max="12557" width="3.33203125" style="95" customWidth="1"/>
    <col min="12558" max="12558" width="9" style="95" customWidth="1"/>
    <col min="12559" max="12559" width="9.1640625" style="95" customWidth="1"/>
    <col min="12560" max="12560" width="2.6640625" style="95" customWidth="1"/>
    <col min="12561" max="12800" width="9.1640625" style="95"/>
    <col min="12801" max="12801" width="34.1640625" style="95" customWidth="1"/>
    <col min="12802" max="12803" width="8.33203125" style="95" customWidth="1"/>
    <col min="12804" max="12804" width="3.5" style="95" customWidth="1"/>
    <col min="12805" max="12805" width="8" style="95" customWidth="1"/>
    <col min="12806" max="12806" width="8.33203125" style="95" customWidth="1"/>
    <col min="12807" max="12807" width="3.6640625" style="95" customWidth="1"/>
    <col min="12808" max="12808" width="8.33203125" style="95" customWidth="1"/>
    <col min="12809" max="12809" width="8.5" style="95" customWidth="1"/>
    <col min="12810" max="12810" width="3.6640625" style="95" customWidth="1"/>
    <col min="12811" max="12811" width="8.83203125" style="95" customWidth="1"/>
    <col min="12812" max="12812" width="9.1640625" style="95" customWidth="1"/>
    <col min="12813" max="12813" width="3.33203125" style="95" customWidth="1"/>
    <col min="12814" max="12814" width="9" style="95" customWidth="1"/>
    <col min="12815" max="12815" width="9.1640625" style="95" customWidth="1"/>
    <col min="12816" max="12816" width="2.6640625" style="95" customWidth="1"/>
    <col min="12817" max="13056" width="9.1640625" style="95"/>
    <col min="13057" max="13057" width="34.1640625" style="95" customWidth="1"/>
    <col min="13058" max="13059" width="8.33203125" style="95" customWidth="1"/>
    <col min="13060" max="13060" width="3.5" style="95" customWidth="1"/>
    <col min="13061" max="13061" width="8" style="95" customWidth="1"/>
    <col min="13062" max="13062" width="8.33203125" style="95" customWidth="1"/>
    <col min="13063" max="13063" width="3.6640625" style="95" customWidth="1"/>
    <col min="13064" max="13064" width="8.33203125" style="95" customWidth="1"/>
    <col min="13065" max="13065" width="8.5" style="95" customWidth="1"/>
    <col min="13066" max="13066" width="3.6640625" style="95" customWidth="1"/>
    <col min="13067" max="13067" width="8.83203125" style="95" customWidth="1"/>
    <col min="13068" max="13068" width="9.1640625" style="95" customWidth="1"/>
    <col min="13069" max="13069" width="3.33203125" style="95" customWidth="1"/>
    <col min="13070" max="13070" width="9" style="95" customWidth="1"/>
    <col min="13071" max="13071" width="9.1640625" style="95" customWidth="1"/>
    <col min="13072" max="13072" width="2.6640625" style="95" customWidth="1"/>
    <col min="13073" max="13312" width="9.1640625" style="95"/>
    <col min="13313" max="13313" width="34.1640625" style="95" customWidth="1"/>
    <col min="13314" max="13315" width="8.33203125" style="95" customWidth="1"/>
    <col min="13316" max="13316" width="3.5" style="95" customWidth="1"/>
    <col min="13317" max="13317" width="8" style="95" customWidth="1"/>
    <col min="13318" max="13318" width="8.33203125" style="95" customWidth="1"/>
    <col min="13319" max="13319" width="3.6640625" style="95" customWidth="1"/>
    <col min="13320" max="13320" width="8.33203125" style="95" customWidth="1"/>
    <col min="13321" max="13321" width="8.5" style="95" customWidth="1"/>
    <col min="13322" max="13322" width="3.6640625" style="95" customWidth="1"/>
    <col min="13323" max="13323" width="8.83203125" style="95" customWidth="1"/>
    <col min="13324" max="13324" width="9.1640625" style="95" customWidth="1"/>
    <col min="13325" max="13325" width="3.33203125" style="95" customWidth="1"/>
    <col min="13326" max="13326" width="9" style="95" customWidth="1"/>
    <col min="13327" max="13327" width="9.1640625" style="95" customWidth="1"/>
    <col min="13328" max="13328" width="2.6640625" style="95" customWidth="1"/>
    <col min="13329" max="13568" width="9.1640625" style="95"/>
    <col min="13569" max="13569" width="34.1640625" style="95" customWidth="1"/>
    <col min="13570" max="13571" width="8.33203125" style="95" customWidth="1"/>
    <col min="13572" max="13572" width="3.5" style="95" customWidth="1"/>
    <col min="13573" max="13573" width="8" style="95" customWidth="1"/>
    <col min="13574" max="13574" width="8.33203125" style="95" customWidth="1"/>
    <col min="13575" max="13575" width="3.6640625" style="95" customWidth="1"/>
    <col min="13576" max="13576" width="8.33203125" style="95" customWidth="1"/>
    <col min="13577" max="13577" width="8.5" style="95" customWidth="1"/>
    <col min="13578" max="13578" width="3.6640625" style="95" customWidth="1"/>
    <col min="13579" max="13579" width="8.83203125" style="95" customWidth="1"/>
    <col min="13580" max="13580" width="9.1640625" style="95" customWidth="1"/>
    <col min="13581" max="13581" width="3.33203125" style="95" customWidth="1"/>
    <col min="13582" max="13582" width="9" style="95" customWidth="1"/>
    <col min="13583" max="13583" width="9.1640625" style="95" customWidth="1"/>
    <col min="13584" max="13584" width="2.6640625" style="95" customWidth="1"/>
    <col min="13585" max="13824" width="9.1640625" style="95"/>
    <col min="13825" max="13825" width="34.1640625" style="95" customWidth="1"/>
    <col min="13826" max="13827" width="8.33203125" style="95" customWidth="1"/>
    <col min="13828" max="13828" width="3.5" style="95" customWidth="1"/>
    <col min="13829" max="13829" width="8" style="95" customWidth="1"/>
    <col min="13830" max="13830" width="8.33203125" style="95" customWidth="1"/>
    <col min="13831" max="13831" width="3.6640625" style="95" customWidth="1"/>
    <col min="13832" max="13832" width="8.33203125" style="95" customWidth="1"/>
    <col min="13833" max="13833" width="8.5" style="95" customWidth="1"/>
    <col min="13834" max="13834" width="3.6640625" style="95" customWidth="1"/>
    <col min="13835" max="13835" width="8.83203125" style="95" customWidth="1"/>
    <col min="13836" max="13836" width="9.1640625" style="95" customWidth="1"/>
    <col min="13837" max="13837" width="3.33203125" style="95" customWidth="1"/>
    <col min="13838" max="13838" width="9" style="95" customWidth="1"/>
    <col min="13839" max="13839" width="9.1640625" style="95" customWidth="1"/>
    <col min="13840" max="13840" width="2.6640625" style="95" customWidth="1"/>
    <col min="13841" max="14080" width="9.1640625" style="95"/>
    <col min="14081" max="14081" width="34.1640625" style="95" customWidth="1"/>
    <col min="14082" max="14083" width="8.33203125" style="95" customWidth="1"/>
    <col min="14084" max="14084" width="3.5" style="95" customWidth="1"/>
    <col min="14085" max="14085" width="8" style="95" customWidth="1"/>
    <col min="14086" max="14086" width="8.33203125" style="95" customWidth="1"/>
    <col min="14087" max="14087" width="3.6640625" style="95" customWidth="1"/>
    <col min="14088" max="14088" width="8.33203125" style="95" customWidth="1"/>
    <col min="14089" max="14089" width="8.5" style="95" customWidth="1"/>
    <col min="14090" max="14090" width="3.6640625" style="95" customWidth="1"/>
    <col min="14091" max="14091" width="8.83203125" style="95" customWidth="1"/>
    <col min="14092" max="14092" width="9.1640625" style="95" customWidth="1"/>
    <col min="14093" max="14093" width="3.33203125" style="95" customWidth="1"/>
    <col min="14094" max="14094" width="9" style="95" customWidth="1"/>
    <col min="14095" max="14095" width="9.1640625" style="95" customWidth="1"/>
    <col min="14096" max="14096" width="2.6640625" style="95" customWidth="1"/>
    <col min="14097" max="14336" width="9.1640625" style="95"/>
    <col min="14337" max="14337" width="34.1640625" style="95" customWidth="1"/>
    <col min="14338" max="14339" width="8.33203125" style="95" customWidth="1"/>
    <col min="14340" max="14340" width="3.5" style="95" customWidth="1"/>
    <col min="14341" max="14341" width="8" style="95" customWidth="1"/>
    <col min="14342" max="14342" width="8.33203125" style="95" customWidth="1"/>
    <col min="14343" max="14343" width="3.6640625" style="95" customWidth="1"/>
    <col min="14344" max="14344" width="8.33203125" style="95" customWidth="1"/>
    <col min="14345" max="14345" width="8.5" style="95" customWidth="1"/>
    <col min="14346" max="14346" width="3.6640625" style="95" customWidth="1"/>
    <col min="14347" max="14347" width="8.83203125" style="95" customWidth="1"/>
    <col min="14348" max="14348" width="9.1640625" style="95" customWidth="1"/>
    <col min="14349" max="14349" width="3.33203125" style="95" customWidth="1"/>
    <col min="14350" max="14350" width="9" style="95" customWidth="1"/>
    <col min="14351" max="14351" width="9.1640625" style="95" customWidth="1"/>
    <col min="14352" max="14352" width="2.6640625" style="95" customWidth="1"/>
    <col min="14353" max="14592" width="9.1640625" style="95"/>
    <col min="14593" max="14593" width="34.1640625" style="95" customWidth="1"/>
    <col min="14594" max="14595" width="8.33203125" style="95" customWidth="1"/>
    <col min="14596" max="14596" width="3.5" style="95" customWidth="1"/>
    <col min="14597" max="14597" width="8" style="95" customWidth="1"/>
    <col min="14598" max="14598" width="8.33203125" style="95" customWidth="1"/>
    <col min="14599" max="14599" width="3.6640625" style="95" customWidth="1"/>
    <col min="14600" max="14600" width="8.33203125" style="95" customWidth="1"/>
    <col min="14601" max="14601" width="8.5" style="95" customWidth="1"/>
    <col min="14602" max="14602" width="3.6640625" style="95" customWidth="1"/>
    <col min="14603" max="14603" width="8.83203125" style="95" customWidth="1"/>
    <col min="14604" max="14604" width="9.1640625" style="95" customWidth="1"/>
    <col min="14605" max="14605" width="3.33203125" style="95" customWidth="1"/>
    <col min="14606" max="14606" width="9" style="95" customWidth="1"/>
    <col min="14607" max="14607" width="9.1640625" style="95" customWidth="1"/>
    <col min="14608" max="14608" width="2.6640625" style="95" customWidth="1"/>
    <col min="14609" max="14848" width="9.1640625" style="95"/>
    <col min="14849" max="14849" width="34.1640625" style="95" customWidth="1"/>
    <col min="14850" max="14851" width="8.33203125" style="95" customWidth="1"/>
    <col min="14852" max="14852" width="3.5" style="95" customWidth="1"/>
    <col min="14853" max="14853" width="8" style="95" customWidth="1"/>
    <col min="14854" max="14854" width="8.33203125" style="95" customWidth="1"/>
    <col min="14855" max="14855" width="3.6640625" style="95" customWidth="1"/>
    <col min="14856" max="14856" width="8.33203125" style="95" customWidth="1"/>
    <col min="14857" max="14857" width="8.5" style="95" customWidth="1"/>
    <col min="14858" max="14858" width="3.6640625" style="95" customWidth="1"/>
    <col min="14859" max="14859" width="8.83203125" style="95" customWidth="1"/>
    <col min="14860" max="14860" width="9.1640625" style="95" customWidth="1"/>
    <col min="14861" max="14861" width="3.33203125" style="95" customWidth="1"/>
    <col min="14862" max="14862" width="9" style="95" customWidth="1"/>
    <col min="14863" max="14863" width="9.1640625" style="95" customWidth="1"/>
    <col min="14864" max="14864" width="2.6640625" style="95" customWidth="1"/>
    <col min="14865" max="15104" width="9.1640625" style="95"/>
    <col min="15105" max="15105" width="34.1640625" style="95" customWidth="1"/>
    <col min="15106" max="15107" width="8.33203125" style="95" customWidth="1"/>
    <col min="15108" max="15108" width="3.5" style="95" customWidth="1"/>
    <col min="15109" max="15109" width="8" style="95" customWidth="1"/>
    <col min="15110" max="15110" width="8.33203125" style="95" customWidth="1"/>
    <col min="15111" max="15111" width="3.6640625" style="95" customWidth="1"/>
    <col min="15112" max="15112" width="8.33203125" style="95" customWidth="1"/>
    <col min="15113" max="15113" width="8.5" style="95" customWidth="1"/>
    <col min="15114" max="15114" width="3.6640625" style="95" customWidth="1"/>
    <col min="15115" max="15115" width="8.83203125" style="95" customWidth="1"/>
    <col min="15116" max="15116" width="9.1640625" style="95" customWidth="1"/>
    <col min="15117" max="15117" width="3.33203125" style="95" customWidth="1"/>
    <col min="15118" max="15118" width="9" style="95" customWidth="1"/>
    <col min="15119" max="15119" width="9.1640625" style="95" customWidth="1"/>
    <col min="15120" max="15120" width="2.6640625" style="95" customWidth="1"/>
    <col min="15121" max="15360" width="9.1640625" style="95"/>
    <col min="15361" max="15361" width="34.1640625" style="95" customWidth="1"/>
    <col min="15362" max="15363" width="8.33203125" style="95" customWidth="1"/>
    <col min="15364" max="15364" width="3.5" style="95" customWidth="1"/>
    <col min="15365" max="15365" width="8" style="95" customWidth="1"/>
    <col min="15366" max="15366" width="8.33203125" style="95" customWidth="1"/>
    <col min="15367" max="15367" width="3.6640625" style="95" customWidth="1"/>
    <col min="15368" max="15368" width="8.33203125" style="95" customWidth="1"/>
    <col min="15369" max="15369" width="8.5" style="95" customWidth="1"/>
    <col min="15370" max="15370" width="3.6640625" style="95" customWidth="1"/>
    <col min="15371" max="15371" width="8.83203125" style="95" customWidth="1"/>
    <col min="15372" max="15372" width="9.1640625" style="95" customWidth="1"/>
    <col min="15373" max="15373" width="3.33203125" style="95" customWidth="1"/>
    <col min="15374" max="15374" width="9" style="95" customWidth="1"/>
    <col min="15375" max="15375" width="9.1640625" style="95" customWidth="1"/>
    <col min="15376" max="15376" width="2.6640625" style="95" customWidth="1"/>
    <col min="15377" max="15616" width="9.1640625" style="95"/>
    <col min="15617" max="15617" width="34.1640625" style="95" customWidth="1"/>
    <col min="15618" max="15619" width="8.33203125" style="95" customWidth="1"/>
    <col min="15620" max="15620" width="3.5" style="95" customWidth="1"/>
    <col min="15621" max="15621" width="8" style="95" customWidth="1"/>
    <col min="15622" max="15622" width="8.33203125" style="95" customWidth="1"/>
    <col min="15623" max="15623" width="3.6640625" style="95" customWidth="1"/>
    <col min="15624" max="15624" width="8.33203125" style="95" customWidth="1"/>
    <col min="15625" max="15625" width="8.5" style="95" customWidth="1"/>
    <col min="15626" max="15626" width="3.6640625" style="95" customWidth="1"/>
    <col min="15627" max="15627" width="8.83203125" style="95" customWidth="1"/>
    <col min="15628" max="15628" width="9.1640625" style="95" customWidth="1"/>
    <col min="15629" max="15629" width="3.33203125" style="95" customWidth="1"/>
    <col min="15630" max="15630" width="9" style="95" customWidth="1"/>
    <col min="15631" max="15631" width="9.1640625" style="95" customWidth="1"/>
    <col min="15632" max="15632" width="2.6640625" style="95" customWidth="1"/>
    <col min="15633" max="15872" width="9.1640625" style="95"/>
    <col min="15873" max="15873" width="34.1640625" style="95" customWidth="1"/>
    <col min="15874" max="15875" width="8.33203125" style="95" customWidth="1"/>
    <col min="15876" max="15876" width="3.5" style="95" customWidth="1"/>
    <col min="15877" max="15877" width="8" style="95" customWidth="1"/>
    <col min="15878" max="15878" width="8.33203125" style="95" customWidth="1"/>
    <col min="15879" max="15879" width="3.6640625" style="95" customWidth="1"/>
    <col min="15880" max="15880" width="8.33203125" style="95" customWidth="1"/>
    <col min="15881" max="15881" width="8.5" style="95" customWidth="1"/>
    <col min="15882" max="15882" width="3.6640625" style="95" customWidth="1"/>
    <col min="15883" max="15883" width="8.83203125" style="95" customWidth="1"/>
    <col min="15884" max="15884" width="9.1640625" style="95" customWidth="1"/>
    <col min="15885" max="15885" width="3.33203125" style="95" customWidth="1"/>
    <col min="15886" max="15886" width="9" style="95" customWidth="1"/>
    <col min="15887" max="15887" width="9.1640625" style="95" customWidth="1"/>
    <col min="15888" max="15888" width="2.6640625" style="95" customWidth="1"/>
    <col min="15889" max="16128" width="9.1640625" style="95"/>
    <col min="16129" max="16129" width="34.1640625" style="95" customWidth="1"/>
    <col min="16130" max="16131" width="8.33203125" style="95" customWidth="1"/>
    <col min="16132" max="16132" width="3.5" style="95" customWidth="1"/>
    <col min="16133" max="16133" width="8" style="95" customWidth="1"/>
    <col min="16134" max="16134" width="8.33203125" style="95" customWidth="1"/>
    <col min="16135" max="16135" width="3.6640625" style="95" customWidth="1"/>
    <col min="16136" max="16136" width="8.33203125" style="95" customWidth="1"/>
    <col min="16137" max="16137" width="8.5" style="95" customWidth="1"/>
    <col min="16138" max="16138" width="3.6640625" style="95" customWidth="1"/>
    <col min="16139" max="16139" width="8.83203125" style="95" customWidth="1"/>
    <col min="16140" max="16140" width="9.1640625" style="95" customWidth="1"/>
    <col min="16141" max="16141" width="3.33203125" style="95" customWidth="1"/>
    <col min="16142" max="16142" width="9" style="95" customWidth="1"/>
    <col min="16143" max="16143" width="9.1640625" style="95" customWidth="1"/>
    <col min="16144" max="16144" width="2.6640625" style="95" customWidth="1"/>
    <col min="16145" max="16384" width="9.1640625" style="95"/>
  </cols>
  <sheetData>
    <row r="1" spans="1:16">
      <c r="A1" s="95" t="s">
        <v>453</v>
      </c>
    </row>
    <row r="2" spans="1:16" ht="12" customHeight="1">
      <c r="A2" s="95" t="s">
        <v>454</v>
      </c>
    </row>
    <row r="3" spans="1:16" ht="7.5" customHeight="1"/>
    <row r="4" spans="1:16">
      <c r="A4" s="14" t="s">
        <v>1848</v>
      </c>
      <c r="L4" s="95"/>
    </row>
    <row r="5" spans="1:16" ht="6.75" customHeight="1" thickBot="1">
      <c r="O5" s="105"/>
    </row>
    <row r="6" spans="1:16" ht="12" customHeight="1">
      <c r="A6" s="97" t="s">
        <v>455</v>
      </c>
      <c r="B6" s="142"/>
      <c r="C6" s="143"/>
      <c r="D6" s="97"/>
      <c r="E6" s="65"/>
      <c r="F6" s="66"/>
      <c r="G6" s="67"/>
      <c r="H6" s="65"/>
      <c r="I6" s="66"/>
      <c r="J6" s="66"/>
      <c r="K6" s="65"/>
      <c r="L6" s="66"/>
      <c r="M6" s="67"/>
      <c r="N6" s="65"/>
      <c r="O6" s="99"/>
      <c r="P6" s="99"/>
    </row>
    <row r="7" spans="1:16" ht="15" customHeight="1">
      <c r="A7" s="116" t="s">
        <v>456</v>
      </c>
      <c r="B7" s="1017" t="s">
        <v>457</v>
      </c>
      <c r="C7" s="1018"/>
      <c r="D7" s="116"/>
      <c r="E7" s="1019" t="s">
        <v>458</v>
      </c>
      <c r="F7" s="1019"/>
      <c r="G7" s="116"/>
      <c r="H7" s="1019" t="s">
        <v>459</v>
      </c>
      <c r="I7" s="1019"/>
      <c r="J7" s="135"/>
      <c r="K7" s="1019" t="s">
        <v>460</v>
      </c>
      <c r="L7" s="1019"/>
      <c r="M7" s="116"/>
      <c r="N7" s="1019" t="s">
        <v>461</v>
      </c>
      <c r="O7" s="1019"/>
    </row>
    <row r="8" spans="1:16" ht="15" customHeight="1">
      <c r="A8" s="95" t="s">
        <v>462</v>
      </c>
      <c r="B8" s="147" t="s">
        <v>400</v>
      </c>
      <c r="C8" s="148" t="s">
        <v>401</v>
      </c>
      <c r="D8" s="116"/>
      <c r="E8" s="149" t="s">
        <v>400</v>
      </c>
      <c r="F8" s="101" t="s">
        <v>401</v>
      </c>
      <c r="G8" s="116"/>
      <c r="H8" s="149" t="s">
        <v>400</v>
      </c>
      <c r="I8" s="101" t="s">
        <v>401</v>
      </c>
      <c r="J8" s="150"/>
      <c r="K8" s="149" t="s">
        <v>400</v>
      </c>
      <c r="L8" s="101" t="s">
        <v>401</v>
      </c>
      <c r="M8" s="116"/>
      <c r="N8" s="149" t="s">
        <v>400</v>
      </c>
      <c r="O8" s="101" t="s">
        <v>401</v>
      </c>
    </row>
    <row r="9" spans="1:16" ht="12.75" customHeight="1" thickBot="1">
      <c r="A9" s="102" t="s">
        <v>463</v>
      </c>
      <c r="B9" s="151"/>
      <c r="C9" s="152"/>
      <c r="D9" s="102"/>
      <c r="E9" s="153"/>
      <c r="F9" s="96"/>
      <c r="G9" s="102"/>
      <c r="H9" s="153"/>
      <c r="I9" s="96"/>
      <c r="J9" s="96"/>
      <c r="K9" s="153"/>
      <c r="L9" s="96"/>
      <c r="M9" s="102"/>
      <c r="N9" s="153"/>
      <c r="O9" s="96"/>
      <c r="P9" s="96"/>
    </row>
    <row r="10" spans="1:16" ht="9" customHeight="1"/>
    <row r="11" spans="1:16" ht="14" customHeight="1">
      <c r="A11" s="68" t="s">
        <v>402</v>
      </c>
      <c r="B11" s="169">
        <f>IF($A11&lt;&gt;0,E11+H11+K11+N11,"")</f>
        <v>2066</v>
      </c>
      <c r="C11" s="139">
        <f>SUM(C13+C95)</f>
        <v>100</v>
      </c>
      <c r="E11" s="140">
        <f>E13+E95</f>
        <v>513</v>
      </c>
      <c r="F11" s="105">
        <f>IF($A11&lt;&gt;"",E11/$B11*100,"")</f>
        <v>24.830590513068731</v>
      </c>
      <c r="H11" s="140">
        <f>H13+H95</f>
        <v>212</v>
      </c>
      <c r="I11" s="105">
        <f>IF($A11&lt;&gt;"",H11/$B11*100,"")</f>
        <v>10.261374636979671</v>
      </c>
      <c r="K11" s="140">
        <f>K13+K95</f>
        <v>477</v>
      </c>
      <c r="L11" s="105">
        <f>IF($A11&lt;&gt;"",K11/$B11*100,"")</f>
        <v>23.088092933204258</v>
      </c>
      <c r="M11" s="116"/>
      <c r="N11" s="140">
        <f>N13+N95</f>
        <v>864</v>
      </c>
      <c r="O11" s="105">
        <f>IF($A11&lt;&gt;"",N11/$B11*100,"")</f>
        <v>41.819941916747339</v>
      </c>
      <c r="P11" s="135"/>
    </row>
    <row r="12" spans="1:16" ht="9" customHeight="1">
      <c r="B12" s="169" t="str">
        <f t="shared" ref="B12:B75" si="0">IF($A12&lt;&gt;"",E12+H12+K12+N12,"")</f>
        <v/>
      </c>
      <c r="C12" s="139" t="str">
        <f t="shared" ref="C12:C75" si="1">IF(A12&lt;&gt;0,B12/$B$11*100,"")</f>
        <v/>
      </c>
      <c r="F12" s="105" t="str">
        <f>IF($A12&lt;&gt;"",E12/$B12*100,"")</f>
        <v/>
      </c>
      <c r="I12" s="105" t="str">
        <f>IF($A12&lt;&gt;"",H12/$B12*100,"")</f>
        <v/>
      </c>
      <c r="L12" s="105" t="str">
        <f>IF($A12&lt;&gt;"",K12/$B12*100,"")</f>
        <v/>
      </c>
      <c r="M12" s="116"/>
      <c r="O12" s="105" t="str">
        <f t="shared" ref="O12:O75" si="2">IF($A12&lt;&gt;"",N12/$B12*100,"")</f>
        <v/>
      </c>
      <c r="P12" s="135"/>
    </row>
    <row r="13" spans="1:16" ht="14" customHeight="1">
      <c r="A13" s="55" t="s">
        <v>403</v>
      </c>
      <c r="B13" s="169">
        <f t="shared" si="0"/>
        <v>1833</v>
      </c>
      <c r="C13" s="139">
        <f t="shared" si="1"/>
        <v>88.722168441432729</v>
      </c>
      <c r="E13" s="140">
        <f>E93+E15+E26+E34+E74+E60+E81</f>
        <v>476</v>
      </c>
      <c r="F13" s="105">
        <f>IF($A13&lt;&gt;"",E13/$B13*100,"")</f>
        <v>25.968357883251503</v>
      </c>
      <c r="H13" s="140">
        <f>H93+H15+H26+H34+H74+H60+H81</f>
        <v>189</v>
      </c>
      <c r="I13" s="105">
        <f>IF($A13&lt;&gt;"",H13/$B13*100,"")</f>
        <v>10.310965630114566</v>
      </c>
      <c r="K13" s="140">
        <f>K93+K15+K26+K34+K74+K60+K81</f>
        <v>417</v>
      </c>
      <c r="L13" s="105">
        <f>IF($A13&lt;&gt;"",K13/$B13*100,"")</f>
        <v>22.749590834697216</v>
      </c>
      <c r="M13" s="116"/>
      <c r="N13" s="140">
        <f>N93+N15+N26+N34+N74+N60+N81</f>
        <v>751</v>
      </c>
      <c r="O13" s="105">
        <f t="shared" si="2"/>
        <v>40.971085651936718</v>
      </c>
      <c r="P13" s="135"/>
    </row>
    <row r="14" spans="1:16" ht="9" customHeight="1">
      <c r="E14" s="138"/>
      <c r="F14" s="138"/>
      <c r="G14" s="138"/>
      <c r="H14" s="138"/>
      <c r="I14" s="138"/>
      <c r="J14" s="138"/>
      <c r="K14" s="138"/>
      <c r="L14" s="138"/>
      <c r="M14" s="138"/>
      <c r="N14" s="138"/>
      <c r="O14" s="105" t="str">
        <f t="shared" si="2"/>
        <v/>
      </c>
      <c r="P14" s="135"/>
    </row>
    <row r="15" spans="1:16" ht="13.25" customHeight="1">
      <c r="A15" s="55" t="s">
        <v>404</v>
      </c>
      <c r="B15" s="138">
        <f>IF($A15&lt;&gt;"",E15+H15+K15+N15,"")</f>
        <v>176</v>
      </c>
      <c r="C15" s="139">
        <f t="shared" si="1"/>
        <v>8.5188770571151977</v>
      </c>
      <c r="E15" s="140">
        <f>E16+E21</f>
        <v>59</v>
      </c>
      <c r="F15" s="105">
        <f>IF($A15&lt;&gt;"",E15/$B15*100,"")</f>
        <v>33.522727272727273</v>
      </c>
      <c r="H15" s="140">
        <f>H16+H21</f>
        <v>19</v>
      </c>
      <c r="I15" s="105">
        <f>IF($A15&lt;&gt;"",H15/$B15*100,"")</f>
        <v>10.795454545454545</v>
      </c>
      <c r="K15" s="140">
        <f>K16+K21</f>
        <v>53</v>
      </c>
      <c r="L15" s="105">
        <f>IF($A15&lt;&gt;"",K15/$B15*100,"")</f>
        <v>30.113636363636363</v>
      </c>
      <c r="M15" s="116"/>
      <c r="N15" s="140">
        <f>N16+N21</f>
        <v>45</v>
      </c>
      <c r="O15" s="105">
        <f t="shared" si="2"/>
        <v>25.568181818181817</v>
      </c>
      <c r="P15" s="135"/>
    </row>
    <row r="16" spans="1:16" ht="13.25" customHeight="1">
      <c r="A16" s="95" t="s">
        <v>162</v>
      </c>
      <c r="B16" s="138">
        <f t="shared" si="0"/>
        <v>64</v>
      </c>
      <c r="C16" s="139">
        <f t="shared" si="1"/>
        <v>3.0977734753146176</v>
      </c>
      <c r="E16" s="140">
        <f>SUM(E17:E19)</f>
        <v>16</v>
      </c>
      <c r="F16" s="105">
        <f>IF($A16&lt;&gt;"",E16/$B16*100,"")</f>
        <v>25</v>
      </c>
      <c r="H16" s="140">
        <f>SUM(H17:H19)</f>
        <v>6</v>
      </c>
      <c r="I16" s="105">
        <f>IF($A16&lt;&gt;"",H16/$B16*100,"")</f>
        <v>9.375</v>
      </c>
      <c r="K16" s="140">
        <f>SUM(K17:K19)</f>
        <v>12</v>
      </c>
      <c r="L16" s="105">
        <f>IF($A16&lt;&gt;"",K16/$B16*100,"")</f>
        <v>18.75</v>
      </c>
      <c r="M16" s="116"/>
      <c r="N16" s="140">
        <f>SUM(N17:N19)</f>
        <v>30</v>
      </c>
      <c r="O16" s="105">
        <f t="shared" si="2"/>
        <v>46.875</v>
      </c>
      <c r="P16" s="135"/>
    </row>
    <row r="17" spans="1:16" ht="13.25" customHeight="1">
      <c r="A17" s="95" t="s">
        <v>163</v>
      </c>
      <c r="B17" s="138">
        <f t="shared" si="0"/>
        <v>6</v>
      </c>
      <c r="C17" s="139">
        <f t="shared" si="1"/>
        <v>0.29041626331074544</v>
      </c>
      <c r="E17" s="116">
        <v>1</v>
      </c>
      <c r="F17" s="105">
        <f t="shared" ref="F17:F80" si="3">IF($A17&lt;&gt;"",E17/$B17*100,"")</f>
        <v>16.666666666666664</v>
      </c>
      <c r="G17" s="116"/>
      <c r="H17" s="116">
        <v>1</v>
      </c>
      <c r="I17" s="105">
        <f t="shared" ref="I17:I80" si="4">IF($A17&lt;&gt;"",H17/$B17*100,"")</f>
        <v>16.666666666666664</v>
      </c>
      <c r="J17" s="116"/>
      <c r="K17" s="116">
        <v>0</v>
      </c>
      <c r="L17" s="105">
        <f t="shared" ref="L17:L80" si="5">IF($A17&lt;&gt;"",K17/$B17*100,"")</f>
        <v>0</v>
      </c>
      <c r="M17" s="116"/>
      <c r="N17" s="116">
        <v>4</v>
      </c>
      <c r="O17" s="105">
        <f t="shared" si="2"/>
        <v>66.666666666666657</v>
      </c>
      <c r="P17" s="135"/>
    </row>
    <row r="18" spans="1:16" ht="13.25" customHeight="1">
      <c r="A18" s="95" t="s">
        <v>164</v>
      </c>
      <c r="B18" s="138">
        <f t="shared" si="0"/>
        <v>24</v>
      </c>
      <c r="C18" s="139">
        <f t="shared" si="1"/>
        <v>1.1616650532429817</v>
      </c>
      <c r="E18" s="116">
        <v>3</v>
      </c>
      <c r="F18" s="105">
        <f t="shared" si="3"/>
        <v>12.5</v>
      </c>
      <c r="G18" s="116"/>
      <c r="H18" s="116">
        <v>3</v>
      </c>
      <c r="I18" s="105">
        <f t="shared" si="4"/>
        <v>12.5</v>
      </c>
      <c r="J18" s="116"/>
      <c r="K18" s="116">
        <v>6</v>
      </c>
      <c r="L18" s="105">
        <f t="shared" si="5"/>
        <v>25</v>
      </c>
      <c r="M18" s="116"/>
      <c r="N18" s="116">
        <v>12</v>
      </c>
      <c r="O18" s="105">
        <f t="shared" si="2"/>
        <v>50</v>
      </c>
      <c r="P18" s="135"/>
    </row>
    <row r="19" spans="1:16" ht="13.25" customHeight="1">
      <c r="A19" s="95" t="s">
        <v>165</v>
      </c>
      <c r="B19" s="138">
        <f t="shared" si="0"/>
        <v>34</v>
      </c>
      <c r="C19" s="139">
        <f t="shared" si="1"/>
        <v>1.6456921587608906</v>
      </c>
      <c r="E19" s="116">
        <v>12</v>
      </c>
      <c r="F19" s="105">
        <f t="shared" si="3"/>
        <v>35.294117647058826</v>
      </c>
      <c r="G19" s="116"/>
      <c r="H19" s="116">
        <v>2</v>
      </c>
      <c r="I19" s="105">
        <f t="shared" si="4"/>
        <v>5.8823529411764701</v>
      </c>
      <c r="J19" s="116"/>
      <c r="K19" s="116">
        <v>6</v>
      </c>
      <c r="L19" s="105">
        <f t="shared" si="5"/>
        <v>17.647058823529413</v>
      </c>
      <c r="M19" s="116"/>
      <c r="N19" s="116">
        <v>14</v>
      </c>
      <c r="O19" s="105">
        <f t="shared" si="2"/>
        <v>41.17647058823529</v>
      </c>
      <c r="P19" s="135"/>
    </row>
    <row r="20" spans="1:16" ht="9" customHeight="1">
      <c r="B20" s="138" t="str">
        <f t="shared" si="0"/>
        <v/>
      </c>
      <c r="C20" s="139" t="str">
        <f t="shared" si="1"/>
        <v/>
      </c>
      <c r="F20" s="105" t="str">
        <f t="shared" si="3"/>
        <v/>
      </c>
      <c r="I20" s="105" t="str">
        <f t="shared" si="4"/>
        <v/>
      </c>
      <c r="L20" s="105" t="str">
        <f t="shared" si="5"/>
        <v/>
      </c>
      <c r="M20" s="116"/>
      <c r="O20" s="105" t="str">
        <f t="shared" si="2"/>
        <v/>
      </c>
      <c r="P20" s="135"/>
    </row>
    <row r="21" spans="1:16" ht="13.25" customHeight="1">
      <c r="A21" s="95" t="s">
        <v>166</v>
      </c>
      <c r="B21" s="138">
        <f t="shared" si="0"/>
        <v>112</v>
      </c>
      <c r="C21" s="139">
        <f t="shared" si="1"/>
        <v>5.4211035818005806</v>
      </c>
      <c r="E21" s="140">
        <f>SUM(E22:E24)</f>
        <v>43</v>
      </c>
      <c r="F21" s="105">
        <f t="shared" si="3"/>
        <v>38.392857142857146</v>
      </c>
      <c r="H21" s="140">
        <f>SUM(H22:H24)</f>
        <v>13</v>
      </c>
      <c r="I21" s="105">
        <f t="shared" si="4"/>
        <v>11.607142857142858</v>
      </c>
      <c r="K21" s="140">
        <f>SUM(K22:K24)</f>
        <v>41</v>
      </c>
      <c r="L21" s="105">
        <f t="shared" si="5"/>
        <v>36.607142857142854</v>
      </c>
      <c r="M21" s="116"/>
      <c r="N21" s="140">
        <f>SUM(N22:N24)</f>
        <v>15</v>
      </c>
      <c r="O21" s="105">
        <f t="shared" si="2"/>
        <v>13.392857142857142</v>
      </c>
      <c r="P21" s="135"/>
    </row>
    <row r="22" spans="1:16" ht="13.25" customHeight="1">
      <c r="A22" s="95" t="s">
        <v>167</v>
      </c>
      <c r="B22" s="138">
        <f t="shared" si="0"/>
        <v>33</v>
      </c>
      <c r="C22" s="139">
        <f t="shared" si="1"/>
        <v>1.5972894482090998</v>
      </c>
      <c r="E22" s="116">
        <v>19</v>
      </c>
      <c r="F22" s="105">
        <f t="shared" si="3"/>
        <v>57.575757575757578</v>
      </c>
      <c r="G22" s="116"/>
      <c r="H22" s="116">
        <v>4</v>
      </c>
      <c r="I22" s="105">
        <f t="shared" si="4"/>
        <v>12.121212121212121</v>
      </c>
      <c r="J22" s="116"/>
      <c r="K22" s="116">
        <v>8</v>
      </c>
      <c r="L22" s="105">
        <f t="shared" si="5"/>
        <v>24.242424242424242</v>
      </c>
      <c r="M22" s="116"/>
      <c r="N22" s="116">
        <v>2</v>
      </c>
      <c r="O22" s="105">
        <f t="shared" si="2"/>
        <v>6.0606060606060606</v>
      </c>
      <c r="P22" s="135"/>
    </row>
    <row r="23" spans="1:16" ht="13.25" customHeight="1">
      <c r="A23" s="95" t="s">
        <v>168</v>
      </c>
      <c r="B23" s="138">
        <f t="shared" si="0"/>
        <v>27</v>
      </c>
      <c r="C23" s="139">
        <f t="shared" si="1"/>
        <v>1.3068731848983544</v>
      </c>
      <c r="E23" s="116">
        <v>16</v>
      </c>
      <c r="F23" s="105">
        <f t="shared" si="3"/>
        <v>59.259259259259252</v>
      </c>
      <c r="G23" s="116"/>
      <c r="H23" s="116">
        <v>0</v>
      </c>
      <c r="I23" s="105">
        <f t="shared" si="4"/>
        <v>0</v>
      </c>
      <c r="J23" s="116"/>
      <c r="K23" s="116">
        <v>8</v>
      </c>
      <c r="L23" s="105">
        <f t="shared" si="5"/>
        <v>29.629629629629626</v>
      </c>
      <c r="M23" s="116"/>
      <c r="N23" s="116">
        <v>3</v>
      </c>
      <c r="O23" s="105">
        <f t="shared" si="2"/>
        <v>11.111111111111111</v>
      </c>
      <c r="P23" s="135"/>
    </row>
    <row r="24" spans="1:16" ht="13.25" customHeight="1">
      <c r="A24" s="95" t="s">
        <v>169</v>
      </c>
      <c r="B24" s="138">
        <f t="shared" si="0"/>
        <v>52</v>
      </c>
      <c r="C24" s="139">
        <f t="shared" si="1"/>
        <v>2.5169409486931271</v>
      </c>
      <c r="E24" s="116">
        <v>8</v>
      </c>
      <c r="F24" s="105">
        <f t="shared" si="3"/>
        <v>15.384615384615385</v>
      </c>
      <c r="G24" s="116"/>
      <c r="H24" s="116">
        <v>9</v>
      </c>
      <c r="I24" s="105">
        <f t="shared" si="4"/>
        <v>17.307692307692307</v>
      </c>
      <c r="J24" s="116"/>
      <c r="K24" s="116">
        <v>25</v>
      </c>
      <c r="L24" s="105">
        <f t="shared" si="5"/>
        <v>48.07692307692308</v>
      </c>
      <c r="M24" s="116"/>
      <c r="N24" s="116">
        <v>10</v>
      </c>
      <c r="O24" s="105">
        <f t="shared" si="2"/>
        <v>19.230769230769234</v>
      </c>
      <c r="P24" s="135"/>
    </row>
    <row r="25" spans="1:16" ht="9" customHeight="1">
      <c r="B25" s="138" t="str">
        <f t="shared" si="0"/>
        <v/>
      </c>
      <c r="C25" s="139" t="str">
        <f t="shared" si="1"/>
        <v/>
      </c>
      <c r="F25" s="105" t="str">
        <f t="shared" si="3"/>
        <v/>
      </c>
      <c r="I25" s="105" t="str">
        <f t="shared" si="4"/>
        <v/>
      </c>
      <c r="L25" s="105" t="str">
        <f t="shared" si="5"/>
        <v/>
      </c>
      <c r="M25" s="116"/>
      <c r="O25" s="105" t="str">
        <f t="shared" si="2"/>
        <v/>
      </c>
      <c r="P25" s="135"/>
    </row>
    <row r="26" spans="1:16" ht="13.25" customHeight="1">
      <c r="A26" s="55" t="s">
        <v>464</v>
      </c>
      <c r="B26" s="138">
        <f t="shared" si="0"/>
        <v>170</v>
      </c>
      <c r="C26" s="139">
        <f t="shared" si="1"/>
        <v>8.2284607938044534</v>
      </c>
      <c r="E26" s="140">
        <f>SUM(E28:E32)</f>
        <v>75</v>
      </c>
      <c r="F26" s="105">
        <f t="shared" si="3"/>
        <v>44.117647058823529</v>
      </c>
      <c r="H26" s="140">
        <f>SUM(H28:H32)</f>
        <v>18</v>
      </c>
      <c r="I26" s="105">
        <f t="shared" si="4"/>
        <v>10.588235294117647</v>
      </c>
      <c r="K26" s="140">
        <f>SUM(K28:K32)</f>
        <v>53</v>
      </c>
      <c r="L26" s="105">
        <f t="shared" si="5"/>
        <v>31.176470588235293</v>
      </c>
      <c r="M26" s="116"/>
      <c r="N26" s="140">
        <f>SUM(N28:N32)</f>
        <v>24</v>
      </c>
      <c r="O26" s="105">
        <f t="shared" si="2"/>
        <v>14.117647058823529</v>
      </c>
      <c r="P26" s="135"/>
    </row>
    <row r="27" spans="1:16" ht="13.25" customHeight="1">
      <c r="A27" s="95" t="s">
        <v>171</v>
      </c>
      <c r="B27" s="138">
        <f t="shared" si="0"/>
        <v>170</v>
      </c>
      <c r="C27" s="139">
        <f t="shared" si="1"/>
        <v>8.2284607938044534</v>
      </c>
      <c r="E27" s="140">
        <f>SUM(E28:E32)</f>
        <v>75</v>
      </c>
      <c r="F27" s="105">
        <f t="shared" si="3"/>
        <v>44.117647058823529</v>
      </c>
      <c r="H27" s="140">
        <f>SUM(H28:H32)</f>
        <v>18</v>
      </c>
      <c r="I27" s="105">
        <f t="shared" si="4"/>
        <v>10.588235294117647</v>
      </c>
      <c r="K27" s="140">
        <f>SUM(K28:K32)</f>
        <v>53</v>
      </c>
      <c r="L27" s="105">
        <f t="shared" si="5"/>
        <v>31.176470588235293</v>
      </c>
      <c r="M27" s="116"/>
      <c r="N27" s="140">
        <f>SUM(N28:N32)</f>
        <v>24</v>
      </c>
      <c r="O27" s="105">
        <f t="shared" si="2"/>
        <v>14.117647058823529</v>
      </c>
      <c r="P27" s="135"/>
    </row>
    <row r="28" spans="1:16" ht="13.25" customHeight="1">
      <c r="A28" s="95" t="s">
        <v>172</v>
      </c>
      <c r="B28" s="138">
        <f t="shared" si="0"/>
        <v>46</v>
      </c>
      <c r="C28" s="139">
        <f t="shared" si="1"/>
        <v>2.2265246853823815</v>
      </c>
      <c r="E28" s="116">
        <v>21</v>
      </c>
      <c r="F28" s="105">
        <f t="shared" si="3"/>
        <v>45.652173913043477</v>
      </c>
      <c r="G28" s="116"/>
      <c r="H28" s="116">
        <v>2</v>
      </c>
      <c r="I28" s="105">
        <f t="shared" si="4"/>
        <v>4.3478260869565215</v>
      </c>
      <c r="J28" s="116"/>
      <c r="K28" s="116">
        <v>18</v>
      </c>
      <c r="L28" s="105">
        <f t="shared" si="5"/>
        <v>39.130434782608695</v>
      </c>
      <c r="M28" s="116"/>
      <c r="N28" s="116">
        <v>5</v>
      </c>
      <c r="O28" s="105">
        <f t="shared" si="2"/>
        <v>10.869565217391305</v>
      </c>
      <c r="P28" s="135"/>
    </row>
    <row r="29" spans="1:16" ht="13.25" customHeight="1">
      <c r="A29" s="95" t="s">
        <v>173</v>
      </c>
      <c r="B29" s="138">
        <f t="shared" si="0"/>
        <v>34</v>
      </c>
      <c r="C29" s="139">
        <f t="shared" si="1"/>
        <v>1.6456921587608906</v>
      </c>
      <c r="E29" s="116">
        <v>18</v>
      </c>
      <c r="F29" s="105">
        <f t="shared" si="3"/>
        <v>52.941176470588239</v>
      </c>
      <c r="G29" s="116"/>
      <c r="H29" s="116">
        <v>6</v>
      </c>
      <c r="I29" s="105">
        <f t="shared" si="4"/>
        <v>17.647058823529413</v>
      </c>
      <c r="J29" s="116"/>
      <c r="K29" s="116">
        <v>6</v>
      </c>
      <c r="L29" s="105">
        <f t="shared" si="5"/>
        <v>17.647058823529413</v>
      </c>
      <c r="M29" s="116"/>
      <c r="N29" s="116">
        <v>4</v>
      </c>
      <c r="O29" s="105">
        <f t="shared" si="2"/>
        <v>11.76470588235294</v>
      </c>
      <c r="P29" s="135"/>
    </row>
    <row r="30" spans="1:16" ht="13.25" customHeight="1">
      <c r="A30" s="95" t="s">
        <v>174</v>
      </c>
      <c r="B30" s="138">
        <f t="shared" si="0"/>
        <v>18</v>
      </c>
      <c r="C30" s="139">
        <f t="shared" si="1"/>
        <v>0.87124878993223631</v>
      </c>
      <c r="E30" s="116">
        <v>5</v>
      </c>
      <c r="F30" s="105">
        <f t="shared" si="3"/>
        <v>27.777777777777779</v>
      </c>
      <c r="G30" s="116"/>
      <c r="H30" s="116">
        <v>1</v>
      </c>
      <c r="I30" s="105">
        <f t="shared" si="4"/>
        <v>5.5555555555555554</v>
      </c>
      <c r="J30" s="116"/>
      <c r="K30" s="116">
        <v>6</v>
      </c>
      <c r="L30" s="105">
        <f t="shared" si="5"/>
        <v>33.333333333333329</v>
      </c>
      <c r="M30" s="116"/>
      <c r="N30" s="116">
        <v>6</v>
      </c>
      <c r="O30" s="105">
        <f t="shared" si="2"/>
        <v>33.333333333333329</v>
      </c>
      <c r="P30" s="135"/>
    </row>
    <row r="31" spans="1:16" ht="13.25" customHeight="1">
      <c r="A31" s="95" t="s">
        <v>175</v>
      </c>
      <c r="B31" s="138">
        <f t="shared" si="0"/>
        <v>36</v>
      </c>
      <c r="C31" s="139">
        <f t="shared" si="1"/>
        <v>1.7424975798644726</v>
      </c>
      <c r="E31" s="116">
        <v>11</v>
      </c>
      <c r="F31" s="105">
        <f t="shared" si="3"/>
        <v>30.555555555555557</v>
      </c>
      <c r="G31" s="116"/>
      <c r="H31" s="116">
        <v>7</v>
      </c>
      <c r="I31" s="105">
        <f t="shared" si="4"/>
        <v>19.444444444444446</v>
      </c>
      <c r="J31" s="116"/>
      <c r="K31" s="116">
        <v>13</v>
      </c>
      <c r="L31" s="105">
        <f t="shared" si="5"/>
        <v>36.111111111111107</v>
      </c>
      <c r="M31" s="116"/>
      <c r="N31" s="116">
        <v>5</v>
      </c>
      <c r="O31" s="105">
        <f t="shared" si="2"/>
        <v>13.888888888888889</v>
      </c>
      <c r="P31" s="135"/>
    </row>
    <row r="32" spans="1:16" ht="13.25" customHeight="1">
      <c r="A32" s="95" t="s">
        <v>176</v>
      </c>
      <c r="B32" s="138">
        <f t="shared" si="0"/>
        <v>36</v>
      </c>
      <c r="C32" s="139">
        <f t="shared" si="1"/>
        <v>1.7424975798644726</v>
      </c>
      <c r="E32" s="116">
        <v>20</v>
      </c>
      <c r="F32" s="105">
        <f t="shared" si="3"/>
        <v>55.555555555555557</v>
      </c>
      <c r="G32" s="116"/>
      <c r="H32" s="116">
        <v>2</v>
      </c>
      <c r="I32" s="105">
        <f t="shared" si="4"/>
        <v>5.5555555555555554</v>
      </c>
      <c r="J32" s="116"/>
      <c r="K32" s="116">
        <v>10</v>
      </c>
      <c r="L32" s="105">
        <f t="shared" si="5"/>
        <v>27.777777777777779</v>
      </c>
      <c r="M32" s="116"/>
      <c r="N32" s="116">
        <v>4</v>
      </c>
      <c r="O32" s="105">
        <f t="shared" si="2"/>
        <v>11.111111111111111</v>
      </c>
      <c r="P32" s="135"/>
    </row>
    <row r="33" spans="1:16" ht="9" customHeight="1">
      <c r="B33" s="138" t="str">
        <f t="shared" si="0"/>
        <v/>
      </c>
      <c r="C33" s="139" t="str">
        <f t="shared" si="1"/>
        <v/>
      </c>
      <c r="F33" s="105" t="str">
        <f t="shared" si="3"/>
        <v/>
      </c>
      <c r="I33" s="105" t="str">
        <f t="shared" si="4"/>
        <v/>
      </c>
      <c r="L33" s="105" t="str">
        <f t="shared" si="5"/>
        <v/>
      </c>
      <c r="M33" s="116"/>
      <c r="O33" s="105" t="str">
        <f t="shared" si="2"/>
        <v/>
      </c>
      <c r="P33" s="135"/>
    </row>
    <row r="34" spans="1:16" ht="13.25" customHeight="1">
      <c r="A34" s="55" t="s">
        <v>406</v>
      </c>
      <c r="B34" s="138">
        <f t="shared" si="0"/>
        <v>488</v>
      </c>
      <c r="C34" s="139">
        <f t="shared" si="1"/>
        <v>23.62052274927396</v>
      </c>
      <c r="E34" s="140">
        <f>E35+E41+E51+E53</f>
        <v>142</v>
      </c>
      <c r="F34" s="105">
        <f t="shared" si="3"/>
        <v>29.098360655737704</v>
      </c>
      <c r="H34" s="140">
        <f>H35+H41+H51+H53</f>
        <v>57</v>
      </c>
      <c r="I34" s="105">
        <f t="shared" si="4"/>
        <v>11.68032786885246</v>
      </c>
      <c r="K34" s="140">
        <f>K35+K41+K51+K53</f>
        <v>112</v>
      </c>
      <c r="L34" s="105">
        <f t="shared" si="5"/>
        <v>22.950819672131146</v>
      </c>
      <c r="M34" s="116"/>
      <c r="N34" s="140">
        <f>N35+N41+N51+N53</f>
        <v>177</v>
      </c>
      <c r="O34" s="105">
        <f t="shared" si="2"/>
        <v>36.270491803278688</v>
      </c>
      <c r="P34" s="135"/>
    </row>
    <row r="35" spans="1:16" ht="13.25" customHeight="1">
      <c r="A35" s="95" t="s">
        <v>178</v>
      </c>
      <c r="B35" s="138">
        <f t="shared" si="0"/>
        <v>119</v>
      </c>
      <c r="C35" s="139">
        <f t="shared" si="1"/>
        <v>5.7599225556631168</v>
      </c>
      <c r="E35" s="140">
        <f>SUM(E36:E39)</f>
        <v>28</v>
      </c>
      <c r="F35" s="105">
        <f t="shared" si="3"/>
        <v>23.52941176470588</v>
      </c>
      <c r="H35" s="140">
        <f>SUM(H36:H39)</f>
        <v>9</v>
      </c>
      <c r="I35" s="105">
        <f t="shared" si="4"/>
        <v>7.5630252100840334</v>
      </c>
      <c r="K35" s="140">
        <f>SUM(K36:K39)</f>
        <v>16</v>
      </c>
      <c r="L35" s="105">
        <f t="shared" si="5"/>
        <v>13.445378151260504</v>
      </c>
      <c r="M35" s="116"/>
      <c r="N35" s="140">
        <f>SUM(N36:N39)</f>
        <v>66</v>
      </c>
      <c r="O35" s="105">
        <f t="shared" si="2"/>
        <v>55.462184873949582</v>
      </c>
      <c r="P35" s="135"/>
    </row>
    <row r="36" spans="1:16" ht="13.25" customHeight="1">
      <c r="A36" s="95" t="s">
        <v>179</v>
      </c>
      <c r="B36" s="138">
        <f t="shared" si="0"/>
        <v>52</v>
      </c>
      <c r="C36" s="139">
        <f t="shared" si="1"/>
        <v>2.5169409486931271</v>
      </c>
      <c r="E36" s="116">
        <v>3</v>
      </c>
      <c r="F36" s="105">
        <f t="shared" si="3"/>
        <v>5.7692307692307692</v>
      </c>
      <c r="G36" s="116"/>
      <c r="H36" s="116">
        <v>3</v>
      </c>
      <c r="I36" s="105">
        <f t="shared" si="4"/>
        <v>5.7692307692307692</v>
      </c>
      <c r="J36" s="116"/>
      <c r="K36" s="116">
        <v>4</v>
      </c>
      <c r="L36" s="105">
        <f t="shared" si="5"/>
        <v>7.6923076923076925</v>
      </c>
      <c r="M36" s="116"/>
      <c r="N36" s="116">
        <v>42</v>
      </c>
      <c r="O36" s="105">
        <f>IF($A36&lt;&gt;"",N54/$B36*100,"")</f>
        <v>13.461538461538462</v>
      </c>
      <c r="P36" s="135"/>
    </row>
    <row r="37" spans="1:16" ht="13.25" customHeight="1">
      <c r="A37" s="95" t="s">
        <v>180</v>
      </c>
      <c r="B37" s="138">
        <f t="shared" si="0"/>
        <v>33</v>
      </c>
      <c r="C37" s="139">
        <f t="shared" si="1"/>
        <v>1.5972894482090998</v>
      </c>
      <c r="E37" s="116">
        <v>9</v>
      </c>
      <c r="F37" s="105">
        <f t="shared" si="3"/>
        <v>27.27272727272727</v>
      </c>
      <c r="G37" s="116"/>
      <c r="H37" s="116">
        <v>3</v>
      </c>
      <c r="I37" s="105">
        <f t="shared" si="4"/>
        <v>9.0909090909090917</v>
      </c>
      <c r="J37" s="116"/>
      <c r="K37" s="116">
        <v>6</v>
      </c>
      <c r="L37" s="105">
        <f t="shared" si="5"/>
        <v>18.181818181818183</v>
      </c>
      <c r="M37" s="116"/>
      <c r="N37" s="116">
        <v>15</v>
      </c>
      <c r="O37" s="105">
        <f t="shared" si="2"/>
        <v>45.454545454545453</v>
      </c>
      <c r="P37" s="135"/>
    </row>
    <row r="38" spans="1:16" ht="13.25" customHeight="1">
      <c r="A38" s="95" t="s">
        <v>181</v>
      </c>
      <c r="B38" s="138">
        <f t="shared" si="0"/>
        <v>22</v>
      </c>
      <c r="C38" s="139">
        <f t="shared" si="1"/>
        <v>1.0648596321393997</v>
      </c>
      <c r="E38" s="116">
        <v>10</v>
      </c>
      <c r="F38" s="105">
        <f t="shared" si="3"/>
        <v>45.454545454545453</v>
      </c>
      <c r="G38" s="116"/>
      <c r="H38" s="116">
        <v>1</v>
      </c>
      <c r="I38" s="105">
        <f t="shared" si="4"/>
        <v>4.5454545454545459</v>
      </c>
      <c r="J38" s="116"/>
      <c r="K38" s="116">
        <v>3</v>
      </c>
      <c r="L38" s="105">
        <f t="shared" si="5"/>
        <v>13.636363636363635</v>
      </c>
      <c r="M38" s="116"/>
      <c r="N38" s="116">
        <v>8</v>
      </c>
      <c r="O38" s="105">
        <f t="shared" si="2"/>
        <v>36.363636363636367</v>
      </c>
      <c r="P38" s="135"/>
    </row>
    <row r="39" spans="1:16" ht="13.25" customHeight="1">
      <c r="A39" s="95" t="s">
        <v>182</v>
      </c>
      <c r="B39" s="138">
        <f t="shared" si="0"/>
        <v>12</v>
      </c>
      <c r="C39" s="139">
        <f t="shared" si="1"/>
        <v>0.58083252662149087</v>
      </c>
      <c r="E39" s="116">
        <v>6</v>
      </c>
      <c r="F39" s="105">
        <f t="shared" si="3"/>
        <v>50</v>
      </c>
      <c r="G39" s="116"/>
      <c r="H39" s="116">
        <v>2</v>
      </c>
      <c r="I39" s="105">
        <f t="shared" si="4"/>
        <v>16.666666666666664</v>
      </c>
      <c r="J39" s="116"/>
      <c r="K39" s="116">
        <v>3</v>
      </c>
      <c r="L39" s="105">
        <f t="shared" si="5"/>
        <v>25</v>
      </c>
      <c r="M39" s="116"/>
      <c r="N39" s="116">
        <v>1</v>
      </c>
      <c r="O39" s="105">
        <f t="shared" si="2"/>
        <v>8.3333333333333321</v>
      </c>
      <c r="P39" s="135"/>
    </row>
    <row r="40" spans="1:16" ht="9" customHeight="1">
      <c r="B40" s="138" t="str">
        <f t="shared" si="0"/>
        <v/>
      </c>
      <c r="C40" s="139" t="str">
        <f t="shared" si="1"/>
        <v/>
      </c>
      <c r="F40" s="105" t="str">
        <f t="shared" si="3"/>
        <v/>
      </c>
      <c r="I40" s="105" t="str">
        <f t="shared" si="4"/>
        <v/>
      </c>
      <c r="L40" s="105" t="str">
        <f t="shared" si="5"/>
        <v/>
      </c>
      <c r="M40" s="116"/>
      <c r="O40" s="105" t="str">
        <f t="shared" si="2"/>
        <v/>
      </c>
      <c r="P40" s="135"/>
    </row>
    <row r="41" spans="1:16" ht="13.25" customHeight="1">
      <c r="A41" s="95" t="s">
        <v>183</v>
      </c>
      <c r="B41" s="138">
        <f>IF($A41&lt;&gt;"",E41+H41+K41+N41,"")</f>
        <v>219</v>
      </c>
      <c r="C41" s="139">
        <f t="shared" si="1"/>
        <v>10.600193610842206</v>
      </c>
      <c r="E41" s="140">
        <f>SUM(E42:E49)</f>
        <v>70</v>
      </c>
      <c r="F41" s="105">
        <f t="shared" si="3"/>
        <v>31.963470319634702</v>
      </c>
      <c r="H41" s="140">
        <f>SUM(H42:H49)</f>
        <v>23</v>
      </c>
      <c r="I41" s="105">
        <f t="shared" si="4"/>
        <v>10.50228310502283</v>
      </c>
      <c r="K41" s="140">
        <f>SUM(K42:K49)</f>
        <v>59</v>
      </c>
      <c r="L41" s="105">
        <f t="shared" si="5"/>
        <v>26.94063926940639</v>
      </c>
      <c r="M41" s="116"/>
      <c r="N41" s="140">
        <f>SUM(N42:N49)</f>
        <v>67</v>
      </c>
      <c r="O41" s="105">
        <f t="shared" si="2"/>
        <v>30.593607305936072</v>
      </c>
      <c r="P41" s="135"/>
    </row>
    <row r="42" spans="1:16" ht="13.25" customHeight="1">
      <c r="A42" s="95" t="s">
        <v>191</v>
      </c>
      <c r="B42" s="138">
        <f t="shared" si="0"/>
        <v>19</v>
      </c>
      <c r="C42" s="139">
        <f t="shared" si="1"/>
        <v>0.91965150048402711</v>
      </c>
      <c r="E42" s="116">
        <v>6</v>
      </c>
      <c r="F42" s="105">
        <f t="shared" si="3"/>
        <v>31.578947368421051</v>
      </c>
      <c r="G42" s="116"/>
      <c r="H42" s="116">
        <v>2</v>
      </c>
      <c r="I42" s="105">
        <f t="shared" si="4"/>
        <v>10.526315789473683</v>
      </c>
      <c r="J42" s="116"/>
      <c r="K42" s="116">
        <v>7</v>
      </c>
      <c r="L42" s="105">
        <f t="shared" si="5"/>
        <v>36.84210526315789</v>
      </c>
      <c r="M42" s="116"/>
      <c r="N42" s="116">
        <v>4</v>
      </c>
      <c r="O42" s="105">
        <f t="shared" si="2"/>
        <v>21.052631578947366</v>
      </c>
      <c r="P42" s="135"/>
    </row>
    <row r="43" spans="1:16" ht="13.25" customHeight="1">
      <c r="A43" s="95" t="s">
        <v>184</v>
      </c>
      <c r="B43" s="138">
        <f t="shared" si="0"/>
        <v>23</v>
      </c>
      <c r="C43" s="139">
        <f t="shared" si="1"/>
        <v>1.1132623426911907</v>
      </c>
      <c r="E43" s="116">
        <v>8</v>
      </c>
      <c r="F43" s="105">
        <f t="shared" si="3"/>
        <v>34.782608695652172</v>
      </c>
      <c r="G43" s="116"/>
      <c r="H43" s="116">
        <v>3</v>
      </c>
      <c r="I43" s="105">
        <f t="shared" si="4"/>
        <v>13.043478260869565</v>
      </c>
      <c r="J43" s="116"/>
      <c r="K43" s="116">
        <v>7</v>
      </c>
      <c r="L43" s="105">
        <f t="shared" si="5"/>
        <v>30.434782608695656</v>
      </c>
      <c r="M43" s="116"/>
      <c r="N43" s="116">
        <v>5</v>
      </c>
      <c r="O43" s="105">
        <f t="shared" si="2"/>
        <v>21.739130434782609</v>
      </c>
      <c r="P43" s="135"/>
    </row>
    <row r="44" spans="1:16" ht="13.25" customHeight="1">
      <c r="A44" s="95" t="s">
        <v>185</v>
      </c>
      <c r="B44" s="138">
        <f t="shared" si="0"/>
        <v>37</v>
      </c>
      <c r="C44" s="139">
        <f t="shared" si="1"/>
        <v>1.7909002904162634</v>
      </c>
      <c r="E44" s="116">
        <v>5</v>
      </c>
      <c r="F44" s="105">
        <f t="shared" si="3"/>
        <v>13.513513513513514</v>
      </c>
      <c r="G44" s="116"/>
      <c r="H44" s="116">
        <v>3</v>
      </c>
      <c r="I44" s="105">
        <f t="shared" si="4"/>
        <v>8.1081081081081088</v>
      </c>
      <c r="J44" s="116"/>
      <c r="K44" s="116">
        <v>8</v>
      </c>
      <c r="L44" s="105">
        <f t="shared" si="5"/>
        <v>21.621621621621621</v>
      </c>
      <c r="M44" s="116"/>
      <c r="N44" s="116">
        <v>21</v>
      </c>
      <c r="O44" s="105">
        <f t="shared" si="2"/>
        <v>56.756756756756758</v>
      </c>
      <c r="P44" s="135"/>
    </row>
    <row r="45" spans="1:16" ht="13.25" customHeight="1">
      <c r="A45" s="95" t="s">
        <v>186</v>
      </c>
      <c r="B45" s="138">
        <f t="shared" si="0"/>
        <v>29</v>
      </c>
      <c r="C45" s="139">
        <f t="shared" si="1"/>
        <v>1.4036786060019362</v>
      </c>
      <c r="E45" s="116">
        <v>14</v>
      </c>
      <c r="F45" s="105">
        <f t="shared" si="3"/>
        <v>48.275862068965516</v>
      </c>
      <c r="G45" s="116"/>
      <c r="H45" s="116">
        <v>4</v>
      </c>
      <c r="I45" s="105">
        <f t="shared" si="4"/>
        <v>13.793103448275861</v>
      </c>
      <c r="J45" s="116"/>
      <c r="K45" s="116">
        <v>7</v>
      </c>
      <c r="L45" s="105">
        <f t="shared" si="5"/>
        <v>24.137931034482758</v>
      </c>
      <c r="M45" s="116"/>
      <c r="N45" s="116">
        <v>4</v>
      </c>
      <c r="O45" s="105">
        <f t="shared" si="2"/>
        <v>13.793103448275861</v>
      </c>
      <c r="P45" s="135"/>
    </row>
    <row r="46" spans="1:16" ht="13.25" customHeight="1">
      <c r="A46" s="95" t="s">
        <v>408</v>
      </c>
      <c r="B46" s="138">
        <f t="shared" si="0"/>
        <v>27</v>
      </c>
      <c r="C46" s="139">
        <f t="shared" si="1"/>
        <v>1.3068731848983544</v>
      </c>
      <c r="E46" s="116">
        <v>15</v>
      </c>
      <c r="F46" s="105">
        <f t="shared" si="3"/>
        <v>55.555555555555557</v>
      </c>
      <c r="G46" s="116"/>
      <c r="H46" s="116">
        <v>1</v>
      </c>
      <c r="I46" s="105">
        <f t="shared" si="4"/>
        <v>3.7037037037037033</v>
      </c>
      <c r="J46" s="116"/>
      <c r="K46" s="116">
        <v>6</v>
      </c>
      <c r="L46" s="105">
        <f t="shared" si="5"/>
        <v>22.222222222222221</v>
      </c>
      <c r="M46" s="116"/>
      <c r="N46" s="116">
        <v>5</v>
      </c>
      <c r="O46" s="105">
        <f t="shared" si="2"/>
        <v>18.518518518518519</v>
      </c>
      <c r="P46" s="135"/>
    </row>
    <row r="47" spans="1:16" ht="13.25" customHeight="1">
      <c r="A47" s="95" t="s">
        <v>190</v>
      </c>
      <c r="B47" s="138">
        <f t="shared" si="0"/>
        <v>14</v>
      </c>
      <c r="C47" s="139">
        <f t="shared" si="1"/>
        <v>0.67763794772507258</v>
      </c>
      <c r="E47" s="116">
        <v>5</v>
      </c>
      <c r="F47" s="105">
        <f t="shared" si="3"/>
        <v>35.714285714285715</v>
      </c>
      <c r="G47" s="116"/>
      <c r="H47" s="116">
        <v>1</v>
      </c>
      <c r="I47" s="105">
        <f t="shared" si="4"/>
        <v>7.1428571428571423</v>
      </c>
      <c r="J47" s="116"/>
      <c r="K47" s="116">
        <v>2</v>
      </c>
      <c r="L47" s="105">
        <f t="shared" si="5"/>
        <v>14.285714285714285</v>
      </c>
      <c r="M47" s="116"/>
      <c r="N47" s="116">
        <v>6</v>
      </c>
      <c r="O47" s="105">
        <f t="shared" si="2"/>
        <v>42.857142857142854</v>
      </c>
      <c r="P47" s="135"/>
    </row>
    <row r="48" spans="1:16" ht="13.25" customHeight="1">
      <c r="A48" s="95" t="s">
        <v>189</v>
      </c>
      <c r="B48" s="138">
        <f t="shared" si="0"/>
        <v>51</v>
      </c>
      <c r="C48" s="139">
        <f t="shared" si="1"/>
        <v>2.4685382381413357</v>
      </c>
      <c r="E48" s="116">
        <v>15</v>
      </c>
      <c r="F48" s="105">
        <f t="shared" si="3"/>
        <v>29.411764705882355</v>
      </c>
      <c r="G48" s="116"/>
      <c r="H48" s="116">
        <v>6</v>
      </c>
      <c r="I48" s="105">
        <f t="shared" si="4"/>
        <v>11.76470588235294</v>
      </c>
      <c r="J48" s="116"/>
      <c r="K48" s="116">
        <v>18</v>
      </c>
      <c r="L48" s="105">
        <f t="shared" si="5"/>
        <v>35.294117647058826</v>
      </c>
      <c r="M48" s="116"/>
      <c r="N48" s="116">
        <v>12</v>
      </c>
      <c r="O48" s="105">
        <f t="shared" si="2"/>
        <v>23.52941176470588</v>
      </c>
      <c r="P48" s="135"/>
    </row>
    <row r="49" spans="1:16" ht="13.25" customHeight="1">
      <c r="A49" s="95" t="s">
        <v>188</v>
      </c>
      <c r="B49" s="138">
        <f>IF($A49&lt;&gt;"",E49+H49+K49+N49,"")</f>
        <v>19</v>
      </c>
      <c r="C49" s="139">
        <f>IF(A49&lt;&gt;0,B49/$B$11*100,"")</f>
        <v>0.91965150048402711</v>
      </c>
      <c r="E49" s="116">
        <v>2</v>
      </c>
      <c r="F49" s="105">
        <f t="shared" si="3"/>
        <v>10.526315789473683</v>
      </c>
      <c r="G49" s="116"/>
      <c r="H49" s="116">
        <v>3</v>
      </c>
      <c r="I49" s="105">
        <f t="shared" si="4"/>
        <v>15.789473684210526</v>
      </c>
      <c r="J49" s="116"/>
      <c r="K49" s="116">
        <v>4</v>
      </c>
      <c r="L49" s="105">
        <f t="shared" si="5"/>
        <v>21.052631578947366</v>
      </c>
      <c r="M49" s="116"/>
      <c r="N49" s="116">
        <v>10</v>
      </c>
      <c r="O49" s="105">
        <f t="shared" si="2"/>
        <v>52.631578947368418</v>
      </c>
      <c r="P49" s="135"/>
    </row>
    <row r="50" spans="1:16" ht="9" customHeight="1">
      <c r="B50" s="138" t="str">
        <f t="shared" si="0"/>
        <v/>
      </c>
      <c r="C50" s="139" t="str">
        <f t="shared" si="1"/>
        <v/>
      </c>
      <c r="E50" s="116"/>
      <c r="F50" s="105" t="str">
        <f t="shared" si="3"/>
        <v/>
      </c>
      <c r="G50" s="116"/>
      <c r="H50" s="116"/>
      <c r="I50" s="105" t="str">
        <f t="shared" si="4"/>
        <v/>
      </c>
      <c r="J50" s="116"/>
      <c r="K50" s="116"/>
      <c r="L50" s="105" t="str">
        <f t="shared" si="5"/>
        <v/>
      </c>
      <c r="M50" s="116"/>
      <c r="N50" s="116"/>
      <c r="O50" s="105" t="str">
        <f t="shared" si="2"/>
        <v/>
      </c>
      <c r="P50" s="135"/>
    </row>
    <row r="51" spans="1:16" ht="13.25" customHeight="1">
      <c r="A51" s="95" t="s">
        <v>192</v>
      </c>
      <c r="B51" s="138">
        <f t="shared" si="0"/>
        <v>62</v>
      </c>
      <c r="C51" s="139">
        <f t="shared" si="1"/>
        <v>3.0009680542110355</v>
      </c>
      <c r="E51" s="116">
        <v>23</v>
      </c>
      <c r="F51" s="105">
        <f t="shared" si="3"/>
        <v>37.096774193548384</v>
      </c>
      <c r="G51" s="116"/>
      <c r="H51" s="116">
        <v>6</v>
      </c>
      <c r="I51" s="105">
        <f t="shared" si="4"/>
        <v>9.67741935483871</v>
      </c>
      <c r="J51" s="116"/>
      <c r="K51" s="116">
        <v>12</v>
      </c>
      <c r="L51" s="105">
        <f t="shared" si="5"/>
        <v>19.35483870967742</v>
      </c>
      <c r="M51" s="116"/>
      <c r="N51" s="116">
        <v>21</v>
      </c>
      <c r="O51" s="105">
        <f t="shared" si="2"/>
        <v>33.87096774193548</v>
      </c>
      <c r="P51" s="135"/>
    </row>
    <row r="52" spans="1:16" ht="9" customHeight="1">
      <c r="B52" s="138" t="str">
        <f t="shared" si="0"/>
        <v/>
      </c>
      <c r="C52" s="139" t="str">
        <f t="shared" si="1"/>
        <v/>
      </c>
      <c r="F52" s="105" t="str">
        <f t="shared" si="3"/>
        <v/>
      </c>
      <c r="I52" s="105" t="str">
        <f t="shared" si="4"/>
        <v/>
      </c>
      <c r="L52" s="105" t="str">
        <f t="shared" si="5"/>
        <v/>
      </c>
      <c r="M52" s="116"/>
      <c r="O52" s="105" t="str">
        <f t="shared" si="2"/>
        <v/>
      </c>
      <c r="P52" s="135"/>
    </row>
    <row r="53" spans="1:16" ht="13.25" customHeight="1">
      <c r="A53" s="95" t="s">
        <v>193</v>
      </c>
      <c r="B53" s="138">
        <f t="shared" si="0"/>
        <v>88</v>
      </c>
      <c r="C53" s="139">
        <f t="shared" si="1"/>
        <v>4.2594385285575989</v>
      </c>
      <c r="E53" s="140">
        <f>SUM(E54:E58)</f>
        <v>21</v>
      </c>
      <c r="F53" s="105">
        <f t="shared" si="3"/>
        <v>23.863636363636363</v>
      </c>
      <c r="H53" s="140">
        <f>SUM(H54:H58)</f>
        <v>19</v>
      </c>
      <c r="I53" s="105">
        <f t="shared" si="4"/>
        <v>21.59090909090909</v>
      </c>
      <c r="K53" s="140">
        <f>SUM(K54:K58)</f>
        <v>25</v>
      </c>
      <c r="L53" s="105">
        <f t="shared" si="5"/>
        <v>28.40909090909091</v>
      </c>
      <c r="M53" s="116"/>
      <c r="N53" s="140">
        <f>SUM(N54:N58)</f>
        <v>23</v>
      </c>
      <c r="O53" s="105">
        <f t="shared" si="2"/>
        <v>26.136363636363637</v>
      </c>
      <c r="P53" s="135"/>
    </row>
    <row r="54" spans="1:16" ht="13.25" customHeight="1">
      <c r="A54" s="95" t="s">
        <v>194</v>
      </c>
      <c r="B54" s="138">
        <f t="shared" si="0"/>
        <v>13</v>
      </c>
      <c r="C54" s="139">
        <f t="shared" si="1"/>
        <v>0.62923523717328178</v>
      </c>
      <c r="E54" s="116">
        <v>2</v>
      </c>
      <c r="F54" s="105">
        <f t="shared" si="3"/>
        <v>15.384615384615385</v>
      </c>
      <c r="G54" s="116"/>
      <c r="H54" s="116">
        <v>2</v>
      </c>
      <c r="I54" s="105">
        <f t="shared" si="4"/>
        <v>15.384615384615385</v>
      </c>
      <c r="J54" s="116"/>
      <c r="K54" s="116">
        <v>2</v>
      </c>
      <c r="L54" s="105">
        <f t="shared" si="5"/>
        <v>15.384615384615385</v>
      </c>
      <c r="M54" s="116"/>
      <c r="N54" s="116">
        <v>7</v>
      </c>
      <c r="O54" s="105">
        <f t="shared" si="2"/>
        <v>53.846153846153847</v>
      </c>
      <c r="P54" s="135"/>
    </row>
    <row r="55" spans="1:16" ht="13.25" customHeight="1">
      <c r="A55" s="95" t="s">
        <v>195</v>
      </c>
      <c r="B55" s="138">
        <f t="shared" si="0"/>
        <v>26</v>
      </c>
      <c r="C55" s="139">
        <f t="shared" si="1"/>
        <v>1.2584704743465636</v>
      </c>
      <c r="E55" s="116">
        <v>7</v>
      </c>
      <c r="F55" s="105">
        <f t="shared" si="3"/>
        <v>26.923076923076923</v>
      </c>
      <c r="G55" s="116"/>
      <c r="H55" s="116">
        <v>4</v>
      </c>
      <c r="I55" s="105">
        <f t="shared" si="4"/>
        <v>15.384615384615385</v>
      </c>
      <c r="J55" s="116"/>
      <c r="K55" s="116">
        <v>7</v>
      </c>
      <c r="L55" s="105">
        <f t="shared" si="5"/>
        <v>26.923076923076923</v>
      </c>
      <c r="M55" s="116"/>
      <c r="N55" s="116">
        <v>8</v>
      </c>
      <c r="O55" s="105">
        <f t="shared" si="2"/>
        <v>30.76923076923077</v>
      </c>
      <c r="P55" s="135"/>
    </row>
    <row r="56" spans="1:16" ht="13.25" customHeight="1">
      <c r="A56" s="95" t="s">
        <v>196</v>
      </c>
      <c r="B56" s="138">
        <f t="shared" si="0"/>
        <v>20</v>
      </c>
      <c r="C56" s="139">
        <f t="shared" si="1"/>
        <v>0.9680542110358179</v>
      </c>
      <c r="E56" s="116">
        <v>2</v>
      </c>
      <c r="F56" s="105">
        <f t="shared" si="3"/>
        <v>10</v>
      </c>
      <c r="G56" s="116"/>
      <c r="H56" s="116">
        <v>8</v>
      </c>
      <c r="I56" s="105">
        <f t="shared" si="4"/>
        <v>40</v>
      </c>
      <c r="J56" s="116"/>
      <c r="K56" s="116">
        <v>8</v>
      </c>
      <c r="L56" s="105">
        <f t="shared" si="5"/>
        <v>40</v>
      </c>
      <c r="M56" s="116"/>
      <c r="N56" s="116">
        <v>2</v>
      </c>
      <c r="O56" s="105">
        <f t="shared" si="2"/>
        <v>10</v>
      </c>
      <c r="P56" s="135"/>
    </row>
    <row r="57" spans="1:16" ht="13.25" customHeight="1">
      <c r="A57" s="95" t="s">
        <v>409</v>
      </c>
      <c r="B57" s="138">
        <f t="shared" si="0"/>
        <v>12</v>
      </c>
      <c r="C57" s="139">
        <f t="shared" si="1"/>
        <v>0.58083252662149087</v>
      </c>
      <c r="E57" s="116">
        <v>1</v>
      </c>
      <c r="F57" s="105">
        <f t="shared" si="3"/>
        <v>8.3333333333333321</v>
      </c>
      <c r="G57" s="116"/>
      <c r="H57" s="116">
        <v>3</v>
      </c>
      <c r="I57" s="105">
        <f t="shared" si="4"/>
        <v>25</v>
      </c>
      <c r="J57" s="116"/>
      <c r="K57" s="116">
        <v>3</v>
      </c>
      <c r="L57" s="105">
        <f t="shared" si="5"/>
        <v>25</v>
      </c>
      <c r="M57" s="116"/>
      <c r="N57" s="116">
        <v>5</v>
      </c>
      <c r="O57" s="105">
        <f t="shared" si="2"/>
        <v>41.666666666666671</v>
      </c>
      <c r="P57" s="135"/>
    </row>
    <row r="58" spans="1:16" ht="13.25" customHeight="1">
      <c r="A58" s="95" t="s">
        <v>198</v>
      </c>
      <c r="B58" s="138">
        <f t="shared" si="0"/>
        <v>17</v>
      </c>
      <c r="C58" s="139">
        <f t="shared" si="1"/>
        <v>0.82284607938044529</v>
      </c>
      <c r="E58" s="116">
        <v>9</v>
      </c>
      <c r="F58" s="105">
        <f t="shared" si="3"/>
        <v>52.941176470588239</v>
      </c>
      <c r="G58" s="116"/>
      <c r="H58" s="116">
        <v>2</v>
      </c>
      <c r="I58" s="105">
        <f t="shared" si="4"/>
        <v>11.76470588235294</v>
      </c>
      <c r="J58" s="116"/>
      <c r="K58" s="116">
        <v>5</v>
      </c>
      <c r="L58" s="105">
        <f t="shared" si="5"/>
        <v>29.411764705882355</v>
      </c>
      <c r="M58" s="116"/>
      <c r="N58" s="116">
        <v>1</v>
      </c>
      <c r="O58" s="105">
        <f t="shared" si="2"/>
        <v>5.8823529411764701</v>
      </c>
      <c r="P58" s="135"/>
    </row>
    <row r="59" spans="1:16" ht="9" customHeight="1">
      <c r="B59" s="138" t="str">
        <f t="shared" si="0"/>
        <v/>
      </c>
      <c r="C59" s="139" t="str">
        <f t="shared" si="1"/>
        <v/>
      </c>
      <c r="F59" s="105" t="str">
        <f t="shared" si="3"/>
        <v/>
      </c>
      <c r="I59" s="105" t="str">
        <f t="shared" si="4"/>
        <v/>
      </c>
      <c r="L59" s="105" t="str">
        <f t="shared" si="5"/>
        <v/>
      </c>
      <c r="M59" s="116"/>
      <c r="O59" s="105" t="str">
        <f t="shared" si="2"/>
        <v/>
      </c>
      <c r="P59" s="135"/>
    </row>
    <row r="60" spans="1:16" ht="13.25" customHeight="1">
      <c r="A60" s="55" t="s">
        <v>410</v>
      </c>
      <c r="B60" s="138">
        <f t="shared" si="0"/>
        <v>603</v>
      </c>
      <c r="C60" s="139">
        <f t="shared" si="1"/>
        <v>29.186834462729909</v>
      </c>
      <c r="E60" s="140">
        <f>E61+E63+E70+E72</f>
        <v>74</v>
      </c>
      <c r="F60" s="105">
        <f t="shared" si="3"/>
        <v>12.271973466003317</v>
      </c>
      <c r="H60" s="140">
        <f>H61+H63+H70+H72</f>
        <v>48</v>
      </c>
      <c r="I60" s="105">
        <f t="shared" si="4"/>
        <v>7.9601990049751246</v>
      </c>
      <c r="K60" s="140">
        <f>K61+K63+K70+K72</f>
        <v>83</v>
      </c>
      <c r="L60" s="105">
        <f t="shared" si="5"/>
        <v>13.764510779436154</v>
      </c>
      <c r="M60" s="116"/>
      <c r="N60" s="140">
        <f>N61+N63+N70+N72</f>
        <v>398</v>
      </c>
      <c r="O60" s="105">
        <f t="shared" si="2"/>
        <v>66.003316749585409</v>
      </c>
      <c r="P60" s="135"/>
    </row>
    <row r="61" spans="1:16" ht="13.25" customHeight="1">
      <c r="A61" s="95" t="s">
        <v>411</v>
      </c>
      <c r="B61" s="138">
        <f>IF($A61&lt;&gt;"",E61+H61+K61+N61,"")</f>
        <v>24</v>
      </c>
      <c r="C61" s="139">
        <f t="shared" si="1"/>
        <v>1.1616650532429817</v>
      </c>
      <c r="E61" s="116">
        <v>4</v>
      </c>
      <c r="F61" s="105">
        <f t="shared" si="3"/>
        <v>16.666666666666664</v>
      </c>
      <c r="G61" s="116"/>
      <c r="H61" s="116">
        <v>7</v>
      </c>
      <c r="I61" s="105">
        <f t="shared" si="4"/>
        <v>29.166666666666668</v>
      </c>
      <c r="J61" s="116"/>
      <c r="K61" s="116">
        <v>8</v>
      </c>
      <c r="L61" s="105">
        <f t="shared" si="5"/>
        <v>33.333333333333329</v>
      </c>
      <c r="M61" s="116"/>
      <c r="N61" s="116">
        <v>5</v>
      </c>
      <c r="O61" s="105">
        <f>IF($A61&lt;&gt;"",N61/$B61*100,"")</f>
        <v>20.833333333333336</v>
      </c>
      <c r="P61" s="135"/>
    </row>
    <row r="62" spans="1:16" ht="9" customHeight="1">
      <c r="B62" s="138" t="str">
        <f t="shared" si="0"/>
        <v/>
      </c>
      <c r="C62" s="139" t="str">
        <f t="shared" si="1"/>
        <v/>
      </c>
      <c r="F62" s="105" t="str">
        <f t="shared" si="3"/>
        <v/>
      </c>
      <c r="I62" s="105" t="str">
        <f t="shared" si="4"/>
        <v/>
      </c>
      <c r="L62" s="105" t="str">
        <f t="shared" si="5"/>
        <v/>
      </c>
      <c r="M62" s="116"/>
      <c r="O62" s="105" t="str">
        <f t="shared" si="2"/>
        <v/>
      </c>
      <c r="P62" s="135"/>
    </row>
    <row r="63" spans="1:16" ht="13.25" customHeight="1">
      <c r="A63" s="95" t="s">
        <v>202</v>
      </c>
      <c r="B63" s="138">
        <f t="shared" si="0"/>
        <v>438</v>
      </c>
      <c r="C63" s="139">
        <f t="shared" si="1"/>
        <v>21.200387221684412</v>
      </c>
      <c r="E63" s="140">
        <f>SUM(E64:E68)</f>
        <v>32</v>
      </c>
      <c r="F63" s="105">
        <f t="shared" si="3"/>
        <v>7.3059360730593603</v>
      </c>
      <c r="H63" s="140">
        <f>SUM(H64:H68)</f>
        <v>29</v>
      </c>
      <c r="I63" s="105">
        <f t="shared" si="4"/>
        <v>6.6210045662100452</v>
      </c>
      <c r="K63" s="140">
        <f>SUM(K64:K68)</f>
        <v>47</v>
      </c>
      <c r="L63" s="105">
        <f t="shared" si="5"/>
        <v>10.730593607305936</v>
      </c>
      <c r="M63" s="116"/>
      <c r="N63" s="140">
        <f>SUM(N64:N68)</f>
        <v>330</v>
      </c>
      <c r="O63" s="105">
        <f t="shared" si="2"/>
        <v>75.342465753424662</v>
      </c>
      <c r="P63" s="135"/>
    </row>
    <row r="64" spans="1:16" ht="13.25" customHeight="1">
      <c r="A64" s="95" t="s">
        <v>203</v>
      </c>
      <c r="B64" s="138">
        <f t="shared" si="0"/>
        <v>346</v>
      </c>
      <c r="C64" s="139">
        <f t="shared" si="1"/>
        <v>16.747337850919653</v>
      </c>
      <c r="E64" s="116">
        <v>23</v>
      </c>
      <c r="F64" s="105">
        <f t="shared" si="3"/>
        <v>6.6473988439306355</v>
      </c>
      <c r="G64" s="116"/>
      <c r="H64" s="116">
        <v>18</v>
      </c>
      <c r="I64" s="105">
        <f t="shared" si="4"/>
        <v>5.202312138728324</v>
      </c>
      <c r="J64" s="116"/>
      <c r="K64" s="116">
        <v>22</v>
      </c>
      <c r="L64" s="105">
        <f t="shared" si="5"/>
        <v>6.3583815028901727</v>
      </c>
      <c r="M64" s="116"/>
      <c r="N64" s="116">
        <v>283</v>
      </c>
      <c r="O64" s="105">
        <f t="shared" si="2"/>
        <v>81.79190751445087</v>
      </c>
      <c r="P64" s="135"/>
    </row>
    <row r="65" spans="1:16" ht="13.25" customHeight="1">
      <c r="A65" s="95" t="s">
        <v>204</v>
      </c>
      <c r="B65" s="138">
        <f t="shared" si="0"/>
        <v>37</v>
      </c>
      <c r="C65" s="139">
        <f t="shared" si="1"/>
        <v>1.7909002904162634</v>
      </c>
      <c r="E65" s="116">
        <v>2</v>
      </c>
      <c r="F65" s="105">
        <f t="shared" si="3"/>
        <v>5.4054054054054053</v>
      </c>
      <c r="G65" s="116"/>
      <c r="H65" s="116">
        <v>5</v>
      </c>
      <c r="I65" s="105">
        <f t="shared" si="4"/>
        <v>13.513513513513514</v>
      </c>
      <c r="J65" s="116"/>
      <c r="K65" s="116">
        <v>9</v>
      </c>
      <c r="L65" s="105">
        <f t="shared" si="5"/>
        <v>24.324324324324326</v>
      </c>
      <c r="M65" s="116"/>
      <c r="N65" s="116">
        <v>21</v>
      </c>
      <c r="O65" s="105">
        <f t="shared" si="2"/>
        <v>56.756756756756758</v>
      </c>
      <c r="P65" s="135"/>
    </row>
    <row r="66" spans="1:16" ht="13.25" customHeight="1">
      <c r="A66" s="95" t="s">
        <v>206</v>
      </c>
      <c r="B66" s="138">
        <f t="shared" si="0"/>
        <v>23</v>
      </c>
      <c r="C66" s="139">
        <f t="shared" si="1"/>
        <v>1.1132623426911907</v>
      </c>
      <c r="E66" s="116">
        <v>4</v>
      </c>
      <c r="F66" s="105">
        <f t="shared" si="3"/>
        <v>17.391304347826086</v>
      </c>
      <c r="G66" s="116"/>
      <c r="H66" s="116">
        <v>2</v>
      </c>
      <c r="I66" s="105">
        <f t="shared" si="4"/>
        <v>8.695652173913043</v>
      </c>
      <c r="J66" s="116"/>
      <c r="K66" s="116">
        <v>8</v>
      </c>
      <c r="L66" s="105">
        <f t="shared" si="5"/>
        <v>34.782608695652172</v>
      </c>
      <c r="M66" s="116"/>
      <c r="N66" s="116">
        <v>9</v>
      </c>
      <c r="O66" s="105">
        <f t="shared" si="2"/>
        <v>39.130434782608695</v>
      </c>
      <c r="P66" s="135"/>
    </row>
    <row r="67" spans="1:16" ht="13.25" customHeight="1">
      <c r="A67" s="95" t="s">
        <v>465</v>
      </c>
      <c r="B67" s="138">
        <f t="shared" si="0"/>
        <v>19</v>
      </c>
      <c r="C67" s="139">
        <f t="shared" si="1"/>
        <v>0.91965150048402711</v>
      </c>
      <c r="E67" s="116">
        <v>1</v>
      </c>
      <c r="F67" s="105">
        <f t="shared" si="3"/>
        <v>5.2631578947368416</v>
      </c>
      <c r="G67" s="116"/>
      <c r="H67" s="116">
        <v>2</v>
      </c>
      <c r="I67" s="105">
        <f t="shared" si="4"/>
        <v>10.526315789473683</v>
      </c>
      <c r="J67" s="116"/>
      <c r="K67" s="116">
        <v>4</v>
      </c>
      <c r="L67" s="105">
        <f t="shared" si="5"/>
        <v>21.052631578947366</v>
      </c>
      <c r="M67" s="116"/>
      <c r="N67" s="116">
        <v>12</v>
      </c>
      <c r="O67" s="105">
        <f t="shared" si="2"/>
        <v>63.157894736842103</v>
      </c>
      <c r="P67" s="135"/>
    </row>
    <row r="68" spans="1:16" ht="13.25" customHeight="1">
      <c r="A68" s="95" t="s">
        <v>205</v>
      </c>
      <c r="B68" s="138">
        <f t="shared" si="0"/>
        <v>13</v>
      </c>
      <c r="C68" s="139">
        <f t="shared" si="1"/>
        <v>0.62923523717328178</v>
      </c>
      <c r="E68" s="116">
        <v>2</v>
      </c>
      <c r="F68" s="105">
        <f t="shared" si="3"/>
        <v>15.384615384615385</v>
      </c>
      <c r="G68" s="116"/>
      <c r="H68" s="116">
        <v>2</v>
      </c>
      <c r="I68" s="105">
        <f t="shared" si="4"/>
        <v>15.384615384615385</v>
      </c>
      <c r="J68" s="116"/>
      <c r="K68" s="116">
        <v>4</v>
      </c>
      <c r="L68" s="105">
        <f t="shared" si="5"/>
        <v>30.76923076923077</v>
      </c>
      <c r="M68" s="116"/>
      <c r="N68" s="116">
        <v>5</v>
      </c>
      <c r="O68" s="105">
        <f t="shared" si="2"/>
        <v>38.461538461538467</v>
      </c>
      <c r="P68" s="135"/>
    </row>
    <row r="69" spans="1:16" ht="9" customHeight="1">
      <c r="B69" s="138" t="str">
        <f t="shared" si="0"/>
        <v/>
      </c>
      <c r="C69" s="139" t="str">
        <f t="shared" si="1"/>
        <v/>
      </c>
      <c r="E69" s="116"/>
      <c r="F69" s="105" t="str">
        <f t="shared" si="3"/>
        <v/>
      </c>
      <c r="G69" s="116"/>
      <c r="H69" s="116"/>
      <c r="I69" s="105" t="str">
        <f t="shared" si="4"/>
        <v/>
      </c>
      <c r="J69" s="116"/>
      <c r="K69" s="116"/>
      <c r="L69" s="105" t="str">
        <f t="shared" si="5"/>
        <v/>
      </c>
      <c r="M69" s="116"/>
      <c r="N69" s="116"/>
      <c r="O69" s="105" t="str">
        <f t="shared" si="2"/>
        <v/>
      </c>
      <c r="P69" s="135"/>
    </row>
    <row r="70" spans="1:16" ht="13.25" customHeight="1">
      <c r="A70" s="95" t="s">
        <v>208</v>
      </c>
      <c r="B70" s="138">
        <f t="shared" si="0"/>
        <v>47</v>
      </c>
      <c r="C70" s="139">
        <f t="shared" si="1"/>
        <v>2.2749273959341725</v>
      </c>
      <c r="E70" s="116">
        <v>30</v>
      </c>
      <c r="F70" s="105">
        <f t="shared" si="3"/>
        <v>63.829787234042556</v>
      </c>
      <c r="G70" s="116"/>
      <c r="H70" s="116">
        <v>1</v>
      </c>
      <c r="I70" s="105">
        <f t="shared" si="4"/>
        <v>2.1276595744680851</v>
      </c>
      <c r="J70" s="116"/>
      <c r="K70" s="116">
        <v>14</v>
      </c>
      <c r="L70" s="105">
        <f t="shared" si="5"/>
        <v>29.787234042553191</v>
      </c>
      <c r="M70" s="116"/>
      <c r="N70" s="116">
        <v>2</v>
      </c>
      <c r="O70" s="105">
        <f t="shared" si="2"/>
        <v>4.2553191489361701</v>
      </c>
      <c r="P70" s="135"/>
    </row>
    <row r="71" spans="1:16" ht="9" customHeight="1">
      <c r="B71" s="138" t="str">
        <f t="shared" si="0"/>
        <v/>
      </c>
      <c r="C71" s="139" t="str">
        <f t="shared" si="1"/>
        <v/>
      </c>
      <c r="E71" s="116"/>
      <c r="F71" s="105" t="str">
        <f t="shared" si="3"/>
        <v/>
      </c>
      <c r="G71" s="116"/>
      <c r="H71" s="116"/>
      <c r="I71" s="105" t="str">
        <f t="shared" si="4"/>
        <v/>
      </c>
      <c r="J71" s="116"/>
      <c r="K71" s="116"/>
      <c r="L71" s="105" t="str">
        <f t="shared" si="5"/>
        <v/>
      </c>
      <c r="M71" s="116"/>
      <c r="N71" s="116"/>
      <c r="O71" s="105" t="str">
        <f t="shared" si="2"/>
        <v/>
      </c>
      <c r="P71" s="135"/>
    </row>
    <row r="72" spans="1:16" ht="13.25" customHeight="1">
      <c r="A72" s="95" t="s">
        <v>209</v>
      </c>
      <c r="B72" s="138">
        <f t="shared" si="0"/>
        <v>94</v>
      </c>
      <c r="C72" s="139">
        <f t="shared" si="1"/>
        <v>4.549854791868345</v>
      </c>
      <c r="E72" s="116">
        <v>8</v>
      </c>
      <c r="F72" s="105">
        <f t="shared" si="3"/>
        <v>8.5106382978723403</v>
      </c>
      <c r="G72" s="116"/>
      <c r="H72" s="116">
        <v>11</v>
      </c>
      <c r="I72" s="105">
        <f t="shared" si="4"/>
        <v>11.702127659574469</v>
      </c>
      <c r="J72" s="116"/>
      <c r="K72" s="116">
        <v>14</v>
      </c>
      <c r="L72" s="105">
        <f t="shared" si="5"/>
        <v>14.893617021276595</v>
      </c>
      <c r="M72" s="116"/>
      <c r="N72" s="116">
        <v>61</v>
      </c>
      <c r="O72" s="105">
        <f t="shared" si="2"/>
        <v>64.893617021276597</v>
      </c>
      <c r="P72" s="135"/>
    </row>
    <row r="73" spans="1:16" ht="9" customHeight="1">
      <c r="B73" s="138" t="str">
        <f t="shared" si="0"/>
        <v/>
      </c>
      <c r="C73" s="139" t="str">
        <f t="shared" si="1"/>
        <v/>
      </c>
      <c r="F73" s="105" t="str">
        <f t="shared" si="3"/>
        <v/>
      </c>
      <c r="I73" s="105" t="str">
        <f t="shared" si="4"/>
        <v/>
      </c>
      <c r="L73" s="105" t="str">
        <f t="shared" si="5"/>
        <v/>
      </c>
      <c r="M73" s="116"/>
      <c r="O73" s="105" t="str">
        <f t="shared" si="2"/>
        <v/>
      </c>
      <c r="P73" s="135"/>
    </row>
    <row r="74" spans="1:16" ht="13.25" customHeight="1">
      <c r="A74" s="55" t="s">
        <v>413</v>
      </c>
      <c r="B74" s="138">
        <f t="shared" si="0"/>
        <v>111</v>
      </c>
      <c r="C74" s="139">
        <f t="shared" si="1"/>
        <v>5.3727008712487905</v>
      </c>
      <c r="E74" s="140">
        <f>E75</f>
        <v>39</v>
      </c>
      <c r="F74" s="105">
        <f t="shared" si="3"/>
        <v>35.135135135135137</v>
      </c>
      <c r="H74" s="140">
        <f>H75</f>
        <v>14</v>
      </c>
      <c r="I74" s="105">
        <f t="shared" si="4"/>
        <v>12.612612612612612</v>
      </c>
      <c r="K74" s="140">
        <f>K75</f>
        <v>39</v>
      </c>
      <c r="L74" s="105">
        <f t="shared" si="5"/>
        <v>35.135135135135137</v>
      </c>
      <c r="M74" s="116"/>
      <c r="N74" s="140">
        <f>N75</f>
        <v>19</v>
      </c>
      <c r="O74" s="105">
        <f t="shared" si="2"/>
        <v>17.117117117117118</v>
      </c>
      <c r="P74" s="135"/>
    </row>
    <row r="75" spans="1:16" ht="13.25" customHeight="1">
      <c r="A75" s="95" t="s">
        <v>414</v>
      </c>
      <c r="B75" s="138">
        <f t="shared" si="0"/>
        <v>111</v>
      </c>
      <c r="C75" s="139">
        <f t="shared" si="1"/>
        <v>5.3727008712487905</v>
      </c>
      <c r="E75" s="140">
        <f>SUM(E76:E79)</f>
        <v>39</v>
      </c>
      <c r="F75" s="105">
        <f t="shared" si="3"/>
        <v>35.135135135135137</v>
      </c>
      <c r="H75" s="140">
        <f>SUM(H76:H79)</f>
        <v>14</v>
      </c>
      <c r="I75" s="105">
        <f t="shared" si="4"/>
        <v>12.612612612612612</v>
      </c>
      <c r="K75" s="140">
        <f>SUM(K76:K79)</f>
        <v>39</v>
      </c>
      <c r="L75" s="105">
        <f t="shared" si="5"/>
        <v>35.135135135135137</v>
      </c>
      <c r="M75" s="116"/>
      <c r="N75" s="140">
        <f>SUM(N76:N79)</f>
        <v>19</v>
      </c>
      <c r="O75" s="105">
        <f t="shared" si="2"/>
        <v>17.117117117117118</v>
      </c>
      <c r="P75" s="135"/>
    </row>
    <row r="76" spans="1:16" ht="13.25" customHeight="1">
      <c r="A76" s="95" t="s">
        <v>212</v>
      </c>
      <c r="B76" s="138">
        <f>IF($A76&lt;&gt;"",E76+H76+K76+N76,"")</f>
        <v>15</v>
      </c>
      <c r="C76" s="139">
        <f t="shared" ref="C76:C100" si="6">IF(A76&lt;&gt;0,B76/$B$11*100,"")</f>
        <v>0.72604065827686348</v>
      </c>
      <c r="E76" s="116">
        <v>2</v>
      </c>
      <c r="F76" s="105">
        <f t="shared" si="3"/>
        <v>13.333333333333334</v>
      </c>
      <c r="G76" s="116"/>
      <c r="H76" s="116">
        <v>4</v>
      </c>
      <c r="I76" s="105">
        <f t="shared" si="4"/>
        <v>26.666666666666668</v>
      </c>
      <c r="J76" s="116"/>
      <c r="K76" s="116">
        <v>2</v>
      </c>
      <c r="L76" s="105">
        <f t="shared" si="5"/>
        <v>13.333333333333334</v>
      </c>
      <c r="M76" s="116"/>
      <c r="N76" s="116">
        <v>7</v>
      </c>
      <c r="O76" s="105">
        <f>IF($A76&lt;&gt;"",N76/$B76*100,"")</f>
        <v>46.666666666666664</v>
      </c>
      <c r="P76" s="135"/>
    </row>
    <row r="77" spans="1:16" ht="13.25" customHeight="1">
      <c r="A77" s="95" t="s">
        <v>213</v>
      </c>
      <c r="B77" s="138">
        <f>IF($A77&lt;&gt;"",E77+H77+K77+N77,"")</f>
        <v>54</v>
      </c>
      <c r="C77" s="139">
        <f t="shared" si="6"/>
        <v>2.6137463697967087</v>
      </c>
      <c r="E77" s="116">
        <v>21</v>
      </c>
      <c r="F77" s="105">
        <f t="shared" si="3"/>
        <v>38.888888888888893</v>
      </c>
      <c r="G77" s="116"/>
      <c r="H77" s="116">
        <v>6</v>
      </c>
      <c r="I77" s="105">
        <f t="shared" si="4"/>
        <v>11.111111111111111</v>
      </c>
      <c r="J77" s="116"/>
      <c r="K77" s="116">
        <v>23</v>
      </c>
      <c r="L77" s="105">
        <f t="shared" si="5"/>
        <v>42.592592592592595</v>
      </c>
      <c r="M77" s="116"/>
      <c r="N77" s="116">
        <v>4</v>
      </c>
      <c r="O77" s="105">
        <f>IF($A77&lt;&gt;"",N77/$B77*100,"")</f>
        <v>7.4074074074074066</v>
      </c>
      <c r="P77" s="135"/>
    </row>
    <row r="78" spans="1:16" ht="13.25" customHeight="1">
      <c r="A78" s="95" t="s">
        <v>214</v>
      </c>
      <c r="B78" s="138">
        <f>IF($A78&lt;&gt;"",E78+H78+K78+N78,"")</f>
        <v>15</v>
      </c>
      <c r="C78" s="139">
        <f t="shared" si="6"/>
        <v>0.72604065827686348</v>
      </c>
      <c r="E78" s="116">
        <v>7</v>
      </c>
      <c r="F78" s="105">
        <f t="shared" si="3"/>
        <v>46.666666666666664</v>
      </c>
      <c r="G78" s="116"/>
      <c r="H78" s="116">
        <v>1</v>
      </c>
      <c r="I78" s="105">
        <f t="shared" si="4"/>
        <v>6.666666666666667</v>
      </c>
      <c r="J78" s="116"/>
      <c r="K78" s="116">
        <v>5</v>
      </c>
      <c r="L78" s="105">
        <f t="shared" si="5"/>
        <v>33.333333333333329</v>
      </c>
      <c r="M78" s="116"/>
      <c r="N78" s="116">
        <v>2</v>
      </c>
      <c r="O78" s="105">
        <f>IF($A78&lt;&gt;"",N78/$B78*100,"")</f>
        <v>13.333333333333334</v>
      </c>
      <c r="P78" s="135"/>
    </row>
    <row r="79" spans="1:16" ht="13.25" customHeight="1">
      <c r="A79" s="95" t="s">
        <v>215</v>
      </c>
      <c r="B79" s="138">
        <f>IF($A79&lt;&gt;"",E79+H79+K79+N79,"")</f>
        <v>27</v>
      </c>
      <c r="C79" s="139">
        <f t="shared" si="6"/>
        <v>1.3068731848983544</v>
      </c>
      <c r="E79" s="116">
        <v>9</v>
      </c>
      <c r="F79" s="105">
        <f t="shared" si="3"/>
        <v>33.333333333333329</v>
      </c>
      <c r="G79" s="116"/>
      <c r="H79" s="116">
        <v>3</v>
      </c>
      <c r="I79" s="105">
        <f t="shared" si="4"/>
        <v>11.111111111111111</v>
      </c>
      <c r="J79" s="116"/>
      <c r="K79" s="116">
        <v>9</v>
      </c>
      <c r="L79" s="105">
        <f t="shared" si="5"/>
        <v>33.333333333333329</v>
      </c>
      <c r="M79" s="116"/>
      <c r="N79" s="116">
        <v>6</v>
      </c>
      <c r="O79" s="105">
        <f>IF($A79&lt;&gt;"",N79/$B79*100,"")</f>
        <v>22.222222222222221</v>
      </c>
      <c r="P79" s="135"/>
    </row>
    <row r="80" spans="1:16" ht="9" customHeight="1">
      <c r="C80" s="139" t="str">
        <f t="shared" si="6"/>
        <v/>
      </c>
      <c r="F80" s="105" t="str">
        <f t="shared" si="3"/>
        <v/>
      </c>
      <c r="I80" s="105" t="str">
        <f t="shared" si="4"/>
        <v/>
      </c>
      <c r="L80" s="105" t="str">
        <f t="shared" si="5"/>
        <v/>
      </c>
      <c r="M80" s="116"/>
      <c r="O80" s="105" t="str">
        <f t="shared" ref="O80:O100" si="7">IF($A80&lt;&gt;"",N80/$B80*100,"")</f>
        <v/>
      </c>
      <c r="P80" s="135"/>
    </row>
    <row r="81" spans="1:16" ht="12.75" customHeight="1">
      <c r="A81" s="55" t="s">
        <v>216</v>
      </c>
      <c r="B81" s="138">
        <f t="shared" ref="B81:B100" si="8">IF($A81&lt;&gt;"",E81+H81+K81+N81,"")</f>
        <v>181</v>
      </c>
      <c r="C81" s="139">
        <f t="shared" si="6"/>
        <v>8.7608906098741528</v>
      </c>
      <c r="E81" s="140">
        <f>SUM(E82)</f>
        <v>41</v>
      </c>
      <c r="F81" s="105">
        <f t="shared" ref="F81:F100" si="9">IF($A81&lt;&gt;"",E81/$B81*100,"")</f>
        <v>22.651933701657459</v>
      </c>
      <c r="H81" s="140">
        <f>SUM(H82)</f>
        <v>20</v>
      </c>
      <c r="I81" s="105">
        <f t="shared" ref="I81:I100" si="10">IF($A81&lt;&gt;"",H81/$B81*100,"")</f>
        <v>11.049723756906078</v>
      </c>
      <c r="K81" s="140">
        <f>SUM(K82)</f>
        <v>39</v>
      </c>
      <c r="L81" s="105">
        <f t="shared" ref="L81:L100" si="11">IF($A81&lt;&gt;"",K81/$B81*100,"")</f>
        <v>21.546961325966851</v>
      </c>
      <c r="M81" s="116"/>
      <c r="N81" s="140">
        <f>SUM(N82)</f>
        <v>81</v>
      </c>
      <c r="O81" s="105">
        <f t="shared" si="7"/>
        <v>44.751381215469614</v>
      </c>
      <c r="P81" s="135"/>
    </row>
    <row r="82" spans="1:16" ht="13.25" customHeight="1">
      <c r="A82" s="95" t="s">
        <v>217</v>
      </c>
      <c r="B82" s="138">
        <f t="shared" si="8"/>
        <v>181</v>
      </c>
      <c r="C82" s="139">
        <f t="shared" si="6"/>
        <v>8.7608906098741528</v>
      </c>
      <c r="E82" s="140">
        <f>SUM(E83:E91)</f>
        <v>41</v>
      </c>
      <c r="F82" s="105">
        <f t="shared" si="9"/>
        <v>22.651933701657459</v>
      </c>
      <c r="H82" s="140">
        <f>SUM(H83:H91)</f>
        <v>20</v>
      </c>
      <c r="I82" s="105">
        <f t="shared" si="10"/>
        <v>11.049723756906078</v>
      </c>
      <c r="K82" s="140">
        <f>SUM(K83:K91)</f>
        <v>39</v>
      </c>
      <c r="L82" s="105">
        <f t="shared" si="11"/>
        <v>21.546961325966851</v>
      </c>
      <c r="M82" s="116"/>
      <c r="N82" s="140">
        <f>SUM(N83:N91)</f>
        <v>81</v>
      </c>
      <c r="O82" s="105">
        <f t="shared" si="7"/>
        <v>44.751381215469614</v>
      </c>
      <c r="P82" s="135"/>
    </row>
    <row r="83" spans="1:16" ht="13.25" customHeight="1">
      <c r="A83" s="95" t="s">
        <v>415</v>
      </c>
      <c r="B83" s="138">
        <f t="shared" si="8"/>
        <v>13</v>
      </c>
      <c r="C83" s="139">
        <f t="shared" si="6"/>
        <v>0.62923523717328178</v>
      </c>
      <c r="E83" s="116">
        <v>4</v>
      </c>
      <c r="F83" s="105">
        <f t="shared" si="9"/>
        <v>30.76923076923077</v>
      </c>
      <c r="G83" s="116"/>
      <c r="H83" s="116">
        <v>2</v>
      </c>
      <c r="I83" s="105">
        <f t="shared" si="10"/>
        <v>15.384615384615385</v>
      </c>
      <c r="J83" s="116"/>
      <c r="K83" s="116">
        <v>5</v>
      </c>
      <c r="L83" s="105">
        <f t="shared" si="11"/>
        <v>38.461538461538467</v>
      </c>
      <c r="M83" s="116"/>
      <c r="N83" s="116">
        <v>2</v>
      </c>
      <c r="O83" s="105">
        <f t="shared" si="7"/>
        <v>15.384615384615385</v>
      </c>
      <c r="P83" s="135"/>
    </row>
    <row r="84" spans="1:16" ht="13.25" customHeight="1">
      <c r="A84" s="95" t="s">
        <v>218</v>
      </c>
      <c r="B84" s="138">
        <f t="shared" si="8"/>
        <v>33</v>
      </c>
      <c r="C84" s="139">
        <f t="shared" si="6"/>
        <v>1.5972894482090998</v>
      </c>
      <c r="E84" s="116">
        <v>9</v>
      </c>
      <c r="F84" s="105">
        <f t="shared" si="9"/>
        <v>27.27272727272727</v>
      </c>
      <c r="G84" s="116"/>
      <c r="H84" s="116">
        <v>5</v>
      </c>
      <c r="I84" s="105">
        <f t="shared" si="10"/>
        <v>15.151515151515152</v>
      </c>
      <c r="J84" s="116"/>
      <c r="K84" s="116">
        <v>7</v>
      </c>
      <c r="L84" s="105">
        <f t="shared" si="11"/>
        <v>21.212121212121211</v>
      </c>
      <c r="M84" s="116"/>
      <c r="N84" s="116">
        <v>12</v>
      </c>
      <c r="O84" s="105">
        <f t="shared" si="7"/>
        <v>36.363636363636367</v>
      </c>
      <c r="P84" s="135"/>
    </row>
    <row r="85" spans="1:16" ht="13.25" customHeight="1">
      <c r="A85" s="95" t="s">
        <v>220</v>
      </c>
      <c r="B85" s="138">
        <f t="shared" si="8"/>
        <v>23</v>
      </c>
      <c r="C85" s="139">
        <f t="shared" si="6"/>
        <v>1.1132623426911907</v>
      </c>
      <c r="E85" s="116">
        <v>8</v>
      </c>
      <c r="F85" s="105">
        <f t="shared" si="9"/>
        <v>34.782608695652172</v>
      </c>
      <c r="G85" s="116"/>
      <c r="H85" s="116">
        <v>1</v>
      </c>
      <c r="I85" s="105">
        <f t="shared" si="10"/>
        <v>4.3478260869565215</v>
      </c>
      <c r="J85" s="116"/>
      <c r="K85" s="116">
        <v>8</v>
      </c>
      <c r="L85" s="105">
        <f t="shared" si="11"/>
        <v>34.782608695652172</v>
      </c>
      <c r="M85" s="116"/>
      <c r="N85" s="116">
        <v>6</v>
      </c>
      <c r="O85" s="105">
        <f t="shared" si="7"/>
        <v>26.086956521739129</v>
      </c>
      <c r="P85" s="135"/>
    </row>
    <row r="86" spans="1:16" ht="13.25" customHeight="1">
      <c r="A86" s="95" t="s">
        <v>222</v>
      </c>
      <c r="B86" s="138">
        <f t="shared" si="8"/>
        <v>20</v>
      </c>
      <c r="C86" s="139">
        <f t="shared" si="6"/>
        <v>0.9680542110358179</v>
      </c>
      <c r="E86" s="116">
        <v>3</v>
      </c>
      <c r="F86" s="105">
        <f t="shared" si="9"/>
        <v>15</v>
      </c>
      <c r="G86" s="116"/>
      <c r="H86" s="116">
        <v>3</v>
      </c>
      <c r="I86" s="105">
        <f t="shared" si="10"/>
        <v>15</v>
      </c>
      <c r="J86" s="116"/>
      <c r="K86" s="116">
        <v>1</v>
      </c>
      <c r="L86" s="105">
        <f t="shared" si="11"/>
        <v>5</v>
      </c>
      <c r="M86" s="116"/>
      <c r="N86" s="116">
        <v>13</v>
      </c>
      <c r="O86" s="105">
        <f t="shared" si="7"/>
        <v>65</v>
      </c>
      <c r="P86" s="135"/>
    </row>
    <row r="87" spans="1:16" ht="13.25" customHeight="1">
      <c r="A87" s="95" t="s">
        <v>221</v>
      </c>
      <c r="B87" s="138">
        <f t="shared" si="8"/>
        <v>14</v>
      </c>
      <c r="C87" s="139">
        <f t="shared" si="6"/>
        <v>0.67763794772507258</v>
      </c>
      <c r="E87" s="116">
        <v>2</v>
      </c>
      <c r="F87" s="105">
        <f t="shared" si="9"/>
        <v>14.285714285714285</v>
      </c>
      <c r="G87" s="116"/>
      <c r="H87" s="116">
        <v>2</v>
      </c>
      <c r="I87" s="105">
        <f t="shared" si="10"/>
        <v>14.285714285714285</v>
      </c>
      <c r="J87" s="116"/>
      <c r="K87" s="116">
        <v>2</v>
      </c>
      <c r="L87" s="105">
        <f t="shared" si="11"/>
        <v>14.285714285714285</v>
      </c>
      <c r="M87" s="116"/>
      <c r="N87" s="116">
        <v>8</v>
      </c>
      <c r="O87" s="105">
        <f t="shared" si="7"/>
        <v>57.142857142857139</v>
      </c>
      <c r="P87" s="135"/>
    </row>
    <row r="88" spans="1:16" ht="13.25" customHeight="1">
      <c r="A88" s="95" t="s">
        <v>219</v>
      </c>
      <c r="B88" s="138">
        <f t="shared" si="8"/>
        <v>11</v>
      </c>
      <c r="C88" s="139">
        <f t="shared" si="6"/>
        <v>0.53242981606969986</v>
      </c>
      <c r="E88" s="116">
        <v>2</v>
      </c>
      <c r="F88" s="105">
        <f t="shared" si="9"/>
        <v>18.181818181818183</v>
      </c>
      <c r="G88" s="116"/>
      <c r="H88" s="116">
        <v>1</v>
      </c>
      <c r="I88" s="105">
        <f t="shared" si="10"/>
        <v>9.0909090909090917</v>
      </c>
      <c r="J88" s="116"/>
      <c r="K88" s="116">
        <v>3</v>
      </c>
      <c r="L88" s="105">
        <f t="shared" si="11"/>
        <v>27.27272727272727</v>
      </c>
      <c r="M88" s="116"/>
      <c r="N88" s="116">
        <v>5</v>
      </c>
      <c r="O88" s="105">
        <f t="shared" si="7"/>
        <v>45.454545454545453</v>
      </c>
      <c r="P88" s="135"/>
    </row>
    <row r="89" spans="1:16" ht="13.25" customHeight="1">
      <c r="A89" s="95" t="s">
        <v>223</v>
      </c>
      <c r="B89" s="138">
        <f t="shared" si="8"/>
        <v>35</v>
      </c>
      <c r="C89" s="139">
        <f t="shared" si="6"/>
        <v>1.6940948693126814</v>
      </c>
      <c r="E89" s="116">
        <v>3</v>
      </c>
      <c r="F89" s="105">
        <f t="shared" si="9"/>
        <v>8.5714285714285712</v>
      </c>
      <c r="G89" s="116"/>
      <c r="H89" s="116">
        <v>4</v>
      </c>
      <c r="I89" s="105">
        <f t="shared" si="10"/>
        <v>11.428571428571429</v>
      </c>
      <c r="J89" s="116"/>
      <c r="K89" s="116">
        <v>4</v>
      </c>
      <c r="L89" s="105">
        <f t="shared" si="11"/>
        <v>11.428571428571429</v>
      </c>
      <c r="M89" s="116"/>
      <c r="N89" s="116">
        <v>24</v>
      </c>
      <c r="O89" s="105">
        <f t="shared" si="7"/>
        <v>68.571428571428569</v>
      </c>
      <c r="P89" s="135"/>
    </row>
    <row r="90" spans="1:16" ht="13.25" customHeight="1">
      <c r="A90" s="95" t="s">
        <v>226</v>
      </c>
      <c r="B90" s="138">
        <f t="shared" si="8"/>
        <v>9</v>
      </c>
      <c r="C90" s="139">
        <f t="shared" si="6"/>
        <v>0.43562439496611816</v>
      </c>
      <c r="E90" s="116">
        <v>0</v>
      </c>
      <c r="F90" s="105">
        <f t="shared" si="9"/>
        <v>0</v>
      </c>
      <c r="G90" s="116"/>
      <c r="H90" s="116">
        <v>2</v>
      </c>
      <c r="I90" s="105">
        <f t="shared" si="10"/>
        <v>22.222222222222221</v>
      </c>
      <c r="J90" s="116"/>
      <c r="K90" s="116">
        <v>0</v>
      </c>
      <c r="L90" s="105">
        <f t="shared" si="11"/>
        <v>0</v>
      </c>
      <c r="M90" s="116"/>
      <c r="N90" s="116">
        <v>7</v>
      </c>
      <c r="O90" s="105">
        <f t="shared" si="7"/>
        <v>77.777777777777786</v>
      </c>
      <c r="P90" s="135"/>
    </row>
    <row r="91" spans="1:16" ht="13.25" customHeight="1">
      <c r="A91" s="95" t="s">
        <v>416</v>
      </c>
      <c r="B91" s="138">
        <f t="shared" si="8"/>
        <v>23</v>
      </c>
      <c r="C91" s="139">
        <f t="shared" si="6"/>
        <v>1.1132623426911907</v>
      </c>
      <c r="E91" s="116">
        <v>10</v>
      </c>
      <c r="F91" s="105">
        <f t="shared" si="9"/>
        <v>43.478260869565219</v>
      </c>
      <c r="G91" s="116"/>
      <c r="H91" s="116">
        <v>0</v>
      </c>
      <c r="I91" s="105">
        <f t="shared" si="10"/>
        <v>0</v>
      </c>
      <c r="J91" s="116"/>
      <c r="K91" s="116">
        <v>9</v>
      </c>
      <c r="L91" s="105">
        <f t="shared" si="11"/>
        <v>39.130434782608695</v>
      </c>
      <c r="M91" s="116"/>
      <c r="N91" s="116">
        <v>4</v>
      </c>
      <c r="O91" s="105">
        <f t="shared" si="7"/>
        <v>17.391304347826086</v>
      </c>
      <c r="P91" s="135"/>
    </row>
    <row r="92" spans="1:16" ht="9" customHeight="1">
      <c r="B92" s="138" t="str">
        <f t="shared" si="8"/>
        <v/>
      </c>
      <c r="C92" s="139" t="str">
        <f t="shared" si="6"/>
        <v/>
      </c>
      <c r="E92" s="121"/>
      <c r="F92" s="105" t="str">
        <f t="shared" si="9"/>
        <v/>
      </c>
      <c r="G92" s="121"/>
      <c r="H92" s="121"/>
      <c r="I92" s="105" t="str">
        <f t="shared" si="10"/>
        <v/>
      </c>
      <c r="J92" s="121"/>
      <c r="K92" s="121"/>
      <c r="L92" s="105" t="str">
        <f t="shared" si="11"/>
        <v/>
      </c>
      <c r="M92" s="121"/>
      <c r="N92" s="121"/>
      <c r="O92" s="105" t="str">
        <f t="shared" si="7"/>
        <v/>
      </c>
      <c r="P92" s="135"/>
    </row>
    <row r="93" spans="1:16" ht="13.25" customHeight="1">
      <c r="A93" s="95" t="s">
        <v>227</v>
      </c>
      <c r="B93" s="138">
        <f t="shared" si="8"/>
        <v>104</v>
      </c>
      <c r="C93" s="139">
        <f t="shared" si="6"/>
        <v>5.0338818973862542</v>
      </c>
      <c r="E93" s="116">
        <v>46</v>
      </c>
      <c r="F93" s="105">
        <f t="shared" si="9"/>
        <v>44.230769230769226</v>
      </c>
      <c r="G93" s="116"/>
      <c r="H93" s="116">
        <v>13</v>
      </c>
      <c r="I93" s="105">
        <f t="shared" si="10"/>
        <v>12.5</v>
      </c>
      <c r="J93" s="116"/>
      <c r="K93" s="116">
        <v>38</v>
      </c>
      <c r="L93" s="105">
        <f t="shared" si="11"/>
        <v>36.538461538461533</v>
      </c>
      <c r="M93" s="116"/>
      <c r="N93" s="116">
        <v>7</v>
      </c>
      <c r="O93" s="105">
        <f t="shared" si="7"/>
        <v>6.7307692307692308</v>
      </c>
      <c r="P93" s="135"/>
    </row>
    <row r="94" spans="1:16" ht="9" customHeight="1">
      <c r="B94" s="138" t="str">
        <f t="shared" si="8"/>
        <v/>
      </c>
      <c r="C94" s="139" t="str">
        <f t="shared" si="6"/>
        <v/>
      </c>
      <c r="F94" s="105" t="str">
        <f t="shared" si="9"/>
        <v/>
      </c>
      <c r="I94" s="105" t="str">
        <f t="shared" si="10"/>
        <v/>
      </c>
      <c r="L94" s="105" t="str">
        <f t="shared" si="11"/>
        <v/>
      </c>
      <c r="M94" s="116"/>
      <c r="O94" s="105" t="str">
        <f t="shared" si="7"/>
        <v/>
      </c>
      <c r="P94" s="135"/>
    </row>
    <row r="95" spans="1:16" ht="12" customHeight="1">
      <c r="A95" s="55" t="s">
        <v>423</v>
      </c>
      <c r="B95" s="138">
        <f t="shared" si="8"/>
        <v>233</v>
      </c>
      <c r="C95" s="139">
        <f t="shared" si="6"/>
        <v>11.277831558567279</v>
      </c>
      <c r="E95" s="140">
        <f>SUM(E96:E100)</f>
        <v>37</v>
      </c>
      <c r="F95" s="105">
        <f t="shared" si="9"/>
        <v>15.879828326180256</v>
      </c>
      <c r="H95" s="140">
        <f>SUM(H96:H100)</f>
        <v>23</v>
      </c>
      <c r="I95" s="105">
        <f t="shared" si="10"/>
        <v>9.8712446351931327</v>
      </c>
      <c r="K95" s="140">
        <f>SUM(K96:K100)</f>
        <v>60</v>
      </c>
      <c r="L95" s="105">
        <f t="shared" si="11"/>
        <v>25.751072961373389</v>
      </c>
      <c r="M95" s="116"/>
      <c r="N95" s="140">
        <f>SUM(N96:N100)</f>
        <v>113</v>
      </c>
      <c r="O95" s="105">
        <f t="shared" si="7"/>
        <v>48.497854077253216</v>
      </c>
      <c r="P95" s="135"/>
    </row>
    <row r="96" spans="1:16" ht="12" customHeight="1">
      <c r="A96" s="95" t="s">
        <v>424</v>
      </c>
      <c r="B96" s="138">
        <f t="shared" si="8"/>
        <v>103</v>
      </c>
      <c r="C96" s="139">
        <f t="shared" si="6"/>
        <v>4.9854791868344623</v>
      </c>
      <c r="E96" s="116">
        <v>15</v>
      </c>
      <c r="F96" s="105">
        <f t="shared" si="9"/>
        <v>14.563106796116504</v>
      </c>
      <c r="G96" s="116"/>
      <c r="H96" s="116">
        <v>8</v>
      </c>
      <c r="I96" s="105">
        <f t="shared" si="10"/>
        <v>7.7669902912621351</v>
      </c>
      <c r="J96" s="116"/>
      <c r="K96" s="116">
        <v>29</v>
      </c>
      <c r="L96" s="105">
        <f t="shared" si="11"/>
        <v>28.155339805825243</v>
      </c>
      <c r="M96" s="116"/>
      <c r="N96" s="116">
        <v>51</v>
      </c>
      <c r="O96" s="105">
        <f t="shared" si="7"/>
        <v>49.514563106796118</v>
      </c>
      <c r="P96" s="135"/>
    </row>
    <row r="97" spans="1:16" ht="12" customHeight="1">
      <c r="A97" s="95" t="s">
        <v>425</v>
      </c>
      <c r="B97" s="138">
        <f t="shared" si="8"/>
        <v>33</v>
      </c>
      <c r="C97" s="139">
        <f t="shared" si="6"/>
        <v>1.5972894482090998</v>
      </c>
      <c r="E97" s="116">
        <v>10</v>
      </c>
      <c r="F97" s="105">
        <f t="shared" si="9"/>
        <v>30.303030303030305</v>
      </c>
      <c r="G97" s="116"/>
      <c r="H97" s="116">
        <v>5</v>
      </c>
      <c r="I97" s="105">
        <f t="shared" si="10"/>
        <v>15.151515151515152</v>
      </c>
      <c r="J97" s="116"/>
      <c r="K97" s="116">
        <v>9</v>
      </c>
      <c r="L97" s="105">
        <f t="shared" si="11"/>
        <v>27.27272727272727</v>
      </c>
      <c r="M97" s="116"/>
      <c r="N97" s="116">
        <v>9</v>
      </c>
      <c r="O97" s="105">
        <f t="shared" si="7"/>
        <v>27.27272727272727</v>
      </c>
      <c r="P97" s="135"/>
    </row>
    <row r="98" spans="1:16" ht="12" customHeight="1">
      <c r="A98" s="95" t="s">
        <v>426</v>
      </c>
      <c r="B98" s="138">
        <f t="shared" si="8"/>
        <v>41</v>
      </c>
      <c r="C98" s="139">
        <f t="shared" si="6"/>
        <v>1.984511132623427</v>
      </c>
      <c r="E98" s="116">
        <v>4</v>
      </c>
      <c r="F98" s="105">
        <f t="shared" si="9"/>
        <v>9.7560975609756095</v>
      </c>
      <c r="G98" s="116"/>
      <c r="H98" s="116">
        <v>4</v>
      </c>
      <c r="I98" s="105">
        <f t="shared" si="10"/>
        <v>9.7560975609756095</v>
      </c>
      <c r="J98" s="116"/>
      <c r="K98" s="116">
        <v>10</v>
      </c>
      <c r="L98" s="105">
        <f t="shared" si="11"/>
        <v>24.390243902439025</v>
      </c>
      <c r="M98" s="116"/>
      <c r="N98" s="116">
        <v>23</v>
      </c>
      <c r="O98" s="105">
        <f t="shared" si="7"/>
        <v>56.09756097560976</v>
      </c>
      <c r="P98" s="135"/>
    </row>
    <row r="99" spans="1:16" ht="12" customHeight="1">
      <c r="A99" s="33" t="s">
        <v>427</v>
      </c>
      <c r="B99" s="138">
        <f t="shared" si="8"/>
        <v>21</v>
      </c>
      <c r="C99" s="139">
        <f t="shared" si="6"/>
        <v>1.0164569215876089</v>
      </c>
      <c r="E99" s="116">
        <v>4</v>
      </c>
      <c r="F99" s="105">
        <f t="shared" si="9"/>
        <v>19.047619047619047</v>
      </c>
      <c r="G99" s="116"/>
      <c r="H99" s="116">
        <v>0</v>
      </c>
      <c r="I99" s="105">
        <f t="shared" si="10"/>
        <v>0</v>
      </c>
      <c r="J99" s="116"/>
      <c r="K99" s="116">
        <v>5</v>
      </c>
      <c r="L99" s="105">
        <f t="shared" si="11"/>
        <v>23.809523809523807</v>
      </c>
      <c r="M99" s="116"/>
      <c r="N99" s="116">
        <v>12</v>
      </c>
      <c r="O99" s="105">
        <f t="shared" si="7"/>
        <v>57.142857142857139</v>
      </c>
      <c r="P99" s="135"/>
    </row>
    <row r="100" spans="1:16" ht="12" customHeight="1">
      <c r="A100" s="95" t="s">
        <v>428</v>
      </c>
      <c r="B100" s="138">
        <f t="shared" si="8"/>
        <v>35</v>
      </c>
      <c r="C100" s="139">
        <f t="shared" si="6"/>
        <v>1.6940948693126814</v>
      </c>
      <c r="E100" s="116">
        <v>4</v>
      </c>
      <c r="F100" s="105">
        <f t="shared" si="9"/>
        <v>11.428571428571429</v>
      </c>
      <c r="G100" s="116"/>
      <c r="H100" s="116">
        <v>6</v>
      </c>
      <c r="I100" s="105">
        <f t="shared" si="10"/>
        <v>17.142857142857142</v>
      </c>
      <c r="J100" s="116"/>
      <c r="K100" s="116">
        <v>7</v>
      </c>
      <c r="L100" s="105">
        <f t="shared" si="11"/>
        <v>20</v>
      </c>
      <c r="M100" s="116"/>
      <c r="N100" s="116">
        <v>18</v>
      </c>
      <c r="O100" s="105">
        <f t="shared" si="7"/>
        <v>51.428571428571423</v>
      </c>
      <c r="P100" s="135"/>
    </row>
    <row r="101" spans="1:16" ht="12.75" customHeight="1" thickBot="1">
      <c r="I101" s="140"/>
      <c r="L101" s="140"/>
      <c r="O101" s="105"/>
      <c r="P101" s="105"/>
    </row>
    <row r="102" spans="1:16" ht="9.75" customHeight="1">
      <c r="A102" s="97"/>
      <c r="B102" s="142"/>
      <c r="C102" s="143"/>
      <c r="D102" s="97"/>
      <c r="E102" s="144"/>
      <c r="F102" s="99"/>
      <c r="G102" s="97"/>
      <c r="H102" s="144"/>
      <c r="I102" s="144"/>
      <c r="J102" s="99"/>
      <c r="K102" s="144"/>
      <c r="L102" s="144"/>
      <c r="M102" s="97"/>
      <c r="N102" s="144"/>
      <c r="O102" s="99"/>
      <c r="P102" s="99"/>
    </row>
    <row r="103" spans="1:16" ht="12.75" customHeight="1">
      <c r="A103" s="59" t="s">
        <v>1849</v>
      </c>
      <c r="B103" s="145"/>
      <c r="C103" s="146"/>
      <c r="D103" s="116"/>
      <c r="E103" s="154"/>
      <c r="F103" s="135"/>
      <c r="G103" s="116"/>
      <c r="H103" s="154"/>
      <c r="J103" s="135"/>
      <c r="K103" s="154"/>
      <c r="M103" s="116"/>
      <c r="N103" s="154"/>
      <c r="O103" s="135"/>
      <c r="P103" s="135"/>
    </row>
    <row r="104" spans="1:16" ht="7.5" customHeight="1">
      <c r="A104" s="116"/>
      <c r="B104" s="145"/>
      <c r="C104" s="146"/>
      <c r="D104" s="116"/>
      <c r="E104" s="154"/>
      <c r="F104" s="135"/>
      <c r="G104" s="116"/>
      <c r="H104" s="154"/>
      <c r="J104" s="135"/>
      <c r="K104" s="154"/>
      <c r="M104" s="116"/>
      <c r="N104" s="154"/>
      <c r="O104" s="135"/>
      <c r="P104" s="135"/>
    </row>
    <row r="105" spans="1:16">
      <c r="A105" s="95" t="s">
        <v>431</v>
      </c>
    </row>
    <row r="106" spans="1:16">
      <c r="A106" s="95" t="s">
        <v>452</v>
      </c>
    </row>
    <row r="107" spans="1:16">
      <c r="I107" s="105" t="str">
        <f t="shared" ref="I107:I170" si="12">IF($A107&lt;&gt;"",H107/$B107*100,"")</f>
        <v/>
      </c>
    </row>
    <row r="108" spans="1:16">
      <c r="I108" s="105" t="str">
        <f t="shared" si="12"/>
        <v/>
      </c>
    </row>
    <row r="109" spans="1:16">
      <c r="I109" s="105" t="str">
        <f t="shared" si="12"/>
        <v/>
      </c>
    </row>
    <row r="110" spans="1:16">
      <c r="I110" s="105" t="str">
        <f t="shared" si="12"/>
        <v/>
      </c>
    </row>
    <row r="111" spans="1:16">
      <c r="I111" s="105" t="str">
        <f t="shared" si="12"/>
        <v/>
      </c>
    </row>
    <row r="112" spans="1:16">
      <c r="I112" s="105" t="str">
        <f t="shared" si="12"/>
        <v/>
      </c>
    </row>
    <row r="113" spans="9:9">
      <c r="I113" s="105" t="str">
        <f t="shared" si="12"/>
        <v/>
      </c>
    </row>
    <row r="114" spans="9:9">
      <c r="I114" s="105" t="str">
        <f t="shared" si="12"/>
        <v/>
      </c>
    </row>
    <row r="115" spans="9:9">
      <c r="I115" s="105" t="str">
        <f t="shared" si="12"/>
        <v/>
      </c>
    </row>
    <row r="116" spans="9:9">
      <c r="I116" s="105" t="str">
        <f t="shared" si="12"/>
        <v/>
      </c>
    </row>
    <row r="117" spans="9:9">
      <c r="I117" s="105" t="str">
        <f t="shared" si="12"/>
        <v/>
      </c>
    </row>
    <row r="118" spans="9:9">
      <c r="I118" s="105" t="str">
        <f t="shared" si="12"/>
        <v/>
      </c>
    </row>
    <row r="119" spans="9:9">
      <c r="I119" s="105" t="str">
        <f t="shared" si="12"/>
        <v/>
      </c>
    </row>
    <row r="120" spans="9:9">
      <c r="I120" s="105" t="str">
        <f t="shared" si="12"/>
        <v/>
      </c>
    </row>
    <row r="121" spans="9:9">
      <c r="I121" s="105" t="str">
        <f t="shared" si="12"/>
        <v/>
      </c>
    </row>
    <row r="122" spans="9:9">
      <c r="I122" s="105" t="str">
        <f t="shared" si="12"/>
        <v/>
      </c>
    </row>
    <row r="123" spans="9:9">
      <c r="I123" s="105" t="str">
        <f t="shared" si="12"/>
        <v/>
      </c>
    </row>
    <row r="124" spans="9:9">
      <c r="I124" s="105" t="str">
        <f t="shared" si="12"/>
        <v/>
      </c>
    </row>
    <row r="125" spans="9:9">
      <c r="I125" s="105" t="str">
        <f t="shared" si="12"/>
        <v/>
      </c>
    </row>
    <row r="126" spans="9:9">
      <c r="I126" s="105" t="str">
        <f t="shared" si="12"/>
        <v/>
      </c>
    </row>
    <row r="127" spans="9:9">
      <c r="I127" s="105" t="str">
        <f t="shared" si="12"/>
        <v/>
      </c>
    </row>
    <row r="128" spans="9:9">
      <c r="I128" s="105" t="str">
        <f t="shared" si="12"/>
        <v/>
      </c>
    </row>
    <row r="129" spans="9:9">
      <c r="I129" s="105" t="str">
        <f t="shared" si="12"/>
        <v/>
      </c>
    </row>
    <row r="130" spans="9:9">
      <c r="I130" s="105" t="str">
        <f t="shared" si="12"/>
        <v/>
      </c>
    </row>
    <row r="131" spans="9:9">
      <c r="I131" s="105" t="str">
        <f t="shared" si="12"/>
        <v/>
      </c>
    </row>
    <row r="132" spans="9:9">
      <c r="I132" s="105" t="str">
        <f t="shared" si="12"/>
        <v/>
      </c>
    </row>
    <row r="133" spans="9:9">
      <c r="I133" s="105" t="str">
        <f t="shared" si="12"/>
        <v/>
      </c>
    </row>
    <row r="134" spans="9:9">
      <c r="I134" s="105" t="str">
        <f t="shared" si="12"/>
        <v/>
      </c>
    </row>
    <row r="135" spans="9:9">
      <c r="I135" s="105" t="str">
        <f t="shared" si="12"/>
        <v/>
      </c>
    </row>
    <row r="136" spans="9:9">
      <c r="I136" s="105" t="str">
        <f t="shared" si="12"/>
        <v/>
      </c>
    </row>
    <row r="137" spans="9:9">
      <c r="I137" s="105" t="str">
        <f t="shared" si="12"/>
        <v/>
      </c>
    </row>
    <row r="138" spans="9:9">
      <c r="I138" s="105" t="str">
        <f t="shared" si="12"/>
        <v/>
      </c>
    </row>
    <row r="139" spans="9:9">
      <c r="I139" s="105" t="str">
        <f t="shared" si="12"/>
        <v/>
      </c>
    </row>
    <row r="140" spans="9:9">
      <c r="I140" s="105" t="str">
        <f t="shared" si="12"/>
        <v/>
      </c>
    </row>
    <row r="141" spans="9:9">
      <c r="I141" s="105" t="str">
        <f t="shared" si="12"/>
        <v/>
      </c>
    </row>
    <row r="142" spans="9:9">
      <c r="I142" s="105" t="str">
        <f t="shared" si="12"/>
        <v/>
      </c>
    </row>
    <row r="143" spans="9:9">
      <c r="I143" s="105" t="str">
        <f t="shared" si="12"/>
        <v/>
      </c>
    </row>
    <row r="144" spans="9:9">
      <c r="I144" s="105" t="str">
        <f t="shared" si="12"/>
        <v/>
      </c>
    </row>
    <row r="145" spans="9:9">
      <c r="I145" s="105" t="str">
        <f t="shared" si="12"/>
        <v/>
      </c>
    </row>
    <row r="146" spans="9:9">
      <c r="I146" s="105" t="str">
        <f t="shared" si="12"/>
        <v/>
      </c>
    </row>
    <row r="147" spans="9:9">
      <c r="I147" s="105" t="str">
        <f t="shared" si="12"/>
        <v/>
      </c>
    </row>
    <row r="148" spans="9:9">
      <c r="I148" s="105" t="str">
        <f t="shared" si="12"/>
        <v/>
      </c>
    </row>
    <row r="149" spans="9:9">
      <c r="I149" s="105" t="str">
        <f t="shared" si="12"/>
        <v/>
      </c>
    </row>
    <row r="150" spans="9:9">
      <c r="I150" s="105" t="str">
        <f t="shared" si="12"/>
        <v/>
      </c>
    </row>
    <row r="151" spans="9:9">
      <c r="I151" s="105" t="str">
        <f t="shared" si="12"/>
        <v/>
      </c>
    </row>
    <row r="152" spans="9:9">
      <c r="I152" s="105" t="str">
        <f t="shared" si="12"/>
        <v/>
      </c>
    </row>
    <row r="153" spans="9:9">
      <c r="I153" s="105" t="str">
        <f t="shared" si="12"/>
        <v/>
      </c>
    </row>
    <row r="154" spans="9:9">
      <c r="I154" s="105" t="str">
        <f t="shared" si="12"/>
        <v/>
      </c>
    </row>
    <row r="155" spans="9:9">
      <c r="I155" s="105" t="str">
        <f t="shared" si="12"/>
        <v/>
      </c>
    </row>
    <row r="156" spans="9:9">
      <c r="I156" s="105" t="str">
        <f t="shared" si="12"/>
        <v/>
      </c>
    </row>
    <row r="157" spans="9:9">
      <c r="I157" s="105" t="str">
        <f t="shared" si="12"/>
        <v/>
      </c>
    </row>
    <row r="158" spans="9:9">
      <c r="I158" s="105" t="str">
        <f t="shared" si="12"/>
        <v/>
      </c>
    </row>
    <row r="159" spans="9:9">
      <c r="I159" s="105" t="str">
        <f t="shared" si="12"/>
        <v/>
      </c>
    </row>
    <row r="160" spans="9:9">
      <c r="I160" s="105" t="str">
        <f t="shared" si="12"/>
        <v/>
      </c>
    </row>
    <row r="161" spans="9:9">
      <c r="I161" s="105" t="str">
        <f t="shared" si="12"/>
        <v/>
      </c>
    </row>
    <row r="162" spans="9:9">
      <c r="I162" s="105" t="str">
        <f t="shared" si="12"/>
        <v/>
      </c>
    </row>
    <row r="163" spans="9:9">
      <c r="I163" s="105" t="str">
        <f t="shared" si="12"/>
        <v/>
      </c>
    </row>
    <row r="164" spans="9:9">
      <c r="I164" s="105" t="str">
        <f t="shared" si="12"/>
        <v/>
      </c>
    </row>
    <row r="165" spans="9:9">
      <c r="I165" s="105" t="str">
        <f t="shared" si="12"/>
        <v/>
      </c>
    </row>
    <row r="166" spans="9:9">
      <c r="I166" s="105" t="str">
        <f t="shared" si="12"/>
        <v/>
      </c>
    </row>
    <row r="167" spans="9:9">
      <c r="I167" s="105" t="str">
        <f t="shared" si="12"/>
        <v/>
      </c>
    </row>
    <row r="168" spans="9:9">
      <c r="I168" s="105" t="str">
        <f t="shared" si="12"/>
        <v/>
      </c>
    </row>
    <row r="169" spans="9:9">
      <c r="I169" s="105" t="str">
        <f t="shared" si="12"/>
        <v/>
      </c>
    </row>
    <row r="170" spans="9:9">
      <c r="I170" s="105" t="str">
        <f t="shared" si="12"/>
        <v/>
      </c>
    </row>
    <row r="171" spans="9:9">
      <c r="I171" s="105" t="str">
        <f t="shared" ref="I171:I234" si="13">IF($A171&lt;&gt;"",H171/$B171*100,"")</f>
        <v/>
      </c>
    </row>
    <row r="172" spans="9:9">
      <c r="I172" s="105" t="str">
        <f t="shared" si="13"/>
        <v/>
      </c>
    </row>
    <row r="173" spans="9:9">
      <c r="I173" s="105" t="str">
        <f t="shared" si="13"/>
        <v/>
      </c>
    </row>
    <row r="174" spans="9:9">
      <c r="I174" s="105" t="str">
        <f t="shared" si="13"/>
        <v/>
      </c>
    </row>
    <row r="175" spans="9:9">
      <c r="I175" s="105" t="str">
        <f t="shared" si="13"/>
        <v/>
      </c>
    </row>
    <row r="176" spans="9:9">
      <c r="I176" s="105" t="str">
        <f t="shared" si="13"/>
        <v/>
      </c>
    </row>
    <row r="177" spans="9:9">
      <c r="I177" s="105" t="str">
        <f t="shared" si="13"/>
        <v/>
      </c>
    </row>
    <row r="178" spans="9:9">
      <c r="I178" s="105" t="str">
        <f t="shared" si="13"/>
        <v/>
      </c>
    </row>
    <row r="179" spans="9:9">
      <c r="I179" s="105" t="str">
        <f t="shared" si="13"/>
        <v/>
      </c>
    </row>
    <row r="180" spans="9:9">
      <c r="I180" s="105" t="str">
        <f t="shared" si="13"/>
        <v/>
      </c>
    </row>
    <row r="181" spans="9:9">
      <c r="I181" s="105" t="str">
        <f t="shared" si="13"/>
        <v/>
      </c>
    </row>
    <row r="182" spans="9:9">
      <c r="I182" s="105" t="str">
        <f t="shared" si="13"/>
        <v/>
      </c>
    </row>
    <row r="183" spans="9:9">
      <c r="I183" s="105" t="str">
        <f t="shared" si="13"/>
        <v/>
      </c>
    </row>
    <row r="184" spans="9:9">
      <c r="I184" s="105" t="str">
        <f t="shared" si="13"/>
        <v/>
      </c>
    </row>
    <row r="185" spans="9:9">
      <c r="I185" s="105" t="str">
        <f t="shared" si="13"/>
        <v/>
      </c>
    </row>
    <row r="186" spans="9:9">
      <c r="I186" s="105" t="str">
        <f t="shared" si="13"/>
        <v/>
      </c>
    </row>
    <row r="187" spans="9:9">
      <c r="I187" s="105" t="str">
        <f t="shared" si="13"/>
        <v/>
      </c>
    </row>
    <row r="188" spans="9:9">
      <c r="I188" s="105" t="str">
        <f t="shared" si="13"/>
        <v/>
      </c>
    </row>
    <row r="189" spans="9:9">
      <c r="I189" s="105" t="str">
        <f t="shared" si="13"/>
        <v/>
      </c>
    </row>
    <row r="190" spans="9:9">
      <c r="I190" s="105" t="str">
        <f t="shared" si="13"/>
        <v/>
      </c>
    </row>
    <row r="191" spans="9:9">
      <c r="I191" s="105" t="str">
        <f t="shared" si="13"/>
        <v/>
      </c>
    </row>
    <row r="192" spans="9:9">
      <c r="I192" s="105" t="str">
        <f t="shared" si="13"/>
        <v/>
      </c>
    </row>
    <row r="193" spans="9:9">
      <c r="I193" s="105" t="str">
        <f t="shared" si="13"/>
        <v/>
      </c>
    </row>
    <row r="194" spans="9:9">
      <c r="I194" s="105" t="str">
        <f t="shared" si="13"/>
        <v/>
      </c>
    </row>
    <row r="195" spans="9:9">
      <c r="I195" s="105" t="str">
        <f t="shared" si="13"/>
        <v/>
      </c>
    </row>
    <row r="196" spans="9:9">
      <c r="I196" s="105" t="str">
        <f t="shared" si="13"/>
        <v/>
      </c>
    </row>
    <row r="197" spans="9:9">
      <c r="I197" s="105" t="str">
        <f t="shared" si="13"/>
        <v/>
      </c>
    </row>
    <row r="198" spans="9:9">
      <c r="I198" s="105" t="str">
        <f t="shared" si="13"/>
        <v/>
      </c>
    </row>
    <row r="199" spans="9:9">
      <c r="I199" s="105" t="str">
        <f t="shared" si="13"/>
        <v/>
      </c>
    </row>
    <row r="200" spans="9:9">
      <c r="I200" s="105" t="str">
        <f t="shared" si="13"/>
        <v/>
      </c>
    </row>
    <row r="201" spans="9:9">
      <c r="I201" s="105" t="str">
        <f t="shared" si="13"/>
        <v/>
      </c>
    </row>
    <row r="202" spans="9:9">
      <c r="I202" s="105" t="str">
        <f t="shared" si="13"/>
        <v/>
      </c>
    </row>
    <row r="203" spans="9:9">
      <c r="I203" s="105" t="str">
        <f t="shared" si="13"/>
        <v/>
      </c>
    </row>
    <row r="204" spans="9:9">
      <c r="I204" s="105" t="str">
        <f t="shared" si="13"/>
        <v/>
      </c>
    </row>
    <row r="205" spans="9:9">
      <c r="I205" s="105" t="str">
        <f t="shared" si="13"/>
        <v/>
      </c>
    </row>
    <row r="206" spans="9:9">
      <c r="I206" s="105" t="str">
        <f t="shared" si="13"/>
        <v/>
      </c>
    </row>
    <row r="207" spans="9:9">
      <c r="I207" s="105" t="str">
        <f t="shared" si="13"/>
        <v/>
      </c>
    </row>
    <row r="208" spans="9:9">
      <c r="I208" s="105" t="str">
        <f t="shared" si="13"/>
        <v/>
      </c>
    </row>
    <row r="209" spans="9:9">
      <c r="I209" s="105" t="str">
        <f t="shared" si="13"/>
        <v/>
      </c>
    </row>
    <row r="210" spans="9:9">
      <c r="I210" s="105" t="str">
        <f t="shared" si="13"/>
        <v/>
      </c>
    </row>
    <row r="211" spans="9:9">
      <c r="I211" s="105" t="str">
        <f t="shared" si="13"/>
        <v/>
      </c>
    </row>
    <row r="212" spans="9:9">
      <c r="I212" s="105" t="str">
        <f t="shared" si="13"/>
        <v/>
      </c>
    </row>
    <row r="213" spans="9:9">
      <c r="I213" s="105" t="str">
        <f t="shared" si="13"/>
        <v/>
      </c>
    </row>
    <row r="214" spans="9:9">
      <c r="I214" s="105" t="str">
        <f t="shared" si="13"/>
        <v/>
      </c>
    </row>
    <row r="215" spans="9:9">
      <c r="I215" s="105" t="str">
        <f t="shared" si="13"/>
        <v/>
      </c>
    </row>
    <row r="216" spans="9:9">
      <c r="I216" s="105" t="str">
        <f t="shared" si="13"/>
        <v/>
      </c>
    </row>
    <row r="217" spans="9:9">
      <c r="I217" s="105" t="str">
        <f t="shared" si="13"/>
        <v/>
      </c>
    </row>
    <row r="218" spans="9:9">
      <c r="I218" s="105" t="str">
        <f t="shared" si="13"/>
        <v/>
      </c>
    </row>
    <row r="219" spans="9:9">
      <c r="I219" s="105" t="str">
        <f t="shared" si="13"/>
        <v/>
      </c>
    </row>
    <row r="220" spans="9:9">
      <c r="I220" s="105" t="str">
        <f t="shared" si="13"/>
        <v/>
      </c>
    </row>
    <row r="221" spans="9:9">
      <c r="I221" s="105" t="str">
        <f t="shared" si="13"/>
        <v/>
      </c>
    </row>
    <row r="222" spans="9:9">
      <c r="I222" s="105" t="str">
        <f t="shared" si="13"/>
        <v/>
      </c>
    </row>
    <row r="223" spans="9:9">
      <c r="I223" s="105" t="str">
        <f t="shared" si="13"/>
        <v/>
      </c>
    </row>
    <row r="224" spans="9:9">
      <c r="I224" s="105" t="str">
        <f t="shared" si="13"/>
        <v/>
      </c>
    </row>
    <row r="225" spans="9:9">
      <c r="I225" s="105" t="str">
        <f t="shared" si="13"/>
        <v/>
      </c>
    </row>
    <row r="226" spans="9:9">
      <c r="I226" s="105" t="str">
        <f t="shared" si="13"/>
        <v/>
      </c>
    </row>
    <row r="227" spans="9:9">
      <c r="I227" s="105" t="str">
        <f t="shared" si="13"/>
        <v/>
      </c>
    </row>
    <row r="228" spans="9:9">
      <c r="I228" s="105" t="str">
        <f t="shared" si="13"/>
        <v/>
      </c>
    </row>
    <row r="229" spans="9:9">
      <c r="I229" s="105" t="str">
        <f t="shared" si="13"/>
        <v/>
      </c>
    </row>
    <row r="230" spans="9:9">
      <c r="I230" s="105" t="str">
        <f t="shared" si="13"/>
        <v/>
      </c>
    </row>
    <row r="231" spans="9:9">
      <c r="I231" s="105" t="str">
        <f t="shared" si="13"/>
        <v/>
      </c>
    </row>
    <row r="232" spans="9:9">
      <c r="I232" s="105" t="str">
        <f t="shared" si="13"/>
        <v/>
      </c>
    </row>
    <row r="233" spans="9:9">
      <c r="I233" s="105" t="str">
        <f t="shared" si="13"/>
        <v/>
      </c>
    </row>
    <row r="234" spans="9:9">
      <c r="I234" s="105" t="str">
        <f t="shared" si="13"/>
        <v/>
      </c>
    </row>
    <row r="235" spans="9:9">
      <c r="I235" s="105" t="str">
        <f t="shared" ref="I235:I272" si="14">IF($A235&lt;&gt;"",H235/$B235*100,"")</f>
        <v/>
      </c>
    </row>
    <row r="236" spans="9:9">
      <c r="I236" s="105" t="str">
        <f t="shared" si="14"/>
        <v/>
      </c>
    </row>
    <row r="237" spans="9:9">
      <c r="I237" s="105" t="str">
        <f t="shared" si="14"/>
        <v/>
      </c>
    </row>
    <row r="238" spans="9:9">
      <c r="I238" s="105" t="str">
        <f t="shared" si="14"/>
        <v/>
      </c>
    </row>
    <row r="239" spans="9:9">
      <c r="I239" s="105" t="str">
        <f t="shared" si="14"/>
        <v/>
      </c>
    </row>
    <row r="240" spans="9:9">
      <c r="I240" s="105" t="str">
        <f t="shared" si="14"/>
        <v/>
      </c>
    </row>
    <row r="241" spans="9:9">
      <c r="I241" s="105" t="str">
        <f t="shared" si="14"/>
        <v/>
      </c>
    </row>
    <row r="242" spans="9:9">
      <c r="I242" s="105" t="str">
        <f t="shared" si="14"/>
        <v/>
      </c>
    </row>
    <row r="243" spans="9:9">
      <c r="I243" s="105" t="str">
        <f t="shared" si="14"/>
        <v/>
      </c>
    </row>
    <row r="244" spans="9:9">
      <c r="I244" s="105" t="str">
        <f t="shared" si="14"/>
        <v/>
      </c>
    </row>
    <row r="245" spans="9:9">
      <c r="I245" s="105" t="str">
        <f t="shared" si="14"/>
        <v/>
      </c>
    </row>
    <row r="246" spans="9:9">
      <c r="I246" s="105" t="str">
        <f t="shared" si="14"/>
        <v/>
      </c>
    </row>
    <row r="247" spans="9:9">
      <c r="I247" s="105" t="str">
        <f t="shared" si="14"/>
        <v/>
      </c>
    </row>
    <row r="248" spans="9:9">
      <c r="I248" s="105" t="str">
        <f t="shared" si="14"/>
        <v/>
      </c>
    </row>
    <row r="249" spans="9:9">
      <c r="I249" s="105" t="str">
        <f t="shared" si="14"/>
        <v/>
      </c>
    </row>
    <row r="250" spans="9:9">
      <c r="I250" s="105" t="str">
        <f t="shared" si="14"/>
        <v/>
      </c>
    </row>
    <row r="251" spans="9:9">
      <c r="I251" s="105" t="str">
        <f t="shared" si="14"/>
        <v/>
      </c>
    </row>
    <row r="252" spans="9:9">
      <c r="I252" s="105" t="str">
        <f t="shared" si="14"/>
        <v/>
      </c>
    </row>
    <row r="253" spans="9:9">
      <c r="I253" s="105" t="str">
        <f t="shared" si="14"/>
        <v/>
      </c>
    </row>
    <row r="254" spans="9:9">
      <c r="I254" s="105" t="str">
        <f t="shared" si="14"/>
        <v/>
      </c>
    </row>
    <row r="255" spans="9:9">
      <c r="I255" s="105" t="str">
        <f t="shared" si="14"/>
        <v/>
      </c>
    </row>
    <row r="256" spans="9:9">
      <c r="I256" s="105" t="str">
        <f t="shared" si="14"/>
        <v/>
      </c>
    </row>
    <row r="257" spans="9:9">
      <c r="I257" s="105" t="str">
        <f t="shared" si="14"/>
        <v/>
      </c>
    </row>
    <row r="258" spans="9:9">
      <c r="I258" s="105" t="str">
        <f t="shared" si="14"/>
        <v/>
      </c>
    </row>
    <row r="259" spans="9:9">
      <c r="I259" s="105" t="str">
        <f t="shared" si="14"/>
        <v/>
      </c>
    </row>
    <row r="260" spans="9:9">
      <c r="I260" s="105" t="str">
        <f t="shared" si="14"/>
        <v/>
      </c>
    </row>
    <row r="261" spans="9:9">
      <c r="I261" s="105" t="str">
        <f t="shared" si="14"/>
        <v/>
      </c>
    </row>
    <row r="262" spans="9:9">
      <c r="I262" s="105" t="str">
        <f t="shared" si="14"/>
        <v/>
      </c>
    </row>
    <row r="263" spans="9:9">
      <c r="I263" s="105" t="str">
        <f t="shared" si="14"/>
        <v/>
      </c>
    </row>
    <row r="264" spans="9:9">
      <c r="I264" s="105" t="str">
        <f t="shared" si="14"/>
        <v/>
      </c>
    </row>
    <row r="265" spans="9:9">
      <c r="I265" s="105" t="str">
        <f t="shared" si="14"/>
        <v/>
      </c>
    </row>
    <row r="266" spans="9:9">
      <c r="I266" s="105" t="str">
        <f t="shared" si="14"/>
        <v/>
      </c>
    </row>
    <row r="267" spans="9:9">
      <c r="I267" s="105" t="str">
        <f t="shared" si="14"/>
        <v/>
      </c>
    </row>
    <row r="268" spans="9:9">
      <c r="I268" s="105" t="str">
        <f t="shared" si="14"/>
        <v/>
      </c>
    </row>
    <row r="269" spans="9:9">
      <c r="I269" s="105" t="str">
        <f t="shared" si="14"/>
        <v/>
      </c>
    </row>
    <row r="270" spans="9:9">
      <c r="I270" s="105" t="str">
        <f t="shared" si="14"/>
        <v/>
      </c>
    </row>
    <row r="271" spans="9:9">
      <c r="I271" s="105" t="str">
        <f t="shared" si="14"/>
        <v/>
      </c>
    </row>
    <row r="272" spans="9:9">
      <c r="I272" s="105" t="str">
        <f t="shared" si="14"/>
        <v/>
      </c>
    </row>
    <row r="273" spans="9:9">
      <c r="I273" s="105" t="str">
        <f>IF($A273&lt;&gt;"",H273/$B273*100,"")</f>
        <v/>
      </c>
    </row>
    <row r="274" spans="9:9">
      <c r="I274" s="105" t="str">
        <f>IF($A274&lt;&gt;"",H274/$B274*100,"")</f>
        <v/>
      </c>
    </row>
  </sheetData>
  <mergeCells count="5">
    <mergeCell ref="B7:C7"/>
    <mergeCell ref="E7:F7"/>
    <mergeCell ref="H7:I7"/>
    <mergeCell ref="K7:L7"/>
    <mergeCell ref="N7:O7"/>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tint="-0.249977111117893"/>
  </sheetPr>
  <dimension ref="A1"/>
  <sheetViews>
    <sheetView topLeftCell="A2" workbookViewId="0"/>
  </sheetViews>
  <sheetFormatPr baseColWidth="10" defaultRowHeight="15"/>
  <sheetData/>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38"/>
  <sheetViews>
    <sheetView workbookViewId="0">
      <selection activeCell="A3" sqref="A3"/>
    </sheetView>
  </sheetViews>
  <sheetFormatPr baseColWidth="10" defaultRowHeight="15"/>
  <cols>
    <col min="1" max="1" width="23" customWidth="1"/>
    <col min="2" max="2" width="6.83203125" customWidth="1"/>
    <col min="3" max="4" width="14.5" customWidth="1"/>
    <col min="5" max="5" width="3.6640625" customWidth="1"/>
    <col min="257" max="257" width="23" customWidth="1"/>
    <col min="258" max="258" width="6.83203125" customWidth="1"/>
    <col min="259" max="260" width="14.5" customWidth="1"/>
    <col min="261" max="261" width="3.6640625" customWidth="1"/>
    <col min="513" max="513" width="23" customWidth="1"/>
    <col min="514" max="514" width="6.83203125" customWidth="1"/>
    <col min="515" max="516" width="14.5" customWidth="1"/>
    <col min="517" max="517" width="3.6640625" customWidth="1"/>
    <col min="769" max="769" width="23" customWidth="1"/>
    <col min="770" max="770" width="6.83203125" customWidth="1"/>
    <col min="771" max="772" width="14.5" customWidth="1"/>
    <col min="773" max="773" width="3.6640625" customWidth="1"/>
    <col min="1025" max="1025" width="23" customWidth="1"/>
    <col min="1026" max="1026" width="6.83203125" customWidth="1"/>
    <col min="1027" max="1028" width="14.5" customWidth="1"/>
    <col min="1029" max="1029" width="3.6640625" customWidth="1"/>
    <col min="1281" max="1281" width="23" customWidth="1"/>
    <col min="1282" max="1282" width="6.83203125" customWidth="1"/>
    <col min="1283" max="1284" width="14.5" customWidth="1"/>
    <col min="1285" max="1285" width="3.6640625" customWidth="1"/>
    <col min="1537" max="1537" width="23" customWidth="1"/>
    <col min="1538" max="1538" width="6.83203125" customWidth="1"/>
    <col min="1539" max="1540" width="14.5" customWidth="1"/>
    <col min="1541" max="1541" width="3.6640625" customWidth="1"/>
    <col min="1793" max="1793" width="23" customWidth="1"/>
    <col min="1794" max="1794" width="6.83203125" customWidth="1"/>
    <col min="1795" max="1796" width="14.5" customWidth="1"/>
    <col min="1797" max="1797" width="3.6640625" customWidth="1"/>
    <col min="2049" max="2049" width="23" customWidth="1"/>
    <col min="2050" max="2050" width="6.83203125" customWidth="1"/>
    <col min="2051" max="2052" width="14.5" customWidth="1"/>
    <col min="2053" max="2053" width="3.6640625" customWidth="1"/>
    <col min="2305" max="2305" width="23" customWidth="1"/>
    <col min="2306" max="2306" width="6.83203125" customWidth="1"/>
    <col min="2307" max="2308" width="14.5" customWidth="1"/>
    <col min="2309" max="2309" width="3.6640625" customWidth="1"/>
    <col min="2561" max="2561" width="23" customWidth="1"/>
    <col min="2562" max="2562" width="6.83203125" customWidth="1"/>
    <col min="2563" max="2564" width="14.5" customWidth="1"/>
    <col min="2565" max="2565" width="3.6640625" customWidth="1"/>
    <col min="2817" max="2817" width="23" customWidth="1"/>
    <col min="2818" max="2818" width="6.83203125" customWidth="1"/>
    <col min="2819" max="2820" width="14.5" customWidth="1"/>
    <col min="2821" max="2821" width="3.6640625" customWidth="1"/>
    <col min="3073" max="3073" width="23" customWidth="1"/>
    <col min="3074" max="3074" width="6.83203125" customWidth="1"/>
    <col min="3075" max="3076" width="14.5" customWidth="1"/>
    <col min="3077" max="3077" width="3.6640625" customWidth="1"/>
    <col min="3329" max="3329" width="23" customWidth="1"/>
    <col min="3330" max="3330" width="6.83203125" customWidth="1"/>
    <col min="3331" max="3332" width="14.5" customWidth="1"/>
    <col min="3333" max="3333" width="3.6640625" customWidth="1"/>
    <col min="3585" max="3585" width="23" customWidth="1"/>
    <col min="3586" max="3586" width="6.83203125" customWidth="1"/>
    <col min="3587" max="3588" width="14.5" customWidth="1"/>
    <col min="3589" max="3589" width="3.6640625" customWidth="1"/>
    <col min="3841" max="3841" width="23" customWidth="1"/>
    <col min="3842" max="3842" width="6.83203125" customWidth="1"/>
    <col min="3843" max="3844" width="14.5" customWidth="1"/>
    <col min="3845" max="3845" width="3.6640625" customWidth="1"/>
    <col min="4097" max="4097" width="23" customWidth="1"/>
    <col min="4098" max="4098" width="6.83203125" customWidth="1"/>
    <col min="4099" max="4100" width="14.5" customWidth="1"/>
    <col min="4101" max="4101" width="3.6640625" customWidth="1"/>
    <col min="4353" max="4353" width="23" customWidth="1"/>
    <col min="4354" max="4354" width="6.83203125" customWidth="1"/>
    <col min="4355" max="4356" width="14.5" customWidth="1"/>
    <col min="4357" max="4357" width="3.6640625" customWidth="1"/>
    <col min="4609" max="4609" width="23" customWidth="1"/>
    <col min="4610" max="4610" width="6.83203125" customWidth="1"/>
    <col min="4611" max="4612" width="14.5" customWidth="1"/>
    <col min="4613" max="4613" width="3.6640625" customWidth="1"/>
    <col min="4865" max="4865" width="23" customWidth="1"/>
    <col min="4866" max="4866" width="6.83203125" customWidth="1"/>
    <col min="4867" max="4868" width="14.5" customWidth="1"/>
    <col min="4869" max="4869" width="3.6640625" customWidth="1"/>
    <col min="5121" max="5121" width="23" customWidth="1"/>
    <col min="5122" max="5122" width="6.83203125" customWidth="1"/>
    <col min="5123" max="5124" width="14.5" customWidth="1"/>
    <col min="5125" max="5125" width="3.6640625" customWidth="1"/>
    <col min="5377" max="5377" width="23" customWidth="1"/>
    <col min="5378" max="5378" width="6.83203125" customWidth="1"/>
    <col min="5379" max="5380" width="14.5" customWidth="1"/>
    <col min="5381" max="5381" width="3.6640625" customWidth="1"/>
    <col min="5633" max="5633" width="23" customWidth="1"/>
    <col min="5634" max="5634" width="6.83203125" customWidth="1"/>
    <col min="5635" max="5636" width="14.5" customWidth="1"/>
    <col min="5637" max="5637" width="3.6640625" customWidth="1"/>
    <col min="5889" max="5889" width="23" customWidth="1"/>
    <col min="5890" max="5890" width="6.83203125" customWidth="1"/>
    <col min="5891" max="5892" width="14.5" customWidth="1"/>
    <col min="5893" max="5893" width="3.6640625" customWidth="1"/>
    <col min="6145" max="6145" width="23" customWidth="1"/>
    <col min="6146" max="6146" width="6.83203125" customWidth="1"/>
    <col min="6147" max="6148" width="14.5" customWidth="1"/>
    <col min="6149" max="6149" width="3.6640625" customWidth="1"/>
    <col min="6401" max="6401" width="23" customWidth="1"/>
    <col min="6402" max="6402" width="6.83203125" customWidth="1"/>
    <col min="6403" max="6404" width="14.5" customWidth="1"/>
    <col min="6405" max="6405" width="3.6640625" customWidth="1"/>
    <col min="6657" max="6657" width="23" customWidth="1"/>
    <col min="6658" max="6658" width="6.83203125" customWidth="1"/>
    <col min="6659" max="6660" width="14.5" customWidth="1"/>
    <col min="6661" max="6661" width="3.6640625" customWidth="1"/>
    <col min="6913" max="6913" width="23" customWidth="1"/>
    <col min="6914" max="6914" width="6.83203125" customWidth="1"/>
    <col min="6915" max="6916" width="14.5" customWidth="1"/>
    <col min="6917" max="6917" width="3.6640625" customWidth="1"/>
    <col min="7169" max="7169" width="23" customWidth="1"/>
    <col min="7170" max="7170" width="6.83203125" customWidth="1"/>
    <col min="7171" max="7172" width="14.5" customWidth="1"/>
    <col min="7173" max="7173" width="3.6640625" customWidth="1"/>
    <col min="7425" max="7425" width="23" customWidth="1"/>
    <col min="7426" max="7426" width="6.83203125" customWidth="1"/>
    <col min="7427" max="7428" width="14.5" customWidth="1"/>
    <col min="7429" max="7429" width="3.6640625" customWidth="1"/>
    <col min="7681" max="7681" width="23" customWidth="1"/>
    <col min="7682" max="7682" width="6.83203125" customWidth="1"/>
    <col min="7683" max="7684" width="14.5" customWidth="1"/>
    <col min="7685" max="7685" width="3.6640625" customWidth="1"/>
    <col min="7937" max="7937" width="23" customWidth="1"/>
    <col min="7938" max="7938" width="6.83203125" customWidth="1"/>
    <col min="7939" max="7940" width="14.5" customWidth="1"/>
    <col min="7941" max="7941" width="3.6640625" customWidth="1"/>
    <col min="8193" max="8193" width="23" customWidth="1"/>
    <col min="8194" max="8194" width="6.83203125" customWidth="1"/>
    <col min="8195" max="8196" width="14.5" customWidth="1"/>
    <col min="8197" max="8197" width="3.6640625" customWidth="1"/>
    <col min="8449" max="8449" width="23" customWidth="1"/>
    <col min="8450" max="8450" width="6.83203125" customWidth="1"/>
    <col min="8451" max="8452" width="14.5" customWidth="1"/>
    <col min="8453" max="8453" width="3.6640625" customWidth="1"/>
    <col min="8705" max="8705" width="23" customWidth="1"/>
    <col min="8706" max="8706" width="6.83203125" customWidth="1"/>
    <col min="8707" max="8708" width="14.5" customWidth="1"/>
    <col min="8709" max="8709" width="3.6640625" customWidth="1"/>
    <col min="8961" max="8961" width="23" customWidth="1"/>
    <col min="8962" max="8962" width="6.83203125" customWidth="1"/>
    <col min="8963" max="8964" width="14.5" customWidth="1"/>
    <col min="8965" max="8965" width="3.6640625" customWidth="1"/>
    <col min="9217" max="9217" width="23" customWidth="1"/>
    <col min="9218" max="9218" width="6.83203125" customWidth="1"/>
    <col min="9219" max="9220" width="14.5" customWidth="1"/>
    <col min="9221" max="9221" width="3.6640625" customWidth="1"/>
    <col min="9473" max="9473" width="23" customWidth="1"/>
    <col min="9474" max="9474" width="6.83203125" customWidth="1"/>
    <col min="9475" max="9476" width="14.5" customWidth="1"/>
    <col min="9477" max="9477" width="3.6640625" customWidth="1"/>
    <col min="9729" max="9729" width="23" customWidth="1"/>
    <col min="9730" max="9730" width="6.83203125" customWidth="1"/>
    <col min="9731" max="9732" width="14.5" customWidth="1"/>
    <col min="9733" max="9733" width="3.6640625" customWidth="1"/>
    <col min="9985" max="9985" width="23" customWidth="1"/>
    <col min="9986" max="9986" width="6.83203125" customWidth="1"/>
    <col min="9987" max="9988" width="14.5" customWidth="1"/>
    <col min="9989" max="9989" width="3.6640625" customWidth="1"/>
    <col min="10241" max="10241" width="23" customWidth="1"/>
    <col min="10242" max="10242" width="6.83203125" customWidth="1"/>
    <col min="10243" max="10244" width="14.5" customWidth="1"/>
    <col min="10245" max="10245" width="3.6640625" customWidth="1"/>
    <col min="10497" max="10497" width="23" customWidth="1"/>
    <col min="10498" max="10498" width="6.83203125" customWidth="1"/>
    <col min="10499" max="10500" width="14.5" customWidth="1"/>
    <col min="10501" max="10501" width="3.6640625" customWidth="1"/>
    <col min="10753" max="10753" width="23" customWidth="1"/>
    <col min="10754" max="10754" width="6.83203125" customWidth="1"/>
    <col min="10755" max="10756" width="14.5" customWidth="1"/>
    <col min="10757" max="10757" width="3.6640625" customWidth="1"/>
    <col min="11009" max="11009" width="23" customWidth="1"/>
    <col min="11010" max="11010" width="6.83203125" customWidth="1"/>
    <col min="11011" max="11012" width="14.5" customWidth="1"/>
    <col min="11013" max="11013" width="3.6640625" customWidth="1"/>
    <col min="11265" max="11265" width="23" customWidth="1"/>
    <col min="11266" max="11266" width="6.83203125" customWidth="1"/>
    <col min="11267" max="11268" width="14.5" customWidth="1"/>
    <col min="11269" max="11269" width="3.6640625" customWidth="1"/>
    <col min="11521" max="11521" width="23" customWidth="1"/>
    <col min="11522" max="11522" width="6.83203125" customWidth="1"/>
    <col min="11523" max="11524" width="14.5" customWidth="1"/>
    <col min="11525" max="11525" width="3.6640625" customWidth="1"/>
    <col min="11777" max="11777" width="23" customWidth="1"/>
    <col min="11778" max="11778" width="6.83203125" customWidth="1"/>
    <col min="11779" max="11780" width="14.5" customWidth="1"/>
    <col min="11781" max="11781" width="3.6640625" customWidth="1"/>
    <col min="12033" max="12033" width="23" customWidth="1"/>
    <col min="12034" max="12034" width="6.83203125" customWidth="1"/>
    <col min="12035" max="12036" width="14.5" customWidth="1"/>
    <col min="12037" max="12037" width="3.6640625" customWidth="1"/>
    <col min="12289" max="12289" width="23" customWidth="1"/>
    <col min="12290" max="12290" width="6.83203125" customWidth="1"/>
    <col min="12291" max="12292" width="14.5" customWidth="1"/>
    <col min="12293" max="12293" width="3.6640625" customWidth="1"/>
    <col min="12545" max="12545" width="23" customWidth="1"/>
    <col min="12546" max="12546" width="6.83203125" customWidth="1"/>
    <col min="12547" max="12548" width="14.5" customWidth="1"/>
    <col min="12549" max="12549" width="3.6640625" customWidth="1"/>
    <col min="12801" max="12801" width="23" customWidth="1"/>
    <col min="12802" max="12802" width="6.83203125" customWidth="1"/>
    <col min="12803" max="12804" width="14.5" customWidth="1"/>
    <col min="12805" max="12805" width="3.6640625" customWidth="1"/>
    <col min="13057" max="13057" width="23" customWidth="1"/>
    <col min="13058" max="13058" width="6.83203125" customWidth="1"/>
    <col min="13059" max="13060" width="14.5" customWidth="1"/>
    <col min="13061" max="13061" width="3.6640625" customWidth="1"/>
    <col min="13313" max="13313" width="23" customWidth="1"/>
    <col min="13314" max="13314" width="6.83203125" customWidth="1"/>
    <col min="13315" max="13316" width="14.5" customWidth="1"/>
    <col min="13317" max="13317" width="3.6640625" customWidth="1"/>
    <col min="13569" max="13569" width="23" customWidth="1"/>
    <col min="13570" max="13570" width="6.83203125" customWidth="1"/>
    <col min="13571" max="13572" width="14.5" customWidth="1"/>
    <col min="13573" max="13573" width="3.6640625" customWidth="1"/>
    <col min="13825" max="13825" width="23" customWidth="1"/>
    <col min="13826" max="13826" width="6.83203125" customWidth="1"/>
    <col min="13827" max="13828" width="14.5" customWidth="1"/>
    <col min="13829" max="13829" width="3.6640625" customWidth="1"/>
    <col min="14081" max="14081" width="23" customWidth="1"/>
    <col min="14082" max="14082" width="6.83203125" customWidth="1"/>
    <col min="14083" max="14084" width="14.5" customWidth="1"/>
    <col min="14085" max="14085" width="3.6640625" customWidth="1"/>
    <col min="14337" max="14337" width="23" customWidth="1"/>
    <col min="14338" max="14338" width="6.83203125" customWidth="1"/>
    <col min="14339" max="14340" width="14.5" customWidth="1"/>
    <col min="14341" max="14341" width="3.6640625" customWidth="1"/>
    <col min="14593" max="14593" width="23" customWidth="1"/>
    <col min="14594" max="14594" width="6.83203125" customWidth="1"/>
    <col min="14595" max="14596" width="14.5" customWidth="1"/>
    <col min="14597" max="14597" width="3.6640625" customWidth="1"/>
    <col min="14849" max="14849" width="23" customWidth="1"/>
    <col min="14850" max="14850" width="6.83203125" customWidth="1"/>
    <col min="14851" max="14852" width="14.5" customWidth="1"/>
    <col min="14853" max="14853" width="3.6640625" customWidth="1"/>
    <col min="15105" max="15105" width="23" customWidth="1"/>
    <col min="15106" max="15106" width="6.83203125" customWidth="1"/>
    <col min="15107" max="15108" width="14.5" customWidth="1"/>
    <col min="15109" max="15109" width="3.6640625" customWidth="1"/>
    <col min="15361" max="15361" width="23" customWidth="1"/>
    <col min="15362" max="15362" width="6.83203125" customWidth="1"/>
    <col min="15363" max="15364" width="14.5" customWidth="1"/>
    <col min="15365" max="15365" width="3.6640625" customWidth="1"/>
    <col min="15617" max="15617" width="23" customWidth="1"/>
    <col min="15618" max="15618" width="6.83203125" customWidth="1"/>
    <col min="15619" max="15620" width="14.5" customWidth="1"/>
    <col min="15621" max="15621" width="3.6640625" customWidth="1"/>
    <col min="15873" max="15873" width="23" customWidth="1"/>
    <col min="15874" max="15874" width="6.83203125" customWidth="1"/>
    <col min="15875" max="15876" width="14.5" customWidth="1"/>
    <col min="15877" max="15877" width="3.6640625" customWidth="1"/>
    <col min="16129" max="16129" width="23"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2061</v>
      </c>
      <c r="B4" s="387"/>
      <c r="C4" s="387"/>
      <c r="D4" s="505"/>
      <c r="E4" s="505"/>
    </row>
    <row r="5" spans="1:5" ht="16">
      <c r="A5" s="387" t="s">
        <v>2066</v>
      </c>
      <c r="B5" s="387"/>
      <c r="C5" s="387"/>
      <c r="D5" s="505"/>
      <c r="E5" s="505"/>
    </row>
    <row r="6" spans="1:5" ht="16">
      <c r="A6" s="503" t="s">
        <v>2067</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229</v>
      </c>
      <c r="D13" s="896">
        <f>SUM(D15:D33)</f>
        <v>100</v>
      </c>
      <c r="E13" s="388"/>
    </row>
    <row r="14" spans="1:5" ht="18" customHeight="1">
      <c r="A14" s="500"/>
      <c r="B14" s="388"/>
      <c r="C14" s="500"/>
      <c r="D14" s="896"/>
      <c r="E14" s="388"/>
    </row>
    <row r="15" spans="1:5" ht="18" hidden="1" customHeight="1">
      <c r="A15" s="466" t="s">
        <v>1476</v>
      </c>
      <c r="B15" s="388"/>
      <c r="C15" s="500"/>
      <c r="D15" s="896">
        <f>IF(A15&lt;&gt;0,C15/$C$13*100,"")</f>
        <v>0</v>
      </c>
      <c r="E15" s="388"/>
    </row>
    <row r="16" spans="1:5" ht="18" hidden="1" customHeight="1">
      <c r="B16" s="41"/>
      <c r="C16" s="500"/>
      <c r="D16" s="896" t="str">
        <f t="shared" ref="D16:D33" si="0">IF(A16&lt;&gt;0,C16/$C$13*100,"")</f>
        <v/>
      </c>
      <c r="E16" s="388"/>
    </row>
    <row r="17" spans="1:5" ht="18" hidden="1" customHeight="1">
      <c r="A17" s="466" t="s">
        <v>1053</v>
      </c>
      <c r="B17" s="41"/>
      <c r="C17" s="500"/>
      <c r="D17" s="896">
        <f t="shared" si="0"/>
        <v>0</v>
      </c>
      <c r="E17" s="388"/>
    </row>
    <row r="18" spans="1:5" ht="18" hidden="1" customHeight="1">
      <c r="B18" s="41"/>
      <c r="C18" s="500"/>
      <c r="D18" s="896" t="str">
        <f t="shared" si="0"/>
        <v/>
      </c>
      <c r="E18" s="388"/>
    </row>
    <row r="19" spans="1:5" ht="18" customHeight="1">
      <c r="A19" s="512" t="s">
        <v>2055</v>
      </c>
      <c r="B19" s="41"/>
      <c r="C19" s="500">
        <v>20</v>
      </c>
      <c r="D19" s="896">
        <f t="shared" si="0"/>
        <v>8.7336244541484707</v>
      </c>
      <c r="E19" s="388"/>
    </row>
    <row r="20" spans="1:5" ht="18" customHeight="1">
      <c r="A20" s="512"/>
      <c r="B20" s="41"/>
      <c r="C20" s="500"/>
      <c r="D20" s="896" t="str">
        <f t="shared" si="0"/>
        <v/>
      </c>
      <c r="E20" s="388"/>
    </row>
    <row r="21" spans="1:5" ht="18" customHeight="1">
      <c r="A21" s="512" t="s">
        <v>2054</v>
      </c>
      <c r="B21" s="41"/>
      <c r="C21" s="500">
        <v>18</v>
      </c>
      <c r="D21" s="896">
        <f t="shared" si="0"/>
        <v>7.860262008733625</v>
      </c>
      <c r="E21" s="388"/>
    </row>
    <row r="22" spans="1:5" ht="18" customHeight="1">
      <c r="A22" s="512"/>
      <c r="B22" s="41"/>
      <c r="C22" s="500"/>
      <c r="D22" s="896" t="str">
        <f t="shared" si="0"/>
        <v/>
      </c>
      <c r="E22" s="388"/>
    </row>
    <row r="23" spans="1:5" ht="18" customHeight="1">
      <c r="A23" s="512" t="s">
        <v>2053</v>
      </c>
      <c r="B23" s="41"/>
      <c r="C23" s="500">
        <v>12</v>
      </c>
      <c r="D23" s="896">
        <f t="shared" si="0"/>
        <v>5.2401746724890828</v>
      </c>
      <c r="E23" s="388"/>
    </row>
    <row r="24" spans="1:5" ht="18" customHeight="1">
      <c r="A24" s="512"/>
      <c r="B24" s="41"/>
      <c r="C24" s="500"/>
      <c r="D24" s="896" t="str">
        <f t="shared" si="0"/>
        <v/>
      </c>
      <c r="E24" s="388"/>
    </row>
    <row r="25" spans="1:5" ht="18" customHeight="1">
      <c r="A25" s="512" t="s">
        <v>2052</v>
      </c>
      <c r="B25" s="41"/>
      <c r="C25" s="500">
        <v>30</v>
      </c>
      <c r="D25" s="896">
        <f t="shared" si="0"/>
        <v>13.100436681222707</v>
      </c>
      <c r="E25" s="388"/>
    </row>
    <row r="26" spans="1:5" ht="18" customHeight="1">
      <c r="A26" s="512"/>
      <c r="B26" s="41"/>
      <c r="C26" s="500"/>
      <c r="D26" s="896" t="str">
        <f t="shared" si="0"/>
        <v/>
      </c>
      <c r="E26" s="388"/>
    </row>
    <row r="27" spans="1:5" ht="14.25" customHeight="1">
      <c r="A27" s="512" t="s">
        <v>2062</v>
      </c>
      <c r="B27" s="41"/>
      <c r="C27" s="500">
        <v>63</v>
      </c>
      <c r="D27" s="896">
        <f t="shared" si="0"/>
        <v>27.510917030567683</v>
      </c>
      <c r="E27" s="388"/>
    </row>
    <row r="28" spans="1:5" ht="16">
      <c r="A28" s="512"/>
      <c r="B28" s="41"/>
      <c r="C28" s="500"/>
      <c r="D28" s="896" t="str">
        <f t="shared" si="0"/>
        <v/>
      </c>
      <c r="E28" s="388"/>
    </row>
    <row r="29" spans="1:5" ht="16">
      <c r="A29" s="512" t="s">
        <v>2063</v>
      </c>
      <c r="B29" s="41"/>
      <c r="C29" s="500">
        <v>4</v>
      </c>
      <c r="D29" s="896">
        <f t="shared" si="0"/>
        <v>1.7467248908296942</v>
      </c>
      <c r="E29" s="388"/>
    </row>
    <row r="30" spans="1:5" ht="16">
      <c r="A30" s="512"/>
      <c r="B30" s="41"/>
      <c r="C30" s="500"/>
      <c r="D30" s="896" t="str">
        <f t="shared" si="0"/>
        <v/>
      </c>
      <c r="E30" s="388"/>
    </row>
    <row r="31" spans="1:5" ht="16">
      <c r="A31" s="512" t="s">
        <v>2064</v>
      </c>
      <c r="B31" s="41"/>
      <c r="C31" s="500">
        <v>2</v>
      </c>
      <c r="D31" s="896">
        <f t="shared" si="0"/>
        <v>0.87336244541484709</v>
      </c>
      <c r="E31" s="388"/>
    </row>
    <row r="32" spans="1:5" ht="16">
      <c r="A32" s="512"/>
      <c r="B32" s="41"/>
      <c r="C32" s="500"/>
      <c r="D32" s="896" t="str">
        <f t="shared" si="0"/>
        <v/>
      </c>
      <c r="E32" s="388"/>
    </row>
    <row r="33" spans="1:5" ht="16">
      <c r="A33" s="512" t="s">
        <v>2065</v>
      </c>
      <c r="B33" s="41"/>
      <c r="C33" s="500">
        <v>80</v>
      </c>
      <c r="D33" s="896">
        <f t="shared" si="0"/>
        <v>34.934497816593883</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E47"/>
  <sheetViews>
    <sheetView workbookViewId="0">
      <selection activeCell="A3" sqref="A3"/>
    </sheetView>
  </sheetViews>
  <sheetFormatPr baseColWidth="10" defaultColWidth="8.83203125" defaultRowHeight="15"/>
  <cols>
    <col min="1" max="1" width="37.5" style="422" customWidth="1"/>
    <col min="2" max="2" width="3.33203125" style="422" customWidth="1"/>
    <col min="3" max="3" width="15" style="62" customWidth="1"/>
    <col min="4" max="4" width="17.5" style="3" customWidth="1"/>
    <col min="5" max="5" width="3.6640625" style="422" customWidth="1"/>
    <col min="6" max="256" width="8.83203125" style="422"/>
    <col min="257" max="257" width="37.5" style="422" customWidth="1"/>
    <col min="258" max="258" width="3.33203125" style="422" customWidth="1"/>
    <col min="259" max="259" width="15" style="422" customWidth="1"/>
    <col min="260" max="260" width="17.5" style="422" customWidth="1"/>
    <col min="261" max="261" width="3.6640625" style="422" customWidth="1"/>
    <col min="262" max="512" width="8.83203125" style="422"/>
    <col min="513" max="513" width="37.5" style="422" customWidth="1"/>
    <col min="514" max="514" width="3.33203125" style="422" customWidth="1"/>
    <col min="515" max="515" width="15" style="422" customWidth="1"/>
    <col min="516" max="516" width="17.5" style="422" customWidth="1"/>
    <col min="517" max="517" width="3.6640625" style="422" customWidth="1"/>
    <col min="518" max="768" width="8.83203125" style="422"/>
    <col min="769" max="769" width="37.5" style="422" customWidth="1"/>
    <col min="770" max="770" width="3.33203125" style="422" customWidth="1"/>
    <col min="771" max="771" width="15" style="422" customWidth="1"/>
    <col min="772" max="772" width="17.5" style="422" customWidth="1"/>
    <col min="773" max="773" width="3.6640625" style="422" customWidth="1"/>
    <col min="774" max="1024" width="8.83203125" style="422"/>
    <col min="1025" max="1025" width="37.5" style="422" customWidth="1"/>
    <col min="1026" max="1026" width="3.33203125" style="422" customWidth="1"/>
    <col min="1027" max="1027" width="15" style="422" customWidth="1"/>
    <col min="1028" max="1028" width="17.5" style="422" customWidth="1"/>
    <col min="1029" max="1029" width="3.6640625" style="422" customWidth="1"/>
    <col min="1030" max="1280" width="8.83203125" style="422"/>
    <col min="1281" max="1281" width="37.5" style="422" customWidth="1"/>
    <col min="1282" max="1282" width="3.33203125" style="422" customWidth="1"/>
    <col min="1283" max="1283" width="15" style="422" customWidth="1"/>
    <col min="1284" max="1284" width="17.5" style="422" customWidth="1"/>
    <col min="1285" max="1285" width="3.6640625" style="422" customWidth="1"/>
    <col min="1286" max="1536" width="8.83203125" style="422"/>
    <col min="1537" max="1537" width="37.5" style="422" customWidth="1"/>
    <col min="1538" max="1538" width="3.33203125" style="422" customWidth="1"/>
    <col min="1539" max="1539" width="15" style="422" customWidth="1"/>
    <col min="1540" max="1540" width="17.5" style="422" customWidth="1"/>
    <col min="1541" max="1541" width="3.6640625" style="422" customWidth="1"/>
    <col min="1542" max="1792" width="8.83203125" style="422"/>
    <col min="1793" max="1793" width="37.5" style="422" customWidth="1"/>
    <col min="1794" max="1794" width="3.33203125" style="422" customWidth="1"/>
    <col min="1795" max="1795" width="15" style="422" customWidth="1"/>
    <col min="1796" max="1796" width="17.5" style="422" customWidth="1"/>
    <col min="1797" max="1797" width="3.6640625" style="422" customWidth="1"/>
    <col min="1798" max="2048" width="8.83203125" style="422"/>
    <col min="2049" max="2049" width="37.5" style="422" customWidth="1"/>
    <col min="2050" max="2050" width="3.33203125" style="422" customWidth="1"/>
    <col min="2051" max="2051" width="15" style="422" customWidth="1"/>
    <col min="2052" max="2052" width="17.5" style="422" customWidth="1"/>
    <col min="2053" max="2053" width="3.6640625" style="422" customWidth="1"/>
    <col min="2054" max="2304" width="8.83203125" style="422"/>
    <col min="2305" max="2305" width="37.5" style="422" customWidth="1"/>
    <col min="2306" max="2306" width="3.33203125" style="422" customWidth="1"/>
    <col min="2307" max="2307" width="15" style="422" customWidth="1"/>
    <col min="2308" max="2308" width="17.5" style="422" customWidth="1"/>
    <col min="2309" max="2309" width="3.6640625" style="422" customWidth="1"/>
    <col min="2310" max="2560" width="8.83203125" style="422"/>
    <col min="2561" max="2561" width="37.5" style="422" customWidth="1"/>
    <col min="2562" max="2562" width="3.33203125" style="422" customWidth="1"/>
    <col min="2563" max="2563" width="15" style="422" customWidth="1"/>
    <col min="2564" max="2564" width="17.5" style="422" customWidth="1"/>
    <col min="2565" max="2565" width="3.6640625" style="422" customWidth="1"/>
    <col min="2566" max="2816" width="8.83203125" style="422"/>
    <col min="2817" max="2817" width="37.5" style="422" customWidth="1"/>
    <col min="2818" max="2818" width="3.33203125" style="422" customWidth="1"/>
    <col min="2819" max="2819" width="15" style="422" customWidth="1"/>
    <col min="2820" max="2820" width="17.5" style="422" customWidth="1"/>
    <col min="2821" max="2821" width="3.6640625" style="422" customWidth="1"/>
    <col min="2822" max="3072" width="8.83203125" style="422"/>
    <col min="3073" max="3073" width="37.5" style="422" customWidth="1"/>
    <col min="3074" max="3074" width="3.33203125" style="422" customWidth="1"/>
    <col min="3075" max="3075" width="15" style="422" customWidth="1"/>
    <col min="3076" max="3076" width="17.5" style="422" customWidth="1"/>
    <col min="3077" max="3077" width="3.6640625" style="422" customWidth="1"/>
    <col min="3078" max="3328" width="8.83203125" style="422"/>
    <col min="3329" max="3329" width="37.5" style="422" customWidth="1"/>
    <col min="3330" max="3330" width="3.33203125" style="422" customWidth="1"/>
    <col min="3331" max="3331" width="15" style="422" customWidth="1"/>
    <col min="3332" max="3332" width="17.5" style="422" customWidth="1"/>
    <col min="3333" max="3333" width="3.6640625" style="422" customWidth="1"/>
    <col min="3334" max="3584" width="8.83203125" style="422"/>
    <col min="3585" max="3585" width="37.5" style="422" customWidth="1"/>
    <col min="3586" max="3586" width="3.33203125" style="422" customWidth="1"/>
    <col min="3587" max="3587" width="15" style="422" customWidth="1"/>
    <col min="3588" max="3588" width="17.5" style="422" customWidth="1"/>
    <col min="3589" max="3589" width="3.6640625" style="422" customWidth="1"/>
    <col min="3590" max="3840" width="8.83203125" style="422"/>
    <col min="3841" max="3841" width="37.5" style="422" customWidth="1"/>
    <col min="3842" max="3842" width="3.33203125" style="422" customWidth="1"/>
    <col min="3843" max="3843" width="15" style="422" customWidth="1"/>
    <col min="3844" max="3844" width="17.5" style="422" customWidth="1"/>
    <col min="3845" max="3845" width="3.6640625" style="422" customWidth="1"/>
    <col min="3846" max="4096" width="8.83203125" style="422"/>
    <col min="4097" max="4097" width="37.5" style="422" customWidth="1"/>
    <col min="4098" max="4098" width="3.33203125" style="422" customWidth="1"/>
    <col min="4099" max="4099" width="15" style="422" customWidth="1"/>
    <col min="4100" max="4100" width="17.5" style="422" customWidth="1"/>
    <col min="4101" max="4101" width="3.6640625" style="422" customWidth="1"/>
    <col min="4102" max="4352" width="8.83203125" style="422"/>
    <col min="4353" max="4353" width="37.5" style="422" customWidth="1"/>
    <col min="4354" max="4354" width="3.33203125" style="422" customWidth="1"/>
    <col min="4355" max="4355" width="15" style="422" customWidth="1"/>
    <col min="4356" max="4356" width="17.5" style="422" customWidth="1"/>
    <col min="4357" max="4357" width="3.6640625" style="422" customWidth="1"/>
    <col min="4358" max="4608" width="8.83203125" style="422"/>
    <col min="4609" max="4609" width="37.5" style="422" customWidth="1"/>
    <col min="4610" max="4610" width="3.33203125" style="422" customWidth="1"/>
    <col min="4611" max="4611" width="15" style="422" customWidth="1"/>
    <col min="4612" max="4612" width="17.5" style="422" customWidth="1"/>
    <col min="4613" max="4613" width="3.6640625" style="422" customWidth="1"/>
    <col min="4614" max="4864" width="8.83203125" style="422"/>
    <col min="4865" max="4865" width="37.5" style="422" customWidth="1"/>
    <col min="4866" max="4866" width="3.33203125" style="422" customWidth="1"/>
    <col min="4867" max="4867" width="15" style="422" customWidth="1"/>
    <col min="4868" max="4868" width="17.5" style="422" customWidth="1"/>
    <col min="4869" max="4869" width="3.6640625" style="422" customWidth="1"/>
    <col min="4870" max="5120" width="8.83203125" style="422"/>
    <col min="5121" max="5121" width="37.5" style="422" customWidth="1"/>
    <col min="5122" max="5122" width="3.33203125" style="422" customWidth="1"/>
    <col min="5123" max="5123" width="15" style="422" customWidth="1"/>
    <col min="5124" max="5124" width="17.5" style="422" customWidth="1"/>
    <col min="5125" max="5125" width="3.6640625" style="422" customWidth="1"/>
    <col min="5126" max="5376" width="8.83203125" style="422"/>
    <col min="5377" max="5377" width="37.5" style="422" customWidth="1"/>
    <col min="5378" max="5378" width="3.33203125" style="422" customWidth="1"/>
    <col min="5379" max="5379" width="15" style="422" customWidth="1"/>
    <col min="5380" max="5380" width="17.5" style="422" customWidth="1"/>
    <col min="5381" max="5381" width="3.6640625" style="422" customWidth="1"/>
    <col min="5382" max="5632" width="8.83203125" style="422"/>
    <col min="5633" max="5633" width="37.5" style="422" customWidth="1"/>
    <col min="5634" max="5634" width="3.33203125" style="422" customWidth="1"/>
    <col min="5635" max="5635" width="15" style="422" customWidth="1"/>
    <col min="5636" max="5636" width="17.5" style="422" customWidth="1"/>
    <col min="5637" max="5637" width="3.6640625" style="422" customWidth="1"/>
    <col min="5638" max="5888" width="8.83203125" style="422"/>
    <col min="5889" max="5889" width="37.5" style="422" customWidth="1"/>
    <col min="5890" max="5890" width="3.33203125" style="422" customWidth="1"/>
    <col min="5891" max="5891" width="15" style="422" customWidth="1"/>
    <col min="5892" max="5892" width="17.5" style="422" customWidth="1"/>
    <col min="5893" max="5893" width="3.6640625" style="422" customWidth="1"/>
    <col min="5894" max="6144" width="8.83203125" style="422"/>
    <col min="6145" max="6145" width="37.5" style="422" customWidth="1"/>
    <col min="6146" max="6146" width="3.33203125" style="422" customWidth="1"/>
    <col min="6147" max="6147" width="15" style="422" customWidth="1"/>
    <col min="6148" max="6148" width="17.5" style="422" customWidth="1"/>
    <col min="6149" max="6149" width="3.6640625" style="422" customWidth="1"/>
    <col min="6150" max="6400" width="8.83203125" style="422"/>
    <col min="6401" max="6401" width="37.5" style="422" customWidth="1"/>
    <col min="6402" max="6402" width="3.33203125" style="422" customWidth="1"/>
    <col min="6403" max="6403" width="15" style="422" customWidth="1"/>
    <col min="6404" max="6404" width="17.5" style="422" customWidth="1"/>
    <col min="6405" max="6405" width="3.6640625" style="422" customWidth="1"/>
    <col min="6406" max="6656" width="8.83203125" style="422"/>
    <col min="6657" max="6657" width="37.5" style="422" customWidth="1"/>
    <col min="6658" max="6658" width="3.33203125" style="422" customWidth="1"/>
    <col min="6659" max="6659" width="15" style="422" customWidth="1"/>
    <col min="6660" max="6660" width="17.5" style="422" customWidth="1"/>
    <col min="6661" max="6661" width="3.6640625" style="422" customWidth="1"/>
    <col min="6662" max="6912" width="8.83203125" style="422"/>
    <col min="6913" max="6913" width="37.5" style="422" customWidth="1"/>
    <col min="6914" max="6914" width="3.33203125" style="422" customWidth="1"/>
    <col min="6915" max="6915" width="15" style="422" customWidth="1"/>
    <col min="6916" max="6916" width="17.5" style="422" customWidth="1"/>
    <col min="6917" max="6917" width="3.6640625" style="422" customWidth="1"/>
    <col min="6918" max="7168" width="8.83203125" style="422"/>
    <col min="7169" max="7169" width="37.5" style="422" customWidth="1"/>
    <col min="7170" max="7170" width="3.33203125" style="422" customWidth="1"/>
    <col min="7171" max="7171" width="15" style="422" customWidth="1"/>
    <col min="7172" max="7172" width="17.5" style="422" customWidth="1"/>
    <col min="7173" max="7173" width="3.6640625" style="422" customWidth="1"/>
    <col min="7174" max="7424" width="8.83203125" style="422"/>
    <col min="7425" max="7425" width="37.5" style="422" customWidth="1"/>
    <col min="7426" max="7426" width="3.33203125" style="422" customWidth="1"/>
    <col min="7427" max="7427" width="15" style="422" customWidth="1"/>
    <col min="7428" max="7428" width="17.5" style="422" customWidth="1"/>
    <col min="7429" max="7429" width="3.6640625" style="422" customWidth="1"/>
    <col min="7430" max="7680" width="8.83203125" style="422"/>
    <col min="7681" max="7681" width="37.5" style="422" customWidth="1"/>
    <col min="7682" max="7682" width="3.33203125" style="422" customWidth="1"/>
    <col min="7683" max="7683" width="15" style="422" customWidth="1"/>
    <col min="7684" max="7684" width="17.5" style="422" customWidth="1"/>
    <col min="7685" max="7685" width="3.6640625" style="422" customWidth="1"/>
    <col min="7686" max="7936" width="8.83203125" style="422"/>
    <col min="7937" max="7937" width="37.5" style="422" customWidth="1"/>
    <col min="7938" max="7938" width="3.33203125" style="422" customWidth="1"/>
    <col min="7939" max="7939" width="15" style="422" customWidth="1"/>
    <col min="7940" max="7940" width="17.5" style="422" customWidth="1"/>
    <col min="7941" max="7941" width="3.6640625" style="422" customWidth="1"/>
    <col min="7942" max="8192" width="8.83203125" style="422"/>
    <col min="8193" max="8193" width="37.5" style="422" customWidth="1"/>
    <col min="8194" max="8194" width="3.33203125" style="422" customWidth="1"/>
    <col min="8195" max="8195" width="15" style="422" customWidth="1"/>
    <col min="8196" max="8196" width="17.5" style="422" customWidth="1"/>
    <col min="8197" max="8197" width="3.6640625" style="422" customWidth="1"/>
    <col min="8198" max="8448" width="8.83203125" style="422"/>
    <col min="8449" max="8449" width="37.5" style="422" customWidth="1"/>
    <col min="8450" max="8450" width="3.33203125" style="422" customWidth="1"/>
    <col min="8451" max="8451" width="15" style="422" customWidth="1"/>
    <col min="8452" max="8452" width="17.5" style="422" customWidth="1"/>
    <col min="8453" max="8453" width="3.6640625" style="422" customWidth="1"/>
    <col min="8454" max="8704" width="8.83203125" style="422"/>
    <col min="8705" max="8705" width="37.5" style="422" customWidth="1"/>
    <col min="8706" max="8706" width="3.33203125" style="422" customWidth="1"/>
    <col min="8707" max="8707" width="15" style="422" customWidth="1"/>
    <col min="8708" max="8708" width="17.5" style="422" customWidth="1"/>
    <col min="8709" max="8709" width="3.6640625" style="422" customWidth="1"/>
    <col min="8710" max="8960" width="8.83203125" style="422"/>
    <col min="8961" max="8961" width="37.5" style="422" customWidth="1"/>
    <col min="8962" max="8962" width="3.33203125" style="422" customWidth="1"/>
    <col min="8963" max="8963" width="15" style="422" customWidth="1"/>
    <col min="8964" max="8964" width="17.5" style="422" customWidth="1"/>
    <col min="8965" max="8965" width="3.6640625" style="422" customWidth="1"/>
    <col min="8966" max="9216" width="8.83203125" style="422"/>
    <col min="9217" max="9217" width="37.5" style="422" customWidth="1"/>
    <col min="9218" max="9218" width="3.33203125" style="422" customWidth="1"/>
    <col min="9219" max="9219" width="15" style="422" customWidth="1"/>
    <col min="9220" max="9220" width="17.5" style="422" customWidth="1"/>
    <col min="9221" max="9221" width="3.6640625" style="422" customWidth="1"/>
    <col min="9222" max="9472" width="8.83203125" style="422"/>
    <col min="9473" max="9473" width="37.5" style="422" customWidth="1"/>
    <col min="9474" max="9474" width="3.33203125" style="422" customWidth="1"/>
    <col min="9475" max="9475" width="15" style="422" customWidth="1"/>
    <col min="9476" max="9476" width="17.5" style="422" customWidth="1"/>
    <col min="9477" max="9477" width="3.6640625" style="422" customWidth="1"/>
    <col min="9478" max="9728" width="8.83203125" style="422"/>
    <col min="9729" max="9729" width="37.5" style="422" customWidth="1"/>
    <col min="9730" max="9730" width="3.33203125" style="422" customWidth="1"/>
    <col min="9731" max="9731" width="15" style="422" customWidth="1"/>
    <col min="9732" max="9732" width="17.5" style="422" customWidth="1"/>
    <col min="9733" max="9733" width="3.6640625" style="422" customWidth="1"/>
    <col min="9734" max="9984" width="8.83203125" style="422"/>
    <col min="9985" max="9985" width="37.5" style="422" customWidth="1"/>
    <col min="9986" max="9986" width="3.33203125" style="422" customWidth="1"/>
    <col min="9987" max="9987" width="15" style="422" customWidth="1"/>
    <col min="9988" max="9988" width="17.5" style="422" customWidth="1"/>
    <col min="9989" max="9989" width="3.6640625" style="422" customWidth="1"/>
    <col min="9990" max="10240" width="8.83203125" style="422"/>
    <col min="10241" max="10241" width="37.5" style="422" customWidth="1"/>
    <col min="10242" max="10242" width="3.33203125" style="422" customWidth="1"/>
    <col min="10243" max="10243" width="15" style="422" customWidth="1"/>
    <col min="10244" max="10244" width="17.5" style="422" customWidth="1"/>
    <col min="10245" max="10245" width="3.6640625" style="422" customWidth="1"/>
    <col min="10246" max="10496" width="8.83203125" style="422"/>
    <col min="10497" max="10497" width="37.5" style="422" customWidth="1"/>
    <col min="10498" max="10498" width="3.33203125" style="422" customWidth="1"/>
    <col min="10499" max="10499" width="15" style="422" customWidth="1"/>
    <col min="10500" max="10500" width="17.5" style="422" customWidth="1"/>
    <col min="10501" max="10501" width="3.6640625" style="422" customWidth="1"/>
    <col min="10502" max="10752" width="8.83203125" style="422"/>
    <col min="10753" max="10753" width="37.5" style="422" customWidth="1"/>
    <col min="10754" max="10754" width="3.33203125" style="422" customWidth="1"/>
    <col min="10755" max="10755" width="15" style="422" customWidth="1"/>
    <col min="10756" max="10756" width="17.5" style="422" customWidth="1"/>
    <col min="10757" max="10757" width="3.6640625" style="422" customWidth="1"/>
    <col min="10758" max="11008" width="8.83203125" style="422"/>
    <col min="11009" max="11009" width="37.5" style="422" customWidth="1"/>
    <col min="11010" max="11010" width="3.33203125" style="422" customWidth="1"/>
    <col min="11011" max="11011" width="15" style="422" customWidth="1"/>
    <col min="11012" max="11012" width="17.5" style="422" customWidth="1"/>
    <col min="11013" max="11013" width="3.6640625" style="422" customWidth="1"/>
    <col min="11014" max="11264" width="8.83203125" style="422"/>
    <col min="11265" max="11265" width="37.5" style="422" customWidth="1"/>
    <col min="11266" max="11266" width="3.33203125" style="422" customWidth="1"/>
    <col min="11267" max="11267" width="15" style="422" customWidth="1"/>
    <col min="11268" max="11268" width="17.5" style="422" customWidth="1"/>
    <col min="11269" max="11269" width="3.6640625" style="422" customWidth="1"/>
    <col min="11270" max="11520" width="8.83203125" style="422"/>
    <col min="11521" max="11521" width="37.5" style="422" customWidth="1"/>
    <col min="11522" max="11522" width="3.33203125" style="422" customWidth="1"/>
    <col min="11523" max="11523" width="15" style="422" customWidth="1"/>
    <col min="11524" max="11524" width="17.5" style="422" customWidth="1"/>
    <col min="11525" max="11525" width="3.6640625" style="422" customWidth="1"/>
    <col min="11526" max="11776" width="8.83203125" style="422"/>
    <col min="11777" max="11777" width="37.5" style="422" customWidth="1"/>
    <col min="11778" max="11778" width="3.33203125" style="422" customWidth="1"/>
    <col min="11779" max="11779" width="15" style="422" customWidth="1"/>
    <col min="11780" max="11780" width="17.5" style="422" customWidth="1"/>
    <col min="11781" max="11781" width="3.6640625" style="422" customWidth="1"/>
    <col min="11782" max="12032" width="8.83203125" style="422"/>
    <col min="12033" max="12033" width="37.5" style="422" customWidth="1"/>
    <col min="12034" max="12034" width="3.33203125" style="422" customWidth="1"/>
    <col min="12035" max="12035" width="15" style="422" customWidth="1"/>
    <col min="12036" max="12036" width="17.5" style="422" customWidth="1"/>
    <col min="12037" max="12037" width="3.6640625" style="422" customWidth="1"/>
    <col min="12038" max="12288" width="8.83203125" style="422"/>
    <col min="12289" max="12289" width="37.5" style="422" customWidth="1"/>
    <col min="12290" max="12290" width="3.33203125" style="422" customWidth="1"/>
    <col min="12291" max="12291" width="15" style="422" customWidth="1"/>
    <col min="12292" max="12292" width="17.5" style="422" customWidth="1"/>
    <col min="12293" max="12293" width="3.6640625" style="422" customWidth="1"/>
    <col min="12294" max="12544" width="8.83203125" style="422"/>
    <col min="12545" max="12545" width="37.5" style="422" customWidth="1"/>
    <col min="12546" max="12546" width="3.33203125" style="422" customWidth="1"/>
    <col min="12547" max="12547" width="15" style="422" customWidth="1"/>
    <col min="12548" max="12548" width="17.5" style="422" customWidth="1"/>
    <col min="12549" max="12549" width="3.6640625" style="422" customWidth="1"/>
    <col min="12550" max="12800" width="8.83203125" style="422"/>
    <col min="12801" max="12801" width="37.5" style="422" customWidth="1"/>
    <col min="12802" max="12802" width="3.33203125" style="422" customWidth="1"/>
    <col min="12803" max="12803" width="15" style="422" customWidth="1"/>
    <col min="12804" max="12804" width="17.5" style="422" customWidth="1"/>
    <col min="12805" max="12805" width="3.6640625" style="422" customWidth="1"/>
    <col min="12806" max="13056" width="8.83203125" style="422"/>
    <col min="13057" max="13057" width="37.5" style="422" customWidth="1"/>
    <col min="13058" max="13058" width="3.33203125" style="422" customWidth="1"/>
    <col min="13059" max="13059" width="15" style="422" customWidth="1"/>
    <col min="13060" max="13060" width="17.5" style="422" customWidth="1"/>
    <col min="13061" max="13061" width="3.6640625" style="422" customWidth="1"/>
    <col min="13062" max="13312" width="8.83203125" style="422"/>
    <col min="13313" max="13313" width="37.5" style="422" customWidth="1"/>
    <col min="13314" max="13314" width="3.33203125" style="422" customWidth="1"/>
    <col min="13315" max="13315" width="15" style="422" customWidth="1"/>
    <col min="13316" max="13316" width="17.5" style="422" customWidth="1"/>
    <col min="13317" max="13317" width="3.6640625" style="422" customWidth="1"/>
    <col min="13318" max="13568" width="8.83203125" style="422"/>
    <col min="13569" max="13569" width="37.5" style="422" customWidth="1"/>
    <col min="13570" max="13570" width="3.33203125" style="422" customWidth="1"/>
    <col min="13571" max="13571" width="15" style="422" customWidth="1"/>
    <col min="13572" max="13572" width="17.5" style="422" customWidth="1"/>
    <col min="13573" max="13573" width="3.6640625" style="422" customWidth="1"/>
    <col min="13574" max="13824" width="8.83203125" style="422"/>
    <col min="13825" max="13825" width="37.5" style="422" customWidth="1"/>
    <col min="13826" max="13826" width="3.33203125" style="422" customWidth="1"/>
    <col min="13827" max="13827" width="15" style="422" customWidth="1"/>
    <col min="13828" max="13828" width="17.5" style="422" customWidth="1"/>
    <col min="13829" max="13829" width="3.6640625" style="422" customWidth="1"/>
    <col min="13830" max="14080" width="8.83203125" style="422"/>
    <col min="14081" max="14081" width="37.5" style="422" customWidth="1"/>
    <col min="14082" max="14082" width="3.33203125" style="422" customWidth="1"/>
    <col min="14083" max="14083" width="15" style="422" customWidth="1"/>
    <col min="14084" max="14084" width="17.5" style="422" customWidth="1"/>
    <col min="14085" max="14085" width="3.6640625" style="422" customWidth="1"/>
    <col min="14086" max="14336" width="8.83203125" style="422"/>
    <col min="14337" max="14337" width="37.5" style="422" customWidth="1"/>
    <col min="14338" max="14338" width="3.33203125" style="422" customWidth="1"/>
    <col min="14339" max="14339" width="15" style="422" customWidth="1"/>
    <col min="14340" max="14340" width="17.5" style="422" customWidth="1"/>
    <col min="14341" max="14341" width="3.6640625" style="422" customWidth="1"/>
    <col min="14342" max="14592" width="8.83203125" style="422"/>
    <col min="14593" max="14593" width="37.5" style="422" customWidth="1"/>
    <col min="14594" max="14594" width="3.33203125" style="422" customWidth="1"/>
    <col min="14595" max="14595" width="15" style="422" customWidth="1"/>
    <col min="14596" max="14596" width="17.5" style="422" customWidth="1"/>
    <col min="14597" max="14597" width="3.6640625" style="422" customWidth="1"/>
    <col min="14598" max="14848" width="8.83203125" style="422"/>
    <col min="14849" max="14849" width="37.5" style="422" customWidth="1"/>
    <col min="14850" max="14850" width="3.33203125" style="422" customWidth="1"/>
    <col min="14851" max="14851" width="15" style="422" customWidth="1"/>
    <col min="14852" max="14852" width="17.5" style="422" customWidth="1"/>
    <col min="14853" max="14853" width="3.6640625" style="422" customWidth="1"/>
    <col min="14854" max="15104" width="8.83203125" style="422"/>
    <col min="15105" max="15105" width="37.5" style="422" customWidth="1"/>
    <col min="15106" max="15106" width="3.33203125" style="422" customWidth="1"/>
    <col min="15107" max="15107" width="15" style="422" customWidth="1"/>
    <col min="15108" max="15108" width="17.5" style="422" customWidth="1"/>
    <col min="15109" max="15109" width="3.6640625" style="422" customWidth="1"/>
    <col min="15110" max="15360" width="8.83203125" style="422"/>
    <col min="15361" max="15361" width="37.5" style="422" customWidth="1"/>
    <col min="15362" max="15362" width="3.33203125" style="422" customWidth="1"/>
    <col min="15363" max="15363" width="15" style="422" customWidth="1"/>
    <col min="15364" max="15364" width="17.5" style="422" customWidth="1"/>
    <col min="15365" max="15365" width="3.6640625" style="422" customWidth="1"/>
    <col min="15366" max="15616" width="8.83203125" style="422"/>
    <col min="15617" max="15617" width="37.5" style="422" customWidth="1"/>
    <col min="15618" max="15618" width="3.33203125" style="422" customWidth="1"/>
    <col min="15619" max="15619" width="15" style="422" customWidth="1"/>
    <col min="15620" max="15620" width="17.5" style="422" customWidth="1"/>
    <col min="15621" max="15621" width="3.6640625" style="422" customWidth="1"/>
    <col min="15622" max="15872" width="8.83203125" style="422"/>
    <col min="15873" max="15873" width="37.5" style="422" customWidth="1"/>
    <col min="15874" max="15874" width="3.33203125" style="422" customWidth="1"/>
    <col min="15875" max="15875" width="15" style="422" customWidth="1"/>
    <col min="15876" max="15876" width="17.5" style="422" customWidth="1"/>
    <col min="15877" max="15877" width="3.6640625" style="422" customWidth="1"/>
    <col min="15878" max="16128" width="8.83203125" style="422"/>
    <col min="16129" max="16129" width="37.5" style="422" customWidth="1"/>
    <col min="16130" max="16130" width="3.33203125" style="422" customWidth="1"/>
    <col min="16131" max="16131" width="15" style="422" customWidth="1"/>
    <col min="16132" max="16132" width="17.5" style="422" customWidth="1"/>
    <col min="16133" max="16133" width="3.6640625" style="422" customWidth="1"/>
    <col min="16134" max="16384" width="8.83203125" style="422"/>
  </cols>
  <sheetData>
    <row r="1" spans="1:5">
      <c r="A1" s="231" t="s">
        <v>144</v>
      </c>
      <c r="B1" s="231"/>
      <c r="C1" s="61"/>
    </row>
    <row r="2" spans="1:5">
      <c r="A2" s="231" t="s">
        <v>145</v>
      </c>
      <c r="B2" s="231"/>
      <c r="C2" s="61"/>
    </row>
    <row r="3" spans="1:5" ht="4.5" customHeight="1">
      <c r="A3" s="231"/>
      <c r="B3" s="231"/>
      <c r="C3" s="61"/>
    </row>
    <row r="4" spans="1:5">
      <c r="A4" s="524" t="s">
        <v>2069</v>
      </c>
      <c r="B4" s="231"/>
      <c r="C4" s="61"/>
    </row>
    <row r="5" spans="1:5" ht="5.25" customHeight="1" thickBot="1"/>
    <row r="6" spans="1:5" ht="6.75" customHeight="1">
      <c r="A6" s="516"/>
      <c r="B6" s="516"/>
      <c r="C6" s="517"/>
      <c r="D6" s="465"/>
      <c r="E6" s="465"/>
    </row>
    <row r="7" spans="1:5">
      <c r="A7" s="794" t="s">
        <v>1477</v>
      </c>
      <c r="B7" s="518"/>
      <c r="C7" s="1041" t="s">
        <v>1119</v>
      </c>
      <c r="D7" s="1041"/>
    </row>
    <row r="8" spans="1:5">
      <c r="A8" s="83"/>
      <c r="B8" s="518"/>
      <c r="C8" s="791" t="s">
        <v>437</v>
      </c>
      <c r="D8" s="794" t="s">
        <v>153</v>
      </c>
    </row>
    <row r="9" spans="1:5" ht="6.75" customHeight="1" thickBot="1">
      <c r="A9" s="519"/>
      <c r="B9" s="519"/>
      <c r="C9" s="496"/>
      <c r="D9" s="469"/>
    </row>
    <row r="10" spans="1:5" ht="7.5" customHeight="1">
      <c r="A10" s="520"/>
      <c r="B10" s="520"/>
      <c r="C10" s="60"/>
      <c r="D10" s="468"/>
      <c r="E10" s="465"/>
    </row>
    <row r="11" spans="1:5">
      <c r="A11" s="521" t="s">
        <v>402</v>
      </c>
      <c r="B11" s="522"/>
      <c r="C11" s="899">
        <f>IF($A11&lt;&gt;0,C13+C31,"")</f>
        <v>131</v>
      </c>
      <c r="D11" s="900">
        <f>IF($A11&lt;&gt;0,D13+D31,"")</f>
        <v>100</v>
      </c>
    </row>
    <row r="12" spans="1:5" ht="8.25" customHeight="1">
      <c r="A12" s="522"/>
      <c r="B12" s="522"/>
      <c r="C12" s="901"/>
      <c r="D12" s="902"/>
    </row>
    <row r="13" spans="1:5">
      <c r="A13" s="521" t="s">
        <v>403</v>
      </c>
      <c r="B13" s="522"/>
      <c r="C13" s="901">
        <f>SUM(C14:C29)</f>
        <v>71</v>
      </c>
      <c r="D13" s="900">
        <f>IF($A13&lt;&gt;"",C13/C$11*100,"")</f>
        <v>54.198473282442748</v>
      </c>
    </row>
    <row r="14" spans="1:5" ht="8.25" customHeight="1">
      <c r="A14" s="522"/>
      <c r="B14" s="522"/>
      <c r="C14" s="898"/>
      <c r="D14" s="897" t="str">
        <f t="shared" ref="D14:D19" si="0">IF($A14&lt;&gt;"",C14/C$11*100,"")</f>
        <v/>
      </c>
    </row>
    <row r="15" spans="1:5">
      <c r="A15" s="524" t="s">
        <v>404</v>
      </c>
      <c r="B15" s="521"/>
      <c r="C15" s="898">
        <v>21</v>
      </c>
      <c r="D15" s="897">
        <f t="shared" si="0"/>
        <v>16.030534351145036</v>
      </c>
    </row>
    <row r="16" spans="1:5" ht="8.25" customHeight="1">
      <c r="A16" s="524"/>
      <c r="B16" s="522"/>
      <c r="C16" s="898"/>
      <c r="D16" s="897" t="str">
        <f t="shared" si="0"/>
        <v/>
      </c>
    </row>
    <row r="17" spans="1:4">
      <c r="A17" s="524" t="s">
        <v>464</v>
      </c>
      <c r="B17" s="521"/>
      <c r="C17" s="898">
        <v>3</v>
      </c>
      <c r="D17" s="897">
        <f t="shared" si="0"/>
        <v>2.2900763358778624</v>
      </c>
    </row>
    <row r="18" spans="1:4" ht="8.25" customHeight="1">
      <c r="A18" s="524"/>
      <c r="B18" s="522"/>
      <c r="C18" s="898"/>
      <c r="D18" s="897" t="str">
        <f t="shared" si="0"/>
        <v/>
      </c>
    </row>
    <row r="19" spans="1:4">
      <c r="A19" s="524" t="s">
        <v>406</v>
      </c>
      <c r="B19" s="521"/>
      <c r="C19" s="898">
        <v>4</v>
      </c>
      <c r="D19" s="897">
        <f t="shared" si="0"/>
        <v>3.0534351145038165</v>
      </c>
    </row>
    <row r="20" spans="1:4" ht="8.25" customHeight="1">
      <c r="A20" s="525"/>
      <c r="B20" s="522"/>
      <c r="C20" s="898"/>
      <c r="D20" s="429"/>
    </row>
    <row r="21" spans="1:4" ht="14.25" hidden="1" customHeight="1">
      <c r="A21" s="524" t="s">
        <v>483</v>
      </c>
      <c r="B21" s="522"/>
      <c r="C21" s="898">
        <v>7</v>
      </c>
      <c r="D21" s="897">
        <f t="shared" ref="D21:D43" si="1">IF($A21&lt;&gt;"",C21/C$11*100,"")</f>
        <v>5.343511450381679</v>
      </c>
    </row>
    <row r="22" spans="1:4" ht="14.25" hidden="1" customHeight="1">
      <c r="A22" s="524"/>
      <c r="B22" s="522"/>
      <c r="C22" s="898"/>
      <c r="D22" s="897" t="str">
        <f t="shared" si="1"/>
        <v/>
      </c>
    </row>
    <row r="23" spans="1:4" s="526" customFormat="1">
      <c r="A23" s="524" t="s">
        <v>410</v>
      </c>
      <c r="B23" s="521"/>
      <c r="C23" s="898">
        <v>5</v>
      </c>
      <c r="D23" s="897">
        <f t="shared" si="1"/>
        <v>3.8167938931297711</v>
      </c>
    </row>
    <row r="24" spans="1:4" s="526" customFormat="1" ht="8.25" customHeight="1">
      <c r="A24" s="524"/>
      <c r="B24" s="521"/>
      <c r="C24" s="898"/>
      <c r="D24" s="897" t="str">
        <f t="shared" si="1"/>
        <v/>
      </c>
    </row>
    <row r="25" spans="1:4" s="526" customFormat="1">
      <c r="A25" s="524" t="s">
        <v>2070</v>
      </c>
      <c r="B25" s="521"/>
      <c r="C25" s="898">
        <v>8</v>
      </c>
      <c r="D25" s="897">
        <f t="shared" si="1"/>
        <v>6.1068702290076331</v>
      </c>
    </row>
    <row r="26" spans="1:4" ht="8.25" customHeight="1">
      <c r="A26" s="522"/>
      <c r="B26" s="522"/>
      <c r="C26" s="898"/>
      <c r="D26" s="897" t="str">
        <f t="shared" si="1"/>
        <v/>
      </c>
    </row>
    <row r="27" spans="1:4" ht="12.75" customHeight="1">
      <c r="A27" s="524" t="s">
        <v>1485</v>
      </c>
      <c r="B27" s="522"/>
      <c r="C27" s="898">
        <v>8</v>
      </c>
      <c r="D27" s="897">
        <f t="shared" si="1"/>
        <v>6.1068702290076331</v>
      </c>
    </row>
    <row r="28" spans="1:4" ht="8.25" customHeight="1">
      <c r="A28" s="524"/>
      <c r="B28" s="522"/>
      <c r="C28" s="898"/>
      <c r="D28" s="897" t="str">
        <f t="shared" si="1"/>
        <v/>
      </c>
    </row>
    <row r="29" spans="1:4">
      <c r="A29" s="524" t="s">
        <v>2071</v>
      </c>
      <c r="B29" s="522"/>
      <c r="C29" s="898">
        <v>15</v>
      </c>
      <c r="D29" s="897">
        <f t="shared" si="1"/>
        <v>11.450381679389313</v>
      </c>
    </row>
    <row r="30" spans="1:4" ht="14.25" hidden="1" customHeight="1">
      <c r="A30" s="522"/>
      <c r="B30" s="522"/>
      <c r="C30" s="898"/>
      <c r="D30" s="897" t="str">
        <f t="shared" si="1"/>
        <v/>
      </c>
    </row>
    <row r="31" spans="1:4" ht="14.25" hidden="1" customHeight="1">
      <c r="A31" s="521" t="s">
        <v>423</v>
      </c>
      <c r="B31" s="521"/>
      <c r="C31" s="898">
        <f>SUM(C33:C43)</f>
        <v>60</v>
      </c>
      <c r="D31" s="897">
        <f t="shared" si="1"/>
        <v>45.801526717557252</v>
      </c>
    </row>
    <row r="32" spans="1:4" ht="10.5" hidden="1" customHeight="1">
      <c r="A32" s="521"/>
      <c r="B32" s="521"/>
      <c r="C32" s="898"/>
      <c r="D32" s="897" t="str">
        <f t="shared" si="1"/>
        <v/>
      </c>
    </row>
    <row r="33" spans="1:5" ht="12.5" hidden="1" customHeight="1">
      <c r="A33" s="522" t="s">
        <v>1479</v>
      </c>
      <c r="B33" s="522"/>
      <c r="C33" s="898">
        <v>20</v>
      </c>
      <c r="D33" s="897">
        <f t="shared" si="1"/>
        <v>15.267175572519085</v>
      </c>
    </row>
    <row r="34" spans="1:5" ht="10.5" hidden="1" customHeight="1">
      <c r="A34" s="522"/>
      <c r="B34" s="522"/>
      <c r="C34" s="898"/>
      <c r="D34" s="897" t="str">
        <f t="shared" si="1"/>
        <v/>
      </c>
    </row>
    <row r="35" spans="1:5" ht="12.5" hidden="1" customHeight="1">
      <c r="A35" s="524" t="s">
        <v>1480</v>
      </c>
      <c r="B35" s="522"/>
      <c r="C35" s="898">
        <v>2</v>
      </c>
      <c r="D35" s="897">
        <f t="shared" si="1"/>
        <v>1.5267175572519083</v>
      </c>
    </row>
    <row r="36" spans="1:5" ht="9" hidden="1" customHeight="1">
      <c r="A36" s="522"/>
      <c r="B36" s="522"/>
      <c r="C36" s="898"/>
      <c r="D36" s="897" t="str">
        <f t="shared" si="1"/>
        <v/>
      </c>
    </row>
    <row r="37" spans="1:5" ht="12.5" hidden="1" customHeight="1">
      <c r="A37" s="522" t="s">
        <v>1481</v>
      </c>
      <c r="B37" s="522"/>
      <c r="C37" s="898">
        <v>11</v>
      </c>
      <c r="D37" s="897">
        <f t="shared" si="1"/>
        <v>8.3969465648854964</v>
      </c>
    </row>
    <row r="38" spans="1:5" ht="9" hidden="1" customHeight="1">
      <c r="A38" s="522"/>
      <c r="B38" s="522"/>
      <c r="C38" s="898"/>
      <c r="D38" s="897" t="str">
        <f t="shared" si="1"/>
        <v/>
      </c>
    </row>
    <row r="39" spans="1:5" ht="12.5" hidden="1" customHeight="1">
      <c r="A39" s="522" t="s">
        <v>1482</v>
      </c>
      <c r="B39" s="522"/>
      <c r="C39" s="898">
        <v>8</v>
      </c>
      <c r="D39" s="897">
        <f t="shared" si="1"/>
        <v>6.1068702290076331</v>
      </c>
    </row>
    <row r="40" spans="1:5" ht="9" hidden="1" customHeight="1">
      <c r="A40" s="522"/>
      <c r="B40" s="522"/>
      <c r="C40" s="898"/>
      <c r="D40" s="897" t="str">
        <f t="shared" si="1"/>
        <v/>
      </c>
    </row>
    <row r="41" spans="1:5" ht="12.5" hidden="1" customHeight="1">
      <c r="A41" s="522" t="s">
        <v>1483</v>
      </c>
      <c r="B41" s="522"/>
      <c r="C41" s="898">
        <v>8</v>
      </c>
      <c r="D41" s="897">
        <f t="shared" si="1"/>
        <v>6.1068702290076331</v>
      </c>
    </row>
    <row r="42" spans="1:5" ht="10.5" hidden="1" customHeight="1" thickBot="1">
      <c r="D42" s="897" t="str">
        <f t="shared" si="1"/>
        <v/>
      </c>
    </row>
    <row r="43" spans="1:5" ht="12" hidden="1" customHeight="1">
      <c r="A43" s="422" t="s">
        <v>1484</v>
      </c>
      <c r="C43" s="62">
        <v>11</v>
      </c>
      <c r="D43" s="897">
        <f t="shared" si="1"/>
        <v>8.3969465648854964</v>
      </c>
    </row>
    <row r="44" spans="1:5" ht="16" thickBot="1"/>
    <row r="45" spans="1:5">
      <c r="A45" s="528"/>
      <c r="B45" s="528"/>
      <c r="C45" s="517"/>
      <c r="D45" s="517"/>
      <c r="E45" s="465"/>
    </row>
    <row r="46" spans="1:5">
      <c r="A46" s="422" t="s">
        <v>1472</v>
      </c>
    </row>
    <row r="47" spans="1:5">
      <c r="A47" s="422" t="s">
        <v>688</v>
      </c>
    </row>
  </sheetData>
  <mergeCells count="1">
    <mergeCell ref="C7:D7"/>
  </mergeCell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5" tint="-0.249977111117893"/>
  </sheetPr>
  <dimension ref="A3:O19"/>
  <sheetViews>
    <sheetView workbookViewId="0">
      <selection activeCell="A3" sqref="A3"/>
    </sheetView>
  </sheetViews>
  <sheetFormatPr baseColWidth="10" defaultRowHeight="15"/>
  <sheetData>
    <row r="3" spans="1:15">
      <c r="A3" s="33"/>
      <c r="B3" s="433"/>
      <c r="C3" s="33"/>
      <c r="D3" s="33"/>
      <c r="E3" s="33"/>
      <c r="F3" s="33"/>
      <c r="G3" s="33"/>
      <c r="H3" s="33"/>
      <c r="K3" s="33"/>
      <c r="L3" s="33"/>
      <c r="M3" s="33"/>
      <c r="N3" s="530"/>
      <c r="O3" s="28"/>
    </row>
    <row r="4" spans="1:15">
      <c r="A4" s="28"/>
      <c r="B4" s="530"/>
      <c r="C4" s="28"/>
      <c r="D4" s="28"/>
      <c r="E4" s="28"/>
      <c r="F4" s="28"/>
      <c r="G4" s="28"/>
      <c r="H4" s="28"/>
      <c r="K4" s="13"/>
      <c r="L4" s="13"/>
      <c r="M4" s="28"/>
      <c r="N4" s="28"/>
    </row>
    <row r="5" spans="1:15">
      <c r="B5" s="33"/>
      <c r="C5" s="433"/>
      <c r="D5" s="33"/>
      <c r="E5" s="33"/>
      <c r="F5" s="33"/>
      <c r="G5" s="33"/>
      <c r="M5" s="28"/>
      <c r="N5" s="28"/>
      <c r="O5" s="28"/>
    </row>
    <row r="6" spans="1:15">
      <c r="B6" s="28"/>
      <c r="C6" s="28"/>
      <c r="E6" s="28"/>
      <c r="F6" s="28"/>
      <c r="G6" s="28"/>
      <c r="H6" s="33"/>
      <c r="I6" s="33"/>
      <c r="M6" s="28"/>
      <c r="N6" s="28"/>
      <c r="O6" s="28"/>
    </row>
    <row r="7" spans="1:15">
      <c r="D7" s="12"/>
      <c r="I7" s="12"/>
      <c r="M7" s="28"/>
      <c r="N7" s="28"/>
      <c r="O7" s="28"/>
    </row>
    <row r="8" spans="1:15">
      <c r="M8" s="28"/>
      <c r="N8" s="28"/>
      <c r="O8" s="28"/>
    </row>
    <row r="9" spans="1:15">
      <c r="M9" s="28"/>
      <c r="N9" s="28"/>
      <c r="O9" s="28"/>
    </row>
    <row r="10" spans="1:15">
      <c r="M10" s="28"/>
      <c r="N10" s="28"/>
      <c r="O10" s="28"/>
    </row>
    <row r="11" spans="1:15">
      <c r="N11" s="28"/>
      <c r="O11" s="28"/>
    </row>
    <row r="12" spans="1:15">
      <c r="N12" s="28"/>
      <c r="O12" s="28"/>
    </row>
    <row r="13" spans="1:15">
      <c r="N13" s="28"/>
      <c r="O13" s="28"/>
    </row>
    <row r="14" spans="1:15">
      <c r="N14" s="28"/>
      <c r="O14" s="28"/>
    </row>
    <row r="15" spans="1:15">
      <c r="N15" s="28"/>
      <c r="O15" s="28"/>
    </row>
    <row r="16" spans="1:15">
      <c r="N16" s="28"/>
      <c r="O16" s="28"/>
    </row>
    <row r="17" spans="14:15">
      <c r="N17" s="28"/>
      <c r="O17" s="28"/>
    </row>
    <row r="18" spans="14:15">
      <c r="N18" s="28"/>
      <c r="O18" s="28"/>
    </row>
    <row r="19" spans="14:15">
      <c r="O19" s="28"/>
    </row>
  </sheetData>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38"/>
  <sheetViews>
    <sheetView workbookViewId="0">
      <selection activeCell="A3" sqref="A3"/>
    </sheetView>
  </sheetViews>
  <sheetFormatPr baseColWidth="10" defaultRowHeight="15"/>
  <cols>
    <col min="1" max="1" width="26.5" customWidth="1"/>
    <col min="2" max="2" width="6.83203125" customWidth="1"/>
    <col min="3" max="4" width="14.5" customWidth="1"/>
    <col min="5" max="5" width="3.6640625" customWidth="1"/>
    <col min="257" max="257" width="26.5" customWidth="1"/>
    <col min="258" max="258" width="6.83203125" customWidth="1"/>
    <col min="259" max="260" width="14.5" customWidth="1"/>
    <col min="261" max="261" width="3.6640625" customWidth="1"/>
    <col min="513" max="513" width="26.5" customWidth="1"/>
    <col min="514" max="514" width="6.83203125" customWidth="1"/>
    <col min="515" max="516" width="14.5" customWidth="1"/>
    <col min="517" max="517" width="3.6640625" customWidth="1"/>
    <col min="769" max="769" width="26.5" customWidth="1"/>
    <col min="770" max="770" width="6.83203125" customWidth="1"/>
    <col min="771" max="772" width="14.5" customWidth="1"/>
    <col min="773" max="773" width="3.6640625" customWidth="1"/>
    <col min="1025" max="1025" width="26.5" customWidth="1"/>
    <col min="1026" max="1026" width="6.83203125" customWidth="1"/>
    <col min="1027" max="1028" width="14.5" customWidth="1"/>
    <col min="1029" max="1029" width="3.6640625" customWidth="1"/>
    <col min="1281" max="1281" width="26.5" customWidth="1"/>
    <col min="1282" max="1282" width="6.83203125" customWidth="1"/>
    <col min="1283" max="1284" width="14.5" customWidth="1"/>
    <col min="1285" max="1285" width="3.6640625" customWidth="1"/>
    <col min="1537" max="1537" width="26.5" customWidth="1"/>
    <col min="1538" max="1538" width="6.83203125" customWidth="1"/>
    <col min="1539" max="1540" width="14.5" customWidth="1"/>
    <col min="1541" max="1541" width="3.6640625" customWidth="1"/>
    <col min="1793" max="1793" width="26.5" customWidth="1"/>
    <col min="1794" max="1794" width="6.83203125" customWidth="1"/>
    <col min="1795" max="1796" width="14.5" customWidth="1"/>
    <col min="1797" max="1797" width="3.6640625" customWidth="1"/>
    <col min="2049" max="2049" width="26.5" customWidth="1"/>
    <col min="2050" max="2050" width="6.83203125" customWidth="1"/>
    <col min="2051" max="2052" width="14.5" customWidth="1"/>
    <col min="2053" max="2053" width="3.6640625" customWidth="1"/>
    <col min="2305" max="2305" width="26.5" customWidth="1"/>
    <col min="2306" max="2306" width="6.83203125" customWidth="1"/>
    <col min="2307" max="2308" width="14.5" customWidth="1"/>
    <col min="2309" max="2309" width="3.6640625" customWidth="1"/>
    <col min="2561" max="2561" width="26.5" customWidth="1"/>
    <col min="2562" max="2562" width="6.83203125" customWidth="1"/>
    <col min="2563" max="2564" width="14.5" customWidth="1"/>
    <col min="2565" max="2565" width="3.6640625" customWidth="1"/>
    <col min="2817" max="2817" width="26.5" customWidth="1"/>
    <col min="2818" max="2818" width="6.83203125" customWidth="1"/>
    <col min="2819" max="2820" width="14.5" customWidth="1"/>
    <col min="2821" max="2821" width="3.6640625" customWidth="1"/>
    <col min="3073" max="3073" width="26.5" customWidth="1"/>
    <col min="3074" max="3074" width="6.83203125" customWidth="1"/>
    <col min="3075" max="3076" width="14.5" customWidth="1"/>
    <col min="3077" max="3077" width="3.6640625" customWidth="1"/>
    <col min="3329" max="3329" width="26.5" customWidth="1"/>
    <col min="3330" max="3330" width="6.83203125" customWidth="1"/>
    <col min="3331" max="3332" width="14.5" customWidth="1"/>
    <col min="3333" max="3333" width="3.6640625" customWidth="1"/>
    <col min="3585" max="3585" width="26.5" customWidth="1"/>
    <col min="3586" max="3586" width="6.83203125" customWidth="1"/>
    <col min="3587" max="3588" width="14.5" customWidth="1"/>
    <col min="3589" max="3589" width="3.6640625" customWidth="1"/>
    <col min="3841" max="3841" width="26.5" customWidth="1"/>
    <col min="3842" max="3842" width="6.83203125" customWidth="1"/>
    <col min="3843" max="3844" width="14.5" customWidth="1"/>
    <col min="3845" max="3845" width="3.6640625" customWidth="1"/>
    <col min="4097" max="4097" width="26.5" customWidth="1"/>
    <col min="4098" max="4098" width="6.83203125" customWidth="1"/>
    <col min="4099" max="4100" width="14.5" customWidth="1"/>
    <col min="4101" max="4101" width="3.6640625" customWidth="1"/>
    <col min="4353" max="4353" width="26.5" customWidth="1"/>
    <col min="4354" max="4354" width="6.83203125" customWidth="1"/>
    <col min="4355" max="4356" width="14.5" customWidth="1"/>
    <col min="4357" max="4357" width="3.6640625" customWidth="1"/>
    <col min="4609" max="4609" width="26.5" customWidth="1"/>
    <col min="4610" max="4610" width="6.83203125" customWidth="1"/>
    <col min="4611" max="4612" width="14.5" customWidth="1"/>
    <col min="4613" max="4613" width="3.6640625" customWidth="1"/>
    <col min="4865" max="4865" width="26.5" customWidth="1"/>
    <col min="4866" max="4866" width="6.83203125" customWidth="1"/>
    <col min="4867" max="4868" width="14.5" customWidth="1"/>
    <col min="4869" max="4869" width="3.6640625" customWidth="1"/>
    <col min="5121" max="5121" width="26.5" customWidth="1"/>
    <col min="5122" max="5122" width="6.83203125" customWidth="1"/>
    <col min="5123" max="5124" width="14.5" customWidth="1"/>
    <col min="5125" max="5125" width="3.6640625" customWidth="1"/>
    <col min="5377" max="5377" width="26.5" customWidth="1"/>
    <col min="5378" max="5378" width="6.83203125" customWidth="1"/>
    <col min="5379" max="5380" width="14.5" customWidth="1"/>
    <col min="5381" max="5381" width="3.6640625" customWidth="1"/>
    <col min="5633" max="5633" width="26.5" customWidth="1"/>
    <col min="5634" max="5634" width="6.83203125" customWidth="1"/>
    <col min="5635" max="5636" width="14.5" customWidth="1"/>
    <col min="5637" max="5637" width="3.6640625" customWidth="1"/>
    <col min="5889" max="5889" width="26.5" customWidth="1"/>
    <col min="5890" max="5890" width="6.83203125" customWidth="1"/>
    <col min="5891" max="5892" width="14.5" customWidth="1"/>
    <col min="5893" max="5893" width="3.6640625" customWidth="1"/>
    <col min="6145" max="6145" width="26.5" customWidth="1"/>
    <col min="6146" max="6146" width="6.83203125" customWidth="1"/>
    <col min="6147" max="6148" width="14.5" customWidth="1"/>
    <col min="6149" max="6149" width="3.6640625" customWidth="1"/>
    <col min="6401" max="6401" width="26.5" customWidth="1"/>
    <col min="6402" max="6402" width="6.83203125" customWidth="1"/>
    <col min="6403" max="6404" width="14.5" customWidth="1"/>
    <col min="6405" max="6405" width="3.6640625" customWidth="1"/>
    <col min="6657" max="6657" width="26.5" customWidth="1"/>
    <col min="6658" max="6658" width="6.83203125" customWidth="1"/>
    <col min="6659" max="6660" width="14.5" customWidth="1"/>
    <col min="6661" max="6661" width="3.6640625" customWidth="1"/>
    <col min="6913" max="6913" width="26.5" customWidth="1"/>
    <col min="6914" max="6914" width="6.83203125" customWidth="1"/>
    <col min="6915" max="6916" width="14.5" customWidth="1"/>
    <col min="6917" max="6917" width="3.6640625" customWidth="1"/>
    <col min="7169" max="7169" width="26.5" customWidth="1"/>
    <col min="7170" max="7170" width="6.83203125" customWidth="1"/>
    <col min="7171" max="7172" width="14.5" customWidth="1"/>
    <col min="7173" max="7173" width="3.6640625" customWidth="1"/>
    <col min="7425" max="7425" width="26.5" customWidth="1"/>
    <col min="7426" max="7426" width="6.83203125" customWidth="1"/>
    <col min="7427" max="7428" width="14.5" customWidth="1"/>
    <col min="7429" max="7429" width="3.6640625" customWidth="1"/>
    <col min="7681" max="7681" width="26.5" customWidth="1"/>
    <col min="7682" max="7682" width="6.83203125" customWidth="1"/>
    <col min="7683" max="7684" width="14.5" customWidth="1"/>
    <col min="7685" max="7685" width="3.6640625" customWidth="1"/>
    <col min="7937" max="7937" width="26.5" customWidth="1"/>
    <col min="7938" max="7938" width="6.83203125" customWidth="1"/>
    <col min="7939" max="7940" width="14.5" customWidth="1"/>
    <col min="7941" max="7941" width="3.6640625" customWidth="1"/>
    <col min="8193" max="8193" width="26.5" customWidth="1"/>
    <col min="8194" max="8194" width="6.83203125" customWidth="1"/>
    <col min="8195" max="8196" width="14.5" customWidth="1"/>
    <col min="8197" max="8197" width="3.6640625" customWidth="1"/>
    <col min="8449" max="8449" width="26.5" customWidth="1"/>
    <col min="8450" max="8450" width="6.83203125" customWidth="1"/>
    <col min="8451" max="8452" width="14.5" customWidth="1"/>
    <col min="8453" max="8453" width="3.6640625" customWidth="1"/>
    <col min="8705" max="8705" width="26.5" customWidth="1"/>
    <col min="8706" max="8706" width="6.83203125" customWidth="1"/>
    <col min="8707" max="8708" width="14.5" customWidth="1"/>
    <col min="8709" max="8709" width="3.6640625" customWidth="1"/>
    <col min="8961" max="8961" width="26.5" customWidth="1"/>
    <col min="8962" max="8962" width="6.83203125" customWidth="1"/>
    <col min="8963" max="8964" width="14.5" customWidth="1"/>
    <col min="8965" max="8965" width="3.6640625" customWidth="1"/>
    <col min="9217" max="9217" width="26.5" customWidth="1"/>
    <col min="9218" max="9218" width="6.83203125" customWidth="1"/>
    <col min="9219" max="9220" width="14.5" customWidth="1"/>
    <col min="9221" max="9221" width="3.6640625" customWidth="1"/>
    <col min="9473" max="9473" width="26.5" customWidth="1"/>
    <col min="9474" max="9474" width="6.83203125" customWidth="1"/>
    <col min="9475" max="9476" width="14.5" customWidth="1"/>
    <col min="9477" max="9477" width="3.6640625" customWidth="1"/>
    <col min="9729" max="9729" width="26.5" customWidth="1"/>
    <col min="9730" max="9730" width="6.83203125" customWidth="1"/>
    <col min="9731" max="9732" width="14.5" customWidth="1"/>
    <col min="9733" max="9733" width="3.6640625" customWidth="1"/>
    <col min="9985" max="9985" width="26.5" customWidth="1"/>
    <col min="9986" max="9986" width="6.83203125" customWidth="1"/>
    <col min="9987" max="9988" width="14.5" customWidth="1"/>
    <col min="9989" max="9989" width="3.6640625" customWidth="1"/>
    <col min="10241" max="10241" width="26.5" customWidth="1"/>
    <col min="10242" max="10242" width="6.83203125" customWidth="1"/>
    <col min="10243" max="10244" width="14.5" customWidth="1"/>
    <col min="10245" max="10245" width="3.6640625" customWidth="1"/>
    <col min="10497" max="10497" width="26.5" customWidth="1"/>
    <col min="10498" max="10498" width="6.83203125" customWidth="1"/>
    <col min="10499" max="10500" width="14.5" customWidth="1"/>
    <col min="10501" max="10501" width="3.6640625" customWidth="1"/>
    <col min="10753" max="10753" width="26.5" customWidth="1"/>
    <col min="10754" max="10754" width="6.83203125" customWidth="1"/>
    <col min="10755" max="10756" width="14.5" customWidth="1"/>
    <col min="10757" max="10757" width="3.6640625" customWidth="1"/>
    <col min="11009" max="11009" width="26.5" customWidth="1"/>
    <col min="11010" max="11010" width="6.83203125" customWidth="1"/>
    <col min="11011" max="11012" width="14.5" customWidth="1"/>
    <col min="11013" max="11013" width="3.6640625" customWidth="1"/>
    <col min="11265" max="11265" width="26.5" customWidth="1"/>
    <col min="11266" max="11266" width="6.83203125" customWidth="1"/>
    <col min="11267" max="11268" width="14.5" customWidth="1"/>
    <col min="11269" max="11269" width="3.6640625" customWidth="1"/>
    <col min="11521" max="11521" width="26.5" customWidth="1"/>
    <col min="11522" max="11522" width="6.83203125" customWidth="1"/>
    <col min="11523" max="11524" width="14.5" customWidth="1"/>
    <col min="11525" max="11525" width="3.6640625" customWidth="1"/>
    <col min="11777" max="11777" width="26.5" customWidth="1"/>
    <col min="11778" max="11778" width="6.83203125" customWidth="1"/>
    <col min="11779" max="11780" width="14.5" customWidth="1"/>
    <col min="11781" max="11781" width="3.6640625" customWidth="1"/>
    <col min="12033" max="12033" width="26.5" customWidth="1"/>
    <col min="12034" max="12034" width="6.83203125" customWidth="1"/>
    <col min="12035" max="12036" width="14.5" customWidth="1"/>
    <col min="12037" max="12037" width="3.6640625" customWidth="1"/>
    <col min="12289" max="12289" width="26.5" customWidth="1"/>
    <col min="12290" max="12290" width="6.83203125" customWidth="1"/>
    <col min="12291" max="12292" width="14.5" customWidth="1"/>
    <col min="12293" max="12293" width="3.6640625" customWidth="1"/>
    <col min="12545" max="12545" width="26.5" customWidth="1"/>
    <col min="12546" max="12546" width="6.83203125" customWidth="1"/>
    <col min="12547" max="12548" width="14.5" customWidth="1"/>
    <col min="12549" max="12549" width="3.6640625" customWidth="1"/>
    <col min="12801" max="12801" width="26.5" customWidth="1"/>
    <col min="12802" max="12802" width="6.83203125" customWidth="1"/>
    <col min="12803" max="12804" width="14.5" customWidth="1"/>
    <col min="12805" max="12805" width="3.6640625" customWidth="1"/>
    <col min="13057" max="13057" width="26.5" customWidth="1"/>
    <col min="13058" max="13058" width="6.83203125" customWidth="1"/>
    <col min="13059" max="13060" width="14.5" customWidth="1"/>
    <col min="13061" max="13061" width="3.6640625" customWidth="1"/>
    <col min="13313" max="13313" width="26.5" customWidth="1"/>
    <col min="13314" max="13314" width="6.83203125" customWidth="1"/>
    <col min="13315" max="13316" width="14.5" customWidth="1"/>
    <col min="13317" max="13317" width="3.6640625" customWidth="1"/>
    <col min="13569" max="13569" width="26.5" customWidth="1"/>
    <col min="13570" max="13570" width="6.83203125" customWidth="1"/>
    <col min="13571" max="13572" width="14.5" customWidth="1"/>
    <col min="13573" max="13573" width="3.6640625" customWidth="1"/>
    <col min="13825" max="13825" width="26.5" customWidth="1"/>
    <col min="13826" max="13826" width="6.83203125" customWidth="1"/>
    <col min="13827" max="13828" width="14.5" customWidth="1"/>
    <col min="13829" max="13829" width="3.6640625" customWidth="1"/>
    <col min="14081" max="14081" width="26.5" customWidth="1"/>
    <col min="14082" max="14082" width="6.83203125" customWidth="1"/>
    <col min="14083" max="14084" width="14.5" customWidth="1"/>
    <col min="14085" max="14085" width="3.6640625" customWidth="1"/>
    <col min="14337" max="14337" width="26.5" customWidth="1"/>
    <col min="14338" max="14338" width="6.83203125" customWidth="1"/>
    <col min="14339" max="14340" width="14.5" customWidth="1"/>
    <col min="14341" max="14341" width="3.6640625" customWidth="1"/>
    <col min="14593" max="14593" width="26.5" customWidth="1"/>
    <col min="14594" max="14594" width="6.83203125" customWidth="1"/>
    <col min="14595" max="14596" width="14.5" customWidth="1"/>
    <col min="14597" max="14597" width="3.6640625" customWidth="1"/>
    <col min="14849" max="14849" width="26.5" customWidth="1"/>
    <col min="14850" max="14850" width="6.83203125" customWidth="1"/>
    <col min="14851" max="14852" width="14.5" customWidth="1"/>
    <col min="14853" max="14853" width="3.6640625" customWidth="1"/>
    <col min="15105" max="15105" width="26.5" customWidth="1"/>
    <col min="15106" max="15106" width="6.83203125" customWidth="1"/>
    <col min="15107" max="15108" width="14.5" customWidth="1"/>
    <col min="15109" max="15109" width="3.6640625" customWidth="1"/>
    <col min="15361" max="15361" width="26.5" customWidth="1"/>
    <col min="15362" max="15362" width="6.83203125" customWidth="1"/>
    <col min="15363" max="15364" width="14.5" customWidth="1"/>
    <col min="15365" max="15365" width="3.6640625" customWidth="1"/>
    <col min="15617" max="15617" width="26.5" customWidth="1"/>
    <col min="15618" max="15618" width="6.83203125" customWidth="1"/>
    <col min="15619" max="15620" width="14.5" customWidth="1"/>
    <col min="15621" max="15621" width="3.6640625" customWidth="1"/>
    <col min="15873" max="15873" width="26.5" customWidth="1"/>
    <col min="15874" max="15874" width="6.83203125" customWidth="1"/>
    <col min="15875" max="15876" width="14.5" customWidth="1"/>
    <col min="15877" max="15877" width="3.6640625" customWidth="1"/>
    <col min="16129" max="16129" width="26.5" customWidth="1"/>
    <col min="16130" max="16130" width="6.83203125" customWidth="1"/>
    <col min="16131" max="16132" width="14.5" customWidth="1"/>
    <col min="16133" max="16133" width="3.6640625" customWidth="1"/>
  </cols>
  <sheetData>
    <row r="1" spans="1:5" ht="16">
      <c r="A1" s="387" t="s">
        <v>589</v>
      </c>
      <c r="B1" s="387"/>
      <c r="C1" s="387"/>
      <c r="E1" s="28"/>
    </row>
    <row r="2" spans="1:5" ht="16">
      <c r="A2" s="387" t="s">
        <v>590</v>
      </c>
      <c r="B2" s="387"/>
      <c r="C2" s="387"/>
      <c r="E2" s="28"/>
    </row>
    <row r="3" spans="1:5" ht="16">
      <c r="A3" s="387"/>
      <c r="B3" s="387"/>
      <c r="C3" s="387"/>
      <c r="D3" s="505"/>
      <c r="E3" s="506"/>
    </row>
    <row r="4" spans="1:5" ht="16">
      <c r="A4" s="387" t="s">
        <v>1486</v>
      </c>
      <c r="B4" s="387"/>
      <c r="C4" s="387"/>
      <c r="D4" s="505"/>
      <c r="E4" s="505"/>
    </row>
    <row r="5" spans="1:5" ht="16">
      <c r="A5" s="387" t="s">
        <v>1487</v>
      </c>
      <c r="B5" s="387"/>
      <c r="C5" s="387"/>
      <c r="D5" s="505"/>
      <c r="E5" s="505"/>
    </row>
    <row r="6" spans="1:5" ht="16">
      <c r="A6" s="503" t="s">
        <v>2072</v>
      </c>
      <c r="B6" s="503"/>
      <c r="C6" s="503"/>
      <c r="D6" s="505"/>
      <c r="E6" s="505"/>
    </row>
    <row r="7" spans="1:5" ht="16">
      <c r="A7" s="388"/>
      <c r="B7" s="388"/>
      <c r="C7" s="388"/>
      <c r="D7" s="388"/>
      <c r="E7" s="388"/>
    </row>
    <row r="8" spans="1:5" ht="16">
      <c r="A8" s="507"/>
      <c r="B8" s="507"/>
      <c r="C8" s="507"/>
      <c r="D8" s="507"/>
      <c r="E8" s="507"/>
    </row>
    <row r="9" spans="1:5" ht="16">
      <c r="A9" s="466" t="s">
        <v>1473</v>
      </c>
      <c r="B9" s="500"/>
      <c r="C9" s="1062" t="s">
        <v>1474</v>
      </c>
      <c r="D9" s="1062"/>
      <c r="E9" s="41"/>
    </row>
    <row r="10" spans="1:5" ht="16">
      <c r="A10" s="466"/>
      <c r="B10" s="500"/>
      <c r="C10" s="500" t="s">
        <v>1475</v>
      </c>
      <c r="D10" s="500" t="s">
        <v>153</v>
      </c>
      <c r="E10" s="500"/>
    </row>
    <row r="11" spans="1:5" ht="16">
      <c r="A11" s="508"/>
      <c r="B11" s="509"/>
      <c r="C11" s="509"/>
      <c r="D11" s="509"/>
      <c r="E11" s="509"/>
    </row>
    <row r="12" spans="1:5" ht="18" customHeight="1">
      <c r="A12" s="388"/>
      <c r="B12" s="388"/>
      <c r="C12" s="388"/>
      <c r="D12" s="388"/>
      <c r="E12" s="388"/>
    </row>
    <row r="13" spans="1:5" ht="18" customHeight="1">
      <c r="A13" s="466" t="s">
        <v>148</v>
      </c>
      <c r="B13" s="388"/>
      <c r="C13" s="756">
        <f>SUM(C15:C33)</f>
        <v>262</v>
      </c>
      <c r="D13" s="896">
        <f>SUM(D15:D33)</f>
        <v>100</v>
      </c>
      <c r="E13" s="388"/>
    </row>
    <row r="14" spans="1:5" ht="18" customHeight="1">
      <c r="A14" s="500"/>
      <c r="B14" s="388"/>
      <c r="C14" s="500"/>
      <c r="D14" s="896"/>
      <c r="E14" s="388"/>
    </row>
    <row r="15" spans="1:5" ht="18" hidden="1" customHeight="1">
      <c r="A15" s="512" t="s">
        <v>2073</v>
      </c>
      <c r="B15" s="41"/>
      <c r="C15" s="500">
        <v>3</v>
      </c>
      <c r="D15" s="896">
        <f>IF(A15&lt;&gt;0,C15/$C$13*100,"")</f>
        <v>1.1450381679389312</v>
      </c>
      <c r="E15" s="388"/>
    </row>
    <row r="16" spans="1:5" ht="15.5" hidden="1" customHeight="1">
      <c r="A16" s="512"/>
      <c r="B16" s="41"/>
      <c r="C16" s="500"/>
      <c r="D16" s="896" t="str">
        <f t="shared" ref="D16:D33" si="0">IF(A16&lt;&gt;0,C16/$C$13*100,"")</f>
        <v/>
      </c>
      <c r="E16" s="388"/>
    </row>
    <row r="17" spans="1:5" ht="15.5" hidden="1" customHeight="1">
      <c r="A17" s="512" t="s">
        <v>2074</v>
      </c>
      <c r="B17" s="41"/>
      <c r="C17" s="500">
        <v>2</v>
      </c>
      <c r="D17" s="896">
        <f t="shared" si="0"/>
        <v>0.76335877862595414</v>
      </c>
      <c r="E17" s="388"/>
    </row>
    <row r="18" spans="1:5" ht="15.5" hidden="1" customHeight="1">
      <c r="A18" s="512"/>
      <c r="B18" s="41"/>
      <c r="C18" s="500"/>
      <c r="D18" s="896" t="str">
        <f t="shared" si="0"/>
        <v/>
      </c>
      <c r="E18" s="388"/>
    </row>
    <row r="19" spans="1:5" ht="18" customHeight="1">
      <c r="A19" s="512" t="s">
        <v>2075</v>
      </c>
      <c r="B19" s="41"/>
      <c r="C19" s="500">
        <v>2</v>
      </c>
      <c r="D19" s="896">
        <f t="shared" si="0"/>
        <v>0.76335877862595414</v>
      </c>
      <c r="E19" s="388"/>
    </row>
    <row r="20" spans="1:5" ht="18" customHeight="1">
      <c r="A20" s="512"/>
      <c r="B20" s="41"/>
      <c r="C20" s="500"/>
      <c r="D20" s="896" t="str">
        <f t="shared" si="0"/>
        <v/>
      </c>
      <c r="E20" s="388"/>
    </row>
    <row r="21" spans="1:5" ht="18" customHeight="1">
      <c r="A21" s="512" t="s">
        <v>2076</v>
      </c>
      <c r="B21" s="41"/>
      <c r="C21" s="500">
        <v>16</v>
      </c>
      <c r="D21" s="896">
        <f t="shared" si="0"/>
        <v>6.1068702290076331</v>
      </c>
      <c r="E21" s="388"/>
    </row>
    <row r="22" spans="1:5" ht="18" customHeight="1">
      <c r="A22" s="512"/>
      <c r="B22" s="41"/>
      <c r="C22" s="500"/>
      <c r="D22" s="896" t="str">
        <f t="shared" si="0"/>
        <v/>
      </c>
      <c r="E22" s="388"/>
    </row>
    <row r="23" spans="1:5" ht="18" customHeight="1">
      <c r="A23" s="512" t="s">
        <v>501</v>
      </c>
      <c r="B23" s="41"/>
      <c r="C23" s="500">
        <v>13</v>
      </c>
      <c r="D23" s="896">
        <f t="shared" si="0"/>
        <v>4.9618320610687023</v>
      </c>
      <c r="E23" s="388"/>
    </row>
    <row r="24" spans="1:5" ht="18" customHeight="1">
      <c r="B24" s="41"/>
      <c r="C24" s="500"/>
      <c r="D24" s="896" t="str">
        <f t="shared" si="0"/>
        <v/>
      </c>
      <c r="E24" s="388"/>
    </row>
    <row r="25" spans="1:5" ht="18" customHeight="1">
      <c r="A25" s="512" t="s">
        <v>500</v>
      </c>
      <c r="B25" s="41"/>
      <c r="C25" s="500">
        <v>81</v>
      </c>
      <c r="D25" s="896">
        <f t="shared" si="0"/>
        <v>30.916030534351147</v>
      </c>
      <c r="E25" s="388"/>
    </row>
    <row r="26" spans="1:5" ht="18" customHeight="1">
      <c r="B26" s="41"/>
      <c r="C26" s="500"/>
      <c r="D26" s="896" t="str">
        <f t="shared" si="0"/>
        <v/>
      </c>
      <c r="E26" s="388"/>
    </row>
    <row r="27" spans="1:5" ht="14.25" customHeight="1">
      <c r="A27" s="512" t="s">
        <v>2077</v>
      </c>
      <c r="B27" s="41"/>
      <c r="C27" s="500">
        <v>5</v>
      </c>
      <c r="D27" s="896">
        <f t="shared" si="0"/>
        <v>1.9083969465648856</v>
      </c>
      <c r="E27" s="388"/>
    </row>
    <row r="28" spans="1:5" ht="16">
      <c r="B28" s="41"/>
      <c r="C28" s="500"/>
      <c r="D28" s="896" t="str">
        <f t="shared" si="0"/>
        <v/>
      </c>
      <c r="E28" s="388"/>
    </row>
    <row r="29" spans="1:5" ht="16">
      <c r="A29" s="512" t="s">
        <v>1163</v>
      </c>
      <c r="B29" s="41"/>
      <c r="C29" s="500">
        <v>99</v>
      </c>
      <c r="D29" s="896">
        <f t="shared" si="0"/>
        <v>37.786259541984734</v>
      </c>
      <c r="E29" s="388"/>
    </row>
    <row r="30" spans="1:5" ht="16">
      <c r="A30" s="512"/>
      <c r="B30" s="41"/>
      <c r="C30" s="500"/>
      <c r="D30" s="896" t="str">
        <f t="shared" si="0"/>
        <v/>
      </c>
      <c r="E30" s="388"/>
    </row>
    <row r="31" spans="1:5" ht="16">
      <c r="A31" s="512" t="s">
        <v>498</v>
      </c>
      <c r="B31" s="41"/>
      <c r="C31" s="500">
        <v>39</v>
      </c>
      <c r="D31" s="896">
        <f t="shared" si="0"/>
        <v>14.885496183206106</v>
      </c>
      <c r="E31" s="388"/>
    </row>
    <row r="32" spans="1:5" ht="16">
      <c r="A32" s="512"/>
      <c r="B32" s="41"/>
      <c r="C32" s="500"/>
      <c r="D32" s="896" t="str">
        <f t="shared" si="0"/>
        <v/>
      </c>
      <c r="E32" s="388"/>
    </row>
    <row r="33" spans="1:5" ht="16">
      <c r="A33" s="512" t="s">
        <v>2078</v>
      </c>
      <c r="B33" s="41"/>
      <c r="C33" s="500">
        <v>2</v>
      </c>
      <c r="D33" s="896">
        <f t="shared" si="0"/>
        <v>0.76335877862595414</v>
      </c>
      <c r="E33" s="388"/>
    </row>
    <row r="34" spans="1:5">
      <c r="A34" s="513"/>
      <c r="B34" s="513"/>
      <c r="C34" s="513"/>
      <c r="D34" s="513"/>
      <c r="E34" s="513"/>
    </row>
    <row r="36" spans="1:5" s="387" customFormat="1" ht="16">
      <c r="A36" s="387" t="s">
        <v>1472</v>
      </c>
    </row>
    <row r="37" spans="1:5" s="387" customFormat="1" ht="16">
      <c r="A37" s="387" t="s">
        <v>471</v>
      </c>
    </row>
    <row r="38" spans="1:5" s="387" customFormat="1" ht="16"/>
  </sheetData>
  <mergeCells count="1">
    <mergeCell ref="C9:D9"/>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41"/>
  <sheetViews>
    <sheetView workbookViewId="0">
      <selection activeCell="A3" sqref="A3"/>
    </sheetView>
  </sheetViews>
  <sheetFormatPr baseColWidth="10" defaultRowHeight="15"/>
  <cols>
    <col min="1" max="1" width="22.5" customWidth="1"/>
    <col min="2" max="2" width="9.33203125" style="70" customWidth="1"/>
    <col min="3" max="3" width="9.33203125" style="28" customWidth="1"/>
    <col min="4" max="4" width="4.83203125" customWidth="1"/>
    <col min="7" max="7" width="5.83203125" customWidth="1"/>
    <col min="10" max="10" width="4.6640625" customWidth="1"/>
    <col min="257" max="257" width="22.5" customWidth="1"/>
    <col min="258" max="259" width="9.33203125" customWidth="1"/>
    <col min="260" max="260" width="4.83203125" customWidth="1"/>
    <col min="263" max="263" width="5.83203125" customWidth="1"/>
    <col min="266" max="266" width="4.6640625" customWidth="1"/>
    <col min="513" max="513" width="22.5" customWidth="1"/>
    <col min="514" max="515" width="9.33203125" customWidth="1"/>
    <col min="516" max="516" width="4.83203125" customWidth="1"/>
    <col min="519" max="519" width="5.83203125" customWidth="1"/>
    <col min="522" max="522" width="4.6640625" customWidth="1"/>
    <col min="769" max="769" width="22.5" customWidth="1"/>
    <col min="770" max="771" width="9.33203125" customWidth="1"/>
    <col min="772" max="772" width="4.83203125" customWidth="1"/>
    <col min="775" max="775" width="5.83203125" customWidth="1"/>
    <col min="778" max="778" width="4.6640625" customWidth="1"/>
    <col min="1025" max="1025" width="22.5" customWidth="1"/>
    <col min="1026" max="1027" width="9.33203125" customWidth="1"/>
    <col min="1028" max="1028" width="4.83203125" customWidth="1"/>
    <col min="1031" max="1031" width="5.83203125" customWidth="1"/>
    <col min="1034" max="1034" width="4.6640625" customWidth="1"/>
    <col min="1281" max="1281" width="22.5" customWidth="1"/>
    <col min="1282" max="1283" width="9.33203125" customWidth="1"/>
    <col min="1284" max="1284" width="4.83203125" customWidth="1"/>
    <col min="1287" max="1287" width="5.83203125" customWidth="1"/>
    <col min="1290" max="1290" width="4.6640625" customWidth="1"/>
    <col min="1537" max="1537" width="22.5" customWidth="1"/>
    <col min="1538" max="1539" width="9.33203125" customWidth="1"/>
    <col min="1540" max="1540" width="4.83203125" customWidth="1"/>
    <col min="1543" max="1543" width="5.83203125" customWidth="1"/>
    <col min="1546" max="1546" width="4.6640625" customWidth="1"/>
    <col min="1793" max="1793" width="22.5" customWidth="1"/>
    <col min="1794" max="1795" width="9.33203125" customWidth="1"/>
    <col min="1796" max="1796" width="4.83203125" customWidth="1"/>
    <col min="1799" max="1799" width="5.83203125" customWidth="1"/>
    <col min="1802" max="1802" width="4.6640625" customWidth="1"/>
    <col min="2049" max="2049" width="22.5" customWidth="1"/>
    <col min="2050" max="2051" width="9.33203125" customWidth="1"/>
    <col min="2052" max="2052" width="4.83203125" customWidth="1"/>
    <col min="2055" max="2055" width="5.83203125" customWidth="1"/>
    <col min="2058" max="2058" width="4.6640625" customWidth="1"/>
    <col min="2305" max="2305" width="22.5" customWidth="1"/>
    <col min="2306" max="2307" width="9.33203125" customWidth="1"/>
    <col min="2308" max="2308" width="4.83203125" customWidth="1"/>
    <col min="2311" max="2311" width="5.83203125" customWidth="1"/>
    <col min="2314" max="2314" width="4.6640625" customWidth="1"/>
    <col min="2561" max="2561" width="22.5" customWidth="1"/>
    <col min="2562" max="2563" width="9.33203125" customWidth="1"/>
    <col min="2564" max="2564" width="4.83203125" customWidth="1"/>
    <col min="2567" max="2567" width="5.83203125" customWidth="1"/>
    <col min="2570" max="2570" width="4.6640625" customWidth="1"/>
    <col min="2817" max="2817" width="22.5" customWidth="1"/>
    <col min="2818" max="2819" width="9.33203125" customWidth="1"/>
    <col min="2820" max="2820" width="4.83203125" customWidth="1"/>
    <col min="2823" max="2823" width="5.83203125" customWidth="1"/>
    <col min="2826" max="2826" width="4.6640625" customWidth="1"/>
    <col min="3073" max="3073" width="22.5" customWidth="1"/>
    <col min="3074" max="3075" width="9.33203125" customWidth="1"/>
    <col min="3076" max="3076" width="4.83203125" customWidth="1"/>
    <col min="3079" max="3079" width="5.83203125" customWidth="1"/>
    <col min="3082" max="3082" width="4.6640625" customWidth="1"/>
    <col min="3329" max="3329" width="22.5" customWidth="1"/>
    <col min="3330" max="3331" width="9.33203125" customWidth="1"/>
    <col min="3332" max="3332" width="4.83203125" customWidth="1"/>
    <col min="3335" max="3335" width="5.83203125" customWidth="1"/>
    <col min="3338" max="3338" width="4.6640625" customWidth="1"/>
    <col min="3585" max="3585" width="22.5" customWidth="1"/>
    <col min="3586" max="3587" width="9.33203125" customWidth="1"/>
    <col min="3588" max="3588" width="4.83203125" customWidth="1"/>
    <col min="3591" max="3591" width="5.83203125" customWidth="1"/>
    <col min="3594" max="3594" width="4.6640625" customWidth="1"/>
    <col min="3841" max="3841" width="22.5" customWidth="1"/>
    <col min="3842" max="3843" width="9.33203125" customWidth="1"/>
    <col min="3844" max="3844" width="4.83203125" customWidth="1"/>
    <col min="3847" max="3847" width="5.83203125" customWidth="1"/>
    <col min="3850" max="3850" width="4.6640625" customWidth="1"/>
    <col min="4097" max="4097" width="22.5" customWidth="1"/>
    <col min="4098" max="4099" width="9.33203125" customWidth="1"/>
    <col min="4100" max="4100" width="4.83203125" customWidth="1"/>
    <col min="4103" max="4103" width="5.83203125" customWidth="1"/>
    <col min="4106" max="4106" width="4.6640625" customWidth="1"/>
    <col min="4353" max="4353" width="22.5" customWidth="1"/>
    <col min="4354" max="4355" width="9.33203125" customWidth="1"/>
    <col min="4356" max="4356" width="4.83203125" customWidth="1"/>
    <col min="4359" max="4359" width="5.83203125" customWidth="1"/>
    <col min="4362" max="4362" width="4.6640625" customWidth="1"/>
    <col min="4609" max="4609" width="22.5" customWidth="1"/>
    <col min="4610" max="4611" width="9.33203125" customWidth="1"/>
    <col min="4612" max="4612" width="4.83203125" customWidth="1"/>
    <col min="4615" max="4615" width="5.83203125" customWidth="1"/>
    <col min="4618" max="4618" width="4.6640625" customWidth="1"/>
    <col min="4865" max="4865" width="22.5" customWidth="1"/>
    <col min="4866" max="4867" width="9.33203125" customWidth="1"/>
    <col min="4868" max="4868" width="4.83203125" customWidth="1"/>
    <col min="4871" max="4871" width="5.83203125" customWidth="1"/>
    <col min="4874" max="4874" width="4.6640625" customWidth="1"/>
    <col min="5121" max="5121" width="22.5" customWidth="1"/>
    <col min="5122" max="5123" width="9.33203125" customWidth="1"/>
    <col min="5124" max="5124" width="4.83203125" customWidth="1"/>
    <col min="5127" max="5127" width="5.83203125" customWidth="1"/>
    <col min="5130" max="5130" width="4.6640625" customWidth="1"/>
    <col min="5377" max="5377" width="22.5" customWidth="1"/>
    <col min="5378" max="5379" width="9.33203125" customWidth="1"/>
    <col min="5380" max="5380" width="4.83203125" customWidth="1"/>
    <col min="5383" max="5383" width="5.83203125" customWidth="1"/>
    <col min="5386" max="5386" width="4.6640625" customWidth="1"/>
    <col min="5633" max="5633" width="22.5" customWidth="1"/>
    <col min="5634" max="5635" width="9.33203125" customWidth="1"/>
    <col min="5636" max="5636" width="4.83203125" customWidth="1"/>
    <col min="5639" max="5639" width="5.83203125" customWidth="1"/>
    <col min="5642" max="5642" width="4.6640625" customWidth="1"/>
    <col min="5889" max="5889" width="22.5" customWidth="1"/>
    <col min="5890" max="5891" width="9.33203125" customWidth="1"/>
    <col min="5892" max="5892" width="4.83203125" customWidth="1"/>
    <col min="5895" max="5895" width="5.83203125" customWidth="1"/>
    <col min="5898" max="5898" width="4.6640625" customWidth="1"/>
    <col min="6145" max="6145" width="22.5" customWidth="1"/>
    <col min="6146" max="6147" width="9.33203125" customWidth="1"/>
    <col min="6148" max="6148" width="4.83203125" customWidth="1"/>
    <col min="6151" max="6151" width="5.83203125" customWidth="1"/>
    <col min="6154" max="6154" width="4.6640625" customWidth="1"/>
    <col min="6401" max="6401" width="22.5" customWidth="1"/>
    <col min="6402" max="6403" width="9.33203125" customWidth="1"/>
    <col min="6404" max="6404" width="4.83203125" customWidth="1"/>
    <col min="6407" max="6407" width="5.83203125" customWidth="1"/>
    <col min="6410" max="6410" width="4.6640625" customWidth="1"/>
    <col min="6657" max="6657" width="22.5" customWidth="1"/>
    <col min="6658" max="6659" width="9.33203125" customWidth="1"/>
    <col min="6660" max="6660" width="4.83203125" customWidth="1"/>
    <col min="6663" max="6663" width="5.83203125" customWidth="1"/>
    <col min="6666" max="6666" width="4.6640625" customWidth="1"/>
    <col min="6913" max="6913" width="22.5" customWidth="1"/>
    <col min="6914" max="6915" width="9.33203125" customWidth="1"/>
    <col min="6916" max="6916" width="4.83203125" customWidth="1"/>
    <col min="6919" max="6919" width="5.83203125" customWidth="1"/>
    <col min="6922" max="6922" width="4.6640625" customWidth="1"/>
    <col min="7169" max="7169" width="22.5" customWidth="1"/>
    <col min="7170" max="7171" width="9.33203125" customWidth="1"/>
    <col min="7172" max="7172" width="4.83203125" customWidth="1"/>
    <col min="7175" max="7175" width="5.83203125" customWidth="1"/>
    <col min="7178" max="7178" width="4.6640625" customWidth="1"/>
    <col min="7425" max="7425" width="22.5" customWidth="1"/>
    <col min="7426" max="7427" width="9.33203125" customWidth="1"/>
    <col min="7428" max="7428" width="4.83203125" customWidth="1"/>
    <col min="7431" max="7431" width="5.83203125" customWidth="1"/>
    <col min="7434" max="7434" width="4.6640625" customWidth="1"/>
    <col min="7681" max="7681" width="22.5" customWidth="1"/>
    <col min="7682" max="7683" width="9.33203125" customWidth="1"/>
    <col min="7684" max="7684" width="4.83203125" customWidth="1"/>
    <col min="7687" max="7687" width="5.83203125" customWidth="1"/>
    <col min="7690" max="7690" width="4.6640625" customWidth="1"/>
    <col min="7937" max="7937" width="22.5" customWidth="1"/>
    <col min="7938" max="7939" width="9.33203125" customWidth="1"/>
    <col min="7940" max="7940" width="4.83203125" customWidth="1"/>
    <col min="7943" max="7943" width="5.83203125" customWidth="1"/>
    <col min="7946" max="7946" width="4.6640625" customWidth="1"/>
    <col min="8193" max="8193" width="22.5" customWidth="1"/>
    <col min="8194" max="8195" width="9.33203125" customWidth="1"/>
    <col min="8196" max="8196" width="4.83203125" customWidth="1"/>
    <col min="8199" max="8199" width="5.83203125" customWidth="1"/>
    <col min="8202" max="8202" width="4.6640625" customWidth="1"/>
    <col min="8449" max="8449" width="22.5" customWidth="1"/>
    <col min="8450" max="8451" width="9.33203125" customWidth="1"/>
    <col min="8452" max="8452" width="4.83203125" customWidth="1"/>
    <col min="8455" max="8455" width="5.83203125" customWidth="1"/>
    <col min="8458" max="8458" width="4.6640625" customWidth="1"/>
    <col min="8705" max="8705" width="22.5" customWidth="1"/>
    <col min="8706" max="8707" width="9.33203125" customWidth="1"/>
    <col min="8708" max="8708" width="4.83203125" customWidth="1"/>
    <col min="8711" max="8711" width="5.83203125" customWidth="1"/>
    <col min="8714" max="8714" width="4.6640625" customWidth="1"/>
    <col min="8961" max="8961" width="22.5" customWidth="1"/>
    <col min="8962" max="8963" width="9.33203125" customWidth="1"/>
    <col min="8964" max="8964" width="4.83203125" customWidth="1"/>
    <col min="8967" max="8967" width="5.83203125" customWidth="1"/>
    <col min="8970" max="8970" width="4.6640625" customWidth="1"/>
    <col min="9217" max="9217" width="22.5" customWidth="1"/>
    <col min="9218" max="9219" width="9.33203125" customWidth="1"/>
    <col min="9220" max="9220" width="4.83203125" customWidth="1"/>
    <col min="9223" max="9223" width="5.83203125" customWidth="1"/>
    <col min="9226" max="9226" width="4.6640625" customWidth="1"/>
    <col min="9473" max="9473" width="22.5" customWidth="1"/>
    <col min="9474" max="9475" width="9.33203125" customWidth="1"/>
    <col min="9476" max="9476" width="4.83203125" customWidth="1"/>
    <col min="9479" max="9479" width="5.83203125" customWidth="1"/>
    <col min="9482" max="9482" width="4.6640625" customWidth="1"/>
    <col min="9729" max="9729" width="22.5" customWidth="1"/>
    <col min="9730" max="9731" width="9.33203125" customWidth="1"/>
    <col min="9732" max="9732" width="4.83203125" customWidth="1"/>
    <col min="9735" max="9735" width="5.83203125" customWidth="1"/>
    <col min="9738" max="9738" width="4.6640625" customWidth="1"/>
    <col min="9985" max="9985" width="22.5" customWidth="1"/>
    <col min="9986" max="9987" width="9.33203125" customWidth="1"/>
    <col min="9988" max="9988" width="4.83203125" customWidth="1"/>
    <col min="9991" max="9991" width="5.83203125" customWidth="1"/>
    <col min="9994" max="9994" width="4.6640625" customWidth="1"/>
    <col min="10241" max="10241" width="22.5" customWidth="1"/>
    <col min="10242" max="10243" width="9.33203125" customWidth="1"/>
    <col min="10244" max="10244" width="4.83203125" customWidth="1"/>
    <col min="10247" max="10247" width="5.83203125" customWidth="1"/>
    <col min="10250" max="10250" width="4.6640625" customWidth="1"/>
    <col min="10497" max="10497" width="22.5" customWidth="1"/>
    <col min="10498" max="10499" width="9.33203125" customWidth="1"/>
    <col min="10500" max="10500" width="4.83203125" customWidth="1"/>
    <col min="10503" max="10503" width="5.83203125" customWidth="1"/>
    <col min="10506" max="10506" width="4.6640625" customWidth="1"/>
    <col min="10753" max="10753" width="22.5" customWidth="1"/>
    <col min="10754" max="10755" width="9.33203125" customWidth="1"/>
    <col min="10756" max="10756" width="4.83203125" customWidth="1"/>
    <col min="10759" max="10759" width="5.83203125" customWidth="1"/>
    <col min="10762" max="10762" width="4.6640625" customWidth="1"/>
    <col min="11009" max="11009" width="22.5" customWidth="1"/>
    <col min="11010" max="11011" width="9.33203125" customWidth="1"/>
    <col min="11012" max="11012" width="4.83203125" customWidth="1"/>
    <col min="11015" max="11015" width="5.83203125" customWidth="1"/>
    <col min="11018" max="11018" width="4.6640625" customWidth="1"/>
    <col min="11265" max="11265" width="22.5" customWidth="1"/>
    <col min="11266" max="11267" width="9.33203125" customWidth="1"/>
    <col min="11268" max="11268" width="4.83203125" customWidth="1"/>
    <col min="11271" max="11271" width="5.83203125" customWidth="1"/>
    <col min="11274" max="11274" width="4.6640625" customWidth="1"/>
    <col min="11521" max="11521" width="22.5" customWidth="1"/>
    <col min="11522" max="11523" width="9.33203125" customWidth="1"/>
    <col min="11524" max="11524" width="4.83203125" customWidth="1"/>
    <col min="11527" max="11527" width="5.83203125" customWidth="1"/>
    <col min="11530" max="11530" width="4.6640625" customWidth="1"/>
    <col min="11777" max="11777" width="22.5" customWidth="1"/>
    <col min="11778" max="11779" width="9.33203125" customWidth="1"/>
    <col min="11780" max="11780" width="4.83203125" customWidth="1"/>
    <col min="11783" max="11783" width="5.83203125" customWidth="1"/>
    <col min="11786" max="11786" width="4.6640625" customWidth="1"/>
    <col min="12033" max="12033" width="22.5" customWidth="1"/>
    <col min="12034" max="12035" width="9.33203125" customWidth="1"/>
    <col min="12036" max="12036" width="4.83203125" customWidth="1"/>
    <col min="12039" max="12039" width="5.83203125" customWidth="1"/>
    <col min="12042" max="12042" width="4.6640625" customWidth="1"/>
    <col min="12289" max="12289" width="22.5" customWidth="1"/>
    <col min="12290" max="12291" width="9.33203125" customWidth="1"/>
    <col min="12292" max="12292" width="4.83203125" customWidth="1"/>
    <col min="12295" max="12295" width="5.83203125" customWidth="1"/>
    <col min="12298" max="12298" width="4.6640625" customWidth="1"/>
    <col min="12545" max="12545" width="22.5" customWidth="1"/>
    <col min="12546" max="12547" width="9.33203125" customWidth="1"/>
    <col min="12548" max="12548" width="4.83203125" customWidth="1"/>
    <col min="12551" max="12551" width="5.83203125" customWidth="1"/>
    <col min="12554" max="12554" width="4.6640625" customWidth="1"/>
    <col min="12801" max="12801" width="22.5" customWidth="1"/>
    <col min="12802" max="12803" width="9.33203125" customWidth="1"/>
    <col min="12804" max="12804" width="4.83203125" customWidth="1"/>
    <col min="12807" max="12807" width="5.83203125" customWidth="1"/>
    <col min="12810" max="12810" width="4.6640625" customWidth="1"/>
    <col min="13057" max="13057" width="22.5" customWidth="1"/>
    <col min="13058" max="13059" width="9.33203125" customWidth="1"/>
    <col min="13060" max="13060" width="4.83203125" customWidth="1"/>
    <col min="13063" max="13063" width="5.83203125" customWidth="1"/>
    <col min="13066" max="13066" width="4.6640625" customWidth="1"/>
    <col min="13313" max="13313" width="22.5" customWidth="1"/>
    <col min="13314" max="13315" width="9.33203125" customWidth="1"/>
    <col min="13316" max="13316" width="4.83203125" customWidth="1"/>
    <col min="13319" max="13319" width="5.83203125" customWidth="1"/>
    <col min="13322" max="13322" width="4.6640625" customWidth="1"/>
    <col min="13569" max="13569" width="22.5" customWidth="1"/>
    <col min="13570" max="13571" width="9.33203125" customWidth="1"/>
    <col min="13572" max="13572" width="4.83203125" customWidth="1"/>
    <col min="13575" max="13575" width="5.83203125" customWidth="1"/>
    <col min="13578" max="13578" width="4.6640625" customWidth="1"/>
    <col min="13825" max="13825" width="22.5" customWidth="1"/>
    <col min="13826" max="13827" width="9.33203125" customWidth="1"/>
    <col min="13828" max="13828" width="4.83203125" customWidth="1"/>
    <col min="13831" max="13831" width="5.83203125" customWidth="1"/>
    <col min="13834" max="13834" width="4.6640625" customWidth="1"/>
    <col min="14081" max="14081" width="22.5" customWidth="1"/>
    <col min="14082" max="14083" width="9.33203125" customWidth="1"/>
    <col min="14084" max="14084" width="4.83203125" customWidth="1"/>
    <col min="14087" max="14087" width="5.83203125" customWidth="1"/>
    <col min="14090" max="14090" width="4.6640625" customWidth="1"/>
    <col min="14337" max="14337" width="22.5" customWidth="1"/>
    <col min="14338" max="14339" width="9.33203125" customWidth="1"/>
    <col min="14340" max="14340" width="4.83203125" customWidth="1"/>
    <col min="14343" max="14343" width="5.83203125" customWidth="1"/>
    <col min="14346" max="14346" width="4.6640625" customWidth="1"/>
    <col min="14593" max="14593" width="22.5" customWidth="1"/>
    <col min="14594" max="14595" width="9.33203125" customWidth="1"/>
    <col min="14596" max="14596" width="4.83203125" customWidth="1"/>
    <col min="14599" max="14599" width="5.83203125" customWidth="1"/>
    <col min="14602" max="14602" width="4.6640625" customWidth="1"/>
    <col min="14849" max="14849" width="22.5" customWidth="1"/>
    <col min="14850" max="14851" width="9.33203125" customWidth="1"/>
    <col min="14852" max="14852" width="4.83203125" customWidth="1"/>
    <col min="14855" max="14855" width="5.83203125" customWidth="1"/>
    <col min="14858" max="14858" width="4.6640625" customWidth="1"/>
    <col min="15105" max="15105" width="22.5" customWidth="1"/>
    <col min="15106" max="15107" width="9.33203125" customWidth="1"/>
    <col min="15108" max="15108" width="4.83203125" customWidth="1"/>
    <col min="15111" max="15111" width="5.83203125" customWidth="1"/>
    <col min="15114" max="15114" width="4.6640625" customWidth="1"/>
    <col min="15361" max="15361" width="22.5" customWidth="1"/>
    <col min="15362" max="15363" width="9.33203125" customWidth="1"/>
    <col min="15364" max="15364" width="4.83203125" customWidth="1"/>
    <col min="15367" max="15367" width="5.83203125" customWidth="1"/>
    <col min="15370" max="15370" width="4.6640625" customWidth="1"/>
    <col min="15617" max="15617" width="22.5" customWidth="1"/>
    <col min="15618" max="15619" width="9.33203125" customWidth="1"/>
    <col min="15620" max="15620" width="4.83203125" customWidth="1"/>
    <col min="15623" max="15623" width="5.83203125" customWidth="1"/>
    <col min="15626" max="15626" width="4.6640625" customWidth="1"/>
    <col min="15873" max="15873" width="22.5" customWidth="1"/>
    <col min="15874" max="15875" width="9.33203125" customWidth="1"/>
    <col min="15876" max="15876" width="4.83203125" customWidth="1"/>
    <col min="15879" max="15879" width="5.83203125" customWidth="1"/>
    <col min="15882" max="15882" width="4.6640625" customWidth="1"/>
    <col min="16129" max="16129" width="22.5" customWidth="1"/>
    <col min="16130" max="16131" width="9.33203125" customWidth="1"/>
    <col min="16132" max="16132" width="4.83203125" customWidth="1"/>
    <col min="16135" max="16135" width="5.83203125" customWidth="1"/>
    <col min="16138" max="16138" width="4.6640625" customWidth="1"/>
  </cols>
  <sheetData>
    <row r="1" spans="1:10" ht="18" customHeight="1">
      <c r="A1" s="387" t="s">
        <v>466</v>
      </c>
      <c r="B1" s="718"/>
      <c r="C1" s="502"/>
      <c r="D1" s="387"/>
    </row>
    <row r="2" spans="1:10" ht="18" customHeight="1">
      <c r="A2" s="387" t="s">
        <v>467</v>
      </c>
      <c r="B2" s="718"/>
      <c r="C2" s="502"/>
      <c r="D2" s="387"/>
    </row>
    <row r="3" spans="1:10" ht="12" customHeight="1">
      <c r="A3" s="387"/>
      <c r="B3" s="718"/>
      <c r="C3" s="502"/>
      <c r="D3" s="387"/>
    </row>
    <row r="4" spans="1:10" ht="18" customHeight="1">
      <c r="A4" s="387" t="s">
        <v>2079</v>
      </c>
      <c r="B4" s="718"/>
      <c r="C4" s="502"/>
      <c r="D4" s="387"/>
    </row>
    <row r="5" spans="1:10" ht="18" customHeight="1">
      <c r="A5" s="387" t="s">
        <v>2080</v>
      </c>
      <c r="B5" s="718"/>
      <c r="C5" s="502"/>
      <c r="D5" s="387"/>
    </row>
    <row r="6" spans="1:10" ht="15.75" customHeight="1" thickBot="1">
      <c r="A6" s="387"/>
      <c r="B6" s="718"/>
      <c r="C6" s="502"/>
      <c r="D6" s="387"/>
    </row>
    <row r="7" spans="1:10" ht="15" customHeight="1">
      <c r="A7" s="464"/>
      <c r="B7" s="904"/>
      <c r="C7" s="905"/>
      <c r="D7" s="464"/>
      <c r="E7" s="464"/>
      <c r="F7" s="464"/>
      <c r="G7" s="464"/>
      <c r="H7" s="464"/>
      <c r="I7" s="464"/>
      <c r="J7" s="464"/>
    </row>
    <row r="8" spans="1:10" ht="15" customHeight="1">
      <c r="A8" s="388"/>
      <c r="B8" s="510"/>
      <c r="C8" s="511"/>
      <c r="D8" s="388"/>
      <c r="E8" s="1063" t="s">
        <v>2081</v>
      </c>
      <c r="F8" s="1063"/>
      <c r="G8" s="1063"/>
      <c r="H8" s="1063"/>
      <c r="I8" s="1063"/>
    </row>
    <row r="9" spans="1:10" ht="18" customHeight="1">
      <c r="A9" s="388" t="s">
        <v>2082</v>
      </c>
      <c r="B9" s="1063" t="s">
        <v>148</v>
      </c>
      <c r="C9" s="1063"/>
      <c r="D9" s="388"/>
      <c r="E9" s="1063" t="s">
        <v>2083</v>
      </c>
      <c r="F9" s="1063"/>
      <c r="G9" s="33"/>
      <c r="H9" s="1063" t="s">
        <v>2084</v>
      </c>
      <c r="I9" s="1063"/>
    </row>
    <row r="10" spans="1:10" ht="18" customHeight="1">
      <c r="A10" s="493"/>
      <c r="B10" s="756" t="s">
        <v>152</v>
      </c>
      <c r="C10" s="896" t="s">
        <v>153</v>
      </c>
      <c r="D10" s="388"/>
      <c r="E10" s="756" t="s">
        <v>152</v>
      </c>
      <c r="F10" s="896" t="s">
        <v>153</v>
      </c>
      <c r="G10" s="33"/>
      <c r="H10" s="756" t="s">
        <v>152</v>
      </c>
      <c r="I10" s="896" t="s">
        <v>153</v>
      </c>
    </row>
    <row r="11" spans="1:10" ht="15" customHeight="1" thickBot="1">
      <c r="A11" s="463"/>
      <c r="B11" s="906"/>
      <c r="C11" s="907"/>
      <c r="D11" s="463"/>
      <c r="E11" s="463"/>
      <c r="F11" s="463"/>
      <c r="G11" s="463"/>
      <c r="H11" s="463"/>
      <c r="I11" s="463"/>
      <c r="J11" s="463"/>
    </row>
    <row r="12" spans="1:10" ht="15" customHeight="1">
      <c r="A12" s="388"/>
      <c r="B12" s="510"/>
      <c r="C12" s="511"/>
      <c r="D12" s="388"/>
    </row>
    <row r="13" spans="1:10" ht="16">
      <c r="A13" s="893" t="s">
        <v>148</v>
      </c>
      <c r="B13" s="908">
        <f>SUM(B15:B37)</f>
        <v>9625</v>
      </c>
      <c r="C13" s="909">
        <f>SUM(C15:C37)</f>
        <v>100.00000000000001</v>
      </c>
      <c r="D13" s="501"/>
      <c r="E13" s="908">
        <f>SUM(E15:E37)</f>
        <v>4730</v>
      </c>
      <c r="F13" s="909">
        <f>SUM(F15:F37)</f>
        <v>100</v>
      </c>
      <c r="G13" s="387"/>
      <c r="H13" s="908">
        <f>SUM(H15:H37)</f>
        <v>4895</v>
      </c>
      <c r="I13" s="909">
        <f>SUM(I15:I37)</f>
        <v>100.00000000000001</v>
      </c>
    </row>
    <row r="14" spans="1:10" ht="16">
      <c r="A14" s="387"/>
      <c r="B14" s="908" t="str">
        <f>IF(A14&lt;&gt;"",#REF!+#REF!+#REF!,"")</f>
        <v/>
      </c>
      <c r="C14" s="910"/>
      <c r="D14" s="387"/>
      <c r="E14" s="387"/>
      <c r="F14" s="387"/>
      <c r="G14" s="387"/>
      <c r="H14" s="387"/>
      <c r="I14" s="387"/>
    </row>
    <row r="15" spans="1:10" ht="16">
      <c r="A15" s="893" t="s">
        <v>2085</v>
      </c>
      <c r="B15" s="908">
        <f t="shared" ref="B15:B37" si="0">IF(A15&lt;&gt;"",E15+H15,"")</f>
        <v>340</v>
      </c>
      <c r="C15" s="909">
        <f>IF(A15&lt;&gt;"",B15/$B$13*100,"")</f>
        <v>3.5324675324675328</v>
      </c>
      <c r="D15" s="387"/>
      <c r="E15" s="387"/>
      <c r="F15" s="502">
        <f t="shared" ref="F15:F37" si="1">IF(A15&lt;&gt;"",E15/$E$13*100,"")</f>
        <v>0</v>
      </c>
      <c r="G15" s="387"/>
      <c r="H15" s="387">
        <v>340</v>
      </c>
      <c r="I15" s="502">
        <f t="shared" ref="I15:I37" si="2">IF($A15&lt;&gt;"",H15/$H$13*100,"")</f>
        <v>6.9458631256384056</v>
      </c>
    </row>
    <row r="16" spans="1:10" ht="16">
      <c r="A16" s="911"/>
      <c r="B16" s="908" t="str">
        <f t="shared" si="0"/>
        <v/>
      </c>
      <c r="C16" s="909"/>
      <c r="D16" s="387"/>
      <c r="E16" s="387"/>
      <c r="F16" s="502" t="str">
        <f t="shared" si="1"/>
        <v/>
      </c>
      <c r="G16" s="387"/>
      <c r="H16" s="387"/>
      <c r="I16" s="502" t="str">
        <f t="shared" si="2"/>
        <v/>
      </c>
    </row>
    <row r="17" spans="1:9" ht="16">
      <c r="A17" s="387" t="s">
        <v>2086</v>
      </c>
      <c r="B17" s="908">
        <f t="shared" si="0"/>
        <v>720</v>
      </c>
      <c r="C17" s="909">
        <f t="shared" ref="C17:C37" si="3">IF(A17&lt;&gt;"",B17/$B$13*100,"")</f>
        <v>7.4805194805194803</v>
      </c>
      <c r="D17" s="719"/>
      <c r="E17" s="387">
        <v>620</v>
      </c>
      <c r="F17" s="502">
        <f t="shared" si="1"/>
        <v>13.107822410147993</v>
      </c>
      <c r="G17" s="387"/>
      <c r="H17" s="387">
        <v>100</v>
      </c>
      <c r="I17" s="502">
        <f t="shared" si="2"/>
        <v>2.0429009193054135</v>
      </c>
    </row>
    <row r="18" spans="1:9" ht="16">
      <c r="A18" s="387"/>
      <c r="B18" s="908" t="str">
        <f t="shared" si="0"/>
        <v/>
      </c>
      <c r="C18" s="909" t="str">
        <f t="shared" si="3"/>
        <v/>
      </c>
      <c r="D18" s="719"/>
      <c r="E18" s="387"/>
      <c r="F18" s="502" t="str">
        <f t="shared" si="1"/>
        <v/>
      </c>
      <c r="G18" s="387"/>
      <c r="H18" s="387"/>
      <c r="I18" s="502" t="str">
        <f t="shared" si="2"/>
        <v/>
      </c>
    </row>
    <row r="19" spans="1:9" ht="16">
      <c r="A19" s="387" t="s">
        <v>2087</v>
      </c>
      <c r="B19" s="908">
        <f t="shared" si="0"/>
        <v>770</v>
      </c>
      <c r="C19" s="909">
        <f t="shared" si="3"/>
        <v>8</v>
      </c>
      <c r="D19" s="719"/>
      <c r="E19" s="387">
        <v>300</v>
      </c>
      <c r="F19" s="502">
        <f t="shared" si="1"/>
        <v>6.3424947145877377</v>
      </c>
      <c r="G19" s="387"/>
      <c r="H19" s="387">
        <v>470</v>
      </c>
      <c r="I19" s="502">
        <f t="shared" si="2"/>
        <v>9.6016343207354442</v>
      </c>
    </row>
    <row r="20" spans="1:9" ht="16">
      <c r="A20" s="387"/>
      <c r="B20" s="908" t="str">
        <f t="shared" si="0"/>
        <v/>
      </c>
      <c r="C20" s="909" t="str">
        <f t="shared" si="3"/>
        <v/>
      </c>
      <c r="D20" s="719"/>
      <c r="E20" s="387"/>
      <c r="F20" s="502" t="str">
        <f t="shared" si="1"/>
        <v/>
      </c>
      <c r="G20" s="387"/>
      <c r="H20" s="387"/>
      <c r="I20" s="502" t="str">
        <f t="shared" si="2"/>
        <v/>
      </c>
    </row>
    <row r="21" spans="1:9" ht="16">
      <c r="A21" s="387" t="s">
        <v>2088</v>
      </c>
      <c r="B21" s="908">
        <f t="shared" si="0"/>
        <v>865</v>
      </c>
      <c r="C21" s="909">
        <f t="shared" si="3"/>
        <v>8.9870129870129869</v>
      </c>
      <c r="D21" s="719"/>
      <c r="E21" s="387">
        <v>475</v>
      </c>
      <c r="F21" s="502">
        <f t="shared" si="1"/>
        <v>10.042283298097251</v>
      </c>
      <c r="G21" s="387"/>
      <c r="H21" s="387">
        <v>390</v>
      </c>
      <c r="I21" s="502">
        <f t="shared" si="2"/>
        <v>7.9673135852911141</v>
      </c>
    </row>
    <row r="22" spans="1:9" ht="16">
      <c r="A22" s="387"/>
      <c r="B22" s="908" t="str">
        <f t="shared" si="0"/>
        <v/>
      </c>
      <c r="C22" s="909" t="str">
        <f t="shared" si="3"/>
        <v/>
      </c>
      <c r="D22" s="719"/>
      <c r="E22" s="387"/>
      <c r="F22" s="502" t="str">
        <f t="shared" si="1"/>
        <v/>
      </c>
      <c r="G22" s="387"/>
      <c r="H22" s="387"/>
      <c r="I22" s="502" t="str">
        <f t="shared" si="2"/>
        <v/>
      </c>
    </row>
    <row r="23" spans="1:9" ht="16">
      <c r="A23" s="387" t="s">
        <v>2089</v>
      </c>
      <c r="B23" s="908">
        <f t="shared" si="0"/>
        <v>1545</v>
      </c>
      <c r="C23" s="909">
        <f t="shared" si="3"/>
        <v>16.051948051948052</v>
      </c>
      <c r="D23" s="719"/>
      <c r="E23" s="387">
        <v>1060</v>
      </c>
      <c r="F23" s="502">
        <f t="shared" si="1"/>
        <v>22.41014799154334</v>
      </c>
      <c r="G23" s="387"/>
      <c r="H23" s="387">
        <v>485</v>
      </c>
      <c r="I23" s="502">
        <f t="shared" si="2"/>
        <v>9.9080694586312568</v>
      </c>
    </row>
    <row r="24" spans="1:9" ht="16">
      <c r="A24" s="387"/>
      <c r="B24" s="908" t="str">
        <f t="shared" si="0"/>
        <v/>
      </c>
      <c r="C24" s="909" t="str">
        <f t="shared" si="3"/>
        <v/>
      </c>
      <c r="D24" s="719"/>
      <c r="E24" s="387"/>
      <c r="F24" s="502" t="str">
        <f t="shared" si="1"/>
        <v/>
      </c>
      <c r="G24" s="387"/>
      <c r="H24" s="387"/>
      <c r="I24" s="502" t="str">
        <f t="shared" si="2"/>
        <v/>
      </c>
    </row>
    <row r="25" spans="1:9" ht="16">
      <c r="A25" s="387" t="s">
        <v>2090</v>
      </c>
      <c r="B25" s="908">
        <f t="shared" si="0"/>
        <v>820</v>
      </c>
      <c r="C25" s="909">
        <f t="shared" si="3"/>
        <v>8.5194805194805205</v>
      </c>
      <c r="D25" s="719"/>
      <c r="E25" s="387">
        <v>400</v>
      </c>
      <c r="F25" s="502">
        <f t="shared" si="1"/>
        <v>8.456659619450317</v>
      </c>
      <c r="G25" s="387"/>
      <c r="H25" s="387">
        <v>420</v>
      </c>
      <c r="I25" s="502">
        <f t="shared" si="2"/>
        <v>8.5801838610827375</v>
      </c>
    </row>
    <row r="26" spans="1:9" ht="16">
      <c r="A26" s="387"/>
      <c r="B26" s="908" t="str">
        <f t="shared" si="0"/>
        <v/>
      </c>
      <c r="C26" s="909" t="str">
        <f t="shared" si="3"/>
        <v/>
      </c>
      <c r="D26" s="719"/>
      <c r="E26" s="387"/>
      <c r="F26" s="502" t="str">
        <f t="shared" si="1"/>
        <v/>
      </c>
      <c r="G26" s="387"/>
      <c r="H26" s="387"/>
      <c r="I26" s="502" t="str">
        <f t="shared" si="2"/>
        <v/>
      </c>
    </row>
    <row r="27" spans="1:9" ht="16">
      <c r="A27" s="387" t="s">
        <v>2091</v>
      </c>
      <c r="B27" s="908">
        <f t="shared" si="0"/>
        <v>425</v>
      </c>
      <c r="C27" s="909">
        <f t="shared" si="3"/>
        <v>4.4155844155844157</v>
      </c>
      <c r="D27" s="719"/>
      <c r="E27" s="387">
        <v>210</v>
      </c>
      <c r="F27" s="502">
        <f t="shared" si="1"/>
        <v>4.439746300211417</v>
      </c>
      <c r="G27" s="387"/>
      <c r="H27" s="387">
        <v>215</v>
      </c>
      <c r="I27" s="502">
        <f t="shared" si="2"/>
        <v>4.3922369765066396</v>
      </c>
    </row>
    <row r="28" spans="1:9" ht="16">
      <c r="A28" s="387"/>
      <c r="B28" s="908" t="str">
        <f t="shared" si="0"/>
        <v/>
      </c>
      <c r="C28" s="909" t="str">
        <f t="shared" si="3"/>
        <v/>
      </c>
      <c r="D28" s="719"/>
      <c r="E28" s="387"/>
      <c r="F28" s="502" t="str">
        <f t="shared" si="1"/>
        <v/>
      </c>
      <c r="G28" s="387"/>
      <c r="H28" s="387"/>
      <c r="I28" s="502" t="str">
        <f t="shared" si="2"/>
        <v/>
      </c>
    </row>
    <row r="29" spans="1:9" ht="16">
      <c r="A29" s="387" t="s">
        <v>2092</v>
      </c>
      <c r="B29" s="908">
        <f t="shared" si="0"/>
        <v>930</v>
      </c>
      <c r="C29" s="909">
        <f t="shared" si="3"/>
        <v>9.6623376623376629</v>
      </c>
      <c r="D29" s="719"/>
      <c r="E29" s="387">
        <v>140</v>
      </c>
      <c r="F29" s="502">
        <f t="shared" si="1"/>
        <v>2.9598308668076108</v>
      </c>
      <c r="G29" s="387"/>
      <c r="H29" s="387">
        <v>790</v>
      </c>
      <c r="I29" s="502">
        <f t="shared" si="2"/>
        <v>16.138917262512766</v>
      </c>
    </row>
    <row r="30" spans="1:9" ht="16">
      <c r="A30" s="387"/>
      <c r="B30" s="908" t="str">
        <f t="shared" si="0"/>
        <v/>
      </c>
      <c r="C30" s="909" t="str">
        <f t="shared" si="3"/>
        <v/>
      </c>
      <c r="D30" s="719"/>
      <c r="E30" s="387"/>
      <c r="F30" s="502" t="str">
        <f t="shared" si="1"/>
        <v/>
      </c>
      <c r="G30" s="387"/>
      <c r="H30" s="387"/>
      <c r="I30" s="502" t="str">
        <f t="shared" si="2"/>
        <v/>
      </c>
    </row>
    <row r="31" spans="1:9" ht="16">
      <c r="A31" s="387" t="s">
        <v>2093</v>
      </c>
      <c r="B31" s="908">
        <f t="shared" si="0"/>
        <v>670</v>
      </c>
      <c r="C31" s="909">
        <f t="shared" si="3"/>
        <v>6.9610389610389607</v>
      </c>
      <c r="D31" s="719"/>
      <c r="E31" s="387">
        <v>360</v>
      </c>
      <c r="F31" s="502">
        <f t="shared" si="1"/>
        <v>7.6109936575052854</v>
      </c>
      <c r="G31" s="387"/>
      <c r="H31" s="387">
        <v>310</v>
      </c>
      <c r="I31" s="502">
        <f t="shared" si="2"/>
        <v>6.3329928498467831</v>
      </c>
    </row>
    <row r="32" spans="1:9" ht="16">
      <c r="A32" s="387"/>
      <c r="B32" s="908" t="str">
        <f t="shared" si="0"/>
        <v/>
      </c>
      <c r="C32" s="909" t="str">
        <f t="shared" si="3"/>
        <v/>
      </c>
      <c r="D32" s="719"/>
      <c r="E32" s="387"/>
      <c r="F32" s="502" t="str">
        <f t="shared" si="1"/>
        <v/>
      </c>
      <c r="G32" s="387"/>
      <c r="H32" s="387"/>
      <c r="I32" s="502" t="str">
        <f t="shared" si="2"/>
        <v/>
      </c>
    </row>
    <row r="33" spans="1:10" ht="16">
      <c r="A33" s="387" t="s">
        <v>2094</v>
      </c>
      <c r="B33" s="908">
        <f t="shared" si="0"/>
        <v>775</v>
      </c>
      <c r="C33" s="909">
        <f t="shared" si="3"/>
        <v>8.0519480519480524</v>
      </c>
      <c r="D33" s="719"/>
      <c r="E33" s="387">
        <v>300</v>
      </c>
      <c r="F33" s="502">
        <f t="shared" si="1"/>
        <v>6.3424947145877377</v>
      </c>
      <c r="G33" s="387"/>
      <c r="H33" s="387">
        <v>475</v>
      </c>
      <c r="I33" s="502">
        <f t="shared" si="2"/>
        <v>9.7037793667007151</v>
      </c>
    </row>
    <row r="34" spans="1:10" ht="16">
      <c r="A34" s="387"/>
      <c r="B34" s="908" t="str">
        <f t="shared" si="0"/>
        <v/>
      </c>
      <c r="C34" s="909" t="str">
        <f t="shared" si="3"/>
        <v/>
      </c>
      <c r="D34" s="719"/>
      <c r="E34" s="387"/>
      <c r="F34" s="502" t="str">
        <f t="shared" si="1"/>
        <v/>
      </c>
      <c r="G34" s="387"/>
      <c r="H34" s="387"/>
      <c r="I34" s="502" t="str">
        <f t="shared" si="2"/>
        <v/>
      </c>
    </row>
    <row r="35" spans="1:10" ht="16">
      <c r="A35" s="387" t="s">
        <v>2095</v>
      </c>
      <c r="B35" s="908">
        <f t="shared" si="0"/>
        <v>815</v>
      </c>
      <c r="C35" s="909">
        <f t="shared" si="3"/>
        <v>8.4675324675324681</v>
      </c>
      <c r="D35" s="719"/>
      <c r="E35" s="387">
        <v>365</v>
      </c>
      <c r="F35" s="502">
        <f t="shared" si="1"/>
        <v>7.7167019027484143</v>
      </c>
      <c r="G35" s="387"/>
      <c r="H35" s="387">
        <v>450</v>
      </c>
      <c r="I35" s="502">
        <f t="shared" si="2"/>
        <v>9.1930541368743608</v>
      </c>
    </row>
    <row r="36" spans="1:10" ht="16">
      <c r="A36" s="387"/>
      <c r="B36" s="908" t="str">
        <f t="shared" si="0"/>
        <v/>
      </c>
      <c r="C36" s="909" t="str">
        <f t="shared" si="3"/>
        <v/>
      </c>
      <c r="D36" s="719"/>
      <c r="E36" s="387"/>
      <c r="F36" s="502" t="str">
        <f t="shared" si="1"/>
        <v/>
      </c>
      <c r="G36" s="387"/>
      <c r="H36" s="387"/>
      <c r="I36" s="502" t="str">
        <f t="shared" si="2"/>
        <v/>
      </c>
    </row>
    <row r="37" spans="1:10" ht="16">
      <c r="A37" s="387" t="s">
        <v>2096</v>
      </c>
      <c r="B37" s="908">
        <f t="shared" si="0"/>
        <v>950</v>
      </c>
      <c r="C37" s="909">
        <f t="shared" si="3"/>
        <v>9.8701298701298708</v>
      </c>
      <c r="D37" s="719"/>
      <c r="E37" s="387">
        <v>500</v>
      </c>
      <c r="F37" s="502">
        <f t="shared" si="1"/>
        <v>10.570824524312897</v>
      </c>
      <c r="G37" s="387"/>
      <c r="H37" s="387">
        <v>450</v>
      </c>
      <c r="I37" s="502">
        <f t="shared" si="2"/>
        <v>9.1930541368743608</v>
      </c>
    </row>
    <row r="38" spans="1:10" ht="13.5" customHeight="1" thickBot="1">
      <c r="A38" s="463"/>
      <c r="B38" s="906"/>
      <c r="C38" s="907"/>
      <c r="D38" s="463"/>
      <c r="E38" s="463"/>
      <c r="F38" s="463"/>
      <c r="G38" s="463"/>
      <c r="H38" s="463"/>
      <c r="I38" s="463"/>
      <c r="J38" s="463"/>
    </row>
    <row r="39" spans="1:10" ht="13.5" customHeight="1">
      <c r="A39" s="387"/>
      <c r="B39" s="718"/>
      <c r="C39" s="502"/>
      <c r="D39" s="387"/>
      <c r="E39" s="387"/>
      <c r="F39" s="387"/>
      <c r="G39" s="387"/>
      <c r="H39" s="387"/>
      <c r="I39" s="387"/>
      <c r="J39" s="387"/>
    </row>
    <row r="40" spans="1:10" ht="17.25" customHeight="1">
      <c r="A40" s="387" t="s">
        <v>1498</v>
      </c>
      <c r="B40" s="718"/>
      <c r="C40" s="502"/>
    </row>
    <row r="41" spans="1:10" ht="16.5" customHeight="1">
      <c r="A41" s="387" t="s">
        <v>471</v>
      </c>
      <c r="B41" s="718"/>
      <c r="C41" s="502"/>
    </row>
  </sheetData>
  <mergeCells count="4">
    <mergeCell ref="E8:I8"/>
    <mergeCell ref="B9:C9"/>
    <mergeCell ref="E9:F9"/>
    <mergeCell ref="H9:I9"/>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B32"/>
  <sheetViews>
    <sheetView workbookViewId="0">
      <selection activeCell="A3" sqref="A3"/>
    </sheetView>
  </sheetViews>
  <sheetFormatPr baseColWidth="10" defaultRowHeight="15"/>
  <cols>
    <col min="1" max="1" width="17.5" customWidth="1"/>
    <col min="2" max="2" width="5.6640625" customWidth="1"/>
    <col min="3" max="3" width="6.83203125" style="36" customWidth="1"/>
    <col min="4" max="4" width="2.33203125" style="36" customWidth="1"/>
    <col min="5" max="5" width="5.6640625" style="36" customWidth="1"/>
    <col min="6" max="6" width="6.83203125" style="36" customWidth="1"/>
    <col min="7" max="7" width="2.33203125" style="36" customWidth="1"/>
    <col min="8" max="8" width="5.6640625" style="36" customWidth="1"/>
    <col min="9" max="9" width="6.83203125" style="36" customWidth="1"/>
    <col min="10" max="10" width="2.33203125" style="36" customWidth="1"/>
    <col min="11" max="11" width="5.6640625" customWidth="1"/>
    <col min="12" max="12" width="6.6640625" style="36" customWidth="1"/>
    <col min="13" max="13" width="2.33203125" customWidth="1"/>
    <col min="14" max="14" width="5.6640625" customWidth="1"/>
    <col min="15" max="15" width="6.6640625" customWidth="1"/>
    <col min="16" max="16" width="2.33203125" customWidth="1"/>
    <col min="17" max="17" width="5.6640625" customWidth="1"/>
    <col min="18" max="18" width="6.6640625" customWidth="1"/>
    <col min="19" max="19" width="2.33203125" customWidth="1"/>
    <col min="20" max="20" width="5.6640625" customWidth="1"/>
    <col min="21" max="21" width="6.6640625" customWidth="1"/>
    <col min="22" max="22" width="2.33203125" customWidth="1"/>
    <col min="23" max="23" width="5.6640625" customWidth="1"/>
    <col min="24" max="24" width="6.6640625" customWidth="1"/>
    <col min="25" max="25" width="2.33203125" customWidth="1"/>
    <col min="26" max="26" width="5.6640625" customWidth="1"/>
    <col min="27" max="27" width="6.6640625" customWidth="1"/>
    <col min="28" max="28" width="2.33203125" customWidth="1"/>
    <col min="257" max="257" width="17.5" customWidth="1"/>
    <col min="258" max="258" width="5.6640625" customWidth="1"/>
    <col min="259" max="259" width="6.83203125" customWidth="1"/>
    <col min="260" max="260" width="2.33203125" customWidth="1"/>
    <col min="261" max="261" width="5.6640625" customWidth="1"/>
    <col min="262" max="262" width="6.83203125" customWidth="1"/>
    <col min="263" max="263" width="2.33203125" customWidth="1"/>
    <col min="264" max="264" width="5.6640625" customWidth="1"/>
    <col min="265" max="265" width="6.83203125" customWidth="1"/>
    <col min="266" max="266" width="2.33203125" customWidth="1"/>
    <col min="267" max="267" width="5.6640625" customWidth="1"/>
    <col min="268" max="268" width="6.6640625" customWidth="1"/>
    <col min="269" max="269" width="2.33203125" customWidth="1"/>
    <col min="270" max="270" width="5.6640625" customWidth="1"/>
    <col min="271" max="271" width="6.6640625" customWidth="1"/>
    <col min="272" max="272" width="2.33203125" customWidth="1"/>
    <col min="273" max="273" width="5.6640625" customWidth="1"/>
    <col min="274" max="274" width="6.6640625" customWidth="1"/>
    <col min="275" max="275" width="2.33203125" customWidth="1"/>
    <col min="276" max="276" width="5.6640625" customWidth="1"/>
    <col min="277" max="277" width="6.6640625" customWidth="1"/>
    <col min="278" max="278" width="2.33203125" customWidth="1"/>
    <col min="279" max="279" width="5.6640625" customWidth="1"/>
    <col min="280" max="280" width="6.6640625" customWidth="1"/>
    <col min="281" max="281" width="2.33203125" customWidth="1"/>
    <col min="282" max="282" width="5.6640625" customWidth="1"/>
    <col min="283" max="283" width="6.6640625" customWidth="1"/>
    <col min="284" max="284" width="2.33203125" customWidth="1"/>
    <col min="513" max="513" width="17.5" customWidth="1"/>
    <col min="514" max="514" width="5.6640625" customWidth="1"/>
    <col min="515" max="515" width="6.83203125" customWidth="1"/>
    <col min="516" max="516" width="2.33203125" customWidth="1"/>
    <col min="517" max="517" width="5.6640625" customWidth="1"/>
    <col min="518" max="518" width="6.83203125" customWidth="1"/>
    <col min="519" max="519" width="2.33203125" customWidth="1"/>
    <col min="520" max="520" width="5.6640625" customWidth="1"/>
    <col min="521" max="521" width="6.83203125" customWidth="1"/>
    <col min="522" max="522" width="2.33203125" customWidth="1"/>
    <col min="523" max="523" width="5.6640625" customWidth="1"/>
    <col min="524" max="524" width="6.6640625" customWidth="1"/>
    <col min="525" max="525" width="2.33203125" customWidth="1"/>
    <col min="526" max="526" width="5.6640625" customWidth="1"/>
    <col min="527" max="527" width="6.6640625" customWidth="1"/>
    <col min="528" max="528" width="2.33203125" customWidth="1"/>
    <col min="529" max="529" width="5.6640625" customWidth="1"/>
    <col min="530" max="530" width="6.6640625" customWidth="1"/>
    <col min="531" max="531" width="2.33203125" customWidth="1"/>
    <col min="532" max="532" width="5.6640625" customWidth="1"/>
    <col min="533" max="533" width="6.6640625" customWidth="1"/>
    <col min="534" max="534" width="2.33203125" customWidth="1"/>
    <col min="535" max="535" width="5.6640625" customWidth="1"/>
    <col min="536" max="536" width="6.6640625" customWidth="1"/>
    <col min="537" max="537" width="2.33203125" customWidth="1"/>
    <col min="538" max="538" width="5.6640625" customWidth="1"/>
    <col min="539" max="539" width="6.6640625" customWidth="1"/>
    <col min="540" max="540" width="2.33203125" customWidth="1"/>
    <col min="769" max="769" width="17.5" customWidth="1"/>
    <col min="770" max="770" width="5.6640625" customWidth="1"/>
    <col min="771" max="771" width="6.83203125" customWidth="1"/>
    <col min="772" max="772" width="2.33203125" customWidth="1"/>
    <col min="773" max="773" width="5.6640625" customWidth="1"/>
    <col min="774" max="774" width="6.83203125" customWidth="1"/>
    <col min="775" max="775" width="2.33203125" customWidth="1"/>
    <col min="776" max="776" width="5.6640625" customWidth="1"/>
    <col min="777" max="777" width="6.83203125" customWidth="1"/>
    <col min="778" max="778" width="2.33203125" customWidth="1"/>
    <col min="779" max="779" width="5.6640625" customWidth="1"/>
    <col min="780" max="780" width="6.6640625" customWidth="1"/>
    <col min="781" max="781" width="2.33203125" customWidth="1"/>
    <col min="782" max="782" width="5.6640625" customWidth="1"/>
    <col min="783" max="783" width="6.6640625" customWidth="1"/>
    <col min="784" max="784" width="2.33203125" customWidth="1"/>
    <col min="785" max="785" width="5.6640625" customWidth="1"/>
    <col min="786" max="786" width="6.6640625" customWidth="1"/>
    <col min="787" max="787" width="2.33203125" customWidth="1"/>
    <col min="788" max="788" width="5.6640625" customWidth="1"/>
    <col min="789" max="789" width="6.6640625" customWidth="1"/>
    <col min="790" max="790" width="2.33203125" customWidth="1"/>
    <col min="791" max="791" width="5.6640625" customWidth="1"/>
    <col min="792" max="792" width="6.6640625" customWidth="1"/>
    <col min="793" max="793" width="2.33203125" customWidth="1"/>
    <col min="794" max="794" width="5.6640625" customWidth="1"/>
    <col min="795" max="795" width="6.6640625" customWidth="1"/>
    <col min="796" max="796" width="2.33203125" customWidth="1"/>
    <col min="1025" max="1025" width="17.5" customWidth="1"/>
    <col min="1026" max="1026" width="5.6640625" customWidth="1"/>
    <col min="1027" max="1027" width="6.83203125" customWidth="1"/>
    <col min="1028" max="1028" width="2.33203125" customWidth="1"/>
    <col min="1029" max="1029" width="5.6640625" customWidth="1"/>
    <col min="1030" max="1030" width="6.83203125" customWidth="1"/>
    <col min="1031" max="1031" width="2.33203125" customWidth="1"/>
    <col min="1032" max="1032" width="5.6640625" customWidth="1"/>
    <col min="1033" max="1033" width="6.83203125" customWidth="1"/>
    <col min="1034" max="1034" width="2.33203125" customWidth="1"/>
    <col min="1035" max="1035" width="5.6640625" customWidth="1"/>
    <col min="1036" max="1036" width="6.6640625" customWidth="1"/>
    <col min="1037" max="1037" width="2.33203125" customWidth="1"/>
    <col min="1038" max="1038" width="5.6640625" customWidth="1"/>
    <col min="1039" max="1039" width="6.6640625" customWidth="1"/>
    <col min="1040" max="1040" width="2.33203125" customWidth="1"/>
    <col min="1041" max="1041" width="5.6640625" customWidth="1"/>
    <col min="1042" max="1042" width="6.6640625" customWidth="1"/>
    <col min="1043" max="1043" width="2.33203125" customWidth="1"/>
    <col min="1044" max="1044" width="5.6640625" customWidth="1"/>
    <col min="1045" max="1045" width="6.6640625" customWidth="1"/>
    <col min="1046" max="1046" width="2.33203125" customWidth="1"/>
    <col min="1047" max="1047" width="5.6640625" customWidth="1"/>
    <col min="1048" max="1048" width="6.6640625" customWidth="1"/>
    <col min="1049" max="1049" width="2.33203125" customWidth="1"/>
    <col min="1050" max="1050" width="5.6640625" customWidth="1"/>
    <col min="1051" max="1051" width="6.6640625" customWidth="1"/>
    <col min="1052" max="1052" width="2.33203125" customWidth="1"/>
    <col min="1281" max="1281" width="17.5" customWidth="1"/>
    <col min="1282" max="1282" width="5.6640625" customWidth="1"/>
    <col min="1283" max="1283" width="6.83203125" customWidth="1"/>
    <col min="1284" max="1284" width="2.33203125" customWidth="1"/>
    <col min="1285" max="1285" width="5.6640625" customWidth="1"/>
    <col min="1286" max="1286" width="6.83203125" customWidth="1"/>
    <col min="1287" max="1287" width="2.33203125" customWidth="1"/>
    <col min="1288" max="1288" width="5.6640625" customWidth="1"/>
    <col min="1289" max="1289" width="6.83203125" customWidth="1"/>
    <col min="1290" max="1290" width="2.33203125" customWidth="1"/>
    <col min="1291" max="1291" width="5.6640625" customWidth="1"/>
    <col min="1292" max="1292" width="6.6640625" customWidth="1"/>
    <col min="1293" max="1293" width="2.33203125" customWidth="1"/>
    <col min="1294" max="1294" width="5.6640625" customWidth="1"/>
    <col min="1295" max="1295" width="6.6640625" customWidth="1"/>
    <col min="1296" max="1296" width="2.33203125" customWidth="1"/>
    <col min="1297" max="1297" width="5.6640625" customWidth="1"/>
    <col min="1298" max="1298" width="6.6640625" customWidth="1"/>
    <col min="1299" max="1299" width="2.33203125" customWidth="1"/>
    <col min="1300" max="1300" width="5.6640625" customWidth="1"/>
    <col min="1301" max="1301" width="6.6640625" customWidth="1"/>
    <col min="1302" max="1302" width="2.33203125" customWidth="1"/>
    <col min="1303" max="1303" width="5.6640625" customWidth="1"/>
    <col min="1304" max="1304" width="6.6640625" customWidth="1"/>
    <col min="1305" max="1305" width="2.33203125" customWidth="1"/>
    <col min="1306" max="1306" width="5.6640625" customWidth="1"/>
    <col min="1307" max="1307" width="6.6640625" customWidth="1"/>
    <col min="1308" max="1308" width="2.33203125" customWidth="1"/>
    <col min="1537" max="1537" width="17.5" customWidth="1"/>
    <col min="1538" max="1538" width="5.6640625" customWidth="1"/>
    <col min="1539" max="1539" width="6.83203125" customWidth="1"/>
    <col min="1540" max="1540" width="2.33203125" customWidth="1"/>
    <col min="1541" max="1541" width="5.6640625" customWidth="1"/>
    <col min="1542" max="1542" width="6.83203125" customWidth="1"/>
    <col min="1543" max="1543" width="2.33203125" customWidth="1"/>
    <col min="1544" max="1544" width="5.6640625" customWidth="1"/>
    <col min="1545" max="1545" width="6.83203125" customWidth="1"/>
    <col min="1546" max="1546" width="2.33203125" customWidth="1"/>
    <col min="1547" max="1547" width="5.6640625" customWidth="1"/>
    <col min="1548" max="1548" width="6.6640625" customWidth="1"/>
    <col min="1549" max="1549" width="2.33203125" customWidth="1"/>
    <col min="1550" max="1550" width="5.6640625" customWidth="1"/>
    <col min="1551" max="1551" width="6.6640625" customWidth="1"/>
    <col min="1552" max="1552" width="2.33203125" customWidth="1"/>
    <col min="1553" max="1553" width="5.6640625" customWidth="1"/>
    <col min="1554" max="1554" width="6.6640625" customWidth="1"/>
    <col min="1555" max="1555" width="2.33203125" customWidth="1"/>
    <col min="1556" max="1556" width="5.6640625" customWidth="1"/>
    <col min="1557" max="1557" width="6.6640625" customWidth="1"/>
    <col min="1558" max="1558" width="2.33203125" customWidth="1"/>
    <col min="1559" max="1559" width="5.6640625" customWidth="1"/>
    <col min="1560" max="1560" width="6.6640625" customWidth="1"/>
    <col min="1561" max="1561" width="2.33203125" customWidth="1"/>
    <col min="1562" max="1562" width="5.6640625" customWidth="1"/>
    <col min="1563" max="1563" width="6.6640625" customWidth="1"/>
    <col min="1564" max="1564" width="2.33203125" customWidth="1"/>
    <col min="1793" max="1793" width="17.5" customWidth="1"/>
    <col min="1794" max="1794" width="5.6640625" customWidth="1"/>
    <col min="1795" max="1795" width="6.83203125" customWidth="1"/>
    <col min="1796" max="1796" width="2.33203125" customWidth="1"/>
    <col min="1797" max="1797" width="5.6640625" customWidth="1"/>
    <col min="1798" max="1798" width="6.83203125" customWidth="1"/>
    <col min="1799" max="1799" width="2.33203125" customWidth="1"/>
    <col min="1800" max="1800" width="5.6640625" customWidth="1"/>
    <col min="1801" max="1801" width="6.83203125" customWidth="1"/>
    <col min="1802" max="1802" width="2.33203125" customWidth="1"/>
    <col min="1803" max="1803" width="5.6640625" customWidth="1"/>
    <col min="1804" max="1804" width="6.6640625" customWidth="1"/>
    <col min="1805" max="1805" width="2.33203125" customWidth="1"/>
    <col min="1806" max="1806" width="5.6640625" customWidth="1"/>
    <col min="1807" max="1807" width="6.6640625" customWidth="1"/>
    <col min="1808" max="1808" width="2.33203125" customWidth="1"/>
    <col min="1809" max="1809" width="5.6640625" customWidth="1"/>
    <col min="1810" max="1810" width="6.6640625" customWidth="1"/>
    <col min="1811" max="1811" width="2.33203125" customWidth="1"/>
    <col min="1812" max="1812" width="5.6640625" customWidth="1"/>
    <col min="1813" max="1813" width="6.6640625" customWidth="1"/>
    <col min="1814" max="1814" width="2.33203125" customWidth="1"/>
    <col min="1815" max="1815" width="5.6640625" customWidth="1"/>
    <col min="1816" max="1816" width="6.6640625" customWidth="1"/>
    <col min="1817" max="1817" width="2.33203125" customWidth="1"/>
    <col min="1818" max="1818" width="5.6640625" customWidth="1"/>
    <col min="1819" max="1819" width="6.6640625" customWidth="1"/>
    <col min="1820" max="1820" width="2.33203125" customWidth="1"/>
    <col min="2049" max="2049" width="17.5" customWidth="1"/>
    <col min="2050" max="2050" width="5.6640625" customWidth="1"/>
    <col min="2051" max="2051" width="6.83203125" customWidth="1"/>
    <col min="2052" max="2052" width="2.33203125" customWidth="1"/>
    <col min="2053" max="2053" width="5.6640625" customWidth="1"/>
    <col min="2054" max="2054" width="6.83203125" customWidth="1"/>
    <col min="2055" max="2055" width="2.33203125" customWidth="1"/>
    <col min="2056" max="2056" width="5.6640625" customWidth="1"/>
    <col min="2057" max="2057" width="6.83203125" customWidth="1"/>
    <col min="2058" max="2058" width="2.33203125" customWidth="1"/>
    <col min="2059" max="2059" width="5.6640625" customWidth="1"/>
    <col min="2060" max="2060" width="6.6640625" customWidth="1"/>
    <col min="2061" max="2061" width="2.33203125" customWidth="1"/>
    <col min="2062" max="2062" width="5.6640625" customWidth="1"/>
    <col min="2063" max="2063" width="6.6640625" customWidth="1"/>
    <col min="2064" max="2064" width="2.33203125" customWidth="1"/>
    <col min="2065" max="2065" width="5.6640625" customWidth="1"/>
    <col min="2066" max="2066" width="6.6640625" customWidth="1"/>
    <col min="2067" max="2067" width="2.33203125" customWidth="1"/>
    <col min="2068" max="2068" width="5.6640625" customWidth="1"/>
    <col min="2069" max="2069" width="6.6640625" customWidth="1"/>
    <col min="2070" max="2070" width="2.33203125" customWidth="1"/>
    <col min="2071" max="2071" width="5.6640625" customWidth="1"/>
    <col min="2072" max="2072" width="6.6640625" customWidth="1"/>
    <col min="2073" max="2073" width="2.33203125" customWidth="1"/>
    <col min="2074" max="2074" width="5.6640625" customWidth="1"/>
    <col min="2075" max="2075" width="6.6640625" customWidth="1"/>
    <col min="2076" max="2076" width="2.33203125" customWidth="1"/>
    <col min="2305" max="2305" width="17.5" customWidth="1"/>
    <col min="2306" max="2306" width="5.6640625" customWidth="1"/>
    <col min="2307" max="2307" width="6.83203125" customWidth="1"/>
    <col min="2308" max="2308" width="2.33203125" customWidth="1"/>
    <col min="2309" max="2309" width="5.6640625" customWidth="1"/>
    <col min="2310" max="2310" width="6.83203125" customWidth="1"/>
    <col min="2311" max="2311" width="2.33203125" customWidth="1"/>
    <col min="2312" max="2312" width="5.6640625" customWidth="1"/>
    <col min="2313" max="2313" width="6.83203125" customWidth="1"/>
    <col min="2314" max="2314" width="2.33203125" customWidth="1"/>
    <col min="2315" max="2315" width="5.6640625" customWidth="1"/>
    <col min="2316" max="2316" width="6.6640625" customWidth="1"/>
    <col min="2317" max="2317" width="2.33203125" customWidth="1"/>
    <col min="2318" max="2318" width="5.6640625" customWidth="1"/>
    <col min="2319" max="2319" width="6.6640625" customWidth="1"/>
    <col min="2320" max="2320" width="2.33203125" customWidth="1"/>
    <col min="2321" max="2321" width="5.6640625" customWidth="1"/>
    <col min="2322" max="2322" width="6.6640625" customWidth="1"/>
    <col min="2323" max="2323" width="2.33203125" customWidth="1"/>
    <col min="2324" max="2324" width="5.6640625" customWidth="1"/>
    <col min="2325" max="2325" width="6.6640625" customWidth="1"/>
    <col min="2326" max="2326" width="2.33203125" customWidth="1"/>
    <col min="2327" max="2327" width="5.6640625" customWidth="1"/>
    <col min="2328" max="2328" width="6.6640625" customWidth="1"/>
    <col min="2329" max="2329" width="2.33203125" customWidth="1"/>
    <col min="2330" max="2330" width="5.6640625" customWidth="1"/>
    <col min="2331" max="2331" width="6.6640625" customWidth="1"/>
    <col min="2332" max="2332" width="2.33203125" customWidth="1"/>
    <col min="2561" max="2561" width="17.5" customWidth="1"/>
    <col min="2562" max="2562" width="5.6640625" customWidth="1"/>
    <col min="2563" max="2563" width="6.83203125" customWidth="1"/>
    <col min="2564" max="2564" width="2.33203125" customWidth="1"/>
    <col min="2565" max="2565" width="5.6640625" customWidth="1"/>
    <col min="2566" max="2566" width="6.83203125" customWidth="1"/>
    <col min="2567" max="2567" width="2.33203125" customWidth="1"/>
    <col min="2568" max="2568" width="5.6640625" customWidth="1"/>
    <col min="2569" max="2569" width="6.83203125" customWidth="1"/>
    <col min="2570" max="2570" width="2.33203125" customWidth="1"/>
    <col min="2571" max="2571" width="5.6640625" customWidth="1"/>
    <col min="2572" max="2572" width="6.6640625" customWidth="1"/>
    <col min="2573" max="2573" width="2.33203125" customWidth="1"/>
    <col min="2574" max="2574" width="5.6640625" customWidth="1"/>
    <col min="2575" max="2575" width="6.6640625" customWidth="1"/>
    <col min="2576" max="2576" width="2.33203125" customWidth="1"/>
    <col min="2577" max="2577" width="5.6640625" customWidth="1"/>
    <col min="2578" max="2578" width="6.6640625" customWidth="1"/>
    <col min="2579" max="2579" width="2.33203125" customWidth="1"/>
    <col min="2580" max="2580" width="5.6640625" customWidth="1"/>
    <col min="2581" max="2581" width="6.6640625" customWidth="1"/>
    <col min="2582" max="2582" width="2.33203125" customWidth="1"/>
    <col min="2583" max="2583" width="5.6640625" customWidth="1"/>
    <col min="2584" max="2584" width="6.6640625" customWidth="1"/>
    <col min="2585" max="2585" width="2.33203125" customWidth="1"/>
    <col min="2586" max="2586" width="5.6640625" customWidth="1"/>
    <col min="2587" max="2587" width="6.6640625" customWidth="1"/>
    <col min="2588" max="2588" width="2.33203125" customWidth="1"/>
    <col min="2817" max="2817" width="17.5" customWidth="1"/>
    <col min="2818" max="2818" width="5.6640625" customWidth="1"/>
    <col min="2819" max="2819" width="6.83203125" customWidth="1"/>
    <col min="2820" max="2820" width="2.33203125" customWidth="1"/>
    <col min="2821" max="2821" width="5.6640625" customWidth="1"/>
    <col min="2822" max="2822" width="6.83203125" customWidth="1"/>
    <col min="2823" max="2823" width="2.33203125" customWidth="1"/>
    <col min="2824" max="2824" width="5.6640625" customWidth="1"/>
    <col min="2825" max="2825" width="6.83203125" customWidth="1"/>
    <col min="2826" max="2826" width="2.33203125" customWidth="1"/>
    <col min="2827" max="2827" width="5.6640625" customWidth="1"/>
    <col min="2828" max="2828" width="6.6640625" customWidth="1"/>
    <col min="2829" max="2829" width="2.33203125" customWidth="1"/>
    <col min="2830" max="2830" width="5.6640625" customWidth="1"/>
    <col min="2831" max="2831" width="6.6640625" customWidth="1"/>
    <col min="2832" max="2832" width="2.33203125" customWidth="1"/>
    <col min="2833" max="2833" width="5.6640625" customWidth="1"/>
    <col min="2834" max="2834" width="6.6640625" customWidth="1"/>
    <col min="2835" max="2835" width="2.33203125" customWidth="1"/>
    <col min="2836" max="2836" width="5.6640625" customWidth="1"/>
    <col min="2837" max="2837" width="6.6640625" customWidth="1"/>
    <col min="2838" max="2838" width="2.33203125" customWidth="1"/>
    <col min="2839" max="2839" width="5.6640625" customWidth="1"/>
    <col min="2840" max="2840" width="6.6640625" customWidth="1"/>
    <col min="2841" max="2841" width="2.33203125" customWidth="1"/>
    <col min="2842" max="2842" width="5.6640625" customWidth="1"/>
    <col min="2843" max="2843" width="6.6640625" customWidth="1"/>
    <col min="2844" max="2844" width="2.33203125" customWidth="1"/>
    <col min="3073" max="3073" width="17.5" customWidth="1"/>
    <col min="3074" max="3074" width="5.6640625" customWidth="1"/>
    <col min="3075" max="3075" width="6.83203125" customWidth="1"/>
    <col min="3076" max="3076" width="2.33203125" customWidth="1"/>
    <col min="3077" max="3077" width="5.6640625" customWidth="1"/>
    <col min="3078" max="3078" width="6.83203125" customWidth="1"/>
    <col min="3079" max="3079" width="2.33203125" customWidth="1"/>
    <col min="3080" max="3080" width="5.6640625" customWidth="1"/>
    <col min="3081" max="3081" width="6.83203125" customWidth="1"/>
    <col min="3082" max="3082" width="2.33203125" customWidth="1"/>
    <col min="3083" max="3083" width="5.6640625" customWidth="1"/>
    <col min="3084" max="3084" width="6.6640625" customWidth="1"/>
    <col min="3085" max="3085" width="2.33203125" customWidth="1"/>
    <col min="3086" max="3086" width="5.6640625" customWidth="1"/>
    <col min="3087" max="3087" width="6.6640625" customWidth="1"/>
    <col min="3088" max="3088" width="2.33203125" customWidth="1"/>
    <col min="3089" max="3089" width="5.6640625" customWidth="1"/>
    <col min="3090" max="3090" width="6.6640625" customWidth="1"/>
    <col min="3091" max="3091" width="2.33203125" customWidth="1"/>
    <col min="3092" max="3092" width="5.6640625" customWidth="1"/>
    <col min="3093" max="3093" width="6.6640625" customWidth="1"/>
    <col min="3094" max="3094" width="2.33203125" customWidth="1"/>
    <col min="3095" max="3095" width="5.6640625" customWidth="1"/>
    <col min="3096" max="3096" width="6.6640625" customWidth="1"/>
    <col min="3097" max="3097" width="2.33203125" customWidth="1"/>
    <col min="3098" max="3098" width="5.6640625" customWidth="1"/>
    <col min="3099" max="3099" width="6.6640625" customWidth="1"/>
    <col min="3100" max="3100" width="2.33203125" customWidth="1"/>
    <col min="3329" max="3329" width="17.5" customWidth="1"/>
    <col min="3330" max="3330" width="5.6640625" customWidth="1"/>
    <col min="3331" max="3331" width="6.83203125" customWidth="1"/>
    <col min="3332" max="3332" width="2.33203125" customWidth="1"/>
    <col min="3333" max="3333" width="5.6640625" customWidth="1"/>
    <col min="3334" max="3334" width="6.83203125" customWidth="1"/>
    <col min="3335" max="3335" width="2.33203125" customWidth="1"/>
    <col min="3336" max="3336" width="5.6640625" customWidth="1"/>
    <col min="3337" max="3337" width="6.83203125" customWidth="1"/>
    <col min="3338" max="3338" width="2.33203125" customWidth="1"/>
    <col min="3339" max="3339" width="5.6640625" customWidth="1"/>
    <col min="3340" max="3340" width="6.6640625" customWidth="1"/>
    <col min="3341" max="3341" width="2.33203125" customWidth="1"/>
    <col min="3342" max="3342" width="5.6640625" customWidth="1"/>
    <col min="3343" max="3343" width="6.6640625" customWidth="1"/>
    <col min="3344" max="3344" width="2.33203125" customWidth="1"/>
    <col min="3345" max="3345" width="5.6640625" customWidth="1"/>
    <col min="3346" max="3346" width="6.6640625" customWidth="1"/>
    <col min="3347" max="3347" width="2.33203125" customWidth="1"/>
    <col min="3348" max="3348" width="5.6640625" customWidth="1"/>
    <col min="3349" max="3349" width="6.6640625" customWidth="1"/>
    <col min="3350" max="3350" width="2.33203125" customWidth="1"/>
    <col min="3351" max="3351" width="5.6640625" customWidth="1"/>
    <col min="3352" max="3352" width="6.6640625" customWidth="1"/>
    <col min="3353" max="3353" width="2.33203125" customWidth="1"/>
    <col min="3354" max="3354" width="5.6640625" customWidth="1"/>
    <col min="3355" max="3355" width="6.6640625" customWidth="1"/>
    <col min="3356" max="3356" width="2.33203125" customWidth="1"/>
    <col min="3585" max="3585" width="17.5" customWidth="1"/>
    <col min="3586" max="3586" width="5.6640625" customWidth="1"/>
    <col min="3587" max="3587" width="6.83203125" customWidth="1"/>
    <col min="3588" max="3588" width="2.33203125" customWidth="1"/>
    <col min="3589" max="3589" width="5.6640625" customWidth="1"/>
    <col min="3590" max="3590" width="6.83203125" customWidth="1"/>
    <col min="3591" max="3591" width="2.33203125" customWidth="1"/>
    <col min="3592" max="3592" width="5.6640625" customWidth="1"/>
    <col min="3593" max="3593" width="6.83203125" customWidth="1"/>
    <col min="3594" max="3594" width="2.33203125" customWidth="1"/>
    <col min="3595" max="3595" width="5.6640625" customWidth="1"/>
    <col min="3596" max="3596" width="6.6640625" customWidth="1"/>
    <col min="3597" max="3597" width="2.33203125" customWidth="1"/>
    <col min="3598" max="3598" width="5.6640625" customWidth="1"/>
    <col min="3599" max="3599" width="6.6640625" customWidth="1"/>
    <col min="3600" max="3600" width="2.33203125" customWidth="1"/>
    <col min="3601" max="3601" width="5.6640625" customWidth="1"/>
    <col min="3602" max="3602" width="6.6640625" customWidth="1"/>
    <col min="3603" max="3603" width="2.33203125" customWidth="1"/>
    <col min="3604" max="3604" width="5.6640625" customWidth="1"/>
    <col min="3605" max="3605" width="6.6640625" customWidth="1"/>
    <col min="3606" max="3606" width="2.33203125" customWidth="1"/>
    <col min="3607" max="3607" width="5.6640625" customWidth="1"/>
    <col min="3608" max="3608" width="6.6640625" customWidth="1"/>
    <col min="3609" max="3609" width="2.33203125" customWidth="1"/>
    <col min="3610" max="3610" width="5.6640625" customWidth="1"/>
    <col min="3611" max="3611" width="6.6640625" customWidth="1"/>
    <col min="3612" max="3612" width="2.33203125" customWidth="1"/>
    <col min="3841" max="3841" width="17.5" customWidth="1"/>
    <col min="3842" max="3842" width="5.6640625" customWidth="1"/>
    <col min="3843" max="3843" width="6.83203125" customWidth="1"/>
    <col min="3844" max="3844" width="2.33203125" customWidth="1"/>
    <col min="3845" max="3845" width="5.6640625" customWidth="1"/>
    <col min="3846" max="3846" width="6.83203125" customWidth="1"/>
    <col min="3847" max="3847" width="2.33203125" customWidth="1"/>
    <col min="3848" max="3848" width="5.6640625" customWidth="1"/>
    <col min="3849" max="3849" width="6.83203125" customWidth="1"/>
    <col min="3850" max="3850" width="2.33203125" customWidth="1"/>
    <col min="3851" max="3851" width="5.6640625" customWidth="1"/>
    <col min="3852" max="3852" width="6.6640625" customWidth="1"/>
    <col min="3853" max="3853" width="2.33203125" customWidth="1"/>
    <col min="3854" max="3854" width="5.6640625" customWidth="1"/>
    <col min="3855" max="3855" width="6.6640625" customWidth="1"/>
    <col min="3856" max="3856" width="2.33203125" customWidth="1"/>
    <col min="3857" max="3857" width="5.6640625" customWidth="1"/>
    <col min="3858" max="3858" width="6.6640625" customWidth="1"/>
    <col min="3859" max="3859" width="2.33203125" customWidth="1"/>
    <col min="3860" max="3860" width="5.6640625" customWidth="1"/>
    <col min="3861" max="3861" width="6.6640625" customWidth="1"/>
    <col min="3862" max="3862" width="2.33203125" customWidth="1"/>
    <col min="3863" max="3863" width="5.6640625" customWidth="1"/>
    <col min="3864" max="3864" width="6.6640625" customWidth="1"/>
    <col min="3865" max="3865" width="2.33203125" customWidth="1"/>
    <col min="3866" max="3866" width="5.6640625" customWidth="1"/>
    <col min="3867" max="3867" width="6.6640625" customWidth="1"/>
    <col min="3868" max="3868" width="2.33203125" customWidth="1"/>
    <col min="4097" max="4097" width="17.5" customWidth="1"/>
    <col min="4098" max="4098" width="5.6640625" customWidth="1"/>
    <col min="4099" max="4099" width="6.83203125" customWidth="1"/>
    <col min="4100" max="4100" width="2.33203125" customWidth="1"/>
    <col min="4101" max="4101" width="5.6640625" customWidth="1"/>
    <col min="4102" max="4102" width="6.83203125" customWidth="1"/>
    <col min="4103" max="4103" width="2.33203125" customWidth="1"/>
    <col min="4104" max="4104" width="5.6640625" customWidth="1"/>
    <col min="4105" max="4105" width="6.83203125" customWidth="1"/>
    <col min="4106" max="4106" width="2.33203125" customWidth="1"/>
    <col min="4107" max="4107" width="5.6640625" customWidth="1"/>
    <col min="4108" max="4108" width="6.6640625" customWidth="1"/>
    <col min="4109" max="4109" width="2.33203125" customWidth="1"/>
    <col min="4110" max="4110" width="5.6640625" customWidth="1"/>
    <col min="4111" max="4111" width="6.6640625" customWidth="1"/>
    <col min="4112" max="4112" width="2.33203125" customWidth="1"/>
    <col min="4113" max="4113" width="5.6640625" customWidth="1"/>
    <col min="4114" max="4114" width="6.6640625" customWidth="1"/>
    <col min="4115" max="4115" width="2.33203125" customWidth="1"/>
    <col min="4116" max="4116" width="5.6640625" customWidth="1"/>
    <col min="4117" max="4117" width="6.6640625" customWidth="1"/>
    <col min="4118" max="4118" width="2.33203125" customWidth="1"/>
    <col min="4119" max="4119" width="5.6640625" customWidth="1"/>
    <col min="4120" max="4120" width="6.6640625" customWidth="1"/>
    <col min="4121" max="4121" width="2.33203125" customWidth="1"/>
    <col min="4122" max="4122" width="5.6640625" customWidth="1"/>
    <col min="4123" max="4123" width="6.6640625" customWidth="1"/>
    <col min="4124" max="4124" width="2.33203125" customWidth="1"/>
    <col min="4353" max="4353" width="17.5" customWidth="1"/>
    <col min="4354" max="4354" width="5.6640625" customWidth="1"/>
    <col min="4355" max="4355" width="6.83203125" customWidth="1"/>
    <col min="4356" max="4356" width="2.33203125" customWidth="1"/>
    <col min="4357" max="4357" width="5.6640625" customWidth="1"/>
    <col min="4358" max="4358" width="6.83203125" customWidth="1"/>
    <col min="4359" max="4359" width="2.33203125" customWidth="1"/>
    <col min="4360" max="4360" width="5.6640625" customWidth="1"/>
    <col min="4361" max="4361" width="6.83203125" customWidth="1"/>
    <col min="4362" max="4362" width="2.33203125" customWidth="1"/>
    <col min="4363" max="4363" width="5.6640625" customWidth="1"/>
    <col min="4364" max="4364" width="6.6640625" customWidth="1"/>
    <col min="4365" max="4365" width="2.33203125" customWidth="1"/>
    <col min="4366" max="4366" width="5.6640625" customWidth="1"/>
    <col min="4367" max="4367" width="6.6640625" customWidth="1"/>
    <col min="4368" max="4368" width="2.33203125" customWidth="1"/>
    <col min="4369" max="4369" width="5.6640625" customWidth="1"/>
    <col min="4370" max="4370" width="6.6640625" customWidth="1"/>
    <col min="4371" max="4371" width="2.33203125" customWidth="1"/>
    <col min="4372" max="4372" width="5.6640625" customWidth="1"/>
    <col min="4373" max="4373" width="6.6640625" customWidth="1"/>
    <col min="4374" max="4374" width="2.33203125" customWidth="1"/>
    <col min="4375" max="4375" width="5.6640625" customWidth="1"/>
    <col min="4376" max="4376" width="6.6640625" customWidth="1"/>
    <col min="4377" max="4377" width="2.33203125" customWidth="1"/>
    <col min="4378" max="4378" width="5.6640625" customWidth="1"/>
    <col min="4379" max="4379" width="6.6640625" customWidth="1"/>
    <col min="4380" max="4380" width="2.33203125" customWidth="1"/>
    <col min="4609" max="4609" width="17.5" customWidth="1"/>
    <col min="4610" max="4610" width="5.6640625" customWidth="1"/>
    <col min="4611" max="4611" width="6.83203125" customWidth="1"/>
    <col min="4612" max="4612" width="2.33203125" customWidth="1"/>
    <col min="4613" max="4613" width="5.6640625" customWidth="1"/>
    <col min="4614" max="4614" width="6.83203125" customWidth="1"/>
    <col min="4615" max="4615" width="2.33203125" customWidth="1"/>
    <col min="4616" max="4616" width="5.6640625" customWidth="1"/>
    <col min="4617" max="4617" width="6.83203125" customWidth="1"/>
    <col min="4618" max="4618" width="2.33203125" customWidth="1"/>
    <col min="4619" max="4619" width="5.6640625" customWidth="1"/>
    <col min="4620" max="4620" width="6.6640625" customWidth="1"/>
    <col min="4621" max="4621" width="2.33203125" customWidth="1"/>
    <col min="4622" max="4622" width="5.6640625" customWidth="1"/>
    <col min="4623" max="4623" width="6.6640625" customWidth="1"/>
    <col min="4624" max="4624" width="2.33203125" customWidth="1"/>
    <col min="4625" max="4625" width="5.6640625" customWidth="1"/>
    <col min="4626" max="4626" width="6.6640625" customWidth="1"/>
    <col min="4627" max="4627" width="2.33203125" customWidth="1"/>
    <col min="4628" max="4628" width="5.6640625" customWidth="1"/>
    <col min="4629" max="4629" width="6.6640625" customWidth="1"/>
    <col min="4630" max="4630" width="2.33203125" customWidth="1"/>
    <col min="4631" max="4631" width="5.6640625" customWidth="1"/>
    <col min="4632" max="4632" width="6.6640625" customWidth="1"/>
    <col min="4633" max="4633" width="2.33203125" customWidth="1"/>
    <col min="4634" max="4634" width="5.6640625" customWidth="1"/>
    <col min="4635" max="4635" width="6.6640625" customWidth="1"/>
    <col min="4636" max="4636" width="2.33203125" customWidth="1"/>
    <col min="4865" max="4865" width="17.5" customWidth="1"/>
    <col min="4866" max="4866" width="5.6640625" customWidth="1"/>
    <col min="4867" max="4867" width="6.83203125" customWidth="1"/>
    <col min="4868" max="4868" width="2.33203125" customWidth="1"/>
    <col min="4869" max="4869" width="5.6640625" customWidth="1"/>
    <col min="4870" max="4870" width="6.83203125" customWidth="1"/>
    <col min="4871" max="4871" width="2.33203125" customWidth="1"/>
    <col min="4872" max="4872" width="5.6640625" customWidth="1"/>
    <col min="4873" max="4873" width="6.83203125" customWidth="1"/>
    <col min="4874" max="4874" width="2.33203125" customWidth="1"/>
    <col min="4875" max="4875" width="5.6640625" customWidth="1"/>
    <col min="4876" max="4876" width="6.6640625" customWidth="1"/>
    <col min="4877" max="4877" width="2.33203125" customWidth="1"/>
    <col min="4878" max="4878" width="5.6640625" customWidth="1"/>
    <col min="4879" max="4879" width="6.6640625" customWidth="1"/>
    <col min="4880" max="4880" width="2.33203125" customWidth="1"/>
    <col min="4881" max="4881" width="5.6640625" customWidth="1"/>
    <col min="4882" max="4882" width="6.6640625" customWidth="1"/>
    <col min="4883" max="4883" width="2.33203125" customWidth="1"/>
    <col min="4884" max="4884" width="5.6640625" customWidth="1"/>
    <col min="4885" max="4885" width="6.6640625" customWidth="1"/>
    <col min="4886" max="4886" width="2.33203125" customWidth="1"/>
    <col min="4887" max="4887" width="5.6640625" customWidth="1"/>
    <col min="4888" max="4888" width="6.6640625" customWidth="1"/>
    <col min="4889" max="4889" width="2.33203125" customWidth="1"/>
    <col min="4890" max="4890" width="5.6640625" customWidth="1"/>
    <col min="4891" max="4891" width="6.6640625" customWidth="1"/>
    <col min="4892" max="4892" width="2.33203125" customWidth="1"/>
    <col min="5121" max="5121" width="17.5" customWidth="1"/>
    <col min="5122" max="5122" width="5.6640625" customWidth="1"/>
    <col min="5123" max="5123" width="6.83203125" customWidth="1"/>
    <col min="5124" max="5124" width="2.33203125" customWidth="1"/>
    <col min="5125" max="5125" width="5.6640625" customWidth="1"/>
    <col min="5126" max="5126" width="6.83203125" customWidth="1"/>
    <col min="5127" max="5127" width="2.33203125" customWidth="1"/>
    <col min="5128" max="5128" width="5.6640625" customWidth="1"/>
    <col min="5129" max="5129" width="6.83203125" customWidth="1"/>
    <col min="5130" max="5130" width="2.33203125" customWidth="1"/>
    <col min="5131" max="5131" width="5.6640625" customWidth="1"/>
    <col min="5132" max="5132" width="6.6640625" customWidth="1"/>
    <col min="5133" max="5133" width="2.33203125" customWidth="1"/>
    <col min="5134" max="5134" width="5.6640625" customWidth="1"/>
    <col min="5135" max="5135" width="6.6640625" customWidth="1"/>
    <col min="5136" max="5136" width="2.33203125" customWidth="1"/>
    <col min="5137" max="5137" width="5.6640625" customWidth="1"/>
    <col min="5138" max="5138" width="6.6640625" customWidth="1"/>
    <col min="5139" max="5139" width="2.33203125" customWidth="1"/>
    <col min="5140" max="5140" width="5.6640625" customWidth="1"/>
    <col min="5141" max="5141" width="6.6640625" customWidth="1"/>
    <col min="5142" max="5142" width="2.33203125" customWidth="1"/>
    <col min="5143" max="5143" width="5.6640625" customWidth="1"/>
    <col min="5144" max="5144" width="6.6640625" customWidth="1"/>
    <col min="5145" max="5145" width="2.33203125" customWidth="1"/>
    <col min="5146" max="5146" width="5.6640625" customWidth="1"/>
    <col min="5147" max="5147" width="6.6640625" customWidth="1"/>
    <col min="5148" max="5148" width="2.33203125" customWidth="1"/>
    <col min="5377" max="5377" width="17.5" customWidth="1"/>
    <col min="5378" max="5378" width="5.6640625" customWidth="1"/>
    <col min="5379" max="5379" width="6.83203125" customWidth="1"/>
    <col min="5380" max="5380" width="2.33203125" customWidth="1"/>
    <col min="5381" max="5381" width="5.6640625" customWidth="1"/>
    <col min="5382" max="5382" width="6.83203125" customWidth="1"/>
    <col min="5383" max="5383" width="2.33203125" customWidth="1"/>
    <col min="5384" max="5384" width="5.6640625" customWidth="1"/>
    <col min="5385" max="5385" width="6.83203125" customWidth="1"/>
    <col min="5386" max="5386" width="2.33203125" customWidth="1"/>
    <col min="5387" max="5387" width="5.6640625" customWidth="1"/>
    <col min="5388" max="5388" width="6.6640625" customWidth="1"/>
    <col min="5389" max="5389" width="2.33203125" customWidth="1"/>
    <col min="5390" max="5390" width="5.6640625" customWidth="1"/>
    <col min="5391" max="5391" width="6.6640625" customWidth="1"/>
    <col min="5392" max="5392" width="2.33203125" customWidth="1"/>
    <col min="5393" max="5393" width="5.6640625" customWidth="1"/>
    <col min="5394" max="5394" width="6.6640625" customWidth="1"/>
    <col min="5395" max="5395" width="2.33203125" customWidth="1"/>
    <col min="5396" max="5396" width="5.6640625" customWidth="1"/>
    <col min="5397" max="5397" width="6.6640625" customWidth="1"/>
    <col min="5398" max="5398" width="2.33203125" customWidth="1"/>
    <col min="5399" max="5399" width="5.6640625" customWidth="1"/>
    <col min="5400" max="5400" width="6.6640625" customWidth="1"/>
    <col min="5401" max="5401" width="2.33203125" customWidth="1"/>
    <col min="5402" max="5402" width="5.6640625" customWidth="1"/>
    <col min="5403" max="5403" width="6.6640625" customWidth="1"/>
    <col min="5404" max="5404" width="2.33203125" customWidth="1"/>
    <col min="5633" max="5633" width="17.5" customWidth="1"/>
    <col min="5634" max="5634" width="5.6640625" customWidth="1"/>
    <col min="5635" max="5635" width="6.83203125" customWidth="1"/>
    <col min="5636" max="5636" width="2.33203125" customWidth="1"/>
    <col min="5637" max="5637" width="5.6640625" customWidth="1"/>
    <col min="5638" max="5638" width="6.83203125" customWidth="1"/>
    <col min="5639" max="5639" width="2.33203125" customWidth="1"/>
    <col min="5640" max="5640" width="5.6640625" customWidth="1"/>
    <col min="5641" max="5641" width="6.83203125" customWidth="1"/>
    <col min="5642" max="5642" width="2.33203125" customWidth="1"/>
    <col min="5643" max="5643" width="5.6640625" customWidth="1"/>
    <col min="5644" max="5644" width="6.6640625" customWidth="1"/>
    <col min="5645" max="5645" width="2.33203125" customWidth="1"/>
    <col min="5646" max="5646" width="5.6640625" customWidth="1"/>
    <col min="5647" max="5647" width="6.6640625" customWidth="1"/>
    <col min="5648" max="5648" width="2.33203125" customWidth="1"/>
    <col min="5649" max="5649" width="5.6640625" customWidth="1"/>
    <col min="5650" max="5650" width="6.6640625" customWidth="1"/>
    <col min="5651" max="5651" width="2.33203125" customWidth="1"/>
    <col min="5652" max="5652" width="5.6640625" customWidth="1"/>
    <col min="5653" max="5653" width="6.6640625" customWidth="1"/>
    <col min="5654" max="5654" width="2.33203125" customWidth="1"/>
    <col min="5655" max="5655" width="5.6640625" customWidth="1"/>
    <col min="5656" max="5656" width="6.6640625" customWidth="1"/>
    <col min="5657" max="5657" width="2.33203125" customWidth="1"/>
    <col min="5658" max="5658" width="5.6640625" customWidth="1"/>
    <col min="5659" max="5659" width="6.6640625" customWidth="1"/>
    <col min="5660" max="5660" width="2.33203125" customWidth="1"/>
    <col min="5889" max="5889" width="17.5" customWidth="1"/>
    <col min="5890" max="5890" width="5.6640625" customWidth="1"/>
    <col min="5891" max="5891" width="6.83203125" customWidth="1"/>
    <col min="5892" max="5892" width="2.33203125" customWidth="1"/>
    <col min="5893" max="5893" width="5.6640625" customWidth="1"/>
    <col min="5894" max="5894" width="6.83203125" customWidth="1"/>
    <col min="5895" max="5895" width="2.33203125" customWidth="1"/>
    <col min="5896" max="5896" width="5.6640625" customWidth="1"/>
    <col min="5897" max="5897" width="6.83203125" customWidth="1"/>
    <col min="5898" max="5898" width="2.33203125" customWidth="1"/>
    <col min="5899" max="5899" width="5.6640625" customWidth="1"/>
    <col min="5900" max="5900" width="6.6640625" customWidth="1"/>
    <col min="5901" max="5901" width="2.33203125" customWidth="1"/>
    <col min="5902" max="5902" width="5.6640625" customWidth="1"/>
    <col min="5903" max="5903" width="6.6640625" customWidth="1"/>
    <col min="5904" max="5904" width="2.33203125" customWidth="1"/>
    <col min="5905" max="5905" width="5.6640625" customWidth="1"/>
    <col min="5906" max="5906" width="6.6640625" customWidth="1"/>
    <col min="5907" max="5907" width="2.33203125" customWidth="1"/>
    <col min="5908" max="5908" width="5.6640625" customWidth="1"/>
    <col min="5909" max="5909" width="6.6640625" customWidth="1"/>
    <col min="5910" max="5910" width="2.33203125" customWidth="1"/>
    <col min="5911" max="5911" width="5.6640625" customWidth="1"/>
    <col min="5912" max="5912" width="6.6640625" customWidth="1"/>
    <col min="5913" max="5913" width="2.33203125" customWidth="1"/>
    <col min="5914" max="5914" width="5.6640625" customWidth="1"/>
    <col min="5915" max="5915" width="6.6640625" customWidth="1"/>
    <col min="5916" max="5916" width="2.33203125" customWidth="1"/>
    <col min="6145" max="6145" width="17.5" customWidth="1"/>
    <col min="6146" max="6146" width="5.6640625" customWidth="1"/>
    <col min="6147" max="6147" width="6.83203125" customWidth="1"/>
    <col min="6148" max="6148" width="2.33203125" customWidth="1"/>
    <col min="6149" max="6149" width="5.6640625" customWidth="1"/>
    <col min="6150" max="6150" width="6.83203125" customWidth="1"/>
    <col min="6151" max="6151" width="2.33203125" customWidth="1"/>
    <col min="6152" max="6152" width="5.6640625" customWidth="1"/>
    <col min="6153" max="6153" width="6.83203125" customWidth="1"/>
    <col min="6154" max="6154" width="2.33203125" customWidth="1"/>
    <col min="6155" max="6155" width="5.6640625" customWidth="1"/>
    <col min="6156" max="6156" width="6.6640625" customWidth="1"/>
    <col min="6157" max="6157" width="2.33203125" customWidth="1"/>
    <col min="6158" max="6158" width="5.6640625" customWidth="1"/>
    <col min="6159" max="6159" width="6.6640625" customWidth="1"/>
    <col min="6160" max="6160" width="2.33203125" customWidth="1"/>
    <col min="6161" max="6161" width="5.6640625" customWidth="1"/>
    <col min="6162" max="6162" width="6.6640625" customWidth="1"/>
    <col min="6163" max="6163" width="2.33203125" customWidth="1"/>
    <col min="6164" max="6164" width="5.6640625" customWidth="1"/>
    <col min="6165" max="6165" width="6.6640625" customWidth="1"/>
    <col min="6166" max="6166" width="2.33203125" customWidth="1"/>
    <col min="6167" max="6167" width="5.6640625" customWidth="1"/>
    <col min="6168" max="6168" width="6.6640625" customWidth="1"/>
    <col min="6169" max="6169" width="2.33203125" customWidth="1"/>
    <col min="6170" max="6170" width="5.6640625" customWidth="1"/>
    <col min="6171" max="6171" width="6.6640625" customWidth="1"/>
    <col min="6172" max="6172" width="2.33203125" customWidth="1"/>
    <col min="6401" max="6401" width="17.5" customWidth="1"/>
    <col min="6402" max="6402" width="5.6640625" customWidth="1"/>
    <col min="6403" max="6403" width="6.83203125" customWidth="1"/>
    <col min="6404" max="6404" width="2.33203125" customWidth="1"/>
    <col min="6405" max="6405" width="5.6640625" customWidth="1"/>
    <col min="6406" max="6406" width="6.83203125" customWidth="1"/>
    <col min="6407" max="6407" width="2.33203125" customWidth="1"/>
    <col min="6408" max="6408" width="5.6640625" customWidth="1"/>
    <col min="6409" max="6409" width="6.83203125" customWidth="1"/>
    <col min="6410" max="6410" width="2.33203125" customWidth="1"/>
    <col min="6411" max="6411" width="5.6640625" customWidth="1"/>
    <col min="6412" max="6412" width="6.6640625" customWidth="1"/>
    <col min="6413" max="6413" width="2.33203125" customWidth="1"/>
    <col min="6414" max="6414" width="5.6640625" customWidth="1"/>
    <col min="6415" max="6415" width="6.6640625" customWidth="1"/>
    <col min="6416" max="6416" width="2.33203125" customWidth="1"/>
    <col min="6417" max="6417" width="5.6640625" customWidth="1"/>
    <col min="6418" max="6418" width="6.6640625" customWidth="1"/>
    <col min="6419" max="6419" width="2.33203125" customWidth="1"/>
    <col min="6420" max="6420" width="5.6640625" customWidth="1"/>
    <col min="6421" max="6421" width="6.6640625" customWidth="1"/>
    <col min="6422" max="6422" width="2.33203125" customWidth="1"/>
    <col min="6423" max="6423" width="5.6640625" customWidth="1"/>
    <col min="6424" max="6424" width="6.6640625" customWidth="1"/>
    <col min="6425" max="6425" width="2.33203125" customWidth="1"/>
    <col min="6426" max="6426" width="5.6640625" customWidth="1"/>
    <col min="6427" max="6427" width="6.6640625" customWidth="1"/>
    <col min="6428" max="6428" width="2.33203125" customWidth="1"/>
    <col min="6657" max="6657" width="17.5" customWidth="1"/>
    <col min="6658" max="6658" width="5.6640625" customWidth="1"/>
    <col min="6659" max="6659" width="6.83203125" customWidth="1"/>
    <col min="6660" max="6660" width="2.33203125" customWidth="1"/>
    <col min="6661" max="6661" width="5.6640625" customWidth="1"/>
    <col min="6662" max="6662" width="6.83203125" customWidth="1"/>
    <col min="6663" max="6663" width="2.33203125" customWidth="1"/>
    <col min="6664" max="6664" width="5.6640625" customWidth="1"/>
    <col min="6665" max="6665" width="6.83203125" customWidth="1"/>
    <col min="6666" max="6666" width="2.33203125" customWidth="1"/>
    <col min="6667" max="6667" width="5.6640625" customWidth="1"/>
    <col min="6668" max="6668" width="6.6640625" customWidth="1"/>
    <col min="6669" max="6669" width="2.33203125" customWidth="1"/>
    <col min="6670" max="6670" width="5.6640625" customWidth="1"/>
    <col min="6671" max="6671" width="6.6640625" customWidth="1"/>
    <col min="6672" max="6672" width="2.33203125" customWidth="1"/>
    <col min="6673" max="6673" width="5.6640625" customWidth="1"/>
    <col min="6674" max="6674" width="6.6640625" customWidth="1"/>
    <col min="6675" max="6675" width="2.33203125" customWidth="1"/>
    <col min="6676" max="6676" width="5.6640625" customWidth="1"/>
    <col min="6677" max="6677" width="6.6640625" customWidth="1"/>
    <col min="6678" max="6678" width="2.33203125" customWidth="1"/>
    <col min="6679" max="6679" width="5.6640625" customWidth="1"/>
    <col min="6680" max="6680" width="6.6640625" customWidth="1"/>
    <col min="6681" max="6681" width="2.33203125" customWidth="1"/>
    <col min="6682" max="6682" width="5.6640625" customWidth="1"/>
    <col min="6683" max="6683" width="6.6640625" customWidth="1"/>
    <col min="6684" max="6684" width="2.33203125" customWidth="1"/>
    <col min="6913" max="6913" width="17.5" customWidth="1"/>
    <col min="6914" max="6914" width="5.6640625" customWidth="1"/>
    <col min="6915" max="6915" width="6.83203125" customWidth="1"/>
    <col min="6916" max="6916" width="2.33203125" customWidth="1"/>
    <col min="6917" max="6917" width="5.6640625" customWidth="1"/>
    <col min="6918" max="6918" width="6.83203125" customWidth="1"/>
    <col min="6919" max="6919" width="2.33203125" customWidth="1"/>
    <col min="6920" max="6920" width="5.6640625" customWidth="1"/>
    <col min="6921" max="6921" width="6.83203125" customWidth="1"/>
    <col min="6922" max="6922" width="2.33203125" customWidth="1"/>
    <col min="6923" max="6923" width="5.6640625" customWidth="1"/>
    <col min="6924" max="6924" width="6.6640625" customWidth="1"/>
    <col min="6925" max="6925" width="2.33203125" customWidth="1"/>
    <col min="6926" max="6926" width="5.6640625" customWidth="1"/>
    <col min="6927" max="6927" width="6.6640625" customWidth="1"/>
    <col min="6928" max="6928" width="2.33203125" customWidth="1"/>
    <col min="6929" max="6929" width="5.6640625" customWidth="1"/>
    <col min="6930" max="6930" width="6.6640625" customWidth="1"/>
    <col min="6931" max="6931" width="2.33203125" customWidth="1"/>
    <col min="6932" max="6932" width="5.6640625" customWidth="1"/>
    <col min="6933" max="6933" width="6.6640625" customWidth="1"/>
    <col min="6934" max="6934" width="2.33203125" customWidth="1"/>
    <col min="6935" max="6935" width="5.6640625" customWidth="1"/>
    <col min="6936" max="6936" width="6.6640625" customWidth="1"/>
    <col min="6937" max="6937" width="2.33203125" customWidth="1"/>
    <col min="6938" max="6938" width="5.6640625" customWidth="1"/>
    <col min="6939" max="6939" width="6.6640625" customWidth="1"/>
    <col min="6940" max="6940" width="2.33203125" customWidth="1"/>
    <col min="7169" max="7169" width="17.5" customWidth="1"/>
    <col min="7170" max="7170" width="5.6640625" customWidth="1"/>
    <col min="7171" max="7171" width="6.83203125" customWidth="1"/>
    <col min="7172" max="7172" width="2.33203125" customWidth="1"/>
    <col min="7173" max="7173" width="5.6640625" customWidth="1"/>
    <col min="7174" max="7174" width="6.83203125" customWidth="1"/>
    <col min="7175" max="7175" width="2.33203125" customWidth="1"/>
    <col min="7176" max="7176" width="5.6640625" customWidth="1"/>
    <col min="7177" max="7177" width="6.83203125" customWidth="1"/>
    <col min="7178" max="7178" width="2.33203125" customWidth="1"/>
    <col min="7179" max="7179" width="5.6640625" customWidth="1"/>
    <col min="7180" max="7180" width="6.6640625" customWidth="1"/>
    <col min="7181" max="7181" width="2.33203125" customWidth="1"/>
    <col min="7182" max="7182" width="5.6640625" customWidth="1"/>
    <col min="7183" max="7183" width="6.6640625" customWidth="1"/>
    <col min="7184" max="7184" width="2.33203125" customWidth="1"/>
    <col min="7185" max="7185" width="5.6640625" customWidth="1"/>
    <col min="7186" max="7186" width="6.6640625" customWidth="1"/>
    <col min="7187" max="7187" width="2.33203125" customWidth="1"/>
    <col min="7188" max="7188" width="5.6640625" customWidth="1"/>
    <col min="7189" max="7189" width="6.6640625" customWidth="1"/>
    <col min="7190" max="7190" width="2.33203125" customWidth="1"/>
    <col min="7191" max="7191" width="5.6640625" customWidth="1"/>
    <col min="7192" max="7192" width="6.6640625" customWidth="1"/>
    <col min="7193" max="7193" width="2.33203125" customWidth="1"/>
    <col min="7194" max="7194" width="5.6640625" customWidth="1"/>
    <col min="7195" max="7195" width="6.6640625" customWidth="1"/>
    <col min="7196" max="7196" width="2.33203125" customWidth="1"/>
    <col min="7425" max="7425" width="17.5" customWidth="1"/>
    <col min="7426" max="7426" width="5.6640625" customWidth="1"/>
    <col min="7427" max="7427" width="6.83203125" customWidth="1"/>
    <col min="7428" max="7428" width="2.33203125" customWidth="1"/>
    <col min="7429" max="7429" width="5.6640625" customWidth="1"/>
    <col min="7430" max="7430" width="6.83203125" customWidth="1"/>
    <col min="7431" max="7431" width="2.33203125" customWidth="1"/>
    <col min="7432" max="7432" width="5.6640625" customWidth="1"/>
    <col min="7433" max="7433" width="6.83203125" customWidth="1"/>
    <col min="7434" max="7434" width="2.33203125" customWidth="1"/>
    <col min="7435" max="7435" width="5.6640625" customWidth="1"/>
    <col min="7436" max="7436" width="6.6640625" customWidth="1"/>
    <col min="7437" max="7437" width="2.33203125" customWidth="1"/>
    <col min="7438" max="7438" width="5.6640625" customWidth="1"/>
    <col min="7439" max="7439" width="6.6640625" customWidth="1"/>
    <col min="7440" max="7440" width="2.33203125" customWidth="1"/>
    <col min="7441" max="7441" width="5.6640625" customWidth="1"/>
    <col min="7442" max="7442" width="6.6640625" customWidth="1"/>
    <col min="7443" max="7443" width="2.33203125" customWidth="1"/>
    <col min="7444" max="7444" width="5.6640625" customWidth="1"/>
    <col min="7445" max="7445" width="6.6640625" customWidth="1"/>
    <col min="7446" max="7446" width="2.33203125" customWidth="1"/>
    <col min="7447" max="7447" width="5.6640625" customWidth="1"/>
    <col min="7448" max="7448" width="6.6640625" customWidth="1"/>
    <col min="7449" max="7449" width="2.33203125" customWidth="1"/>
    <col min="7450" max="7450" width="5.6640625" customWidth="1"/>
    <col min="7451" max="7451" width="6.6640625" customWidth="1"/>
    <col min="7452" max="7452" width="2.33203125" customWidth="1"/>
    <col min="7681" max="7681" width="17.5" customWidth="1"/>
    <col min="7682" max="7682" width="5.6640625" customWidth="1"/>
    <col min="7683" max="7683" width="6.83203125" customWidth="1"/>
    <col min="7684" max="7684" width="2.33203125" customWidth="1"/>
    <col min="7685" max="7685" width="5.6640625" customWidth="1"/>
    <col min="7686" max="7686" width="6.83203125" customWidth="1"/>
    <col min="7687" max="7687" width="2.33203125" customWidth="1"/>
    <col min="7688" max="7688" width="5.6640625" customWidth="1"/>
    <col min="7689" max="7689" width="6.83203125" customWidth="1"/>
    <col min="7690" max="7690" width="2.33203125" customWidth="1"/>
    <col min="7691" max="7691" width="5.6640625" customWidth="1"/>
    <col min="7692" max="7692" width="6.6640625" customWidth="1"/>
    <col min="7693" max="7693" width="2.33203125" customWidth="1"/>
    <col min="7694" max="7694" width="5.6640625" customWidth="1"/>
    <col min="7695" max="7695" width="6.6640625" customWidth="1"/>
    <col min="7696" max="7696" width="2.33203125" customWidth="1"/>
    <col min="7697" max="7697" width="5.6640625" customWidth="1"/>
    <col min="7698" max="7698" width="6.6640625" customWidth="1"/>
    <col min="7699" max="7699" width="2.33203125" customWidth="1"/>
    <col min="7700" max="7700" width="5.6640625" customWidth="1"/>
    <col min="7701" max="7701" width="6.6640625" customWidth="1"/>
    <col min="7702" max="7702" width="2.33203125" customWidth="1"/>
    <col min="7703" max="7703" width="5.6640625" customWidth="1"/>
    <col min="7704" max="7704" width="6.6640625" customWidth="1"/>
    <col min="7705" max="7705" width="2.33203125" customWidth="1"/>
    <col min="7706" max="7706" width="5.6640625" customWidth="1"/>
    <col min="7707" max="7707" width="6.6640625" customWidth="1"/>
    <col min="7708" max="7708" width="2.33203125" customWidth="1"/>
    <col min="7937" max="7937" width="17.5" customWidth="1"/>
    <col min="7938" max="7938" width="5.6640625" customWidth="1"/>
    <col min="7939" max="7939" width="6.83203125" customWidth="1"/>
    <col min="7940" max="7940" width="2.33203125" customWidth="1"/>
    <col min="7941" max="7941" width="5.6640625" customWidth="1"/>
    <col min="7942" max="7942" width="6.83203125" customWidth="1"/>
    <col min="7943" max="7943" width="2.33203125" customWidth="1"/>
    <col min="7944" max="7944" width="5.6640625" customWidth="1"/>
    <col min="7945" max="7945" width="6.83203125" customWidth="1"/>
    <col min="7946" max="7946" width="2.33203125" customWidth="1"/>
    <col min="7947" max="7947" width="5.6640625" customWidth="1"/>
    <col min="7948" max="7948" width="6.6640625" customWidth="1"/>
    <col min="7949" max="7949" width="2.33203125" customWidth="1"/>
    <col min="7950" max="7950" width="5.6640625" customWidth="1"/>
    <col min="7951" max="7951" width="6.6640625" customWidth="1"/>
    <col min="7952" max="7952" width="2.33203125" customWidth="1"/>
    <col min="7953" max="7953" width="5.6640625" customWidth="1"/>
    <col min="7954" max="7954" width="6.6640625" customWidth="1"/>
    <col min="7955" max="7955" width="2.33203125" customWidth="1"/>
    <col min="7956" max="7956" width="5.6640625" customWidth="1"/>
    <col min="7957" max="7957" width="6.6640625" customWidth="1"/>
    <col min="7958" max="7958" width="2.33203125" customWidth="1"/>
    <col min="7959" max="7959" width="5.6640625" customWidth="1"/>
    <col min="7960" max="7960" width="6.6640625" customWidth="1"/>
    <col min="7961" max="7961" width="2.33203125" customWidth="1"/>
    <col min="7962" max="7962" width="5.6640625" customWidth="1"/>
    <col min="7963" max="7963" width="6.6640625" customWidth="1"/>
    <col min="7964" max="7964" width="2.33203125" customWidth="1"/>
    <col min="8193" max="8193" width="17.5" customWidth="1"/>
    <col min="8194" max="8194" width="5.6640625" customWidth="1"/>
    <col min="8195" max="8195" width="6.83203125" customWidth="1"/>
    <col min="8196" max="8196" width="2.33203125" customWidth="1"/>
    <col min="8197" max="8197" width="5.6640625" customWidth="1"/>
    <col min="8198" max="8198" width="6.83203125" customWidth="1"/>
    <col min="8199" max="8199" width="2.33203125" customWidth="1"/>
    <col min="8200" max="8200" width="5.6640625" customWidth="1"/>
    <col min="8201" max="8201" width="6.83203125" customWidth="1"/>
    <col min="8202" max="8202" width="2.33203125" customWidth="1"/>
    <col min="8203" max="8203" width="5.6640625" customWidth="1"/>
    <col min="8204" max="8204" width="6.6640625" customWidth="1"/>
    <col min="8205" max="8205" width="2.33203125" customWidth="1"/>
    <col min="8206" max="8206" width="5.6640625" customWidth="1"/>
    <col min="8207" max="8207" width="6.6640625" customWidth="1"/>
    <col min="8208" max="8208" width="2.33203125" customWidth="1"/>
    <col min="8209" max="8209" width="5.6640625" customWidth="1"/>
    <col min="8210" max="8210" width="6.6640625" customWidth="1"/>
    <col min="8211" max="8211" width="2.33203125" customWidth="1"/>
    <col min="8212" max="8212" width="5.6640625" customWidth="1"/>
    <col min="8213" max="8213" width="6.6640625" customWidth="1"/>
    <col min="8214" max="8214" width="2.33203125" customWidth="1"/>
    <col min="8215" max="8215" width="5.6640625" customWidth="1"/>
    <col min="8216" max="8216" width="6.6640625" customWidth="1"/>
    <col min="8217" max="8217" width="2.33203125" customWidth="1"/>
    <col min="8218" max="8218" width="5.6640625" customWidth="1"/>
    <col min="8219" max="8219" width="6.6640625" customWidth="1"/>
    <col min="8220" max="8220" width="2.33203125" customWidth="1"/>
    <col min="8449" max="8449" width="17.5" customWidth="1"/>
    <col min="8450" max="8450" width="5.6640625" customWidth="1"/>
    <col min="8451" max="8451" width="6.83203125" customWidth="1"/>
    <col min="8452" max="8452" width="2.33203125" customWidth="1"/>
    <col min="8453" max="8453" width="5.6640625" customWidth="1"/>
    <col min="8454" max="8454" width="6.83203125" customWidth="1"/>
    <col min="8455" max="8455" width="2.33203125" customWidth="1"/>
    <col min="8456" max="8456" width="5.6640625" customWidth="1"/>
    <col min="8457" max="8457" width="6.83203125" customWidth="1"/>
    <col min="8458" max="8458" width="2.33203125" customWidth="1"/>
    <col min="8459" max="8459" width="5.6640625" customWidth="1"/>
    <col min="8460" max="8460" width="6.6640625" customWidth="1"/>
    <col min="8461" max="8461" width="2.33203125" customWidth="1"/>
    <col min="8462" max="8462" width="5.6640625" customWidth="1"/>
    <col min="8463" max="8463" width="6.6640625" customWidth="1"/>
    <col min="8464" max="8464" width="2.33203125" customWidth="1"/>
    <col min="8465" max="8465" width="5.6640625" customWidth="1"/>
    <col min="8466" max="8466" width="6.6640625" customWidth="1"/>
    <col min="8467" max="8467" width="2.33203125" customWidth="1"/>
    <col min="8468" max="8468" width="5.6640625" customWidth="1"/>
    <col min="8469" max="8469" width="6.6640625" customWidth="1"/>
    <col min="8470" max="8470" width="2.33203125" customWidth="1"/>
    <col min="8471" max="8471" width="5.6640625" customWidth="1"/>
    <col min="8472" max="8472" width="6.6640625" customWidth="1"/>
    <col min="8473" max="8473" width="2.33203125" customWidth="1"/>
    <col min="8474" max="8474" width="5.6640625" customWidth="1"/>
    <col min="8475" max="8475" width="6.6640625" customWidth="1"/>
    <col min="8476" max="8476" width="2.33203125" customWidth="1"/>
    <col min="8705" max="8705" width="17.5" customWidth="1"/>
    <col min="8706" max="8706" width="5.6640625" customWidth="1"/>
    <col min="8707" max="8707" width="6.83203125" customWidth="1"/>
    <col min="8708" max="8708" width="2.33203125" customWidth="1"/>
    <col min="8709" max="8709" width="5.6640625" customWidth="1"/>
    <col min="8710" max="8710" width="6.83203125" customWidth="1"/>
    <col min="8711" max="8711" width="2.33203125" customWidth="1"/>
    <col min="8712" max="8712" width="5.6640625" customWidth="1"/>
    <col min="8713" max="8713" width="6.83203125" customWidth="1"/>
    <col min="8714" max="8714" width="2.33203125" customWidth="1"/>
    <col min="8715" max="8715" width="5.6640625" customWidth="1"/>
    <col min="8716" max="8716" width="6.6640625" customWidth="1"/>
    <col min="8717" max="8717" width="2.33203125" customWidth="1"/>
    <col min="8718" max="8718" width="5.6640625" customWidth="1"/>
    <col min="8719" max="8719" width="6.6640625" customWidth="1"/>
    <col min="8720" max="8720" width="2.33203125" customWidth="1"/>
    <col min="8721" max="8721" width="5.6640625" customWidth="1"/>
    <col min="8722" max="8722" width="6.6640625" customWidth="1"/>
    <col min="8723" max="8723" width="2.33203125" customWidth="1"/>
    <col min="8724" max="8724" width="5.6640625" customWidth="1"/>
    <col min="8725" max="8725" width="6.6640625" customWidth="1"/>
    <col min="8726" max="8726" width="2.33203125" customWidth="1"/>
    <col min="8727" max="8727" width="5.6640625" customWidth="1"/>
    <col min="8728" max="8728" width="6.6640625" customWidth="1"/>
    <col min="8729" max="8729" width="2.33203125" customWidth="1"/>
    <col min="8730" max="8730" width="5.6640625" customWidth="1"/>
    <col min="8731" max="8731" width="6.6640625" customWidth="1"/>
    <col min="8732" max="8732" width="2.33203125" customWidth="1"/>
    <col min="8961" max="8961" width="17.5" customWidth="1"/>
    <col min="8962" max="8962" width="5.6640625" customWidth="1"/>
    <col min="8963" max="8963" width="6.83203125" customWidth="1"/>
    <col min="8964" max="8964" width="2.33203125" customWidth="1"/>
    <col min="8965" max="8965" width="5.6640625" customWidth="1"/>
    <col min="8966" max="8966" width="6.83203125" customWidth="1"/>
    <col min="8967" max="8967" width="2.33203125" customWidth="1"/>
    <col min="8968" max="8968" width="5.6640625" customWidth="1"/>
    <col min="8969" max="8969" width="6.83203125" customWidth="1"/>
    <col min="8970" max="8970" width="2.33203125" customWidth="1"/>
    <col min="8971" max="8971" width="5.6640625" customWidth="1"/>
    <col min="8972" max="8972" width="6.6640625" customWidth="1"/>
    <col min="8973" max="8973" width="2.33203125" customWidth="1"/>
    <col min="8974" max="8974" width="5.6640625" customWidth="1"/>
    <col min="8975" max="8975" width="6.6640625" customWidth="1"/>
    <col min="8976" max="8976" width="2.33203125" customWidth="1"/>
    <col min="8977" max="8977" width="5.6640625" customWidth="1"/>
    <col min="8978" max="8978" width="6.6640625" customWidth="1"/>
    <col min="8979" max="8979" width="2.33203125" customWidth="1"/>
    <col min="8980" max="8980" width="5.6640625" customWidth="1"/>
    <col min="8981" max="8981" width="6.6640625" customWidth="1"/>
    <col min="8982" max="8982" width="2.33203125" customWidth="1"/>
    <col min="8983" max="8983" width="5.6640625" customWidth="1"/>
    <col min="8984" max="8984" width="6.6640625" customWidth="1"/>
    <col min="8985" max="8985" width="2.33203125" customWidth="1"/>
    <col min="8986" max="8986" width="5.6640625" customWidth="1"/>
    <col min="8987" max="8987" width="6.6640625" customWidth="1"/>
    <col min="8988" max="8988" width="2.33203125" customWidth="1"/>
    <col min="9217" max="9217" width="17.5" customWidth="1"/>
    <col min="9218" max="9218" width="5.6640625" customWidth="1"/>
    <col min="9219" max="9219" width="6.83203125" customWidth="1"/>
    <col min="9220" max="9220" width="2.33203125" customWidth="1"/>
    <col min="9221" max="9221" width="5.6640625" customWidth="1"/>
    <col min="9222" max="9222" width="6.83203125" customWidth="1"/>
    <col min="9223" max="9223" width="2.33203125" customWidth="1"/>
    <col min="9224" max="9224" width="5.6640625" customWidth="1"/>
    <col min="9225" max="9225" width="6.83203125" customWidth="1"/>
    <col min="9226" max="9226" width="2.33203125" customWidth="1"/>
    <col min="9227" max="9227" width="5.6640625" customWidth="1"/>
    <col min="9228" max="9228" width="6.6640625" customWidth="1"/>
    <col min="9229" max="9229" width="2.33203125" customWidth="1"/>
    <col min="9230" max="9230" width="5.6640625" customWidth="1"/>
    <col min="9231" max="9231" width="6.6640625" customWidth="1"/>
    <col min="9232" max="9232" width="2.33203125" customWidth="1"/>
    <col min="9233" max="9233" width="5.6640625" customWidth="1"/>
    <col min="9234" max="9234" width="6.6640625" customWidth="1"/>
    <col min="9235" max="9235" width="2.33203125" customWidth="1"/>
    <col min="9236" max="9236" width="5.6640625" customWidth="1"/>
    <col min="9237" max="9237" width="6.6640625" customWidth="1"/>
    <col min="9238" max="9238" width="2.33203125" customWidth="1"/>
    <col min="9239" max="9239" width="5.6640625" customWidth="1"/>
    <col min="9240" max="9240" width="6.6640625" customWidth="1"/>
    <col min="9241" max="9241" width="2.33203125" customWidth="1"/>
    <col min="9242" max="9242" width="5.6640625" customWidth="1"/>
    <col min="9243" max="9243" width="6.6640625" customWidth="1"/>
    <col min="9244" max="9244" width="2.33203125" customWidth="1"/>
    <col min="9473" max="9473" width="17.5" customWidth="1"/>
    <col min="9474" max="9474" width="5.6640625" customWidth="1"/>
    <col min="9475" max="9475" width="6.83203125" customWidth="1"/>
    <col min="9476" max="9476" width="2.33203125" customWidth="1"/>
    <col min="9477" max="9477" width="5.6640625" customWidth="1"/>
    <col min="9478" max="9478" width="6.83203125" customWidth="1"/>
    <col min="9479" max="9479" width="2.33203125" customWidth="1"/>
    <col min="9480" max="9480" width="5.6640625" customWidth="1"/>
    <col min="9481" max="9481" width="6.83203125" customWidth="1"/>
    <col min="9482" max="9482" width="2.33203125" customWidth="1"/>
    <col min="9483" max="9483" width="5.6640625" customWidth="1"/>
    <col min="9484" max="9484" width="6.6640625" customWidth="1"/>
    <col min="9485" max="9485" width="2.33203125" customWidth="1"/>
    <col min="9486" max="9486" width="5.6640625" customWidth="1"/>
    <col min="9487" max="9487" width="6.6640625" customWidth="1"/>
    <col min="9488" max="9488" width="2.33203125" customWidth="1"/>
    <col min="9489" max="9489" width="5.6640625" customWidth="1"/>
    <col min="9490" max="9490" width="6.6640625" customWidth="1"/>
    <col min="9491" max="9491" width="2.33203125" customWidth="1"/>
    <col min="9492" max="9492" width="5.6640625" customWidth="1"/>
    <col min="9493" max="9493" width="6.6640625" customWidth="1"/>
    <col min="9494" max="9494" width="2.33203125" customWidth="1"/>
    <col min="9495" max="9495" width="5.6640625" customWidth="1"/>
    <col min="9496" max="9496" width="6.6640625" customWidth="1"/>
    <col min="9497" max="9497" width="2.33203125" customWidth="1"/>
    <col min="9498" max="9498" width="5.6640625" customWidth="1"/>
    <col min="9499" max="9499" width="6.6640625" customWidth="1"/>
    <col min="9500" max="9500" width="2.33203125" customWidth="1"/>
    <col min="9729" max="9729" width="17.5" customWidth="1"/>
    <col min="9730" max="9730" width="5.6640625" customWidth="1"/>
    <col min="9731" max="9731" width="6.83203125" customWidth="1"/>
    <col min="9732" max="9732" width="2.33203125" customWidth="1"/>
    <col min="9733" max="9733" width="5.6640625" customWidth="1"/>
    <col min="9734" max="9734" width="6.83203125" customWidth="1"/>
    <col min="9735" max="9735" width="2.33203125" customWidth="1"/>
    <col min="9736" max="9736" width="5.6640625" customWidth="1"/>
    <col min="9737" max="9737" width="6.83203125" customWidth="1"/>
    <col min="9738" max="9738" width="2.33203125" customWidth="1"/>
    <col min="9739" max="9739" width="5.6640625" customWidth="1"/>
    <col min="9740" max="9740" width="6.6640625" customWidth="1"/>
    <col min="9741" max="9741" width="2.33203125" customWidth="1"/>
    <col min="9742" max="9742" width="5.6640625" customWidth="1"/>
    <col min="9743" max="9743" width="6.6640625" customWidth="1"/>
    <col min="9744" max="9744" width="2.33203125" customWidth="1"/>
    <col min="9745" max="9745" width="5.6640625" customWidth="1"/>
    <col min="9746" max="9746" width="6.6640625" customWidth="1"/>
    <col min="9747" max="9747" width="2.33203125" customWidth="1"/>
    <col min="9748" max="9748" width="5.6640625" customWidth="1"/>
    <col min="9749" max="9749" width="6.6640625" customWidth="1"/>
    <col min="9750" max="9750" width="2.33203125" customWidth="1"/>
    <col min="9751" max="9751" width="5.6640625" customWidth="1"/>
    <col min="9752" max="9752" width="6.6640625" customWidth="1"/>
    <col min="9753" max="9753" width="2.33203125" customWidth="1"/>
    <col min="9754" max="9754" width="5.6640625" customWidth="1"/>
    <col min="9755" max="9755" width="6.6640625" customWidth="1"/>
    <col min="9756" max="9756" width="2.33203125" customWidth="1"/>
    <col min="9985" max="9985" width="17.5" customWidth="1"/>
    <col min="9986" max="9986" width="5.6640625" customWidth="1"/>
    <col min="9987" max="9987" width="6.83203125" customWidth="1"/>
    <col min="9988" max="9988" width="2.33203125" customWidth="1"/>
    <col min="9989" max="9989" width="5.6640625" customWidth="1"/>
    <col min="9990" max="9990" width="6.83203125" customWidth="1"/>
    <col min="9991" max="9991" width="2.33203125" customWidth="1"/>
    <col min="9992" max="9992" width="5.6640625" customWidth="1"/>
    <col min="9993" max="9993" width="6.83203125" customWidth="1"/>
    <col min="9994" max="9994" width="2.33203125" customWidth="1"/>
    <col min="9995" max="9995" width="5.6640625" customWidth="1"/>
    <col min="9996" max="9996" width="6.6640625" customWidth="1"/>
    <col min="9997" max="9997" width="2.33203125" customWidth="1"/>
    <col min="9998" max="9998" width="5.6640625" customWidth="1"/>
    <col min="9999" max="9999" width="6.6640625" customWidth="1"/>
    <col min="10000" max="10000" width="2.33203125" customWidth="1"/>
    <col min="10001" max="10001" width="5.6640625" customWidth="1"/>
    <col min="10002" max="10002" width="6.6640625" customWidth="1"/>
    <col min="10003" max="10003" width="2.33203125" customWidth="1"/>
    <col min="10004" max="10004" width="5.6640625" customWidth="1"/>
    <col min="10005" max="10005" width="6.6640625" customWidth="1"/>
    <col min="10006" max="10006" width="2.33203125" customWidth="1"/>
    <col min="10007" max="10007" width="5.6640625" customWidth="1"/>
    <col min="10008" max="10008" width="6.6640625" customWidth="1"/>
    <col min="10009" max="10009" width="2.33203125" customWidth="1"/>
    <col min="10010" max="10010" width="5.6640625" customWidth="1"/>
    <col min="10011" max="10011" width="6.6640625" customWidth="1"/>
    <col min="10012" max="10012" width="2.33203125" customWidth="1"/>
    <col min="10241" max="10241" width="17.5" customWidth="1"/>
    <col min="10242" max="10242" width="5.6640625" customWidth="1"/>
    <col min="10243" max="10243" width="6.83203125" customWidth="1"/>
    <col min="10244" max="10244" width="2.33203125" customWidth="1"/>
    <col min="10245" max="10245" width="5.6640625" customWidth="1"/>
    <col min="10246" max="10246" width="6.83203125" customWidth="1"/>
    <col min="10247" max="10247" width="2.33203125" customWidth="1"/>
    <col min="10248" max="10248" width="5.6640625" customWidth="1"/>
    <col min="10249" max="10249" width="6.83203125" customWidth="1"/>
    <col min="10250" max="10250" width="2.33203125" customWidth="1"/>
    <col min="10251" max="10251" width="5.6640625" customWidth="1"/>
    <col min="10252" max="10252" width="6.6640625" customWidth="1"/>
    <col min="10253" max="10253" width="2.33203125" customWidth="1"/>
    <col min="10254" max="10254" width="5.6640625" customWidth="1"/>
    <col min="10255" max="10255" width="6.6640625" customWidth="1"/>
    <col min="10256" max="10256" width="2.33203125" customWidth="1"/>
    <col min="10257" max="10257" width="5.6640625" customWidth="1"/>
    <col min="10258" max="10258" width="6.6640625" customWidth="1"/>
    <col min="10259" max="10259" width="2.33203125" customWidth="1"/>
    <col min="10260" max="10260" width="5.6640625" customWidth="1"/>
    <col min="10261" max="10261" width="6.6640625" customWidth="1"/>
    <col min="10262" max="10262" width="2.33203125" customWidth="1"/>
    <col min="10263" max="10263" width="5.6640625" customWidth="1"/>
    <col min="10264" max="10264" width="6.6640625" customWidth="1"/>
    <col min="10265" max="10265" width="2.33203125" customWidth="1"/>
    <col min="10266" max="10266" width="5.6640625" customWidth="1"/>
    <col min="10267" max="10267" width="6.6640625" customWidth="1"/>
    <col min="10268" max="10268" width="2.33203125" customWidth="1"/>
    <col min="10497" max="10497" width="17.5" customWidth="1"/>
    <col min="10498" max="10498" width="5.6640625" customWidth="1"/>
    <col min="10499" max="10499" width="6.83203125" customWidth="1"/>
    <col min="10500" max="10500" width="2.33203125" customWidth="1"/>
    <col min="10501" max="10501" width="5.6640625" customWidth="1"/>
    <col min="10502" max="10502" width="6.83203125" customWidth="1"/>
    <col min="10503" max="10503" width="2.33203125" customWidth="1"/>
    <col min="10504" max="10504" width="5.6640625" customWidth="1"/>
    <col min="10505" max="10505" width="6.83203125" customWidth="1"/>
    <col min="10506" max="10506" width="2.33203125" customWidth="1"/>
    <col min="10507" max="10507" width="5.6640625" customWidth="1"/>
    <col min="10508" max="10508" width="6.6640625" customWidth="1"/>
    <col min="10509" max="10509" width="2.33203125" customWidth="1"/>
    <col min="10510" max="10510" width="5.6640625" customWidth="1"/>
    <col min="10511" max="10511" width="6.6640625" customWidth="1"/>
    <col min="10512" max="10512" width="2.33203125" customWidth="1"/>
    <col min="10513" max="10513" width="5.6640625" customWidth="1"/>
    <col min="10514" max="10514" width="6.6640625" customWidth="1"/>
    <col min="10515" max="10515" width="2.33203125" customWidth="1"/>
    <col min="10516" max="10516" width="5.6640625" customWidth="1"/>
    <col min="10517" max="10517" width="6.6640625" customWidth="1"/>
    <col min="10518" max="10518" width="2.33203125" customWidth="1"/>
    <col min="10519" max="10519" width="5.6640625" customWidth="1"/>
    <col min="10520" max="10520" width="6.6640625" customWidth="1"/>
    <col min="10521" max="10521" width="2.33203125" customWidth="1"/>
    <col min="10522" max="10522" width="5.6640625" customWidth="1"/>
    <col min="10523" max="10523" width="6.6640625" customWidth="1"/>
    <col min="10524" max="10524" width="2.33203125" customWidth="1"/>
    <col min="10753" max="10753" width="17.5" customWidth="1"/>
    <col min="10754" max="10754" width="5.6640625" customWidth="1"/>
    <col min="10755" max="10755" width="6.83203125" customWidth="1"/>
    <col min="10756" max="10756" width="2.33203125" customWidth="1"/>
    <col min="10757" max="10757" width="5.6640625" customWidth="1"/>
    <col min="10758" max="10758" width="6.83203125" customWidth="1"/>
    <col min="10759" max="10759" width="2.33203125" customWidth="1"/>
    <col min="10760" max="10760" width="5.6640625" customWidth="1"/>
    <col min="10761" max="10761" width="6.83203125" customWidth="1"/>
    <col min="10762" max="10762" width="2.33203125" customWidth="1"/>
    <col min="10763" max="10763" width="5.6640625" customWidth="1"/>
    <col min="10764" max="10764" width="6.6640625" customWidth="1"/>
    <col min="10765" max="10765" width="2.33203125" customWidth="1"/>
    <col min="10766" max="10766" width="5.6640625" customWidth="1"/>
    <col min="10767" max="10767" width="6.6640625" customWidth="1"/>
    <col min="10768" max="10768" width="2.33203125" customWidth="1"/>
    <col min="10769" max="10769" width="5.6640625" customWidth="1"/>
    <col min="10770" max="10770" width="6.6640625" customWidth="1"/>
    <col min="10771" max="10771" width="2.33203125" customWidth="1"/>
    <col min="10772" max="10772" width="5.6640625" customWidth="1"/>
    <col min="10773" max="10773" width="6.6640625" customWidth="1"/>
    <col min="10774" max="10774" width="2.33203125" customWidth="1"/>
    <col min="10775" max="10775" width="5.6640625" customWidth="1"/>
    <col min="10776" max="10776" width="6.6640625" customWidth="1"/>
    <col min="10777" max="10777" width="2.33203125" customWidth="1"/>
    <col min="10778" max="10778" width="5.6640625" customWidth="1"/>
    <col min="10779" max="10779" width="6.6640625" customWidth="1"/>
    <col min="10780" max="10780" width="2.33203125" customWidth="1"/>
    <col min="11009" max="11009" width="17.5" customWidth="1"/>
    <col min="11010" max="11010" width="5.6640625" customWidth="1"/>
    <col min="11011" max="11011" width="6.83203125" customWidth="1"/>
    <col min="11012" max="11012" width="2.33203125" customWidth="1"/>
    <col min="11013" max="11013" width="5.6640625" customWidth="1"/>
    <col min="11014" max="11014" width="6.83203125" customWidth="1"/>
    <col min="11015" max="11015" width="2.33203125" customWidth="1"/>
    <col min="11016" max="11016" width="5.6640625" customWidth="1"/>
    <col min="11017" max="11017" width="6.83203125" customWidth="1"/>
    <col min="11018" max="11018" width="2.33203125" customWidth="1"/>
    <col min="11019" max="11019" width="5.6640625" customWidth="1"/>
    <col min="11020" max="11020" width="6.6640625" customWidth="1"/>
    <col min="11021" max="11021" width="2.33203125" customWidth="1"/>
    <col min="11022" max="11022" width="5.6640625" customWidth="1"/>
    <col min="11023" max="11023" width="6.6640625" customWidth="1"/>
    <col min="11024" max="11024" width="2.33203125" customWidth="1"/>
    <col min="11025" max="11025" width="5.6640625" customWidth="1"/>
    <col min="11026" max="11026" width="6.6640625" customWidth="1"/>
    <col min="11027" max="11027" width="2.33203125" customWidth="1"/>
    <col min="11028" max="11028" width="5.6640625" customWidth="1"/>
    <col min="11029" max="11029" width="6.6640625" customWidth="1"/>
    <col min="11030" max="11030" width="2.33203125" customWidth="1"/>
    <col min="11031" max="11031" width="5.6640625" customWidth="1"/>
    <col min="11032" max="11032" width="6.6640625" customWidth="1"/>
    <col min="11033" max="11033" width="2.33203125" customWidth="1"/>
    <col min="11034" max="11034" width="5.6640625" customWidth="1"/>
    <col min="11035" max="11035" width="6.6640625" customWidth="1"/>
    <col min="11036" max="11036" width="2.33203125" customWidth="1"/>
    <col min="11265" max="11265" width="17.5" customWidth="1"/>
    <col min="11266" max="11266" width="5.6640625" customWidth="1"/>
    <col min="11267" max="11267" width="6.83203125" customWidth="1"/>
    <col min="11268" max="11268" width="2.33203125" customWidth="1"/>
    <col min="11269" max="11269" width="5.6640625" customWidth="1"/>
    <col min="11270" max="11270" width="6.83203125" customWidth="1"/>
    <col min="11271" max="11271" width="2.33203125" customWidth="1"/>
    <col min="11272" max="11272" width="5.6640625" customWidth="1"/>
    <col min="11273" max="11273" width="6.83203125" customWidth="1"/>
    <col min="11274" max="11274" width="2.33203125" customWidth="1"/>
    <col min="11275" max="11275" width="5.6640625" customWidth="1"/>
    <col min="11276" max="11276" width="6.6640625" customWidth="1"/>
    <col min="11277" max="11277" width="2.33203125" customWidth="1"/>
    <col min="11278" max="11278" width="5.6640625" customWidth="1"/>
    <col min="11279" max="11279" width="6.6640625" customWidth="1"/>
    <col min="11280" max="11280" width="2.33203125" customWidth="1"/>
    <col min="11281" max="11281" width="5.6640625" customWidth="1"/>
    <col min="11282" max="11282" width="6.6640625" customWidth="1"/>
    <col min="11283" max="11283" width="2.33203125" customWidth="1"/>
    <col min="11284" max="11284" width="5.6640625" customWidth="1"/>
    <col min="11285" max="11285" width="6.6640625" customWidth="1"/>
    <col min="11286" max="11286" width="2.33203125" customWidth="1"/>
    <col min="11287" max="11287" width="5.6640625" customWidth="1"/>
    <col min="11288" max="11288" width="6.6640625" customWidth="1"/>
    <col min="11289" max="11289" width="2.33203125" customWidth="1"/>
    <col min="11290" max="11290" width="5.6640625" customWidth="1"/>
    <col min="11291" max="11291" width="6.6640625" customWidth="1"/>
    <col min="11292" max="11292" width="2.33203125" customWidth="1"/>
    <col min="11521" max="11521" width="17.5" customWidth="1"/>
    <col min="11522" max="11522" width="5.6640625" customWidth="1"/>
    <col min="11523" max="11523" width="6.83203125" customWidth="1"/>
    <col min="11524" max="11524" width="2.33203125" customWidth="1"/>
    <col min="11525" max="11525" width="5.6640625" customWidth="1"/>
    <col min="11526" max="11526" width="6.83203125" customWidth="1"/>
    <col min="11527" max="11527" width="2.33203125" customWidth="1"/>
    <col min="11528" max="11528" width="5.6640625" customWidth="1"/>
    <col min="11529" max="11529" width="6.83203125" customWidth="1"/>
    <col min="11530" max="11530" width="2.33203125" customWidth="1"/>
    <col min="11531" max="11531" width="5.6640625" customWidth="1"/>
    <col min="11532" max="11532" width="6.6640625" customWidth="1"/>
    <col min="11533" max="11533" width="2.33203125" customWidth="1"/>
    <col min="11534" max="11534" width="5.6640625" customWidth="1"/>
    <col min="11535" max="11535" width="6.6640625" customWidth="1"/>
    <col min="11536" max="11536" width="2.33203125" customWidth="1"/>
    <col min="11537" max="11537" width="5.6640625" customWidth="1"/>
    <col min="11538" max="11538" width="6.6640625" customWidth="1"/>
    <col min="11539" max="11539" width="2.33203125" customWidth="1"/>
    <col min="11540" max="11540" width="5.6640625" customWidth="1"/>
    <col min="11541" max="11541" width="6.6640625" customWidth="1"/>
    <col min="11542" max="11542" width="2.33203125" customWidth="1"/>
    <col min="11543" max="11543" width="5.6640625" customWidth="1"/>
    <col min="11544" max="11544" width="6.6640625" customWidth="1"/>
    <col min="11545" max="11545" width="2.33203125" customWidth="1"/>
    <col min="11546" max="11546" width="5.6640625" customWidth="1"/>
    <col min="11547" max="11547" width="6.6640625" customWidth="1"/>
    <col min="11548" max="11548" width="2.33203125" customWidth="1"/>
    <col min="11777" max="11777" width="17.5" customWidth="1"/>
    <col min="11778" max="11778" width="5.6640625" customWidth="1"/>
    <col min="11779" max="11779" width="6.83203125" customWidth="1"/>
    <col min="11780" max="11780" width="2.33203125" customWidth="1"/>
    <col min="11781" max="11781" width="5.6640625" customWidth="1"/>
    <col min="11782" max="11782" width="6.83203125" customWidth="1"/>
    <col min="11783" max="11783" width="2.33203125" customWidth="1"/>
    <col min="11784" max="11784" width="5.6640625" customWidth="1"/>
    <col min="11785" max="11785" width="6.83203125" customWidth="1"/>
    <col min="11786" max="11786" width="2.33203125" customWidth="1"/>
    <col min="11787" max="11787" width="5.6640625" customWidth="1"/>
    <col min="11788" max="11788" width="6.6640625" customWidth="1"/>
    <col min="11789" max="11789" width="2.33203125" customWidth="1"/>
    <col min="11790" max="11790" width="5.6640625" customWidth="1"/>
    <col min="11791" max="11791" width="6.6640625" customWidth="1"/>
    <col min="11792" max="11792" width="2.33203125" customWidth="1"/>
    <col min="11793" max="11793" width="5.6640625" customWidth="1"/>
    <col min="11794" max="11794" width="6.6640625" customWidth="1"/>
    <col min="11795" max="11795" width="2.33203125" customWidth="1"/>
    <col min="11796" max="11796" width="5.6640625" customWidth="1"/>
    <col min="11797" max="11797" width="6.6640625" customWidth="1"/>
    <col min="11798" max="11798" width="2.33203125" customWidth="1"/>
    <col min="11799" max="11799" width="5.6640625" customWidth="1"/>
    <col min="11800" max="11800" width="6.6640625" customWidth="1"/>
    <col min="11801" max="11801" width="2.33203125" customWidth="1"/>
    <col min="11802" max="11802" width="5.6640625" customWidth="1"/>
    <col min="11803" max="11803" width="6.6640625" customWidth="1"/>
    <col min="11804" max="11804" width="2.33203125" customWidth="1"/>
    <col min="12033" max="12033" width="17.5" customWidth="1"/>
    <col min="12034" max="12034" width="5.6640625" customWidth="1"/>
    <col min="12035" max="12035" width="6.83203125" customWidth="1"/>
    <col min="12036" max="12036" width="2.33203125" customWidth="1"/>
    <col min="12037" max="12037" width="5.6640625" customWidth="1"/>
    <col min="12038" max="12038" width="6.83203125" customWidth="1"/>
    <col min="12039" max="12039" width="2.33203125" customWidth="1"/>
    <col min="12040" max="12040" width="5.6640625" customWidth="1"/>
    <col min="12041" max="12041" width="6.83203125" customWidth="1"/>
    <col min="12042" max="12042" width="2.33203125" customWidth="1"/>
    <col min="12043" max="12043" width="5.6640625" customWidth="1"/>
    <col min="12044" max="12044" width="6.6640625" customWidth="1"/>
    <col min="12045" max="12045" width="2.33203125" customWidth="1"/>
    <col min="12046" max="12046" width="5.6640625" customWidth="1"/>
    <col min="12047" max="12047" width="6.6640625" customWidth="1"/>
    <col min="12048" max="12048" width="2.33203125" customWidth="1"/>
    <col min="12049" max="12049" width="5.6640625" customWidth="1"/>
    <col min="12050" max="12050" width="6.6640625" customWidth="1"/>
    <col min="12051" max="12051" width="2.33203125" customWidth="1"/>
    <col min="12052" max="12052" width="5.6640625" customWidth="1"/>
    <col min="12053" max="12053" width="6.6640625" customWidth="1"/>
    <col min="12054" max="12054" width="2.33203125" customWidth="1"/>
    <col min="12055" max="12055" width="5.6640625" customWidth="1"/>
    <col min="12056" max="12056" width="6.6640625" customWidth="1"/>
    <col min="12057" max="12057" width="2.33203125" customWidth="1"/>
    <col min="12058" max="12058" width="5.6640625" customWidth="1"/>
    <col min="12059" max="12059" width="6.6640625" customWidth="1"/>
    <col min="12060" max="12060" width="2.33203125" customWidth="1"/>
    <col min="12289" max="12289" width="17.5" customWidth="1"/>
    <col min="12290" max="12290" width="5.6640625" customWidth="1"/>
    <col min="12291" max="12291" width="6.83203125" customWidth="1"/>
    <col min="12292" max="12292" width="2.33203125" customWidth="1"/>
    <col min="12293" max="12293" width="5.6640625" customWidth="1"/>
    <col min="12294" max="12294" width="6.83203125" customWidth="1"/>
    <col min="12295" max="12295" width="2.33203125" customWidth="1"/>
    <col min="12296" max="12296" width="5.6640625" customWidth="1"/>
    <col min="12297" max="12297" width="6.83203125" customWidth="1"/>
    <col min="12298" max="12298" width="2.33203125" customWidth="1"/>
    <col min="12299" max="12299" width="5.6640625" customWidth="1"/>
    <col min="12300" max="12300" width="6.6640625" customWidth="1"/>
    <col min="12301" max="12301" width="2.33203125" customWidth="1"/>
    <col min="12302" max="12302" width="5.6640625" customWidth="1"/>
    <col min="12303" max="12303" width="6.6640625" customWidth="1"/>
    <col min="12304" max="12304" width="2.33203125" customWidth="1"/>
    <col min="12305" max="12305" width="5.6640625" customWidth="1"/>
    <col min="12306" max="12306" width="6.6640625" customWidth="1"/>
    <col min="12307" max="12307" width="2.33203125" customWidth="1"/>
    <col min="12308" max="12308" width="5.6640625" customWidth="1"/>
    <col min="12309" max="12309" width="6.6640625" customWidth="1"/>
    <col min="12310" max="12310" width="2.33203125" customWidth="1"/>
    <col min="12311" max="12311" width="5.6640625" customWidth="1"/>
    <col min="12312" max="12312" width="6.6640625" customWidth="1"/>
    <col min="12313" max="12313" width="2.33203125" customWidth="1"/>
    <col min="12314" max="12314" width="5.6640625" customWidth="1"/>
    <col min="12315" max="12315" width="6.6640625" customWidth="1"/>
    <col min="12316" max="12316" width="2.33203125" customWidth="1"/>
    <col min="12545" max="12545" width="17.5" customWidth="1"/>
    <col min="12546" max="12546" width="5.6640625" customWidth="1"/>
    <col min="12547" max="12547" width="6.83203125" customWidth="1"/>
    <col min="12548" max="12548" width="2.33203125" customWidth="1"/>
    <col min="12549" max="12549" width="5.6640625" customWidth="1"/>
    <col min="12550" max="12550" width="6.83203125" customWidth="1"/>
    <col min="12551" max="12551" width="2.33203125" customWidth="1"/>
    <col min="12552" max="12552" width="5.6640625" customWidth="1"/>
    <col min="12553" max="12553" width="6.83203125" customWidth="1"/>
    <col min="12554" max="12554" width="2.33203125" customWidth="1"/>
    <col min="12555" max="12555" width="5.6640625" customWidth="1"/>
    <col min="12556" max="12556" width="6.6640625" customWidth="1"/>
    <col min="12557" max="12557" width="2.33203125" customWidth="1"/>
    <col min="12558" max="12558" width="5.6640625" customWidth="1"/>
    <col min="12559" max="12559" width="6.6640625" customWidth="1"/>
    <col min="12560" max="12560" width="2.33203125" customWidth="1"/>
    <col min="12561" max="12561" width="5.6640625" customWidth="1"/>
    <col min="12562" max="12562" width="6.6640625" customWidth="1"/>
    <col min="12563" max="12563" width="2.33203125" customWidth="1"/>
    <col min="12564" max="12564" width="5.6640625" customWidth="1"/>
    <col min="12565" max="12565" width="6.6640625" customWidth="1"/>
    <col min="12566" max="12566" width="2.33203125" customWidth="1"/>
    <col min="12567" max="12567" width="5.6640625" customWidth="1"/>
    <col min="12568" max="12568" width="6.6640625" customWidth="1"/>
    <col min="12569" max="12569" width="2.33203125" customWidth="1"/>
    <col min="12570" max="12570" width="5.6640625" customWidth="1"/>
    <col min="12571" max="12571" width="6.6640625" customWidth="1"/>
    <col min="12572" max="12572" width="2.33203125" customWidth="1"/>
    <col min="12801" max="12801" width="17.5" customWidth="1"/>
    <col min="12802" max="12802" width="5.6640625" customWidth="1"/>
    <col min="12803" max="12803" width="6.83203125" customWidth="1"/>
    <col min="12804" max="12804" width="2.33203125" customWidth="1"/>
    <col min="12805" max="12805" width="5.6640625" customWidth="1"/>
    <col min="12806" max="12806" width="6.83203125" customWidth="1"/>
    <col min="12807" max="12807" width="2.33203125" customWidth="1"/>
    <col min="12808" max="12808" width="5.6640625" customWidth="1"/>
    <col min="12809" max="12809" width="6.83203125" customWidth="1"/>
    <col min="12810" max="12810" width="2.33203125" customWidth="1"/>
    <col min="12811" max="12811" width="5.6640625" customWidth="1"/>
    <col min="12812" max="12812" width="6.6640625" customWidth="1"/>
    <col min="12813" max="12813" width="2.33203125" customWidth="1"/>
    <col min="12814" max="12814" width="5.6640625" customWidth="1"/>
    <col min="12815" max="12815" width="6.6640625" customWidth="1"/>
    <col min="12816" max="12816" width="2.33203125" customWidth="1"/>
    <col min="12817" max="12817" width="5.6640625" customWidth="1"/>
    <col min="12818" max="12818" width="6.6640625" customWidth="1"/>
    <col min="12819" max="12819" width="2.33203125" customWidth="1"/>
    <col min="12820" max="12820" width="5.6640625" customWidth="1"/>
    <col min="12821" max="12821" width="6.6640625" customWidth="1"/>
    <col min="12822" max="12822" width="2.33203125" customWidth="1"/>
    <col min="12823" max="12823" width="5.6640625" customWidth="1"/>
    <col min="12824" max="12824" width="6.6640625" customWidth="1"/>
    <col min="12825" max="12825" width="2.33203125" customWidth="1"/>
    <col min="12826" max="12826" width="5.6640625" customWidth="1"/>
    <col min="12827" max="12827" width="6.6640625" customWidth="1"/>
    <col min="12828" max="12828" width="2.33203125" customWidth="1"/>
    <col min="13057" max="13057" width="17.5" customWidth="1"/>
    <col min="13058" max="13058" width="5.6640625" customWidth="1"/>
    <col min="13059" max="13059" width="6.83203125" customWidth="1"/>
    <col min="13060" max="13060" width="2.33203125" customWidth="1"/>
    <col min="13061" max="13061" width="5.6640625" customWidth="1"/>
    <col min="13062" max="13062" width="6.83203125" customWidth="1"/>
    <col min="13063" max="13063" width="2.33203125" customWidth="1"/>
    <col min="13064" max="13064" width="5.6640625" customWidth="1"/>
    <col min="13065" max="13065" width="6.83203125" customWidth="1"/>
    <col min="13066" max="13066" width="2.33203125" customWidth="1"/>
    <col min="13067" max="13067" width="5.6640625" customWidth="1"/>
    <col min="13068" max="13068" width="6.6640625" customWidth="1"/>
    <col min="13069" max="13069" width="2.33203125" customWidth="1"/>
    <col min="13070" max="13070" width="5.6640625" customWidth="1"/>
    <col min="13071" max="13071" width="6.6640625" customWidth="1"/>
    <col min="13072" max="13072" width="2.33203125" customWidth="1"/>
    <col min="13073" max="13073" width="5.6640625" customWidth="1"/>
    <col min="13074" max="13074" width="6.6640625" customWidth="1"/>
    <col min="13075" max="13075" width="2.33203125" customWidth="1"/>
    <col min="13076" max="13076" width="5.6640625" customWidth="1"/>
    <col min="13077" max="13077" width="6.6640625" customWidth="1"/>
    <col min="13078" max="13078" width="2.33203125" customWidth="1"/>
    <col min="13079" max="13079" width="5.6640625" customWidth="1"/>
    <col min="13080" max="13080" width="6.6640625" customWidth="1"/>
    <col min="13081" max="13081" width="2.33203125" customWidth="1"/>
    <col min="13082" max="13082" width="5.6640625" customWidth="1"/>
    <col min="13083" max="13083" width="6.6640625" customWidth="1"/>
    <col min="13084" max="13084" width="2.33203125" customWidth="1"/>
    <col min="13313" max="13313" width="17.5" customWidth="1"/>
    <col min="13314" max="13314" width="5.6640625" customWidth="1"/>
    <col min="13315" max="13315" width="6.83203125" customWidth="1"/>
    <col min="13316" max="13316" width="2.33203125" customWidth="1"/>
    <col min="13317" max="13317" width="5.6640625" customWidth="1"/>
    <col min="13318" max="13318" width="6.83203125" customWidth="1"/>
    <col min="13319" max="13319" width="2.33203125" customWidth="1"/>
    <col min="13320" max="13320" width="5.6640625" customWidth="1"/>
    <col min="13321" max="13321" width="6.83203125" customWidth="1"/>
    <col min="13322" max="13322" width="2.33203125" customWidth="1"/>
    <col min="13323" max="13323" width="5.6640625" customWidth="1"/>
    <col min="13324" max="13324" width="6.6640625" customWidth="1"/>
    <col min="13325" max="13325" width="2.33203125" customWidth="1"/>
    <col min="13326" max="13326" width="5.6640625" customWidth="1"/>
    <col min="13327" max="13327" width="6.6640625" customWidth="1"/>
    <col min="13328" max="13328" width="2.33203125" customWidth="1"/>
    <col min="13329" max="13329" width="5.6640625" customWidth="1"/>
    <col min="13330" max="13330" width="6.6640625" customWidth="1"/>
    <col min="13331" max="13331" width="2.33203125" customWidth="1"/>
    <col min="13332" max="13332" width="5.6640625" customWidth="1"/>
    <col min="13333" max="13333" width="6.6640625" customWidth="1"/>
    <col min="13334" max="13334" width="2.33203125" customWidth="1"/>
    <col min="13335" max="13335" width="5.6640625" customWidth="1"/>
    <col min="13336" max="13336" width="6.6640625" customWidth="1"/>
    <col min="13337" max="13337" width="2.33203125" customWidth="1"/>
    <col min="13338" max="13338" width="5.6640625" customWidth="1"/>
    <col min="13339" max="13339" width="6.6640625" customWidth="1"/>
    <col min="13340" max="13340" width="2.33203125" customWidth="1"/>
    <col min="13569" max="13569" width="17.5" customWidth="1"/>
    <col min="13570" max="13570" width="5.6640625" customWidth="1"/>
    <col min="13571" max="13571" width="6.83203125" customWidth="1"/>
    <col min="13572" max="13572" width="2.33203125" customWidth="1"/>
    <col min="13573" max="13573" width="5.6640625" customWidth="1"/>
    <col min="13574" max="13574" width="6.83203125" customWidth="1"/>
    <col min="13575" max="13575" width="2.33203125" customWidth="1"/>
    <col min="13576" max="13576" width="5.6640625" customWidth="1"/>
    <col min="13577" max="13577" width="6.83203125" customWidth="1"/>
    <col min="13578" max="13578" width="2.33203125" customWidth="1"/>
    <col min="13579" max="13579" width="5.6640625" customWidth="1"/>
    <col min="13580" max="13580" width="6.6640625" customWidth="1"/>
    <col min="13581" max="13581" width="2.33203125" customWidth="1"/>
    <col min="13582" max="13582" width="5.6640625" customWidth="1"/>
    <col min="13583" max="13583" width="6.6640625" customWidth="1"/>
    <col min="13584" max="13584" width="2.33203125" customWidth="1"/>
    <col min="13585" max="13585" width="5.6640625" customWidth="1"/>
    <col min="13586" max="13586" width="6.6640625" customWidth="1"/>
    <col min="13587" max="13587" width="2.33203125" customWidth="1"/>
    <col min="13588" max="13588" width="5.6640625" customWidth="1"/>
    <col min="13589" max="13589" width="6.6640625" customWidth="1"/>
    <col min="13590" max="13590" width="2.33203125" customWidth="1"/>
    <col min="13591" max="13591" width="5.6640625" customWidth="1"/>
    <col min="13592" max="13592" width="6.6640625" customWidth="1"/>
    <col min="13593" max="13593" width="2.33203125" customWidth="1"/>
    <col min="13594" max="13594" width="5.6640625" customWidth="1"/>
    <col min="13595" max="13595" width="6.6640625" customWidth="1"/>
    <col min="13596" max="13596" width="2.33203125" customWidth="1"/>
    <col min="13825" max="13825" width="17.5" customWidth="1"/>
    <col min="13826" max="13826" width="5.6640625" customWidth="1"/>
    <col min="13827" max="13827" width="6.83203125" customWidth="1"/>
    <col min="13828" max="13828" width="2.33203125" customWidth="1"/>
    <col min="13829" max="13829" width="5.6640625" customWidth="1"/>
    <col min="13830" max="13830" width="6.83203125" customWidth="1"/>
    <col min="13831" max="13831" width="2.33203125" customWidth="1"/>
    <col min="13832" max="13832" width="5.6640625" customWidth="1"/>
    <col min="13833" max="13833" width="6.83203125" customWidth="1"/>
    <col min="13834" max="13834" width="2.33203125" customWidth="1"/>
    <col min="13835" max="13835" width="5.6640625" customWidth="1"/>
    <col min="13836" max="13836" width="6.6640625" customWidth="1"/>
    <col min="13837" max="13837" width="2.33203125" customWidth="1"/>
    <col min="13838" max="13838" width="5.6640625" customWidth="1"/>
    <col min="13839" max="13839" width="6.6640625" customWidth="1"/>
    <col min="13840" max="13840" width="2.33203125" customWidth="1"/>
    <col min="13841" max="13841" width="5.6640625" customWidth="1"/>
    <col min="13842" max="13842" width="6.6640625" customWidth="1"/>
    <col min="13843" max="13843" width="2.33203125" customWidth="1"/>
    <col min="13844" max="13844" width="5.6640625" customWidth="1"/>
    <col min="13845" max="13845" width="6.6640625" customWidth="1"/>
    <col min="13846" max="13846" width="2.33203125" customWidth="1"/>
    <col min="13847" max="13847" width="5.6640625" customWidth="1"/>
    <col min="13848" max="13848" width="6.6640625" customWidth="1"/>
    <col min="13849" max="13849" width="2.33203125" customWidth="1"/>
    <col min="13850" max="13850" width="5.6640625" customWidth="1"/>
    <col min="13851" max="13851" width="6.6640625" customWidth="1"/>
    <col min="13852" max="13852" width="2.33203125" customWidth="1"/>
    <col min="14081" max="14081" width="17.5" customWidth="1"/>
    <col min="14082" max="14082" width="5.6640625" customWidth="1"/>
    <col min="14083" max="14083" width="6.83203125" customWidth="1"/>
    <col min="14084" max="14084" width="2.33203125" customWidth="1"/>
    <col min="14085" max="14085" width="5.6640625" customWidth="1"/>
    <col min="14086" max="14086" width="6.83203125" customWidth="1"/>
    <col min="14087" max="14087" width="2.33203125" customWidth="1"/>
    <col min="14088" max="14088" width="5.6640625" customWidth="1"/>
    <col min="14089" max="14089" width="6.83203125" customWidth="1"/>
    <col min="14090" max="14090" width="2.33203125" customWidth="1"/>
    <col min="14091" max="14091" width="5.6640625" customWidth="1"/>
    <col min="14092" max="14092" width="6.6640625" customWidth="1"/>
    <col min="14093" max="14093" width="2.33203125" customWidth="1"/>
    <col min="14094" max="14094" width="5.6640625" customWidth="1"/>
    <col min="14095" max="14095" width="6.6640625" customWidth="1"/>
    <col min="14096" max="14096" width="2.33203125" customWidth="1"/>
    <col min="14097" max="14097" width="5.6640625" customWidth="1"/>
    <col min="14098" max="14098" width="6.6640625" customWidth="1"/>
    <col min="14099" max="14099" width="2.33203125" customWidth="1"/>
    <col min="14100" max="14100" width="5.6640625" customWidth="1"/>
    <col min="14101" max="14101" width="6.6640625" customWidth="1"/>
    <col min="14102" max="14102" width="2.33203125" customWidth="1"/>
    <col min="14103" max="14103" width="5.6640625" customWidth="1"/>
    <col min="14104" max="14104" width="6.6640625" customWidth="1"/>
    <col min="14105" max="14105" width="2.33203125" customWidth="1"/>
    <col min="14106" max="14106" width="5.6640625" customWidth="1"/>
    <col min="14107" max="14107" width="6.6640625" customWidth="1"/>
    <col min="14108" max="14108" width="2.33203125" customWidth="1"/>
    <col min="14337" max="14337" width="17.5" customWidth="1"/>
    <col min="14338" max="14338" width="5.6640625" customWidth="1"/>
    <col min="14339" max="14339" width="6.83203125" customWidth="1"/>
    <col min="14340" max="14340" width="2.33203125" customWidth="1"/>
    <col min="14341" max="14341" width="5.6640625" customWidth="1"/>
    <col min="14342" max="14342" width="6.83203125" customWidth="1"/>
    <col min="14343" max="14343" width="2.33203125" customWidth="1"/>
    <col min="14344" max="14344" width="5.6640625" customWidth="1"/>
    <col min="14345" max="14345" width="6.83203125" customWidth="1"/>
    <col min="14346" max="14346" width="2.33203125" customWidth="1"/>
    <col min="14347" max="14347" width="5.6640625" customWidth="1"/>
    <col min="14348" max="14348" width="6.6640625" customWidth="1"/>
    <col min="14349" max="14349" width="2.33203125" customWidth="1"/>
    <col min="14350" max="14350" width="5.6640625" customWidth="1"/>
    <col min="14351" max="14351" width="6.6640625" customWidth="1"/>
    <col min="14352" max="14352" width="2.33203125" customWidth="1"/>
    <col min="14353" max="14353" width="5.6640625" customWidth="1"/>
    <col min="14354" max="14354" width="6.6640625" customWidth="1"/>
    <col min="14355" max="14355" width="2.33203125" customWidth="1"/>
    <col min="14356" max="14356" width="5.6640625" customWidth="1"/>
    <col min="14357" max="14357" width="6.6640625" customWidth="1"/>
    <col min="14358" max="14358" width="2.33203125" customWidth="1"/>
    <col min="14359" max="14359" width="5.6640625" customWidth="1"/>
    <col min="14360" max="14360" width="6.6640625" customWidth="1"/>
    <col min="14361" max="14361" width="2.33203125" customWidth="1"/>
    <col min="14362" max="14362" width="5.6640625" customWidth="1"/>
    <col min="14363" max="14363" width="6.6640625" customWidth="1"/>
    <col min="14364" max="14364" width="2.33203125" customWidth="1"/>
    <col min="14593" max="14593" width="17.5" customWidth="1"/>
    <col min="14594" max="14594" width="5.6640625" customWidth="1"/>
    <col min="14595" max="14595" width="6.83203125" customWidth="1"/>
    <col min="14596" max="14596" width="2.33203125" customWidth="1"/>
    <col min="14597" max="14597" width="5.6640625" customWidth="1"/>
    <col min="14598" max="14598" width="6.83203125" customWidth="1"/>
    <col min="14599" max="14599" width="2.33203125" customWidth="1"/>
    <col min="14600" max="14600" width="5.6640625" customWidth="1"/>
    <col min="14601" max="14601" width="6.83203125" customWidth="1"/>
    <col min="14602" max="14602" width="2.33203125" customWidth="1"/>
    <col min="14603" max="14603" width="5.6640625" customWidth="1"/>
    <col min="14604" max="14604" width="6.6640625" customWidth="1"/>
    <col min="14605" max="14605" width="2.33203125" customWidth="1"/>
    <col min="14606" max="14606" width="5.6640625" customWidth="1"/>
    <col min="14607" max="14607" width="6.6640625" customWidth="1"/>
    <col min="14608" max="14608" width="2.33203125" customWidth="1"/>
    <col min="14609" max="14609" width="5.6640625" customWidth="1"/>
    <col min="14610" max="14610" width="6.6640625" customWidth="1"/>
    <col min="14611" max="14611" width="2.33203125" customWidth="1"/>
    <col min="14612" max="14612" width="5.6640625" customWidth="1"/>
    <col min="14613" max="14613" width="6.6640625" customWidth="1"/>
    <col min="14614" max="14614" width="2.33203125" customWidth="1"/>
    <col min="14615" max="14615" width="5.6640625" customWidth="1"/>
    <col min="14616" max="14616" width="6.6640625" customWidth="1"/>
    <col min="14617" max="14617" width="2.33203125" customWidth="1"/>
    <col min="14618" max="14618" width="5.6640625" customWidth="1"/>
    <col min="14619" max="14619" width="6.6640625" customWidth="1"/>
    <col min="14620" max="14620" width="2.33203125" customWidth="1"/>
    <col min="14849" max="14849" width="17.5" customWidth="1"/>
    <col min="14850" max="14850" width="5.6640625" customWidth="1"/>
    <col min="14851" max="14851" width="6.83203125" customWidth="1"/>
    <col min="14852" max="14852" width="2.33203125" customWidth="1"/>
    <col min="14853" max="14853" width="5.6640625" customWidth="1"/>
    <col min="14854" max="14854" width="6.83203125" customWidth="1"/>
    <col min="14855" max="14855" width="2.33203125" customWidth="1"/>
    <col min="14856" max="14856" width="5.6640625" customWidth="1"/>
    <col min="14857" max="14857" width="6.83203125" customWidth="1"/>
    <col min="14858" max="14858" width="2.33203125" customWidth="1"/>
    <col min="14859" max="14859" width="5.6640625" customWidth="1"/>
    <col min="14860" max="14860" width="6.6640625" customWidth="1"/>
    <col min="14861" max="14861" width="2.33203125" customWidth="1"/>
    <col min="14862" max="14862" width="5.6640625" customWidth="1"/>
    <col min="14863" max="14863" width="6.6640625" customWidth="1"/>
    <col min="14864" max="14864" width="2.33203125" customWidth="1"/>
    <col min="14865" max="14865" width="5.6640625" customWidth="1"/>
    <col min="14866" max="14866" width="6.6640625" customWidth="1"/>
    <col min="14867" max="14867" width="2.33203125" customWidth="1"/>
    <col min="14868" max="14868" width="5.6640625" customWidth="1"/>
    <col min="14869" max="14869" width="6.6640625" customWidth="1"/>
    <col min="14870" max="14870" width="2.33203125" customWidth="1"/>
    <col min="14871" max="14871" width="5.6640625" customWidth="1"/>
    <col min="14872" max="14872" width="6.6640625" customWidth="1"/>
    <col min="14873" max="14873" width="2.33203125" customWidth="1"/>
    <col min="14874" max="14874" width="5.6640625" customWidth="1"/>
    <col min="14875" max="14875" width="6.6640625" customWidth="1"/>
    <col min="14876" max="14876" width="2.33203125" customWidth="1"/>
    <col min="15105" max="15105" width="17.5" customWidth="1"/>
    <col min="15106" max="15106" width="5.6640625" customWidth="1"/>
    <col min="15107" max="15107" width="6.83203125" customWidth="1"/>
    <col min="15108" max="15108" width="2.33203125" customWidth="1"/>
    <col min="15109" max="15109" width="5.6640625" customWidth="1"/>
    <col min="15110" max="15110" width="6.83203125" customWidth="1"/>
    <col min="15111" max="15111" width="2.33203125" customWidth="1"/>
    <col min="15112" max="15112" width="5.6640625" customWidth="1"/>
    <col min="15113" max="15113" width="6.83203125" customWidth="1"/>
    <col min="15114" max="15114" width="2.33203125" customWidth="1"/>
    <col min="15115" max="15115" width="5.6640625" customWidth="1"/>
    <col min="15116" max="15116" width="6.6640625" customWidth="1"/>
    <col min="15117" max="15117" width="2.33203125" customWidth="1"/>
    <col min="15118" max="15118" width="5.6640625" customWidth="1"/>
    <col min="15119" max="15119" width="6.6640625" customWidth="1"/>
    <col min="15120" max="15120" width="2.33203125" customWidth="1"/>
    <col min="15121" max="15121" width="5.6640625" customWidth="1"/>
    <col min="15122" max="15122" width="6.6640625" customWidth="1"/>
    <col min="15123" max="15123" width="2.33203125" customWidth="1"/>
    <col min="15124" max="15124" width="5.6640625" customWidth="1"/>
    <col min="15125" max="15125" width="6.6640625" customWidth="1"/>
    <col min="15126" max="15126" width="2.33203125" customWidth="1"/>
    <col min="15127" max="15127" width="5.6640625" customWidth="1"/>
    <col min="15128" max="15128" width="6.6640625" customWidth="1"/>
    <col min="15129" max="15129" width="2.33203125" customWidth="1"/>
    <col min="15130" max="15130" width="5.6640625" customWidth="1"/>
    <col min="15131" max="15131" width="6.6640625" customWidth="1"/>
    <col min="15132" max="15132" width="2.33203125" customWidth="1"/>
    <col min="15361" max="15361" width="17.5" customWidth="1"/>
    <col min="15362" max="15362" width="5.6640625" customWidth="1"/>
    <col min="15363" max="15363" width="6.83203125" customWidth="1"/>
    <col min="15364" max="15364" width="2.33203125" customWidth="1"/>
    <col min="15365" max="15365" width="5.6640625" customWidth="1"/>
    <col min="15366" max="15366" width="6.83203125" customWidth="1"/>
    <col min="15367" max="15367" width="2.33203125" customWidth="1"/>
    <col min="15368" max="15368" width="5.6640625" customWidth="1"/>
    <col min="15369" max="15369" width="6.83203125" customWidth="1"/>
    <col min="15370" max="15370" width="2.33203125" customWidth="1"/>
    <col min="15371" max="15371" width="5.6640625" customWidth="1"/>
    <col min="15372" max="15372" width="6.6640625" customWidth="1"/>
    <col min="15373" max="15373" width="2.33203125" customWidth="1"/>
    <col min="15374" max="15374" width="5.6640625" customWidth="1"/>
    <col min="15375" max="15375" width="6.6640625" customWidth="1"/>
    <col min="15376" max="15376" width="2.33203125" customWidth="1"/>
    <col min="15377" max="15377" width="5.6640625" customWidth="1"/>
    <col min="15378" max="15378" width="6.6640625" customWidth="1"/>
    <col min="15379" max="15379" width="2.33203125" customWidth="1"/>
    <col min="15380" max="15380" width="5.6640625" customWidth="1"/>
    <col min="15381" max="15381" width="6.6640625" customWidth="1"/>
    <col min="15382" max="15382" width="2.33203125" customWidth="1"/>
    <col min="15383" max="15383" width="5.6640625" customWidth="1"/>
    <col min="15384" max="15384" width="6.6640625" customWidth="1"/>
    <col min="15385" max="15385" width="2.33203125" customWidth="1"/>
    <col min="15386" max="15386" width="5.6640625" customWidth="1"/>
    <col min="15387" max="15387" width="6.6640625" customWidth="1"/>
    <col min="15388" max="15388" width="2.33203125" customWidth="1"/>
    <col min="15617" max="15617" width="17.5" customWidth="1"/>
    <col min="15618" max="15618" width="5.6640625" customWidth="1"/>
    <col min="15619" max="15619" width="6.83203125" customWidth="1"/>
    <col min="15620" max="15620" width="2.33203125" customWidth="1"/>
    <col min="15621" max="15621" width="5.6640625" customWidth="1"/>
    <col min="15622" max="15622" width="6.83203125" customWidth="1"/>
    <col min="15623" max="15623" width="2.33203125" customWidth="1"/>
    <col min="15624" max="15624" width="5.6640625" customWidth="1"/>
    <col min="15625" max="15625" width="6.83203125" customWidth="1"/>
    <col min="15626" max="15626" width="2.33203125" customWidth="1"/>
    <col min="15627" max="15627" width="5.6640625" customWidth="1"/>
    <col min="15628" max="15628" width="6.6640625" customWidth="1"/>
    <col min="15629" max="15629" width="2.33203125" customWidth="1"/>
    <col min="15630" max="15630" width="5.6640625" customWidth="1"/>
    <col min="15631" max="15631" width="6.6640625" customWidth="1"/>
    <col min="15632" max="15632" width="2.33203125" customWidth="1"/>
    <col min="15633" max="15633" width="5.6640625" customWidth="1"/>
    <col min="15634" max="15634" width="6.6640625" customWidth="1"/>
    <col min="15635" max="15635" width="2.33203125" customWidth="1"/>
    <col min="15636" max="15636" width="5.6640625" customWidth="1"/>
    <col min="15637" max="15637" width="6.6640625" customWidth="1"/>
    <col min="15638" max="15638" width="2.33203125" customWidth="1"/>
    <col min="15639" max="15639" width="5.6640625" customWidth="1"/>
    <col min="15640" max="15640" width="6.6640625" customWidth="1"/>
    <col min="15641" max="15641" width="2.33203125" customWidth="1"/>
    <col min="15642" max="15642" width="5.6640625" customWidth="1"/>
    <col min="15643" max="15643" width="6.6640625" customWidth="1"/>
    <col min="15644" max="15644" width="2.33203125" customWidth="1"/>
    <col min="15873" max="15873" width="17.5" customWidth="1"/>
    <col min="15874" max="15874" width="5.6640625" customWidth="1"/>
    <col min="15875" max="15875" width="6.83203125" customWidth="1"/>
    <col min="15876" max="15876" width="2.33203125" customWidth="1"/>
    <col min="15877" max="15877" width="5.6640625" customWidth="1"/>
    <col min="15878" max="15878" width="6.83203125" customWidth="1"/>
    <col min="15879" max="15879" width="2.33203125" customWidth="1"/>
    <col min="15880" max="15880" width="5.6640625" customWidth="1"/>
    <col min="15881" max="15881" width="6.83203125" customWidth="1"/>
    <col min="15882" max="15882" width="2.33203125" customWidth="1"/>
    <col min="15883" max="15883" width="5.6640625" customWidth="1"/>
    <col min="15884" max="15884" width="6.6640625" customWidth="1"/>
    <col min="15885" max="15885" width="2.33203125" customWidth="1"/>
    <col min="15886" max="15886" width="5.6640625" customWidth="1"/>
    <col min="15887" max="15887" width="6.6640625" customWidth="1"/>
    <col min="15888" max="15888" width="2.33203125" customWidth="1"/>
    <col min="15889" max="15889" width="5.6640625" customWidth="1"/>
    <col min="15890" max="15890" width="6.6640625" customWidth="1"/>
    <col min="15891" max="15891" width="2.33203125" customWidth="1"/>
    <col min="15892" max="15892" width="5.6640625" customWidth="1"/>
    <col min="15893" max="15893" width="6.6640625" customWidth="1"/>
    <col min="15894" max="15894" width="2.33203125" customWidth="1"/>
    <col min="15895" max="15895" width="5.6640625" customWidth="1"/>
    <col min="15896" max="15896" width="6.6640625" customWidth="1"/>
    <col min="15897" max="15897" width="2.33203125" customWidth="1"/>
    <col min="15898" max="15898" width="5.6640625" customWidth="1"/>
    <col min="15899" max="15899" width="6.6640625" customWidth="1"/>
    <col min="15900" max="15900" width="2.33203125" customWidth="1"/>
    <col min="16129" max="16129" width="17.5" customWidth="1"/>
    <col min="16130" max="16130" width="5.6640625" customWidth="1"/>
    <col min="16131" max="16131" width="6.83203125" customWidth="1"/>
    <col min="16132" max="16132" width="2.33203125" customWidth="1"/>
    <col min="16133" max="16133" width="5.6640625" customWidth="1"/>
    <col min="16134" max="16134" width="6.83203125" customWidth="1"/>
    <col min="16135" max="16135" width="2.33203125" customWidth="1"/>
    <col min="16136" max="16136" width="5.6640625" customWidth="1"/>
    <col min="16137" max="16137" width="6.83203125" customWidth="1"/>
    <col min="16138" max="16138" width="2.33203125" customWidth="1"/>
    <col min="16139" max="16139" width="5.6640625" customWidth="1"/>
    <col min="16140" max="16140" width="6.6640625" customWidth="1"/>
    <col min="16141" max="16141" width="2.33203125" customWidth="1"/>
    <col min="16142" max="16142" width="5.6640625" customWidth="1"/>
    <col min="16143" max="16143" width="6.6640625" customWidth="1"/>
    <col min="16144" max="16144" width="2.33203125" customWidth="1"/>
    <col min="16145" max="16145" width="5.6640625" customWidth="1"/>
    <col min="16146" max="16146" width="6.6640625" customWidth="1"/>
    <col min="16147" max="16147" width="2.33203125" customWidth="1"/>
    <col min="16148" max="16148" width="5.6640625" customWidth="1"/>
    <col min="16149" max="16149" width="6.6640625" customWidth="1"/>
    <col min="16150" max="16150" width="2.33203125" customWidth="1"/>
    <col min="16151" max="16151" width="5.6640625" customWidth="1"/>
    <col min="16152" max="16152" width="6.6640625" customWidth="1"/>
    <col min="16153" max="16153" width="2.33203125" customWidth="1"/>
    <col min="16154" max="16154" width="5.6640625" customWidth="1"/>
    <col min="16155" max="16155" width="6.6640625" customWidth="1"/>
    <col min="16156" max="16156" width="2.33203125" customWidth="1"/>
  </cols>
  <sheetData>
    <row r="1" spans="1:28">
      <c r="A1" s="33" t="s">
        <v>453</v>
      </c>
      <c r="B1" s="33"/>
      <c r="C1" s="73"/>
      <c r="D1" s="73"/>
      <c r="E1" s="73"/>
      <c r="F1" s="73"/>
      <c r="G1" s="73"/>
      <c r="H1" s="73"/>
      <c r="I1" s="73"/>
      <c r="J1" s="73"/>
      <c r="K1" s="33"/>
      <c r="L1" s="73"/>
      <c r="M1" s="33"/>
    </row>
    <row r="2" spans="1:28">
      <c r="A2" s="33" t="s">
        <v>454</v>
      </c>
      <c r="B2" s="33"/>
      <c r="C2" s="73"/>
      <c r="D2" s="73"/>
      <c r="E2" s="73"/>
      <c r="F2" s="73"/>
      <c r="G2" s="73"/>
      <c r="H2" s="73"/>
      <c r="I2" s="73"/>
      <c r="J2" s="73"/>
      <c r="K2" s="33"/>
      <c r="L2" s="73"/>
      <c r="M2" s="33"/>
    </row>
    <row r="3" spans="1:28">
      <c r="A3" s="33"/>
      <c r="B3" s="33"/>
      <c r="C3" s="73"/>
      <c r="D3" s="73"/>
      <c r="E3" s="73"/>
      <c r="F3" s="73"/>
      <c r="G3" s="73"/>
      <c r="H3" s="73"/>
      <c r="I3" s="73"/>
      <c r="J3" s="73"/>
      <c r="K3" s="33"/>
      <c r="L3" s="73"/>
      <c r="M3" s="33"/>
    </row>
    <row r="4" spans="1:28">
      <c r="A4" s="33" t="s">
        <v>2099</v>
      </c>
      <c r="B4" s="33"/>
      <c r="C4" s="73"/>
      <c r="D4" s="73"/>
      <c r="E4" s="73"/>
      <c r="F4" s="73"/>
      <c r="G4" s="73"/>
      <c r="H4" s="73"/>
      <c r="I4" s="73"/>
      <c r="J4" s="73"/>
      <c r="K4" s="33"/>
      <c r="L4" s="73"/>
      <c r="M4" s="33"/>
    </row>
    <row r="5" spans="1:28">
      <c r="A5" s="33" t="s">
        <v>2100</v>
      </c>
      <c r="B5" s="33"/>
      <c r="C5" s="73"/>
      <c r="D5" s="73"/>
      <c r="E5" s="73"/>
      <c r="F5" s="73"/>
      <c r="G5" s="73"/>
      <c r="H5" s="73"/>
      <c r="I5" s="73"/>
      <c r="J5" s="73"/>
      <c r="K5" s="33"/>
      <c r="L5" s="73"/>
      <c r="M5" s="33"/>
    </row>
    <row r="6" spans="1:28" ht="10" customHeight="1" thickBot="1">
      <c r="A6" s="33"/>
      <c r="B6" s="33"/>
      <c r="C6" s="73"/>
      <c r="D6" s="73"/>
      <c r="E6" s="73"/>
      <c r="F6" s="73"/>
      <c r="G6" s="73"/>
      <c r="H6" s="73"/>
      <c r="I6" s="73"/>
      <c r="J6" s="73"/>
      <c r="K6" s="33"/>
      <c r="L6" s="73"/>
      <c r="M6" s="33"/>
      <c r="N6" s="33"/>
      <c r="O6" s="73"/>
      <c r="P6" s="33"/>
      <c r="R6" s="41"/>
      <c r="S6" s="41"/>
    </row>
    <row r="7" spans="1:28" ht="12.75" customHeight="1">
      <c r="A7" s="188"/>
      <c r="B7" s="188"/>
      <c r="C7" s="187"/>
      <c r="D7" s="187"/>
      <c r="E7" s="187"/>
      <c r="F7" s="187"/>
      <c r="G7" s="187"/>
      <c r="H7" s="187"/>
      <c r="I7" s="187"/>
      <c r="J7" s="187"/>
      <c r="K7" s="188"/>
      <c r="L7" s="187"/>
      <c r="M7" s="188"/>
      <c r="N7" s="188"/>
      <c r="O7" s="187"/>
      <c r="P7" s="188"/>
      <c r="Q7" s="188"/>
      <c r="R7" s="188"/>
      <c r="S7" s="188"/>
      <c r="T7" s="188"/>
      <c r="U7" s="188"/>
      <c r="V7" s="188"/>
      <c r="W7" s="188"/>
      <c r="X7" s="188"/>
      <c r="Y7" s="188"/>
      <c r="Z7" s="188"/>
      <c r="AA7" s="188"/>
      <c r="AB7" s="188"/>
    </row>
    <row r="8" spans="1:28" ht="12.75" customHeight="1">
      <c r="A8" s="57" t="s">
        <v>1488</v>
      </c>
      <c r="B8" s="1064" t="s">
        <v>603</v>
      </c>
      <c r="C8" s="1064"/>
      <c r="D8" s="1064"/>
      <c r="E8" s="1064"/>
      <c r="F8" s="1064"/>
      <c r="G8" s="1064"/>
      <c r="H8" s="1064"/>
      <c r="I8" s="1064"/>
      <c r="J8" s="191"/>
      <c r="K8" s="1064" t="s">
        <v>604</v>
      </c>
      <c r="L8" s="1064"/>
      <c r="M8" s="1064"/>
      <c r="N8" s="1064"/>
      <c r="O8" s="1064"/>
      <c r="P8" s="1064"/>
      <c r="Q8" s="1064"/>
      <c r="R8" s="1064"/>
      <c r="T8" s="1064" t="s">
        <v>2097</v>
      </c>
      <c r="U8" s="1064"/>
      <c r="V8" s="1064"/>
      <c r="W8" s="1064"/>
      <c r="X8" s="1064"/>
      <c r="Y8" s="1064"/>
      <c r="Z8" s="1064"/>
      <c r="AA8" s="1064"/>
    </row>
    <row r="9" spans="1:28" ht="12.75" customHeight="1">
      <c r="A9" s="57"/>
      <c r="B9" s="1066" t="s">
        <v>1162</v>
      </c>
      <c r="C9" s="1066"/>
      <c r="D9" s="191"/>
      <c r="E9" s="1065" t="s">
        <v>2098</v>
      </c>
      <c r="F9" s="1065"/>
      <c r="G9" s="191"/>
      <c r="H9" s="1065" t="s">
        <v>148</v>
      </c>
      <c r="I9" s="1065"/>
      <c r="J9" s="191"/>
      <c r="K9" s="1066" t="s">
        <v>1162</v>
      </c>
      <c r="L9" s="1066"/>
      <c r="M9" s="191"/>
      <c r="N9" s="1065" t="s">
        <v>2098</v>
      </c>
      <c r="O9" s="1065"/>
      <c r="P9" s="191"/>
      <c r="Q9" s="1065" t="s">
        <v>148</v>
      </c>
      <c r="R9" s="1065"/>
      <c r="T9" s="1066" t="s">
        <v>1162</v>
      </c>
      <c r="U9" s="1066"/>
      <c r="V9" s="191"/>
      <c r="W9" s="1065" t="s">
        <v>2098</v>
      </c>
      <c r="X9" s="1065"/>
      <c r="Y9" s="191"/>
      <c r="Z9" s="1065" t="s">
        <v>148</v>
      </c>
      <c r="AA9" s="1065"/>
    </row>
    <row r="10" spans="1:28" ht="12.75" customHeight="1">
      <c r="A10" s="57"/>
      <c r="B10" s="225" t="s">
        <v>152</v>
      </c>
      <c r="C10" s="195" t="s">
        <v>1589</v>
      </c>
      <c r="D10" s="192"/>
      <c r="E10" s="225" t="s">
        <v>152</v>
      </c>
      <c r="F10" s="195" t="s">
        <v>1589</v>
      </c>
      <c r="G10" s="192"/>
      <c r="H10" s="225" t="s">
        <v>152</v>
      </c>
      <c r="I10" s="195" t="s">
        <v>1589</v>
      </c>
      <c r="J10" s="192"/>
      <c r="K10" s="225" t="s">
        <v>152</v>
      </c>
      <c r="L10" s="195" t="s">
        <v>1589</v>
      </c>
      <c r="M10" s="192"/>
      <c r="N10" s="225" t="s">
        <v>152</v>
      </c>
      <c r="O10" s="195" t="s">
        <v>1589</v>
      </c>
      <c r="P10" s="192"/>
      <c r="Q10" s="225" t="s">
        <v>152</v>
      </c>
      <c r="R10" s="195" t="s">
        <v>1589</v>
      </c>
      <c r="T10" s="225" t="s">
        <v>152</v>
      </c>
      <c r="U10" s="195" t="s">
        <v>1589</v>
      </c>
      <c r="V10" s="192"/>
      <c r="W10" s="225" t="s">
        <v>152</v>
      </c>
      <c r="X10" s="195" t="s">
        <v>1589</v>
      </c>
      <c r="Y10" s="192"/>
      <c r="Z10" s="225" t="s">
        <v>152</v>
      </c>
      <c r="AA10" s="195" t="s">
        <v>1589</v>
      </c>
    </row>
    <row r="11" spans="1:28" ht="12.75" customHeight="1" thickBot="1">
      <c r="A11" s="199"/>
      <c r="B11" s="199"/>
      <c r="C11" s="198"/>
      <c r="D11" s="198"/>
      <c r="E11" s="198"/>
      <c r="F11" s="198"/>
      <c r="G11" s="198"/>
      <c r="H11" s="198"/>
      <c r="I11" s="198"/>
      <c r="J11" s="198"/>
      <c r="K11" s="199"/>
      <c r="L11" s="198"/>
      <c r="M11" s="198"/>
      <c r="N11" s="198"/>
      <c r="O11" s="198"/>
      <c r="P11" s="198"/>
      <c r="Q11" s="198"/>
      <c r="R11" s="198"/>
      <c r="S11" s="198"/>
      <c r="T11" s="199"/>
      <c r="U11" s="198"/>
      <c r="V11" s="198"/>
      <c r="W11" s="198"/>
      <c r="X11" s="198"/>
      <c r="Y11" s="198"/>
      <c r="Z11" s="198"/>
      <c r="AA11" s="198"/>
    </row>
    <row r="12" spans="1:28" ht="25" customHeight="1">
      <c r="A12" s="57"/>
      <c r="B12" s="57"/>
      <c r="C12" s="191"/>
      <c r="D12" s="191"/>
      <c r="E12" s="191"/>
      <c r="F12" s="191"/>
      <c r="G12" s="191"/>
      <c r="H12" s="191"/>
      <c r="I12" s="191"/>
      <c r="J12" s="191"/>
      <c r="K12" s="57"/>
      <c r="L12" s="191"/>
      <c r="M12" s="191"/>
      <c r="N12" s="191"/>
      <c r="O12" s="191"/>
      <c r="P12" s="191"/>
      <c r="Q12" s="191"/>
      <c r="R12" s="191"/>
      <c r="S12" s="191"/>
      <c r="T12" s="57"/>
      <c r="U12" s="191"/>
      <c r="V12" s="191"/>
      <c r="W12" s="191"/>
      <c r="X12" s="191"/>
      <c r="Y12" s="191"/>
      <c r="Z12" s="191"/>
      <c r="AA12" s="191"/>
    </row>
    <row r="13" spans="1:28" ht="25" customHeight="1">
      <c r="A13" s="68" t="s">
        <v>593</v>
      </c>
      <c r="B13" s="536">
        <f>SUM(B14:B21)</f>
        <v>527</v>
      </c>
      <c r="C13" s="191">
        <f>SUM(C14:C21)</f>
        <v>100</v>
      </c>
      <c r="D13" s="73"/>
      <c r="E13" s="536">
        <f>SUM(E14:E21)</f>
        <v>2139</v>
      </c>
      <c r="F13" s="191">
        <f>SUM(F14:F21)</f>
        <v>100</v>
      </c>
      <c r="G13" s="73"/>
      <c r="H13" s="536">
        <f>SUM(H14:H21)</f>
        <v>2666</v>
      </c>
      <c r="I13" s="191">
        <f>SUM(I14:I21)</f>
        <v>100</v>
      </c>
      <c r="J13" s="73"/>
      <c r="K13" s="536">
        <f>SUM(K14:K21)</f>
        <v>503</v>
      </c>
      <c r="L13" s="191">
        <f>SUM(L14:L21)</f>
        <v>100.00000000000003</v>
      </c>
      <c r="M13" s="73"/>
      <c r="N13" s="536">
        <f>SUM(N14:N21)</f>
        <v>2084</v>
      </c>
      <c r="O13" s="191">
        <f>SUM(O14:O21)</f>
        <v>100</v>
      </c>
      <c r="P13" s="73"/>
      <c r="Q13" s="536">
        <f>SUM(Q14:Q21)</f>
        <v>2587</v>
      </c>
      <c r="R13" s="191">
        <f>SUM(R14:R21)</f>
        <v>100.00000000000001</v>
      </c>
      <c r="T13" s="536">
        <f>SUM(T14:T21)</f>
        <v>42</v>
      </c>
      <c r="U13" s="191">
        <f>SUM(U14:U21)</f>
        <v>99.999999999999986</v>
      </c>
      <c r="V13" s="73"/>
      <c r="W13" s="536">
        <f>SUM(W14:W21)</f>
        <v>122</v>
      </c>
      <c r="X13" s="191">
        <f>SUM(X14:X21)</f>
        <v>100</v>
      </c>
      <c r="Y13" s="73"/>
      <c r="Z13" s="536">
        <f>SUM(Z14:Z21)</f>
        <v>164</v>
      </c>
      <c r="AA13" s="191">
        <f>SUM(AA14:AA21)</f>
        <v>99.999999999999986</v>
      </c>
    </row>
    <row r="14" spans="1:28" ht="25" customHeight="1">
      <c r="A14" s="57" t="s">
        <v>1490</v>
      </c>
      <c r="B14" s="57">
        <v>27</v>
      </c>
      <c r="C14" s="191">
        <f>B14/B$13*100</f>
        <v>5.1233396584440225</v>
      </c>
      <c r="D14" s="73"/>
      <c r="E14" s="57">
        <v>78</v>
      </c>
      <c r="F14" s="191">
        <f>E14/E$13*100</f>
        <v>3.6465638148667603</v>
      </c>
      <c r="G14" s="73"/>
      <c r="H14" s="536">
        <f>E14+B14</f>
        <v>105</v>
      </c>
      <c r="I14" s="191">
        <f>H14/H$13*100</f>
        <v>3.9384846211552889</v>
      </c>
      <c r="J14" s="73"/>
      <c r="K14" s="57">
        <v>28</v>
      </c>
      <c r="L14" s="191">
        <f>K14/K$13*100</f>
        <v>5.5666003976143141</v>
      </c>
      <c r="M14" s="73"/>
      <c r="N14" s="57">
        <v>92</v>
      </c>
      <c r="O14" s="191">
        <f>N14/N$13*100</f>
        <v>4.4145873320537428</v>
      </c>
      <c r="P14" s="73"/>
      <c r="Q14" s="536">
        <f>N14+K14</f>
        <v>120</v>
      </c>
      <c r="R14" s="191">
        <f>Q14/Q$13*100</f>
        <v>4.6385775028991114</v>
      </c>
      <c r="T14" s="57">
        <v>1</v>
      </c>
      <c r="U14" s="191">
        <f>T14/T$13*100</f>
        <v>2.3809523809523809</v>
      </c>
      <c r="V14" s="73"/>
      <c r="W14" s="57">
        <v>6</v>
      </c>
      <c r="X14" s="191">
        <f>W14/W$13*100</f>
        <v>4.918032786885246</v>
      </c>
      <c r="Y14" s="73"/>
      <c r="Z14" s="536">
        <f>W14+T14</f>
        <v>7</v>
      </c>
      <c r="AA14" s="191">
        <f>Z14/Z$13*100</f>
        <v>4.2682926829268295</v>
      </c>
    </row>
    <row r="15" spans="1:28" ht="25" customHeight="1">
      <c r="A15" s="57" t="s">
        <v>1491</v>
      </c>
      <c r="B15" s="57">
        <v>55</v>
      </c>
      <c r="C15" s="191">
        <f t="shared" ref="C15:C21" si="0">B15/B$13*100</f>
        <v>10.436432637571158</v>
      </c>
      <c r="D15" s="73"/>
      <c r="E15" s="57">
        <v>134</v>
      </c>
      <c r="F15" s="191">
        <f t="shared" ref="F15:F21" si="1">E15/E$13*100</f>
        <v>6.264609630668537</v>
      </c>
      <c r="G15" s="73"/>
      <c r="H15" s="536">
        <f t="shared" ref="H15:H21" si="2">E15+B15</f>
        <v>189</v>
      </c>
      <c r="I15" s="191">
        <f t="shared" ref="I15:I21" si="3">H15/H$13*100</f>
        <v>7.0892723180795203</v>
      </c>
      <c r="J15" s="73"/>
      <c r="K15" s="57">
        <v>62</v>
      </c>
      <c r="L15" s="191">
        <f t="shared" ref="L15:L21" si="4">K15/K$13*100</f>
        <v>12.326043737574553</v>
      </c>
      <c r="M15" s="73"/>
      <c r="N15" s="57">
        <v>132</v>
      </c>
      <c r="O15" s="191">
        <f t="shared" ref="O15:O21" si="5">N15/N$13*100</f>
        <v>6.3339731285988483</v>
      </c>
      <c r="P15" s="73"/>
      <c r="Q15" s="536">
        <f t="shared" ref="Q15:Q21" si="6">N15+K15</f>
        <v>194</v>
      </c>
      <c r="R15" s="191">
        <f t="shared" ref="R15:R21" si="7">Q15/Q$13*100</f>
        <v>7.4990336296868962</v>
      </c>
      <c r="T15" s="57">
        <v>6</v>
      </c>
      <c r="U15" s="191">
        <f t="shared" ref="U15:U21" si="8">T15/T$13*100</f>
        <v>14.285714285714285</v>
      </c>
      <c r="V15" s="73"/>
      <c r="W15" s="57">
        <v>7</v>
      </c>
      <c r="X15" s="191">
        <f t="shared" ref="X15:X21" si="9">W15/W$13*100</f>
        <v>5.7377049180327866</v>
      </c>
      <c r="Y15" s="73"/>
      <c r="Z15" s="536">
        <f t="shared" ref="Z15:Z21" si="10">W15+T15</f>
        <v>13</v>
      </c>
      <c r="AA15" s="191">
        <f t="shared" ref="AA15:AA21" si="11">Z15/Z$13*100</f>
        <v>7.9268292682926829</v>
      </c>
    </row>
    <row r="16" spans="1:28" ht="25" customHeight="1">
      <c r="A16" s="57" t="s">
        <v>1492</v>
      </c>
      <c r="B16" s="57">
        <v>128</v>
      </c>
      <c r="C16" s="191">
        <f t="shared" si="0"/>
        <v>24.288425047438331</v>
      </c>
      <c r="D16" s="73"/>
      <c r="E16" s="57">
        <v>335</v>
      </c>
      <c r="F16" s="191">
        <f t="shared" si="1"/>
        <v>15.661524076671341</v>
      </c>
      <c r="G16" s="73"/>
      <c r="H16" s="536">
        <f t="shared" si="2"/>
        <v>463</v>
      </c>
      <c r="I16" s="191">
        <f t="shared" si="3"/>
        <v>17.366841710427607</v>
      </c>
      <c r="J16" s="73"/>
      <c r="K16" s="57">
        <v>124</v>
      </c>
      <c r="L16" s="191">
        <f t="shared" si="4"/>
        <v>24.652087475149106</v>
      </c>
      <c r="M16" s="73"/>
      <c r="N16" s="57">
        <v>324</v>
      </c>
      <c r="O16" s="191">
        <f t="shared" si="5"/>
        <v>15.547024952015356</v>
      </c>
      <c r="P16" s="73"/>
      <c r="Q16" s="536">
        <f t="shared" si="6"/>
        <v>448</v>
      </c>
      <c r="R16" s="191">
        <f t="shared" si="7"/>
        <v>17.31735601082335</v>
      </c>
      <c r="T16" s="57">
        <v>12</v>
      </c>
      <c r="U16" s="191">
        <f t="shared" si="8"/>
        <v>28.571428571428569</v>
      </c>
      <c r="V16" s="73"/>
      <c r="W16" s="57">
        <v>20</v>
      </c>
      <c r="X16" s="191">
        <f t="shared" si="9"/>
        <v>16.393442622950818</v>
      </c>
      <c r="Y16" s="73"/>
      <c r="Z16" s="536">
        <f t="shared" si="10"/>
        <v>32</v>
      </c>
      <c r="AA16" s="191">
        <f t="shared" si="11"/>
        <v>19.512195121951219</v>
      </c>
    </row>
    <row r="17" spans="1:28" ht="25" customHeight="1">
      <c r="A17" s="57" t="s">
        <v>1493</v>
      </c>
      <c r="B17" s="57">
        <v>159</v>
      </c>
      <c r="C17" s="191">
        <f t="shared" si="0"/>
        <v>30.170777988614798</v>
      </c>
      <c r="D17" s="73"/>
      <c r="E17" s="57">
        <v>602</v>
      </c>
      <c r="F17" s="191">
        <f t="shared" si="1"/>
        <v>28.143992519869098</v>
      </c>
      <c r="G17" s="73"/>
      <c r="H17" s="536">
        <f t="shared" si="2"/>
        <v>761</v>
      </c>
      <c r="I17" s="191">
        <f t="shared" si="3"/>
        <v>28.544636159039761</v>
      </c>
      <c r="J17" s="73"/>
      <c r="K17" s="57">
        <v>141</v>
      </c>
      <c r="L17" s="191">
        <f t="shared" si="4"/>
        <v>28.031809145129227</v>
      </c>
      <c r="M17" s="73"/>
      <c r="N17" s="57">
        <v>600</v>
      </c>
      <c r="O17" s="191">
        <f t="shared" si="5"/>
        <v>28.790786948176581</v>
      </c>
      <c r="P17" s="73"/>
      <c r="Q17" s="536">
        <f t="shared" si="6"/>
        <v>741</v>
      </c>
      <c r="R17" s="191">
        <f t="shared" si="7"/>
        <v>28.643216080402013</v>
      </c>
      <c r="T17" s="57">
        <v>9</v>
      </c>
      <c r="U17" s="191">
        <f t="shared" si="8"/>
        <v>21.428571428571427</v>
      </c>
      <c r="V17" s="73"/>
      <c r="W17" s="57">
        <v>28</v>
      </c>
      <c r="X17" s="191">
        <f t="shared" si="9"/>
        <v>22.950819672131146</v>
      </c>
      <c r="Y17" s="73"/>
      <c r="Z17" s="536">
        <f t="shared" si="10"/>
        <v>37</v>
      </c>
      <c r="AA17" s="191">
        <f t="shared" si="11"/>
        <v>22.560975609756099</v>
      </c>
    </row>
    <row r="18" spans="1:28" ht="25" customHeight="1">
      <c r="A18" s="57" t="s">
        <v>1494</v>
      </c>
      <c r="B18" s="57">
        <v>112</v>
      </c>
      <c r="C18" s="191">
        <f t="shared" si="0"/>
        <v>21.25237191650854</v>
      </c>
      <c r="D18" s="73"/>
      <c r="E18" s="57">
        <v>534</v>
      </c>
      <c r="F18" s="191">
        <f t="shared" si="1"/>
        <v>24.96493688639551</v>
      </c>
      <c r="G18" s="73"/>
      <c r="H18" s="536">
        <f t="shared" si="2"/>
        <v>646</v>
      </c>
      <c r="I18" s="191">
        <f t="shared" si="3"/>
        <v>24.231057764441111</v>
      </c>
      <c r="J18" s="73"/>
      <c r="K18" s="57">
        <v>97</v>
      </c>
      <c r="L18" s="191">
        <f t="shared" si="4"/>
        <v>19.284294234592444</v>
      </c>
      <c r="M18" s="73"/>
      <c r="N18" s="57">
        <v>502</v>
      </c>
      <c r="O18" s="191">
        <f t="shared" si="5"/>
        <v>24.088291746641076</v>
      </c>
      <c r="P18" s="73"/>
      <c r="Q18" s="536">
        <f t="shared" si="6"/>
        <v>599</v>
      </c>
      <c r="R18" s="191">
        <f t="shared" si="7"/>
        <v>23.154232701971395</v>
      </c>
      <c r="T18" s="57">
        <v>10</v>
      </c>
      <c r="U18" s="191">
        <f t="shared" si="8"/>
        <v>23.809523809523807</v>
      </c>
      <c r="V18" s="73"/>
      <c r="W18" s="57">
        <v>42</v>
      </c>
      <c r="X18" s="191">
        <f t="shared" si="9"/>
        <v>34.42622950819672</v>
      </c>
      <c r="Y18" s="73"/>
      <c r="Z18" s="536">
        <f t="shared" si="10"/>
        <v>52</v>
      </c>
      <c r="AA18" s="191">
        <f t="shared" si="11"/>
        <v>31.707317073170731</v>
      </c>
    </row>
    <row r="19" spans="1:28" ht="25" customHeight="1">
      <c r="A19" s="57" t="s">
        <v>1495</v>
      </c>
      <c r="B19" s="57">
        <v>32</v>
      </c>
      <c r="C19" s="191">
        <f t="shared" si="0"/>
        <v>6.0721062618595827</v>
      </c>
      <c r="D19" s="73"/>
      <c r="E19" s="57">
        <v>317</v>
      </c>
      <c r="F19" s="191">
        <f t="shared" si="1"/>
        <v>14.820009350163627</v>
      </c>
      <c r="G19" s="73"/>
      <c r="H19" s="536">
        <f t="shared" si="2"/>
        <v>349</v>
      </c>
      <c r="I19" s="191">
        <f t="shared" si="3"/>
        <v>13.090772693173294</v>
      </c>
      <c r="J19" s="73"/>
      <c r="K19" s="57">
        <v>35</v>
      </c>
      <c r="L19" s="191">
        <f t="shared" si="4"/>
        <v>6.9582504970178931</v>
      </c>
      <c r="M19" s="73"/>
      <c r="N19" s="57">
        <v>307</v>
      </c>
      <c r="O19" s="191">
        <f t="shared" si="5"/>
        <v>14.731285988483686</v>
      </c>
      <c r="P19" s="73"/>
      <c r="Q19" s="536">
        <f t="shared" si="6"/>
        <v>342</v>
      </c>
      <c r="R19" s="191">
        <f t="shared" si="7"/>
        <v>13.219945883262465</v>
      </c>
      <c r="T19" s="57">
        <v>3</v>
      </c>
      <c r="U19" s="191">
        <f t="shared" si="8"/>
        <v>7.1428571428571423</v>
      </c>
      <c r="V19" s="73"/>
      <c r="W19" s="57">
        <v>15</v>
      </c>
      <c r="X19" s="191">
        <f t="shared" si="9"/>
        <v>12.295081967213115</v>
      </c>
      <c r="Y19" s="73"/>
      <c r="Z19" s="536">
        <f t="shared" si="10"/>
        <v>18</v>
      </c>
      <c r="AA19" s="191">
        <f t="shared" si="11"/>
        <v>10.975609756097562</v>
      </c>
    </row>
    <row r="20" spans="1:28" ht="25" customHeight="1">
      <c r="A20" s="57" t="s">
        <v>1496</v>
      </c>
      <c r="B20" s="57">
        <v>14</v>
      </c>
      <c r="C20" s="191">
        <f t="shared" si="0"/>
        <v>2.6565464895635675</v>
      </c>
      <c r="D20" s="73"/>
      <c r="E20" s="57">
        <v>139</v>
      </c>
      <c r="F20" s="191">
        <f t="shared" si="1"/>
        <v>6.4983637213651235</v>
      </c>
      <c r="G20" s="73"/>
      <c r="H20" s="536">
        <f t="shared" si="2"/>
        <v>153</v>
      </c>
      <c r="I20" s="191">
        <f t="shared" si="3"/>
        <v>5.7389347336834202</v>
      </c>
      <c r="J20" s="73"/>
      <c r="K20" s="57">
        <v>16</v>
      </c>
      <c r="L20" s="191">
        <f t="shared" si="4"/>
        <v>3.180914512922465</v>
      </c>
      <c r="M20" s="73"/>
      <c r="N20" s="57">
        <v>127</v>
      </c>
      <c r="O20" s="191">
        <f t="shared" si="5"/>
        <v>6.0940499040307099</v>
      </c>
      <c r="P20" s="73"/>
      <c r="Q20" s="536">
        <f t="shared" si="6"/>
        <v>143</v>
      </c>
      <c r="R20" s="191">
        <f t="shared" si="7"/>
        <v>5.5276381909547743</v>
      </c>
      <c r="T20" s="57">
        <v>1</v>
      </c>
      <c r="U20" s="191">
        <f t="shared" si="8"/>
        <v>2.3809523809523809</v>
      </c>
      <c r="V20" s="73"/>
      <c r="W20" s="57">
        <v>4</v>
      </c>
      <c r="X20" s="191">
        <f t="shared" si="9"/>
        <v>3.278688524590164</v>
      </c>
      <c r="Y20" s="73"/>
      <c r="Z20" s="536">
        <f t="shared" si="10"/>
        <v>5</v>
      </c>
      <c r="AA20" s="191">
        <f t="shared" si="11"/>
        <v>3.0487804878048781</v>
      </c>
    </row>
    <row r="21" spans="1:28" ht="12.75" hidden="1" customHeight="1" thickBot="1">
      <c r="A21" s="57" t="s">
        <v>1497</v>
      </c>
      <c r="B21" s="57"/>
      <c r="C21" s="191">
        <f t="shared" si="0"/>
        <v>0</v>
      </c>
      <c r="D21" s="73"/>
      <c r="E21" s="57"/>
      <c r="F21" s="191">
        <f t="shared" si="1"/>
        <v>0</v>
      </c>
      <c r="G21" s="73"/>
      <c r="H21" s="536">
        <f t="shared" si="2"/>
        <v>0</v>
      </c>
      <c r="I21" s="191">
        <f t="shared" si="3"/>
        <v>0</v>
      </c>
      <c r="J21" s="73"/>
      <c r="K21" s="57"/>
      <c r="L21" s="191">
        <f t="shared" si="4"/>
        <v>0</v>
      </c>
      <c r="M21" s="73"/>
      <c r="N21" s="57"/>
      <c r="O21" s="191">
        <f t="shared" si="5"/>
        <v>0</v>
      </c>
      <c r="P21" s="73"/>
      <c r="Q21" s="536">
        <f t="shared" si="6"/>
        <v>0</v>
      </c>
      <c r="R21" s="191">
        <f t="shared" si="7"/>
        <v>0</v>
      </c>
      <c r="T21" s="57"/>
      <c r="U21" s="191">
        <f t="shared" si="8"/>
        <v>0</v>
      </c>
      <c r="V21" s="73"/>
      <c r="W21" s="57"/>
      <c r="X21" s="191">
        <f t="shared" si="9"/>
        <v>0</v>
      </c>
      <c r="Y21" s="73"/>
      <c r="Z21" s="536">
        <f t="shared" si="10"/>
        <v>0</v>
      </c>
      <c r="AA21" s="191">
        <f t="shared" si="11"/>
        <v>0</v>
      </c>
    </row>
    <row r="22" spans="1:28" ht="12.75" customHeight="1" thickBot="1">
      <c r="A22" s="199"/>
      <c r="B22" s="199"/>
      <c r="C22" s="198"/>
      <c r="D22" s="198"/>
      <c r="E22" s="198"/>
      <c r="F22" s="198"/>
      <c r="G22" s="198"/>
      <c r="H22" s="198"/>
      <c r="I22" s="198"/>
      <c r="J22" s="198"/>
      <c r="K22" s="292"/>
      <c r="L22" s="291"/>
      <c r="M22" s="534"/>
      <c r="N22" s="534"/>
      <c r="O22" s="534"/>
      <c r="P22" s="534"/>
      <c r="Q22" s="534"/>
      <c r="R22" s="534"/>
      <c r="S22" s="534"/>
      <c r="T22" s="534"/>
      <c r="U22" s="534"/>
      <c r="V22" s="534"/>
      <c r="W22" s="534"/>
      <c r="X22" s="534"/>
      <c r="Y22" s="534"/>
      <c r="Z22" s="534"/>
      <c r="AA22" s="534"/>
      <c r="AB22" s="534"/>
    </row>
    <row r="23" spans="1:28" ht="12.75" customHeight="1">
      <c r="A23" s="57"/>
      <c r="B23" s="57"/>
      <c r="C23" s="191"/>
      <c r="D23" s="191"/>
      <c r="E23" s="191"/>
      <c r="F23" s="191"/>
      <c r="G23" s="191"/>
      <c r="H23" s="191"/>
      <c r="I23" s="191"/>
      <c r="J23" s="191"/>
      <c r="K23" s="301"/>
      <c r="L23" s="537"/>
      <c r="M23" s="836"/>
      <c r="N23" s="836"/>
      <c r="O23" s="836"/>
      <c r="P23" s="836"/>
      <c r="Q23" s="836"/>
      <c r="R23" s="836"/>
      <c r="S23" s="836"/>
      <c r="T23" s="836"/>
      <c r="U23" s="836"/>
      <c r="V23" s="836"/>
      <c r="W23" s="836"/>
      <c r="X23" s="836"/>
      <c r="Y23" s="836"/>
      <c r="Z23" s="836"/>
      <c r="AA23" s="836"/>
      <c r="AB23" s="836"/>
    </row>
    <row r="24" spans="1:28" ht="12.75" customHeight="1">
      <c r="A24" s="57" t="s">
        <v>1498</v>
      </c>
      <c r="B24" s="57"/>
      <c r="C24" s="191"/>
      <c r="D24" s="191"/>
      <c r="E24" s="191"/>
      <c r="F24" s="191"/>
      <c r="G24" s="191"/>
      <c r="H24" s="191"/>
      <c r="I24" s="191"/>
      <c r="J24" s="191"/>
      <c r="K24" s="301"/>
      <c r="L24" s="537"/>
      <c r="M24" s="836"/>
    </row>
    <row r="25" spans="1:28">
      <c r="A25" s="57" t="s">
        <v>452</v>
      </c>
      <c r="B25" s="57"/>
      <c r="C25" s="191"/>
      <c r="D25" s="191"/>
      <c r="E25" s="191"/>
      <c r="F25" s="191"/>
      <c r="G25" s="191"/>
      <c r="H25" s="191"/>
      <c r="I25" s="191"/>
      <c r="J25" s="191"/>
      <c r="K25" s="301"/>
      <c r="L25" s="537"/>
      <c r="M25" s="836"/>
    </row>
    <row r="26" spans="1:28">
      <c r="A26" s="538"/>
      <c r="B26" s="538"/>
      <c r="C26" s="539"/>
      <c r="D26" s="539"/>
      <c r="E26" s="539"/>
      <c r="F26" s="539"/>
      <c r="G26" s="539"/>
      <c r="H26" s="539"/>
      <c r="I26" s="539"/>
      <c r="J26" s="539"/>
      <c r="K26" s="836"/>
      <c r="L26" s="192"/>
      <c r="M26" s="836"/>
    </row>
    <row r="27" spans="1:28">
      <c r="A27" s="538"/>
      <c r="B27" s="538"/>
      <c r="C27" s="539"/>
      <c r="D27" s="539"/>
      <c r="E27" s="539"/>
      <c r="F27" s="539"/>
      <c r="G27" s="539"/>
      <c r="H27" s="539"/>
      <c r="I27" s="539"/>
      <c r="J27" s="539"/>
      <c r="K27" s="192"/>
      <c r="L27" s="192"/>
      <c r="M27" s="192"/>
    </row>
    <row r="28" spans="1:28">
      <c r="A28" s="33"/>
      <c r="B28" s="33"/>
      <c r="C28" s="73"/>
      <c r="D28" s="73"/>
      <c r="E28" s="73"/>
      <c r="F28" s="73"/>
      <c r="G28" s="73"/>
      <c r="H28" s="73"/>
      <c r="I28" s="73"/>
      <c r="J28" s="73"/>
      <c r="K28" s="540"/>
      <c r="L28" s="541"/>
      <c r="M28" s="540"/>
    </row>
    <row r="29" spans="1:28">
      <c r="A29" s="33"/>
      <c r="B29" s="33"/>
      <c r="C29" s="73"/>
      <c r="D29" s="73"/>
      <c r="E29" s="73"/>
      <c r="F29" s="73"/>
      <c r="G29" s="73"/>
      <c r="H29" s="73"/>
      <c r="I29" s="73"/>
      <c r="J29" s="73"/>
      <c r="K29" s="540"/>
      <c r="L29" s="541"/>
      <c r="M29" s="540"/>
    </row>
    <row r="30" spans="1:28">
      <c r="A30" s="542"/>
      <c r="B30" s="542"/>
      <c r="C30" s="543"/>
      <c r="D30" s="543"/>
      <c r="E30" s="543"/>
      <c r="F30" s="543"/>
      <c r="G30" s="543"/>
      <c r="H30" s="543"/>
      <c r="I30" s="543"/>
      <c r="J30" s="543"/>
      <c r="K30" s="544"/>
      <c r="L30" s="545"/>
      <c r="M30" s="544"/>
    </row>
    <row r="31" spans="1:28">
      <c r="A31" s="542"/>
      <c r="B31" s="542"/>
      <c r="C31" s="543"/>
      <c r="D31" s="543"/>
      <c r="E31" s="543"/>
      <c r="F31" s="543"/>
      <c r="G31" s="543"/>
      <c r="H31" s="543"/>
      <c r="I31" s="543"/>
      <c r="J31" s="543"/>
      <c r="K31" s="542"/>
      <c r="L31" s="543"/>
      <c r="M31" s="542"/>
    </row>
    <row r="32" spans="1:28">
      <c r="A32" s="542"/>
      <c r="B32" s="542"/>
      <c r="C32" s="543"/>
      <c r="D32" s="543"/>
      <c r="E32" s="543"/>
      <c r="F32" s="543"/>
      <c r="G32" s="543"/>
      <c r="H32" s="543"/>
      <c r="I32" s="543"/>
      <c r="J32" s="543"/>
      <c r="K32" s="542"/>
      <c r="L32" s="543"/>
      <c r="M32" s="542"/>
    </row>
  </sheetData>
  <mergeCells count="12">
    <mergeCell ref="B8:I8"/>
    <mergeCell ref="K8:R8"/>
    <mergeCell ref="T8:AA8"/>
    <mergeCell ref="Q9:R9"/>
    <mergeCell ref="T9:U9"/>
    <mergeCell ref="W9:X9"/>
    <mergeCell ref="Z9:AA9"/>
    <mergeCell ref="B9:C9"/>
    <mergeCell ref="E9:F9"/>
    <mergeCell ref="H9:I9"/>
    <mergeCell ref="K9:L9"/>
    <mergeCell ref="N9:O9"/>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46"/>
  <sheetViews>
    <sheetView workbookViewId="0">
      <selection activeCell="A2" sqref="A2"/>
    </sheetView>
  </sheetViews>
  <sheetFormatPr baseColWidth="10" defaultColWidth="9.1640625" defaultRowHeight="13"/>
  <cols>
    <col min="1" max="1" width="28.5" style="95" customWidth="1"/>
    <col min="2" max="2" width="2.5" style="95" customWidth="1"/>
    <col min="3" max="3" width="8" style="140" customWidth="1"/>
    <col min="4" max="4" width="7.5" style="104" customWidth="1"/>
    <col min="5" max="5" width="2.33203125" style="95" customWidth="1"/>
    <col min="6" max="6" width="7.83203125" style="140" customWidth="1"/>
    <col min="7" max="7" width="7.33203125" style="105" customWidth="1"/>
    <col min="8" max="8" width="2.33203125" style="95" customWidth="1"/>
    <col min="9" max="9" width="8" style="140" customWidth="1"/>
    <col min="10" max="10" width="7.83203125" style="105" customWidth="1"/>
    <col min="11" max="11" width="2.33203125" style="95" customWidth="1"/>
    <col min="12" max="13" width="9.1640625" style="95" customWidth="1"/>
    <col min="14" max="14" width="2.33203125" style="95" customWidth="1"/>
    <col min="15" max="256" width="9.1640625" style="95"/>
    <col min="257" max="257" width="28.5" style="95" customWidth="1"/>
    <col min="258" max="258" width="2.5" style="95" customWidth="1"/>
    <col min="259" max="259" width="8" style="95" customWidth="1"/>
    <col min="260" max="260" width="7.5" style="95" customWidth="1"/>
    <col min="261" max="261" width="2.33203125" style="95" customWidth="1"/>
    <col min="262" max="262" width="7.83203125" style="95" customWidth="1"/>
    <col min="263" max="263" width="7.33203125" style="95" customWidth="1"/>
    <col min="264" max="264" width="2.33203125" style="95" customWidth="1"/>
    <col min="265" max="265" width="8" style="95" customWidth="1"/>
    <col min="266" max="266" width="7.83203125" style="95" customWidth="1"/>
    <col min="267" max="267" width="2.33203125" style="95" customWidth="1"/>
    <col min="268" max="269" width="9.1640625" style="95" customWidth="1"/>
    <col min="270" max="270" width="2.33203125" style="95" customWidth="1"/>
    <col min="271" max="512" width="9.1640625" style="95"/>
    <col min="513" max="513" width="28.5" style="95" customWidth="1"/>
    <col min="514" max="514" width="2.5" style="95" customWidth="1"/>
    <col min="515" max="515" width="8" style="95" customWidth="1"/>
    <col min="516" max="516" width="7.5" style="95" customWidth="1"/>
    <col min="517" max="517" width="2.33203125" style="95" customWidth="1"/>
    <col min="518" max="518" width="7.83203125" style="95" customWidth="1"/>
    <col min="519" max="519" width="7.33203125" style="95" customWidth="1"/>
    <col min="520" max="520" width="2.33203125" style="95" customWidth="1"/>
    <col min="521" max="521" width="8" style="95" customWidth="1"/>
    <col min="522" max="522" width="7.83203125" style="95" customWidth="1"/>
    <col min="523" max="523" width="2.33203125" style="95" customWidth="1"/>
    <col min="524" max="525" width="9.1640625" style="95" customWidth="1"/>
    <col min="526" max="526" width="2.33203125" style="95" customWidth="1"/>
    <col min="527" max="768" width="9.1640625" style="95"/>
    <col min="769" max="769" width="28.5" style="95" customWidth="1"/>
    <col min="770" max="770" width="2.5" style="95" customWidth="1"/>
    <col min="771" max="771" width="8" style="95" customWidth="1"/>
    <col min="772" max="772" width="7.5" style="95" customWidth="1"/>
    <col min="773" max="773" width="2.33203125" style="95" customWidth="1"/>
    <col min="774" max="774" width="7.83203125" style="95" customWidth="1"/>
    <col min="775" max="775" width="7.33203125" style="95" customWidth="1"/>
    <col min="776" max="776" width="2.33203125" style="95" customWidth="1"/>
    <col min="777" max="777" width="8" style="95" customWidth="1"/>
    <col min="778" max="778" width="7.83203125" style="95" customWidth="1"/>
    <col min="779" max="779" width="2.33203125" style="95" customWidth="1"/>
    <col min="780" max="781" width="9.1640625" style="95" customWidth="1"/>
    <col min="782" max="782" width="2.33203125" style="95" customWidth="1"/>
    <col min="783" max="1024" width="9.1640625" style="95"/>
    <col min="1025" max="1025" width="28.5" style="95" customWidth="1"/>
    <col min="1026" max="1026" width="2.5" style="95" customWidth="1"/>
    <col min="1027" max="1027" width="8" style="95" customWidth="1"/>
    <col min="1028" max="1028" width="7.5" style="95" customWidth="1"/>
    <col min="1029" max="1029" width="2.33203125" style="95" customWidth="1"/>
    <col min="1030" max="1030" width="7.83203125" style="95" customWidth="1"/>
    <col min="1031" max="1031" width="7.33203125" style="95" customWidth="1"/>
    <col min="1032" max="1032" width="2.33203125" style="95" customWidth="1"/>
    <col min="1033" max="1033" width="8" style="95" customWidth="1"/>
    <col min="1034" max="1034" width="7.83203125" style="95" customWidth="1"/>
    <col min="1035" max="1035" width="2.33203125" style="95" customWidth="1"/>
    <col min="1036" max="1037" width="9.1640625" style="95" customWidth="1"/>
    <col min="1038" max="1038" width="2.33203125" style="95" customWidth="1"/>
    <col min="1039" max="1280" width="9.1640625" style="95"/>
    <col min="1281" max="1281" width="28.5" style="95" customWidth="1"/>
    <col min="1282" max="1282" width="2.5" style="95" customWidth="1"/>
    <col min="1283" max="1283" width="8" style="95" customWidth="1"/>
    <col min="1284" max="1284" width="7.5" style="95" customWidth="1"/>
    <col min="1285" max="1285" width="2.33203125" style="95" customWidth="1"/>
    <col min="1286" max="1286" width="7.83203125" style="95" customWidth="1"/>
    <col min="1287" max="1287" width="7.33203125" style="95" customWidth="1"/>
    <col min="1288" max="1288" width="2.33203125" style="95" customWidth="1"/>
    <col min="1289" max="1289" width="8" style="95" customWidth="1"/>
    <col min="1290" max="1290" width="7.83203125" style="95" customWidth="1"/>
    <col min="1291" max="1291" width="2.33203125" style="95" customWidth="1"/>
    <col min="1292" max="1293" width="9.1640625" style="95" customWidth="1"/>
    <col min="1294" max="1294" width="2.33203125" style="95" customWidth="1"/>
    <col min="1295" max="1536" width="9.1640625" style="95"/>
    <col min="1537" max="1537" width="28.5" style="95" customWidth="1"/>
    <col min="1538" max="1538" width="2.5" style="95" customWidth="1"/>
    <col min="1539" max="1539" width="8" style="95" customWidth="1"/>
    <col min="1540" max="1540" width="7.5" style="95" customWidth="1"/>
    <col min="1541" max="1541" width="2.33203125" style="95" customWidth="1"/>
    <col min="1542" max="1542" width="7.83203125" style="95" customWidth="1"/>
    <col min="1543" max="1543" width="7.33203125" style="95" customWidth="1"/>
    <col min="1544" max="1544" width="2.33203125" style="95" customWidth="1"/>
    <col min="1545" max="1545" width="8" style="95" customWidth="1"/>
    <col min="1546" max="1546" width="7.83203125" style="95" customWidth="1"/>
    <col min="1547" max="1547" width="2.33203125" style="95" customWidth="1"/>
    <col min="1548" max="1549" width="9.1640625" style="95" customWidth="1"/>
    <col min="1550" max="1550" width="2.33203125" style="95" customWidth="1"/>
    <col min="1551" max="1792" width="9.1640625" style="95"/>
    <col min="1793" max="1793" width="28.5" style="95" customWidth="1"/>
    <col min="1794" max="1794" width="2.5" style="95" customWidth="1"/>
    <col min="1795" max="1795" width="8" style="95" customWidth="1"/>
    <col min="1796" max="1796" width="7.5" style="95" customWidth="1"/>
    <col min="1797" max="1797" width="2.33203125" style="95" customWidth="1"/>
    <col min="1798" max="1798" width="7.83203125" style="95" customWidth="1"/>
    <col min="1799" max="1799" width="7.33203125" style="95" customWidth="1"/>
    <col min="1800" max="1800" width="2.33203125" style="95" customWidth="1"/>
    <col min="1801" max="1801" width="8" style="95" customWidth="1"/>
    <col min="1802" max="1802" width="7.83203125" style="95" customWidth="1"/>
    <col min="1803" max="1803" width="2.33203125" style="95" customWidth="1"/>
    <col min="1804" max="1805" width="9.1640625" style="95" customWidth="1"/>
    <col min="1806" max="1806" width="2.33203125" style="95" customWidth="1"/>
    <col min="1807" max="2048" width="9.1640625" style="95"/>
    <col min="2049" max="2049" width="28.5" style="95" customWidth="1"/>
    <col min="2050" max="2050" width="2.5" style="95" customWidth="1"/>
    <col min="2051" max="2051" width="8" style="95" customWidth="1"/>
    <col min="2052" max="2052" width="7.5" style="95" customWidth="1"/>
    <col min="2053" max="2053" width="2.33203125" style="95" customWidth="1"/>
    <col min="2054" max="2054" width="7.83203125" style="95" customWidth="1"/>
    <col min="2055" max="2055" width="7.33203125" style="95" customWidth="1"/>
    <col min="2056" max="2056" width="2.33203125" style="95" customWidth="1"/>
    <col min="2057" max="2057" width="8" style="95" customWidth="1"/>
    <col min="2058" max="2058" width="7.83203125" style="95" customWidth="1"/>
    <col min="2059" max="2059" width="2.33203125" style="95" customWidth="1"/>
    <col min="2060" max="2061" width="9.1640625" style="95" customWidth="1"/>
    <col min="2062" max="2062" width="2.33203125" style="95" customWidth="1"/>
    <col min="2063" max="2304" width="9.1640625" style="95"/>
    <col min="2305" max="2305" width="28.5" style="95" customWidth="1"/>
    <col min="2306" max="2306" width="2.5" style="95" customWidth="1"/>
    <col min="2307" max="2307" width="8" style="95" customWidth="1"/>
    <col min="2308" max="2308" width="7.5" style="95" customWidth="1"/>
    <col min="2309" max="2309" width="2.33203125" style="95" customWidth="1"/>
    <col min="2310" max="2310" width="7.83203125" style="95" customWidth="1"/>
    <col min="2311" max="2311" width="7.33203125" style="95" customWidth="1"/>
    <col min="2312" max="2312" width="2.33203125" style="95" customWidth="1"/>
    <col min="2313" max="2313" width="8" style="95" customWidth="1"/>
    <col min="2314" max="2314" width="7.83203125" style="95" customWidth="1"/>
    <col min="2315" max="2315" width="2.33203125" style="95" customWidth="1"/>
    <col min="2316" max="2317" width="9.1640625" style="95" customWidth="1"/>
    <col min="2318" max="2318" width="2.33203125" style="95" customWidth="1"/>
    <col min="2319" max="2560" width="9.1640625" style="95"/>
    <col min="2561" max="2561" width="28.5" style="95" customWidth="1"/>
    <col min="2562" max="2562" width="2.5" style="95" customWidth="1"/>
    <col min="2563" max="2563" width="8" style="95" customWidth="1"/>
    <col min="2564" max="2564" width="7.5" style="95" customWidth="1"/>
    <col min="2565" max="2565" width="2.33203125" style="95" customWidth="1"/>
    <col min="2566" max="2566" width="7.83203125" style="95" customWidth="1"/>
    <col min="2567" max="2567" width="7.33203125" style="95" customWidth="1"/>
    <col min="2568" max="2568" width="2.33203125" style="95" customWidth="1"/>
    <col min="2569" max="2569" width="8" style="95" customWidth="1"/>
    <col min="2570" max="2570" width="7.83203125" style="95" customWidth="1"/>
    <col min="2571" max="2571" width="2.33203125" style="95" customWidth="1"/>
    <col min="2572" max="2573" width="9.1640625" style="95" customWidth="1"/>
    <col min="2574" max="2574" width="2.33203125" style="95" customWidth="1"/>
    <col min="2575" max="2816" width="9.1640625" style="95"/>
    <col min="2817" max="2817" width="28.5" style="95" customWidth="1"/>
    <col min="2818" max="2818" width="2.5" style="95" customWidth="1"/>
    <col min="2819" max="2819" width="8" style="95" customWidth="1"/>
    <col min="2820" max="2820" width="7.5" style="95" customWidth="1"/>
    <col min="2821" max="2821" width="2.33203125" style="95" customWidth="1"/>
    <col min="2822" max="2822" width="7.83203125" style="95" customWidth="1"/>
    <col min="2823" max="2823" width="7.33203125" style="95" customWidth="1"/>
    <col min="2824" max="2824" width="2.33203125" style="95" customWidth="1"/>
    <col min="2825" max="2825" width="8" style="95" customWidth="1"/>
    <col min="2826" max="2826" width="7.83203125" style="95" customWidth="1"/>
    <col min="2827" max="2827" width="2.33203125" style="95" customWidth="1"/>
    <col min="2828" max="2829" width="9.1640625" style="95" customWidth="1"/>
    <col min="2830" max="2830" width="2.33203125" style="95" customWidth="1"/>
    <col min="2831" max="3072" width="9.1640625" style="95"/>
    <col min="3073" max="3073" width="28.5" style="95" customWidth="1"/>
    <col min="3074" max="3074" width="2.5" style="95" customWidth="1"/>
    <col min="3075" max="3075" width="8" style="95" customWidth="1"/>
    <col min="3076" max="3076" width="7.5" style="95" customWidth="1"/>
    <col min="3077" max="3077" width="2.33203125" style="95" customWidth="1"/>
    <col min="3078" max="3078" width="7.83203125" style="95" customWidth="1"/>
    <col min="3079" max="3079" width="7.33203125" style="95" customWidth="1"/>
    <col min="3080" max="3080" width="2.33203125" style="95" customWidth="1"/>
    <col min="3081" max="3081" width="8" style="95" customWidth="1"/>
    <col min="3082" max="3082" width="7.83203125" style="95" customWidth="1"/>
    <col min="3083" max="3083" width="2.33203125" style="95" customWidth="1"/>
    <col min="3084" max="3085" width="9.1640625" style="95" customWidth="1"/>
    <col min="3086" max="3086" width="2.33203125" style="95" customWidth="1"/>
    <col min="3087" max="3328" width="9.1640625" style="95"/>
    <col min="3329" max="3329" width="28.5" style="95" customWidth="1"/>
    <col min="3330" max="3330" width="2.5" style="95" customWidth="1"/>
    <col min="3331" max="3331" width="8" style="95" customWidth="1"/>
    <col min="3332" max="3332" width="7.5" style="95" customWidth="1"/>
    <col min="3333" max="3333" width="2.33203125" style="95" customWidth="1"/>
    <col min="3334" max="3334" width="7.83203125" style="95" customWidth="1"/>
    <col min="3335" max="3335" width="7.33203125" style="95" customWidth="1"/>
    <col min="3336" max="3336" width="2.33203125" style="95" customWidth="1"/>
    <col min="3337" max="3337" width="8" style="95" customWidth="1"/>
    <col min="3338" max="3338" width="7.83203125" style="95" customWidth="1"/>
    <col min="3339" max="3339" width="2.33203125" style="95" customWidth="1"/>
    <col min="3340" max="3341" width="9.1640625" style="95" customWidth="1"/>
    <col min="3342" max="3342" width="2.33203125" style="95" customWidth="1"/>
    <col min="3343" max="3584" width="9.1640625" style="95"/>
    <col min="3585" max="3585" width="28.5" style="95" customWidth="1"/>
    <col min="3586" max="3586" width="2.5" style="95" customWidth="1"/>
    <col min="3587" max="3587" width="8" style="95" customWidth="1"/>
    <col min="3588" max="3588" width="7.5" style="95" customWidth="1"/>
    <col min="3589" max="3589" width="2.33203125" style="95" customWidth="1"/>
    <col min="3590" max="3590" width="7.83203125" style="95" customWidth="1"/>
    <col min="3591" max="3591" width="7.33203125" style="95" customWidth="1"/>
    <col min="3592" max="3592" width="2.33203125" style="95" customWidth="1"/>
    <col min="3593" max="3593" width="8" style="95" customWidth="1"/>
    <col min="3594" max="3594" width="7.83203125" style="95" customWidth="1"/>
    <col min="3595" max="3595" width="2.33203125" style="95" customWidth="1"/>
    <col min="3596" max="3597" width="9.1640625" style="95" customWidth="1"/>
    <col min="3598" max="3598" width="2.33203125" style="95" customWidth="1"/>
    <col min="3599" max="3840" width="9.1640625" style="95"/>
    <col min="3841" max="3841" width="28.5" style="95" customWidth="1"/>
    <col min="3842" max="3842" width="2.5" style="95" customWidth="1"/>
    <col min="3843" max="3843" width="8" style="95" customWidth="1"/>
    <col min="3844" max="3844" width="7.5" style="95" customWidth="1"/>
    <col min="3845" max="3845" width="2.33203125" style="95" customWidth="1"/>
    <col min="3846" max="3846" width="7.83203125" style="95" customWidth="1"/>
    <col min="3847" max="3847" width="7.33203125" style="95" customWidth="1"/>
    <col min="3848" max="3848" width="2.33203125" style="95" customWidth="1"/>
    <col min="3849" max="3849" width="8" style="95" customWidth="1"/>
    <col min="3850" max="3850" width="7.83203125" style="95" customWidth="1"/>
    <col min="3851" max="3851" width="2.33203125" style="95" customWidth="1"/>
    <col min="3852" max="3853" width="9.1640625" style="95" customWidth="1"/>
    <col min="3854" max="3854" width="2.33203125" style="95" customWidth="1"/>
    <col min="3855" max="4096" width="9.1640625" style="95"/>
    <col min="4097" max="4097" width="28.5" style="95" customWidth="1"/>
    <col min="4098" max="4098" width="2.5" style="95" customWidth="1"/>
    <col min="4099" max="4099" width="8" style="95" customWidth="1"/>
    <col min="4100" max="4100" width="7.5" style="95" customWidth="1"/>
    <col min="4101" max="4101" width="2.33203125" style="95" customWidth="1"/>
    <col min="4102" max="4102" width="7.83203125" style="95" customWidth="1"/>
    <col min="4103" max="4103" width="7.33203125" style="95" customWidth="1"/>
    <col min="4104" max="4104" width="2.33203125" style="95" customWidth="1"/>
    <col min="4105" max="4105" width="8" style="95" customWidth="1"/>
    <col min="4106" max="4106" width="7.83203125" style="95" customWidth="1"/>
    <col min="4107" max="4107" width="2.33203125" style="95" customWidth="1"/>
    <col min="4108" max="4109" width="9.1640625" style="95" customWidth="1"/>
    <col min="4110" max="4110" width="2.33203125" style="95" customWidth="1"/>
    <col min="4111" max="4352" width="9.1640625" style="95"/>
    <col min="4353" max="4353" width="28.5" style="95" customWidth="1"/>
    <col min="4354" max="4354" width="2.5" style="95" customWidth="1"/>
    <col min="4355" max="4355" width="8" style="95" customWidth="1"/>
    <col min="4356" max="4356" width="7.5" style="95" customWidth="1"/>
    <col min="4357" max="4357" width="2.33203125" style="95" customWidth="1"/>
    <col min="4358" max="4358" width="7.83203125" style="95" customWidth="1"/>
    <col min="4359" max="4359" width="7.33203125" style="95" customWidth="1"/>
    <col min="4360" max="4360" width="2.33203125" style="95" customWidth="1"/>
    <col min="4361" max="4361" width="8" style="95" customWidth="1"/>
    <col min="4362" max="4362" width="7.83203125" style="95" customWidth="1"/>
    <col min="4363" max="4363" width="2.33203125" style="95" customWidth="1"/>
    <col min="4364" max="4365" width="9.1640625" style="95" customWidth="1"/>
    <col min="4366" max="4366" width="2.33203125" style="95" customWidth="1"/>
    <col min="4367" max="4608" width="9.1640625" style="95"/>
    <col min="4609" max="4609" width="28.5" style="95" customWidth="1"/>
    <col min="4610" max="4610" width="2.5" style="95" customWidth="1"/>
    <col min="4611" max="4611" width="8" style="95" customWidth="1"/>
    <col min="4612" max="4612" width="7.5" style="95" customWidth="1"/>
    <col min="4613" max="4613" width="2.33203125" style="95" customWidth="1"/>
    <col min="4614" max="4614" width="7.83203125" style="95" customWidth="1"/>
    <col min="4615" max="4615" width="7.33203125" style="95" customWidth="1"/>
    <col min="4616" max="4616" width="2.33203125" style="95" customWidth="1"/>
    <col min="4617" max="4617" width="8" style="95" customWidth="1"/>
    <col min="4618" max="4618" width="7.83203125" style="95" customWidth="1"/>
    <col min="4619" max="4619" width="2.33203125" style="95" customWidth="1"/>
    <col min="4620" max="4621" width="9.1640625" style="95" customWidth="1"/>
    <col min="4622" max="4622" width="2.33203125" style="95" customWidth="1"/>
    <col min="4623" max="4864" width="9.1640625" style="95"/>
    <col min="4865" max="4865" width="28.5" style="95" customWidth="1"/>
    <col min="4866" max="4866" width="2.5" style="95" customWidth="1"/>
    <col min="4867" max="4867" width="8" style="95" customWidth="1"/>
    <col min="4868" max="4868" width="7.5" style="95" customWidth="1"/>
    <col min="4869" max="4869" width="2.33203125" style="95" customWidth="1"/>
    <col min="4870" max="4870" width="7.83203125" style="95" customWidth="1"/>
    <col min="4871" max="4871" width="7.33203125" style="95" customWidth="1"/>
    <col min="4872" max="4872" width="2.33203125" style="95" customWidth="1"/>
    <col min="4873" max="4873" width="8" style="95" customWidth="1"/>
    <col min="4874" max="4874" width="7.83203125" style="95" customWidth="1"/>
    <col min="4875" max="4875" width="2.33203125" style="95" customWidth="1"/>
    <col min="4876" max="4877" width="9.1640625" style="95" customWidth="1"/>
    <col min="4878" max="4878" width="2.33203125" style="95" customWidth="1"/>
    <col min="4879" max="5120" width="9.1640625" style="95"/>
    <col min="5121" max="5121" width="28.5" style="95" customWidth="1"/>
    <col min="5122" max="5122" width="2.5" style="95" customWidth="1"/>
    <col min="5123" max="5123" width="8" style="95" customWidth="1"/>
    <col min="5124" max="5124" width="7.5" style="95" customWidth="1"/>
    <col min="5125" max="5125" width="2.33203125" style="95" customWidth="1"/>
    <col min="5126" max="5126" width="7.83203125" style="95" customWidth="1"/>
    <col min="5127" max="5127" width="7.33203125" style="95" customWidth="1"/>
    <col min="5128" max="5128" width="2.33203125" style="95" customWidth="1"/>
    <col min="5129" max="5129" width="8" style="95" customWidth="1"/>
    <col min="5130" max="5130" width="7.83203125" style="95" customWidth="1"/>
    <col min="5131" max="5131" width="2.33203125" style="95" customWidth="1"/>
    <col min="5132" max="5133" width="9.1640625" style="95" customWidth="1"/>
    <col min="5134" max="5134" width="2.33203125" style="95" customWidth="1"/>
    <col min="5135" max="5376" width="9.1640625" style="95"/>
    <col min="5377" max="5377" width="28.5" style="95" customWidth="1"/>
    <col min="5378" max="5378" width="2.5" style="95" customWidth="1"/>
    <col min="5379" max="5379" width="8" style="95" customWidth="1"/>
    <col min="5380" max="5380" width="7.5" style="95" customWidth="1"/>
    <col min="5381" max="5381" width="2.33203125" style="95" customWidth="1"/>
    <col min="5382" max="5382" width="7.83203125" style="95" customWidth="1"/>
    <col min="5383" max="5383" width="7.33203125" style="95" customWidth="1"/>
    <col min="5384" max="5384" width="2.33203125" style="95" customWidth="1"/>
    <col min="5385" max="5385" width="8" style="95" customWidth="1"/>
    <col min="5386" max="5386" width="7.83203125" style="95" customWidth="1"/>
    <col min="5387" max="5387" width="2.33203125" style="95" customWidth="1"/>
    <col min="5388" max="5389" width="9.1640625" style="95" customWidth="1"/>
    <col min="5390" max="5390" width="2.33203125" style="95" customWidth="1"/>
    <col min="5391" max="5632" width="9.1640625" style="95"/>
    <col min="5633" max="5633" width="28.5" style="95" customWidth="1"/>
    <col min="5634" max="5634" width="2.5" style="95" customWidth="1"/>
    <col min="5635" max="5635" width="8" style="95" customWidth="1"/>
    <col min="5636" max="5636" width="7.5" style="95" customWidth="1"/>
    <col min="5637" max="5637" width="2.33203125" style="95" customWidth="1"/>
    <col min="5638" max="5638" width="7.83203125" style="95" customWidth="1"/>
    <col min="5639" max="5639" width="7.33203125" style="95" customWidth="1"/>
    <col min="5640" max="5640" width="2.33203125" style="95" customWidth="1"/>
    <col min="5641" max="5641" width="8" style="95" customWidth="1"/>
    <col min="5642" max="5642" width="7.83203125" style="95" customWidth="1"/>
    <col min="5643" max="5643" width="2.33203125" style="95" customWidth="1"/>
    <col min="5644" max="5645" width="9.1640625" style="95" customWidth="1"/>
    <col min="5646" max="5646" width="2.33203125" style="95" customWidth="1"/>
    <col min="5647" max="5888" width="9.1640625" style="95"/>
    <col min="5889" max="5889" width="28.5" style="95" customWidth="1"/>
    <col min="5890" max="5890" width="2.5" style="95" customWidth="1"/>
    <col min="5891" max="5891" width="8" style="95" customWidth="1"/>
    <col min="5892" max="5892" width="7.5" style="95" customWidth="1"/>
    <col min="5893" max="5893" width="2.33203125" style="95" customWidth="1"/>
    <col min="5894" max="5894" width="7.83203125" style="95" customWidth="1"/>
    <col min="5895" max="5895" width="7.33203125" style="95" customWidth="1"/>
    <col min="5896" max="5896" width="2.33203125" style="95" customWidth="1"/>
    <col min="5897" max="5897" width="8" style="95" customWidth="1"/>
    <col min="5898" max="5898" width="7.83203125" style="95" customWidth="1"/>
    <col min="5899" max="5899" width="2.33203125" style="95" customWidth="1"/>
    <col min="5900" max="5901" width="9.1640625" style="95" customWidth="1"/>
    <col min="5902" max="5902" width="2.33203125" style="95" customWidth="1"/>
    <col min="5903" max="6144" width="9.1640625" style="95"/>
    <col min="6145" max="6145" width="28.5" style="95" customWidth="1"/>
    <col min="6146" max="6146" width="2.5" style="95" customWidth="1"/>
    <col min="6147" max="6147" width="8" style="95" customWidth="1"/>
    <col min="6148" max="6148" width="7.5" style="95" customWidth="1"/>
    <col min="6149" max="6149" width="2.33203125" style="95" customWidth="1"/>
    <col min="6150" max="6150" width="7.83203125" style="95" customWidth="1"/>
    <col min="6151" max="6151" width="7.33203125" style="95" customWidth="1"/>
    <col min="6152" max="6152" width="2.33203125" style="95" customWidth="1"/>
    <col min="6153" max="6153" width="8" style="95" customWidth="1"/>
    <col min="6154" max="6154" width="7.83203125" style="95" customWidth="1"/>
    <col min="6155" max="6155" width="2.33203125" style="95" customWidth="1"/>
    <col min="6156" max="6157" width="9.1640625" style="95" customWidth="1"/>
    <col min="6158" max="6158" width="2.33203125" style="95" customWidth="1"/>
    <col min="6159" max="6400" width="9.1640625" style="95"/>
    <col min="6401" max="6401" width="28.5" style="95" customWidth="1"/>
    <col min="6402" max="6402" width="2.5" style="95" customWidth="1"/>
    <col min="6403" max="6403" width="8" style="95" customWidth="1"/>
    <col min="6404" max="6404" width="7.5" style="95" customWidth="1"/>
    <col min="6405" max="6405" width="2.33203125" style="95" customWidth="1"/>
    <col min="6406" max="6406" width="7.83203125" style="95" customWidth="1"/>
    <col min="6407" max="6407" width="7.33203125" style="95" customWidth="1"/>
    <col min="6408" max="6408" width="2.33203125" style="95" customWidth="1"/>
    <col min="6409" max="6409" width="8" style="95" customWidth="1"/>
    <col min="6410" max="6410" width="7.83203125" style="95" customWidth="1"/>
    <col min="6411" max="6411" width="2.33203125" style="95" customWidth="1"/>
    <col min="6412" max="6413" width="9.1640625" style="95" customWidth="1"/>
    <col min="6414" max="6414" width="2.33203125" style="95" customWidth="1"/>
    <col min="6415" max="6656" width="9.1640625" style="95"/>
    <col min="6657" max="6657" width="28.5" style="95" customWidth="1"/>
    <col min="6658" max="6658" width="2.5" style="95" customWidth="1"/>
    <col min="6659" max="6659" width="8" style="95" customWidth="1"/>
    <col min="6660" max="6660" width="7.5" style="95" customWidth="1"/>
    <col min="6661" max="6661" width="2.33203125" style="95" customWidth="1"/>
    <col min="6662" max="6662" width="7.83203125" style="95" customWidth="1"/>
    <col min="6663" max="6663" width="7.33203125" style="95" customWidth="1"/>
    <col min="6664" max="6664" width="2.33203125" style="95" customWidth="1"/>
    <col min="6665" max="6665" width="8" style="95" customWidth="1"/>
    <col min="6666" max="6666" width="7.83203125" style="95" customWidth="1"/>
    <col min="6667" max="6667" width="2.33203125" style="95" customWidth="1"/>
    <col min="6668" max="6669" width="9.1640625" style="95" customWidth="1"/>
    <col min="6670" max="6670" width="2.33203125" style="95" customWidth="1"/>
    <col min="6671" max="6912" width="9.1640625" style="95"/>
    <col min="6913" max="6913" width="28.5" style="95" customWidth="1"/>
    <col min="6914" max="6914" width="2.5" style="95" customWidth="1"/>
    <col min="6915" max="6915" width="8" style="95" customWidth="1"/>
    <col min="6916" max="6916" width="7.5" style="95" customWidth="1"/>
    <col min="6917" max="6917" width="2.33203125" style="95" customWidth="1"/>
    <col min="6918" max="6918" width="7.83203125" style="95" customWidth="1"/>
    <col min="6919" max="6919" width="7.33203125" style="95" customWidth="1"/>
    <col min="6920" max="6920" width="2.33203125" style="95" customWidth="1"/>
    <col min="6921" max="6921" width="8" style="95" customWidth="1"/>
    <col min="6922" max="6922" width="7.83203125" style="95" customWidth="1"/>
    <col min="6923" max="6923" width="2.33203125" style="95" customWidth="1"/>
    <col min="6924" max="6925" width="9.1640625" style="95" customWidth="1"/>
    <col min="6926" max="6926" width="2.33203125" style="95" customWidth="1"/>
    <col min="6927" max="7168" width="9.1640625" style="95"/>
    <col min="7169" max="7169" width="28.5" style="95" customWidth="1"/>
    <col min="7170" max="7170" width="2.5" style="95" customWidth="1"/>
    <col min="7171" max="7171" width="8" style="95" customWidth="1"/>
    <col min="7172" max="7172" width="7.5" style="95" customWidth="1"/>
    <col min="7173" max="7173" width="2.33203125" style="95" customWidth="1"/>
    <col min="7174" max="7174" width="7.83203125" style="95" customWidth="1"/>
    <col min="7175" max="7175" width="7.33203125" style="95" customWidth="1"/>
    <col min="7176" max="7176" width="2.33203125" style="95" customWidth="1"/>
    <col min="7177" max="7177" width="8" style="95" customWidth="1"/>
    <col min="7178" max="7178" width="7.83203125" style="95" customWidth="1"/>
    <col min="7179" max="7179" width="2.33203125" style="95" customWidth="1"/>
    <col min="7180" max="7181" width="9.1640625" style="95" customWidth="1"/>
    <col min="7182" max="7182" width="2.33203125" style="95" customWidth="1"/>
    <col min="7183" max="7424" width="9.1640625" style="95"/>
    <col min="7425" max="7425" width="28.5" style="95" customWidth="1"/>
    <col min="7426" max="7426" width="2.5" style="95" customWidth="1"/>
    <col min="7427" max="7427" width="8" style="95" customWidth="1"/>
    <col min="7428" max="7428" width="7.5" style="95" customWidth="1"/>
    <col min="7429" max="7429" width="2.33203125" style="95" customWidth="1"/>
    <col min="7430" max="7430" width="7.83203125" style="95" customWidth="1"/>
    <col min="7431" max="7431" width="7.33203125" style="95" customWidth="1"/>
    <col min="7432" max="7432" width="2.33203125" style="95" customWidth="1"/>
    <col min="7433" max="7433" width="8" style="95" customWidth="1"/>
    <col min="7434" max="7434" width="7.83203125" style="95" customWidth="1"/>
    <col min="7435" max="7435" width="2.33203125" style="95" customWidth="1"/>
    <col min="7436" max="7437" width="9.1640625" style="95" customWidth="1"/>
    <col min="7438" max="7438" width="2.33203125" style="95" customWidth="1"/>
    <col min="7439" max="7680" width="9.1640625" style="95"/>
    <col min="7681" max="7681" width="28.5" style="95" customWidth="1"/>
    <col min="7682" max="7682" width="2.5" style="95" customWidth="1"/>
    <col min="7683" max="7683" width="8" style="95" customWidth="1"/>
    <col min="7684" max="7684" width="7.5" style="95" customWidth="1"/>
    <col min="7685" max="7685" width="2.33203125" style="95" customWidth="1"/>
    <col min="7686" max="7686" width="7.83203125" style="95" customWidth="1"/>
    <col min="7687" max="7687" width="7.33203125" style="95" customWidth="1"/>
    <col min="7688" max="7688" width="2.33203125" style="95" customWidth="1"/>
    <col min="7689" max="7689" width="8" style="95" customWidth="1"/>
    <col min="7690" max="7690" width="7.83203125" style="95" customWidth="1"/>
    <col min="7691" max="7691" width="2.33203125" style="95" customWidth="1"/>
    <col min="7692" max="7693" width="9.1640625" style="95" customWidth="1"/>
    <col min="7694" max="7694" width="2.33203125" style="95" customWidth="1"/>
    <col min="7695" max="7936" width="9.1640625" style="95"/>
    <col min="7937" max="7937" width="28.5" style="95" customWidth="1"/>
    <col min="7938" max="7938" width="2.5" style="95" customWidth="1"/>
    <col min="7939" max="7939" width="8" style="95" customWidth="1"/>
    <col min="7940" max="7940" width="7.5" style="95" customWidth="1"/>
    <col min="7941" max="7941" width="2.33203125" style="95" customWidth="1"/>
    <col min="7942" max="7942" width="7.83203125" style="95" customWidth="1"/>
    <col min="7943" max="7943" width="7.33203125" style="95" customWidth="1"/>
    <col min="7944" max="7944" width="2.33203125" style="95" customWidth="1"/>
    <col min="7945" max="7945" width="8" style="95" customWidth="1"/>
    <col min="7946" max="7946" width="7.83203125" style="95" customWidth="1"/>
    <col min="7947" max="7947" width="2.33203125" style="95" customWidth="1"/>
    <col min="7948" max="7949" width="9.1640625" style="95" customWidth="1"/>
    <col min="7950" max="7950" width="2.33203125" style="95" customWidth="1"/>
    <col min="7951" max="8192" width="9.1640625" style="95"/>
    <col min="8193" max="8193" width="28.5" style="95" customWidth="1"/>
    <col min="8194" max="8194" width="2.5" style="95" customWidth="1"/>
    <col min="8195" max="8195" width="8" style="95" customWidth="1"/>
    <col min="8196" max="8196" width="7.5" style="95" customWidth="1"/>
    <col min="8197" max="8197" width="2.33203125" style="95" customWidth="1"/>
    <col min="8198" max="8198" width="7.83203125" style="95" customWidth="1"/>
    <col min="8199" max="8199" width="7.33203125" style="95" customWidth="1"/>
    <col min="8200" max="8200" width="2.33203125" style="95" customWidth="1"/>
    <col min="8201" max="8201" width="8" style="95" customWidth="1"/>
    <col min="8202" max="8202" width="7.83203125" style="95" customWidth="1"/>
    <col min="8203" max="8203" width="2.33203125" style="95" customWidth="1"/>
    <col min="8204" max="8205" width="9.1640625" style="95" customWidth="1"/>
    <col min="8206" max="8206" width="2.33203125" style="95" customWidth="1"/>
    <col min="8207" max="8448" width="9.1640625" style="95"/>
    <col min="8449" max="8449" width="28.5" style="95" customWidth="1"/>
    <col min="8450" max="8450" width="2.5" style="95" customWidth="1"/>
    <col min="8451" max="8451" width="8" style="95" customWidth="1"/>
    <col min="8452" max="8452" width="7.5" style="95" customWidth="1"/>
    <col min="8453" max="8453" width="2.33203125" style="95" customWidth="1"/>
    <col min="8454" max="8454" width="7.83203125" style="95" customWidth="1"/>
    <col min="8455" max="8455" width="7.33203125" style="95" customWidth="1"/>
    <col min="8456" max="8456" width="2.33203125" style="95" customWidth="1"/>
    <col min="8457" max="8457" width="8" style="95" customWidth="1"/>
    <col min="8458" max="8458" width="7.83203125" style="95" customWidth="1"/>
    <col min="8459" max="8459" width="2.33203125" style="95" customWidth="1"/>
    <col min="8460" max="8461" width="9.1640625" style="95" customWidth="1"/>
    <col min="8462" max="8462" width="2.33203125" style="95" customWidth="1"/>
    <col min="8463" max="8704" width="9.1640625" style="95"/>
    <col min="8705" max="8705" width="28.5" style="95" customWidth="1"/>
    <col min="8706" max="8706" width="2.5" style="95" customWidth="1"/>
    <col min="8707" max="8707" width="8" style="95" customWidth="1"/>
    <col min="8708" max="8708" width="7.5" style="95" customWidth="1"/>
    <col min="8709" max="8709" width="2.33203125" style="95" customWidth="1"/>
    <col min="8710" max="8710" width="7.83203125" style="95" customWidth="1"/>
    <col min="8711" max="8711" width="7.33203125" style="95" customWidth="1"/>
    <col min="8712" max="8712" width="2.33203125" style="95" customWidth="1"/>
    <col min="8713" max="8713" width="8" style="95" customWidth="1"/>
    <col min="8714" max="8714" width="7.83203125" style="95" customWidth="1"/>
    <col min="8715" max="8715" width="2.33203125" style="95" customWidth="1"/>
    <col min="8716" max="8717" width="9.1640625" style="95" customWidth="1"/>
    <col min="8718" max="8718" width="2.33203125" style="95" customWidth="1"/>
    <col min="8719" max="8960" width="9.1640625" style="95"/>
    <col min="8961" max="8961" width="28.5" style="95" customWidth="1"/>
    <col min="8962" max="8962" width="2.5" style="95" customWidth="1"/>
    <col min="8963" max="8963" width="8" style="95" customWidth="1"/>
    <col min="8964" max="8964" width="7.5" style="95" customWidth="1"/>
    <col min="8965" max="8965" width="2.33203125" style="95" customWidth="1"/>
    <col min="8966" max="8966" width="7.83203125" style="95" customWidth="1"/>
    <col min="8967" max="8967" width="7.33203125" style="95" customWidth="1"/>
    <col min="8968" max="8968" width="2.33203125" style="95" customWidth="1"/>
    <col min="8969" max="8969" width="8" style="95" customWidth="1"/>
    <col min="8970" max="8970" width="7.83203125" style="95" customWidth="1"/>
    <col min="8971" max="8971" width="2.33203125" style="95" customWidth="1"/>
    <col min="8972" max="8973" width="9.1640625" style="95" customWidth="1"/>
    <col min="8974" max="8974" width="2.33203125" style="95" customWidth="1"/>
    <col min="8975" max="9216" width="9.1640625" style="95"/>
    <col min="9217" max="9217" width="28.5" style="95" customWidth="1"/>
    <col min="9218" max="9218" width="2.5" style="95" customWidth="1"/>
    <col min="9219" max="9219" width="8" style="95" customWidth="1"/>
    <col min="9220" max="9220" width="7.5" style="95" customWidth="1"/>
    <col min="9221" max="9221" width="2.33203125" style="95" customWidth="1"/>
    <col min="9222" max="9222" width="7.83203125" style="95" customWidth="1"/>
    <col min="9223" max="9223" width="7.33203125" style="95" customWidth="1"/>
    <col min="9224" max="9224" width="2.33203125" style="95" customWidth="1"/>
    <col min="9225" max="9225" width="8" style="95" customWidth="1"/>
    <col min="9226" max="9226" width="7.83203125" style="95" customWidth="1"/>
    <col min="9227" max="9227" width="2.33203125" style="95" customWidth="1"/>
    <col min="9228" max="9229" width="9.1640625" style="95" customWidth="1"/>
    <col min="9230" max="9230" width="2.33203125" style="95" customWidth="1"/>
    <col min="9231" max="9472" width="9.1640625" style="95"/>
    <col min="9473" max="9473" width="28.5" style="95" customWidth="1"/>
    <col min="9474" max="9474" width="2.5" style="95" customWidth="1"/>
    <col min="9475" max="9475" width="8" style="95" customWidth="1"/>
    <col min="9476" max="9476" width="7.5" style="95" customWidth="1"/>
    <col min="9477" max="9477" width="2.33203125" style="95" customWidth="1"/>
    <col min="9478" max="9478" width="7.83203125" style="95" customWidth="1"/>
    <col min="9479" max="9479" width="7.33203125" style="95" customWidth="1"/>
    <col min="9480" max="9480" width="2.33203125" style="95" customWidth="1"/>
    <col min="9481" max="9481" width="8" style="95" customWidth="1"/>
    <col min="9482" max="9482" width="7.83203125" style="95" customWidth="1"/>
    <col min="9483" max="9483" width="2.33203125" style="95" customWidth="1"/>
    <col min="9484" max="9485" width="9.1640625" style="95" customWidth="1"/>
    <col min="9486" max="9486" width="2.33203125" style="95" customWidth="1"/>
    <col min="9487" max="9728" width="9.1640625" style="95"/>
    <col min="9729" max="9729" width="28.5" style="95" customWidth="1"/>
    <col min="9730" max="9730" width="2.5" style="95" customWidth="1"/>
    <col min="9731" max="9731" width="8" style="95" customWidth="1"/>
    <col min="9732" max="9732" width="7.5" style="95" customWidth="1"/>
    <col min="9733" max="9733" width="2.33203125" style="95" customWidth="1"/>
    <col min="9734" max="9734" width="7.83203125" style="95" customWidth="1"/>
    <col min="9735" max="9735" width="7.33203125" style="95" customWidth="1"/>
    <col min="9736" max="9736" width="2.33203125" style="95" customWidth="1"/>
    <col min="9737" max="9737" width="8" style="95" customWidth="1"/>
    <col min="9738" max="9738" width="7.83203125" style="95" customWidth="1"/>
    <col min="9739" max="9739" width="2.33203125" style="95" customWidth="1"/>
    <col min="9740" max="9741" width="9.1640625" style="95" customWidth="1"/>
    <col min="9742" max="9742" width="2.33203125" style="95" customWidth="1"/>
    <col min="9743" max="9984" width="9.1640625" style="95"/>
    <col min="9985" max="9985" width="28.5" style="95" customWidth="1"/>
    <col min="9986" max="9986" width="2.5" style="95" customWidth="1"/>
    <col min="9987" max="9987" width="8" style="95" customWidth="1"/>
    <col min="9988" max="9988" width="7.5" style="95" customWidth="1"/>
    <col min="9989" max="9989" width="2.33203125" style="95" customWidth="1"/>
    <col min="9990" max="9990" width="7.83203125" style="95" customWidth="1"/>
    <col min="9991" max="9991" width="7.33203125" style="95" customWidth="1"/>
    <col min="9992" max="9992" width="2.33203125" style="95" customWidth="1"/>
    <col min="9993" max="9993" width="8" style="95" customWidth="1"/>
    <col min="9994" max="9994" width="7.83203125" style="95" customWidth="1"/>
    <col min="9995" max="9995" width="2.33203125" style="95" customWidth="1"/>
    <col min="9996" max="9997" width="9.1640625" style="95" customWidth="1"/>
    <col min="9998" max="9998" width="2.33203125" style="95" customWidth="1"/>
    <col min="9999" max="10240" width="9.1640625" style="95"/>
    <col min="10241" max="10241" width="28.5" style="95" customWidth="1"/>
    <col min="10242" max="10242" width="2.5" style="95" customWidth="1"/>
    <col min="10243" max="10243" width="8" style="95" customWidth="1"/>
    <col min="10244" max="10244" width="7.5" style="95" customWidth="1"/>
    <col min="10245" max="10245" width="2.33203125" style="95" customWidth="1"/>
    <col min="10246" max="10246" width="7.83203125" style="95" customWidth="1"/>
    <col min="10247" max="10247" width="7.33203125" style="95" customWidth="1"/>
    <col min="10248" max="10248" width="2.33203125" style="95" customWidth="1"/>
    <col min="10249" max="10249" width="8" style="95" customWidth="1"/>
    <col min="10250" max="10250" width="7.83203125" style="95" customWidth="1"/>
    <col min="10251" max="10251" width="2.33203125" style="95" customWidth="1"/>
    <col min="10252" max="10253" width="9.1640625" style="95" customWidth="1"/>
    <col min="10254" max="10254" width="2.33203125" style="95" customWidth="1"/>
    <col min="10255" max="10496" width="9.1640625" style="95"/>
    <col min="10497" max="10497" width="28.5" style="95" customWidth="1"/>
    <col min="10498" max="10498" width="2.5" style="95" customWidth="1"/>
    <col min="10499" max="10499" width="8" style="95" customWidth="1"/>
    <col min="10500" max="10500" width="7.5" style="95" customWidth="1"/>
    <col min="10501" max="10501" width="2.33203125" style="95" customWidth="1"/>
    <col min="10502" max="10502" width="7.83203125" style="95" customWidth="1"/>
    <col min="10503" max="10503" width="7.33203125" style="95" customWidth="1"/>
    <col min="10504" max="10504" width="2.33203125" style="95" customWidth="1"/>
    <col min="10505" max="10505" width="8" style="95" customWidth="1"/>
    <col min="10506" max="10506" width="7.83203125" style="95" customWidth="1"/>
    <col min="10507" max="10507" width="2.33203125" style="95" customWidth="1"/>
    <col min="10508" max="10509" width="9.1640625" style="95" customWidth="1"/>
    <col min="10510" max="10510" width="2.33203125" style="95" customWidth="1"/>
    <col min="10511" max="10752" width="9.1640625" style="95"/>
    <col min="10753" max="10753" width="28.5" style="95" customWidth="1"/>
    <col min="10754" max="10754" width="2.5" style="95" customWidth="1"/>
    <col min="10755" max="10755" width="8" style="95" customWidth="1"/>
    <col min="10756" max="10756" width="7.5" style="95" customWidth="1"/>
    <col min="10757" max="10757" width="2.33203125" style="95" customWidth="1"/>
    <col min="10758" max="10758" width="7.83203125" style="95" customWidth="1"/>
    <col min="10759" max="10759" width="7.33203125" style="95" customWidth="1"/>
    <col min="10760" max="10760" width="2.33203125" style="95" customWidth="1"/>
    <col min="10761" max="10761" width="8" style="95" customWidth="1"/>
    <col min="10762" max="10762" width="7.83203125" style="95" customWidth="1"/>
    <col min="10763" max="10763" width="2.33203125" style="95" customWidth="1"/>
    <col min="10764" max="10765" width="9.1640625" style="95" customWidth="1"/>
    <col min="10766" max="10766" width="2.33203125" style="95" customWidth="1"/>
    <col min="10767" max="11008" width="9.1640625" style="95"/>
    <col min="11009" max="11009" width="28.5" style="95" customWidth="1"/>
    <col min="11010" max="11010" width="2.5" style="95" customWidth="1"/>
    <col min="11011" max="11011" width="8" style="95" customWidth="1"/>
    <col min="11012" max="11012" width="7.5" style="95" customWidth="1"/>
    <col min="11013" max="11013" width="2.33203125" style="95" customWidth="1"/>
    <col min="11014" max="11014" width="7.83203125" style="95" customWidth="1"/>
    <col min="11015" max="11015" width="7.33203125" style="95" customWidth="1"/>
    <col min="11016" max="11016" width="2.33203125" style="95" customWidth="1"/>
    <col min="11017" max="11017" width="8" style="95" customWidth="1"/>
    <col min="11018" max="11018" width="7.83203125" style="95" customWidth="1"/>
    <col min="11019" max="11019" width="2.33203125" style="95" customWidth="1"/>
    <col min="11020" max="11021" width="9.1640625" style="95" customWidth="1"/>
    <col min="11022" max="11022" width="2.33203125" style="95" customWidth="1"/>
    <col min="11023" max="11264" width="9.1640625" style="95"/>
    <col min="11265" max="11265" width="28.5" style="95" customWidth="1"/>
    <col min="11266" max="11266" width="2.5" style="95" customWidth="1"/>
    <col min="11267" max="11267" width="8" style="95" customWidth="1"/>
    <col min="11268" max="11268" width="7.5" style="95" customWidth="1"/>
    <col min="11269" max="11269" width="2.33203125" style="95" customWidth="1"/>
    <col min="11270" max="11270" width="7.83203125" style="95" customWidth="1"/>
    <col min="11271" max="11271" width="7.33203125" style="95" customWidth="1"/>
    <col min="11272" max="11272" width="2.33203125" style="95" customWidth="1"/>
    <col min="11273" max="11273" width="8" style="95" customWidth="1"/>
    <col min="11274" max="11274" width="7.83203125" style="95" customWidth="1"/>
    <col min="11275" max="11275" width="2.33203125" style="95" customWidth="1"/>
    <col min="11276" max="11277" width="9.1640625" style="95" customWidth="1"/>
    <col min="11278" max="11278" width="2.33203125" style="95" customWidth="1"/>
    <col min="11279" max="11520" width="9.1640625" style="95"/>
    <col min="11521" max="11521" width="28.5" style="95" customWidth="1"/>
    <col min="11522" max="11522" width="2.5" style="95" customWidth="1"/>
    <col min="11523" max="11523" width="8" style="95" customWidth="1"/>
    <col min="11524" max="11524" width="7.5" style="95" customWidth="1"/>
    <col min="11525" max="11525" width="2.33203125" style="95" customWidth="1"/>
    <col min="11526" max="11526" width="7.83203125" style="95" customWidth="1"/>
    <col min="11527" max="11527" width="7.33203125" style="95" customWidth="1"/>
    <col min="11528" max="11528" width="2.33203125" style="95" customWidth="1"/>
    <col min="11529" max="11529" width="8" style="95" customWidth="1"/>
    <col min="11530" max="11530" width="7.83203125" style="95" customWidth="1"/>
    <col min="11531" max="11531" width="2.33203125" style="95" customWidth="1"/>
    <col min="11532" max="11533" width="9.1640625" style="95" customWidth="1"/>
    <col min="11534" max="11534" width="2.33203125" style="95" customWidth="1"/>
    <col min="11535" max="11776" width="9.1640625" style="95"/>
    <col min="11777" max="11777" width="28.5" style="95" customWidth="1"/>
    <col min="11778" max="11778" width="2.5" style="95" customWidth="1"/>
    <col min="11779" max="11779" width="8" style="95" customWidth="1"/>
    <col min="11780" max="11780" width="7.5" style="95" customWidth="1"/>
    <col min="11781" max="11781" width="2.33203125" style="95" customWidth="1"/>
    <col min="11782" max="11782" width="7.83203125" style="95" customWidth="1"/>
    <col min="11783" max="11783" width="7.33203125" style="95" customWidth="1"/>
    <col min="11784" max="11784" width="2.33203125" style="95" customWidth="1"/>
    <col min="11785" max="11785" width="8" style="95" customWidth="1"/>
    <col min="11786" max="11786" width="7.83203125" style="95" customWidth="1"/>
    <col min="11787" max="11787" width="2.33203125" style="95" customWidth="1"/>
    <col min="11788" max="11789" width="9.1640625" style="95" customWidth="1"/>
    <col min="11790" max="11790" width="2.33203125" style="95" customWidth="1"/>
    <col min="11791" max="12032" width="9.1640625" style="95"/>
    <col min="12033" max="12033" width="28.5" style="95" customWidth="1"/>
    <col min="12034" max="12034" width="2.5" style="95" customWidth="1"/>
    <col min="12035" max="12035" width="8" style="95" customWidth="1"/>
    <col min="12036" max="12036" width="7.5" style="95" customWidth="1"/>
    <col min="12037" max="12037" width="2.33203125" style="95" customWidth="1"/>
    <col min="12038" max="12038" width="7.83203125" style="95" customWidth="1"/>
    <col min="12039" max="12039" width="7.33203125" style="95" customWidth="1"/>
    <col min="12040" max="12040" width="2.33203125" style="95" customWidth="1"/>
    <col min="12041" max="12041" width="8" style="95" customWidth="1"/>
    <col min="12042" max="12042" width="7.83203125" style="95" customWidth="1"/>
    <col min="12043" max="12043" width="2.33203125" style="95" customWidth="1"/>
    <col min="12044" max="12045" width="9.1640625" style="95" customWidth="1"/>
    <col min="12046" max="12046" width="2.33203125" style="95" customWidth="1"/>
    <col min="12047" max="12288" width="9.1640625" style="95"/>
    <col min="12289" max="12289" width="28.5" style="95" customWidth="1"/>
    <col min="12290" max="12290" width="2.5" style="95" customWidth="1"/>
    <col min="12291" max="12291" width="8" style="95" customWidth="1"/>
    <col min="12292" max="12292" width="7.5" style="95" customWidth="1"/>
    <col min="12293" max="12293" width="2.33203125" style="95" customWidth="1"/>
    <col min="12294" max="12294" width="7.83203125" style="95" customWidth="1"/>
    <col min="12295" max="12295" width="7.33203125" style="95" customWidth="1"/>
    <col min="12296" max="12296" width="2.33203125" style="95" customWidth="1"/>
    <col min="12297" max="12297" width="8" style="95" customWidth="1"/>
    <col min="12298" max="12298" width="7.83203125" style="95" customWidth="1"/>
    <col min="12299" max="12299" width="2.33203125" style="95" customWidth="1"/>
    <col min="12300" max="12301" width="9.1640625" style="95" customWidth="1"/>
    <col min="12302" max="12302" width="2.33203125" style="95" customWidth="1"/>
    <col min="12303" max="12544" width="9.1640625" style="95"/>
    <col min="12545" max="12545" width="28.5" style="95" customWidth="1"/>
    <col min="12546" max="12546" width="2.5" style="95" customWidth="1"/>
    <col min="12547" max="12547" width="8" style="95" customWidth="1"/>
    <col min="12548" max="12548" width="7.5" style="95" customWidth="1"/>
    <col min="12549" max="12549" width="2.33203125" style="95" customWidth="1"/>
    <col min="12550" max="12550" width="7.83203125" style="95" customWidth="1"/>
    <col min="12551" max="12551" width="7.33203125" style="95" customWidth="1"/>
    <col min="12552" max="12552" width="2.33203125" style="95" customWidth="1"/>
    <col min="12553" max="12553" width="8" style="95" customWidth="1"/>
    <col min="12554" max="12554" width="7.83203125" style="95" customWidth="1"/>
    <col min="12555" max="12555" width="2.33203125" style="95" customWidth="1"/>
    <col min="12556" max="12557" width="9.1640625" style="95" customWidth="1"/>
    <col min="12558" max="12558" width="2.33203125" style="95" customWidth="1"/>
    <col min="12559" max="12800" width="9.1640625" style="95"/>
    <col min="12801" max="12801" width="28.5" style="95" customWidth="1"/>
    <col min="12802" max="12802" width="2.5" style="95" customWidth="1"/>
    <col min="12803" max="12803" width="8" style="95" customWidth="1"/>
    <col min="12804" max="12804" width="7.5" style="95" customWidth="1"/>
    <col min="12805" max="12805" width="2.33203125" style="95" customWidth="1"/>
    <col min="12806" max="12806" width="7.83203125" style="95" customWidth="1"/>
    <col min="12807" max="12807" width="7.33203125" style="95" customWidth="1"/>
    <col min="12808" max="12808" width="2.33203125" style="95" customWidth="1"/>
    <col min="12809" max="12809" width="8" style="95" customWidth="1"/>
    <col min="12810" max="12810" width="7.83203125" style="95" customWidth="1"/>
    <col min="12811" max="12811" width="2.33203125" style="95" customWidth="1"/>
    <col min="12812" max="12813" width="9.1640625" style="95" customWidth="1"/>
    <col min="12814" max="12814" width="2.33203125" style="95" customWidth="1"/>
    <col min="12815" max="13056" width="9.1640625" style="95"/>
    <col min="13057" max="13057" width="28.5" style="95" customWidth="1"/>
    <col min="13058" max="13058" width="2.5" style="95" customWidth="1"/>
    <col min="13059" max="13059" width="8" style="95" customWidth="1"/>
    <col min="13060" max="13060" width="7.5" style="95" customWidth="1"/>
    <col min="13061" max="13061" width="2.33203125" style="95" customWidth="1"/>
    <col min="13062" max="13062" width="7.83203125" style="95" customWidth="1"/>
    <col min="13063" max="13063" width="7.33203125" style="95" customWidth="1"/>
    <col min="13064" max="13064" width="2.33203125" style="95" customWidth="1"/>
    <col min="13065" max="13065" width="8" style="95" customWidth="1"/>
    <col min="13066" max="13066" width="7.83203125" style="95" customWidth="1"/>
    <col min="13067" max="13067" width="2.33203125" style="95" customWidth="1"/>
    <col min="13068" max="13069" width="9.1640625" style="95" customWidth="1"/>
    <col min="13070" max="13070" width="2.33203125" style="95" customWidth="1"/>
    <col min="13071" max="13312" width="9.1640625" style="95"/>
    <col min="13313" max="13313" width="28.5" style="95" customWidth="1"/>
    <col min="13314" max="13314" width="2.5" style="95" customWidth="1"/>
    <col min="13315" max="13315" width="8" style="95" customWidth="1"/>
    <col min="13316" max="13316" width="7.5" style="95" customWidth="1"/>
    <col min="13317" max="13317" width="2.33203125" style="95" customWidth="1"/>
    <col min="13318" max="13318" width="7.83203125" style="95" customWidth="1"/>
    <col min="13319" max="13319" width="7.33203125" style="95" customWidth="1"/>
    <col min="13320" max="13320" width="2.33203125" style="95" customWidth="1"/>
    <col min="13321" max="13321" width="8" style="95" customWidth="1"/>
    <col min="13322" max="13322" width="7.83203125" style="95" customWidth="1"/>
    <col min="13323" max="13323" width="2.33203125" style="95" customWidth="1"/>
    <col min="13324" max="13325" width="9.1640625" style="95" customWidth="1"/>
    <col min="13326" max="13326" width="2.33203125" style="95" customWidth="1"/>
    <col min="13327" max="13568" width="9.1640625" style="95"/>
    <col min="13569" max="13569" width="28.5" style="95" customWidth="1"/>
    <col min="13570" max="13570" width="2.5" style="95" customWidth="1"/>
    <col min="13571" max="13571" width="8" style="95" customWidth="1"/>
    <col min="13572" max="13572" width="7.5" style="95" customWidth="1"/>
    <col min="13573" max="13573" width="2.33203125" style="95" customWidth="1"/>
    <col min="13574" max="13574" width="7.83203125" style="95" customWidth="1"/>
    <col min="13575" max="13575" width="7.33203125" style="95" customWidth="1"/>
    <col min="13576" max="13576" width="2.33203125" style="95" customWidth="1"/>
    <col min="13577" max="13577" width="8" style="95" customWidth="1"/>
    <col min="13578" max="13578" width="7.83203125" style="95" customWidth="1"/>
    <col min="13579" max="13579" width="2.33203125" style="95" customWidth="1"/>
    <col min="13580" max="13581" width="9.1640625" style="95" customWidth="1"/>
    <col min="13582" max="13582" width="2.33203125" style="95" customWidth="1"/>
    <col min="13583" max="13824" width="9.1640625" style="95"/>
    <col min="13825" max="13825" width="28.5" style="95" customWidth="1"/>
    <col min="13826" max="13826" width="2.5" style="95" customWidth="1"/>
    <col min="13827" max="13827" width="8" style="95" customWidth="1"/>
    <col min="13828" max="13828" width="7.5" style="95" customWidth="1"/>
    <col min="13829" max="13829" width="2.33203125" style="95" customWidth="1"/>
    <col min="13830" max="13830" width="7.83203125" style="95" customWidth="1"/>
    <col min="13831" max="13831" width="7.33203125" style="95" customWidth="1"/>
    <col min="13832" max="13832" width="2.33203125" style="95" customWidth="1"/>
    <col min="13833" max="13833" width="8" style="95" customWidth="1"/>
    <col min="13834" max="13834" width="7.83203125" style="95" customWidth="1"/>
    <col min="13835" max="13835" width="2.33203125" style="95" customWidth="1"/>
    <col min="13836" max="13837" width="9.1640625" style="95" customWidth="1"/>
    <col min="13838" max="13838" width="2.33203125" style="95" customWidth="1"/>
    <col min="13839" max="14080" width="9.1640625" style="95"/>
    <col min="14081" max="14081" width="28.5" style="95" customWidth="1"/>
    <col min="14082" max="14082" width="2.5" style="95" customWidth="1"/>
    <col min="14083" max="14083" width="8" style="95" customWidth="1"/>
    <col min="14084" max="14084" width="7.5" style="95" customWidth="1"/>
    <col min="14085" max="14085" width="2.33203125" style="95" customWidth="1"/>
    <col min="14086" max="14086" width="7.83203125" style="95" customWidth="1"/>
    <col min="14087" max="14087" width="7.33203125" style="95" customWidth="1"/>
    <col min="14088" max="14088" width="2.33203125" style="95" customWidth="1"/>
    <col min="14089" max="14089" width="8" style="95" customWidth="1"/>
    <col min="14090" max="14090" width="7.83203125" style="95" customWidth="1"/>
    <col min="14091" max="14091" width="2.33203125" style="95" customWidth="1"/>
    <col min="14092" max="14093" width="9.1640625" style="95" customWidth="1"/>
    <col min="14094" max="14094" width="2.33203125" style="95" customWidth="1"/>
    <col min="14095" max="14336" width="9.1640625" style="95"/>
    <col min="14337" max="14337" width="28.5" style="95" customWidth="1"/>
    <col min="14338" max="14338" width="2.5" style="95" customWidth="1"/>
    <col min="14339" max="14339" width="8" style="95" customWidth="1"/>
    <col min="14340" max="14340" width="7.5" style="95" customWidth="1"/>
    <col min="14341" max="14341" width="2.33203125" style="95" customWidth="1"/>
    <col min="14342" max="14342" width="7.83203125" style="95" customWidth="1"/>
    <col min="14343" max="14343" width="7.33203125" style="95" customWidth="1"/>
    <col min="14344" max="14344" width="2.33203125" style="95" customWidth="1"/>
    <col min="14345" max="14345" width="8" style="95" customWidth="1"/>
    <col min="14346" max="14346" width="7.83203125" style="95" customWidth="1"/>
    <col min="14347" max="14347" width="2.33203125" style="95" customWidth="1"/>
    <col min="14348" max="14349" width="9.1640625" style="95" customWidth="1"/>
    <col min="14350" max="14350" width="2.33203125" style="95" customWidth="1"/>
    <col min="14351" max="14592" width="9.1640625" style="95"/>
    <col min="14593" max="14593" width="28.5" style="95" customWidth="1"/>
    <col min="14594" max="14594" width="2.5" style="95" customWidth="1"/>
    <col min="14595" max="14595" width="8" style="95" customWidth="1"/>
    <col min="14596" max="14596" width="7.5" style="95" customWidth="1"/>
    <col min="14597" max="14597" width="2.33203125" style="95" customWidth="1"/>
    <col min="14598" max="14598" width="7.83203125" style="95" customWidth="1"/>
    <col min="14599" max="14599" width="7.33203125" style="95" customWidth="1"/>
    <col min="14600" max="14600" width="2.33203125" style="95" customWidth="1"/>
    <col min="14601" max="14601" width="8" style="95" customWidth="1"/>
    <col min="14602" max="14602" width="7.83203125" style="95" customWidth="1"/>
    <col min="14603" max="14603" width="2.33203125" style="95" customWidth="1"/>
    <col min="14604" max="14605" width="9.1640625" style="95" customWidth="1"/>
    <col min="14606" max="14606" width="2.33203125" style="95" customWidth="1"/>
    <col min="14607" max="14848" width="9.1640625" style="95"/>
    <col min="14849" max="14849" width="28.5" style="95" customWidth="1"/>
    <col min="14850" max="14850" width="2.5" style="95" customWidth="1"/>
    <col min="14851" max="14851" width="8" style="95" customWidth="1"/>
    <col min="14852" max="14852" width="7.5" style="95" customWidth="1"/>
    <col min="14853" max="14853" width="2.33203125" style="95" customWidth="1"/>
    <col min="14854" max="14854" width="7.83203125" style="95" customWidth="1"/>
    <col min="14855" max="14855" width="7.33203125" style="95" customWidth="1"/>
    <col min="14856" max="14856" width="2.33203125" style="95" customWidth="1"/>
    <col min="14857" max="14857" width="8" style="95" customWidth="1"/>
    <col min="14858" max="14858" width="7.83203125" style="95" customWidth="1"/>
    <col min="14859" max="14859" width="2.33203125" style="95" customWidth="1"/>
    <col min="14860" max="14861" width="9.1640625" style="95" customWidth="1"/>
    <col min="14862" max="14862" width="2.33203125" style="95" customWidth="1"/>
    <col min="14863" max="15104" width="9.1640625" style="95"/>
    <col min="15105" max="15105" width="28.5" style="95" customWidth="1"/>
    <col min="15106" max="15106" width="2.5" style="95" customWidth="1"/>
    <col min="15107" max="15107" width="8" style="95" customWidth="1"/>
    <col min="15108" max="15108" width="7.5" style="95" customWidth="1"/>
    <col min="15109" max="15109" width="2.33203125" style="95" customWidth="1"/>
    <col min="15110" max="15110" width="7.83203125" style="95" customWidth="1"/>
    <col min="15111" max="15111" width="7.33203125" style="95" customWidth="1"/>
    <col min="15112" max="15112" width="2.33203125" style="95" customWidth="1"/>
    <col min="15113" max="15113" width="8" style="95" customWidth="1"/>
    <col min="15114" max="15114" width="7.83203125" style="95" customWidth="1"/>
    <col min="15115" max="15115" width="2.33203125" style="95" customWidth="1"/>
    <col min="15116" max="15117" width="9.1640625" style="95" customWidth="1"/>
    <col min="15118" max="15118" width="2.33203125" style="95" customWidth="1"/>
    <col min="15119" max="15360" width="9.1640625" style="95"/>
    <col min="15361" max="15361" width="28.5" style="95" customWidth="1"/>
    <col min="15362" max="15362" width="2.5" style="95" customWidth="1"/>
    <col min="15363" max="15363" width="8" style="95" customWidth="1"/>
    <col min="15364" max="15364" width="7.5" style="95" customWidth="1"/>
    <col min="15365" max="15365" width="2.33203125" style="95" customWidth="1"/>
    <col min="15366" max="15366" width="7.83203125" style="95" customWidth="1"/>
    <col min="15367" max="15367" width="7.33203125" style="95" customWidth="1"/>
    <col min="15368" max="15368" width="2.33203125" style="95" customWidth="1"/>
    <col min="15369" max="15369" width="8" style="95" customWidth="1"/>
    <col min="15370" max="15370" width="7.83203125" style="95" customWidth="1"/>
    <col min="15371" max="15371" width="2.33203125" style="95" customWidth="1"/>
    <col min="15372" max="15373" width="9.1640625" style="95" customWidth="1"/>
    <col min="15374" max="15374" width="2.33203125" style="95" customWidth="1"/>
    <col min="15375" max="15616" width="9.1640625" style="95"/>
    <col min="15617" max="15617" width="28.5" style="95" customWidth="1"/>
    <col min="15618" max="15618" width="2.5" style="95" customWidth="1"/>
    <col min="15619" max="15619" width="8" style="95" customWidth="1"/>
    <col min="15620" max="15620" width="7.5" style="95" customWidth="1"/>
    <col min="15621" max="15621" width="2.33203125" style="95" customWidth="1"/>
    <col min="15622" max="15622" width="7.83203125" style="95" customWidth="1"/>
    <col min="15623" max="15623" width="7.33203125" style="95" customWidth="1"/>
    <col min="15624" max="15624" width="2.33203125" style="95" customWidth="1"/>
    <col min="15625" max="15625" width="8" style="95" customWidth="1"/>
    <col min="15626" max="15626" width="7.83203125" style="95" customWidth="1"/>
    <col min="15627" max="15627" width="2.33203125" style="95" customWidth="1"/>
    <col min="15628" max="15629" width="9.1640625" style="95" customWidth="1"/>
    <col min="15630" max="15630" width="2.33203125" style="95" customWidth="1"/>
    <col min="15631" max="15872" width="9.1640625" style="95"/>
    <col min="15873" max="15873" width="28.5" style="95" customWidth="1"/>
    <col min="15874" max="15874" width="2.5" style="95" customWidth="1"/>
    <col min="15875" max="15875" width="8" style="95" customWidth="1"/>
    <col min="15876" max="15876" width="7.5" style="95" customWidth="1"/>
    <col min="15877" max="15877" width="2.33203125" style="95" customWidth="1"/>
    <col min="15878" max="15878" width="7.83203125" style="95" customWidth="1"/>
    <col min="15879" max="15879" width="7.33203125" style="95" customWidth="1"/>
    <col min="15880" max="15880" width="2.33203125" style="95" customWidth="1"/>
    <col min="15881" max="15881" width="8" style="95" customWidth="1"/>
    <col min="15882" max="15882" width="7.83203125" style="95" customWidth="1"/>
    <col min="15883" max="15883" width="2.33203125" style="95" customWidth="1"/>
    <col min="15884" max="15885" width="9.1640625" style="95" customWidth="1"/>
    <col min="15886" max="15886" width="2.33203125" style="95" customWidth="1"/>
    <col min="15887" max="16128" width="9.1640625" style="95"/>
    <col min="16129" max="16129" width="28.5" style="95" customWidth="1"/>
    <col min="16130" max="16130" width="2.5" style="95" customWidth="1"/>
    <col min="16131" max="16131" width="8" style="95" customWidth="1"/>
    <col min="16132" max="16132" width="7.5" style="95" customWidth="1"/>
    <col min="16133" max="16133" width="2.33203125" style="95" customWidth="1"/>
    <col min="16134" max="16134" width="7.83203125" style="95" customWidth="1"/>
    <col min="16135" max="16135" width="7.33203125" style="95" customWidth="1"/>
    <col min="16136" max="16136" width="2.33203125" style="95" customWidth="1"/>
    <col min="16137" max="16137" width="8" style="95" customWidth="1"/>
    <col min="16138" max="16138" width="7.83203125" style="95" customWidth="1"/>
    <col min="16139" max="16139" width="2.33203125" style="95" customWidth="1"/>
    <col min="16140" max="16141" width="9.1640625" style="95" customWidth="1"/>
    <col min="16142" max="16142" width="2.33203125" style="95" customWidth="1"/>
    <col min="16143" max="16384" width="9.1640625" style="95"/>
  </cols>
  <sheetData>
    <row r="1" spans="1:14">
      <c r="A1" s="95" t="s">
        <v>388</v>
      </c>
    </row>
    <row r="2" spans="1:14">
      <c r="A2" s="95" t="s">
        <v>389</v>
      </c>
    </row>
    <row r="4" spans="1:14">
      <c r="A4" s="33" t="s">
        <v>2101</v>
      </c>
    </row>
    <row r="5" spans="1:14">
      <c r="A5" s="33" t="s">
        <v>2102</v>
      </c>
    </row>
    <row r="6" spans="1:14" ht="14" thickBot="1">
      <c r="L6" s="140"/>
      <c r="M6" s="105"/>
    </row>
    <row r="7" spans="1:14" ht="15" customHeight="1">
      <c r="A7" s="97"/>
      <c r="B7" s="97"/>
      <c r="C7" s="144"/>
      <c r="D7" s="98"/>
      <c r="E7" s="97"/>
      <c r="F7" s="144"/>
      <c r="G7" s="99"/>
      <c r="H7" s="97"/>
      <c r="I7" s="144"/>
      <c r="J7" s="99"/>
      <c r="K7" s="99"/>
      <c r="L7" s="144"/>
      <c r="M7" s="99"/>
      <c r="N7" s="99"/>
    </row>
    <row r="8" spans="1:14" ht="15" customHeight="1">
      <c r="A8" s="116" t="s">
        <v>1499</v>
      </c>
      <c r="B8" s="116"/>
      <c r="C8" s="1067" t="s">
        <v>497</v>
      </c>
      <c r="D8" s="1016"/>
      <c r="E8" s="117"/>
      <c r="F8" s="1021" t="s">
        <v>1500</v>
      </c>
      <c r="G8" s="1021"/>
      <c r="H8" s="117"/>
      <c r="I8" s="1021" t="s">
        <v>608</v>
      </c>
      <c r="J8" s="1021"/>
      <c r="L8" s="1021" t="s">
        <v>2103</v>
      </c>
      <c r="M8" s="1021"/>
    </row>
    <row r="9" spans="1:14" ht="15" customHeight="1">
      <c r="A9" s="75" t="s">
        <v>1501</v>
      </c>
      <c r="B9" s="116"/>
      <c r="C9" s="160" t="s">
        <v>437</v>
      </c>
      <c r="D9" s="161" t="s">
        <v>153</v>
      </c>
      <c r="E9" s="117"/>
      <c r="F9" s="837" t="s">
        <v>437</v>
      </c>
      <c r="G9" s="150" t="s">
        <v>153</v>
      </c>
      <c r="H9" s="117"/>
      <c r="I9" s="837" t="s">
        <v>437</v>
      </c>
      <c r="J9" s="162" t="s">
        <v>153</v>
      </c>
      <c r="L9" s="837" t="s">
        <v>437</v>
      </c>
      <c r="M9" s="162" t="s">
        <v>153</v>
      </c>
    </row>
    <row r="10" spans="1:14" ht="15" customHeight="1" thickBot="1">
      <c r="A10" s="102"/>
      <c r="B10" s="102"/>
      <c r="C10" s="153"/>
      <c r="D10" s="103"/>
      <c r="E10" s="102"/>
      <c r="F10" s="153"/>
      <c r="G10" s="96"/>
      <c r="H10" s="102"/>
      <c r="I10" s="153"/>
      <c r="J10" s="96"/>
      <c r="L10" s="153"/>
      <c r="M10" s="96"/>
    </row>
    <row r="11" spans="1:14" ht="15" customHeight="1">
      <c r="A11" s="116"/>
      <c r="B11" s="116"/>
      <c r="C11" s="154"/>
      <c r="D11" s="134"/>
      <c r="E11" s="116"/>
      <c r="F11" s="154"/>
      <c r="G11" s="135"/>
      <c r="H11" s="116"/>
      <c r="I11" s="154"/>
      <c r="K11" s="99"/>
      <c r="L11" s="154"/>
      <c r="M11" s="105"/>
      <c r="N11" s="99"/>
    </row>
    <row r="12" spans="1:14" ht="15" customHeight="1">
      <c r="A12" s="57" t="s">
        <v>148</v>
      </c>
      <c r="B12" s="116"/>
      <c r="C12" s="154">
        <f>SUM(C13:C40)</f>
        <v>500</v>
      </c>
      <c r="D12" s="218">
        <f>SUM(D13:D38)</f>
        <v>31.999999999999993</v>
      </c>
      <c r="E12" s="116"/>
      <c r="F12" s="735">
        <f>SUM(F13:F40)</f>
        <v>242</v>
      </c>
      <c r="G12" s="218">
        <f>IF(A12&lt;&gt;0,F12/C12*100,"")</f>
        <v>48.4</v>
      </c>
      <c r="H12" s="304"/>
      <c r="I12" s="735">
        <f>SUM(I13:I40)</f>
        <v>242</v>
      </c>
      <c r="J12" s="218">
        <f>IF(A12&lt;&gt;0,I12/C12*100,"")</f>
        <v>48.4</v>
      </c>
      <c r="K12" s="914"/>
      <c r="L12" s="735">
        <f>SUM(L13:L40)</f>
        <v>16</v>
      </c>
      <c r="M12" s="218">
        <f>IF(D12&lt;&gt;0,L12/F12*100,"")</f>
        <v>6.6115702479338845</v>
      </c>
    </row>
    <row r="13" spans="1:14" ht="14" customHeight="1">
      <c r="A13" s="912" t="s">
        <v>227</v>
      </c>
      <c r="B13" s="107"/>
      <c r="C13" s="217">
        <f>SUM(F13+I13+L13)</f>
        <v>27</v>
      </c>
      <c r="D13" s="218">
        <f>IF(C12&lt;&gt;0,C13/$C$12*100,"")</f>
        <v>5.4</v>
      </c>
      <c r="E13" s="219"/>
      <c r="F13" s="913">
        <v>7</v>
      </c>
      <c r="G13" s="218">
        <f>IF(A13&lt;&gt;0,F13/C13*100,"")</f>
        <v>25.925925925925924</v>
      </c>
      <c r="H13" s="219"/>
      <c r="I13" s="913">
        <v>20</v>
      </c>
      <c r="J13" s="218">
        <f t="shared" ref="J13:J40" si="0">IF(A13&lt;&gt;0,I13/C13*100,"")</f>
        <v>74.074074074074076</v>
      </c>
      <c r="K13" s="234"/>
      <c r="L13" s="913">
        <v>0</v>
      </c>
      <c r="M13" s="218">
        <f>IF(A13&lt;&gt;0,L13/C13*100,"")</f>
        <v>0</v>
      </c>
    </row>
    <row r="14" spans="1:14" ht="14" customHeight="1">
      <c r="A14" s="912" t="s">
        <v>2104</v>
      </c>
      <c r="B14" s="107"/>
      <c r="C14" s="217">
        <f t="shared" ref="C14:C40" si="1">SUM(F14+I14+L14)</f>
        <v>14</v>
      </c>
      <c r="D14" s="218">
        <f>IF(C13&lt;&gt;0,C14/$C$12*100,"")</f>
        <v>2.8000000000000003</v>
      </c>
      <c r="E14" s="219"/>
      <c r="F14" s="913">
        <v>3</v>
      </c>
      <c r="G14" s="218">
        <f t="shared" ref="G14:G40" si="2">IF(A14&lt;&gt;0,F14/C14*100,"")</f>
        <v>21.428571428571427</v>
      </c>
      <c r="H14" s="219"/>
      <c r="I14" s="913">
        <v>11</v>
      </c>
      <c r="J14" s="218">
        <f t="shared" si="0"/>
        <v>78.571428571428569</v>
      </c>
      <c r="K14" s="234"/>
      <c r="L14" s="913">
        <v>0</v>
      </c>
      <c r="M14" s="218">
        <f t="shared" ref="M14:M40" si="3">IF(A14&lt;&gt;0,L14/C14*100,"")</f>
        <v>0</v>
      </c>
    </row>
    <row r="15" spans="1:14" ht="14" customHeight="1">
      <c r="A15" s="912" t="s">
        <v>1502</v>
      </c>
      <c r="B15" s="107"/>
      <c r="C15" s="217">
        <f t="shared" si="1"/>
        <v>12</v>
      </c>
      <c r="D15" s="218">
        <f>IF(C14&lt;&gt;0,C15/$C$12*100,"")</f>
        <v>2.4</v>
      </c>
      <c r="E15" s="219"/>
      <c r="F15" s="913">
        <v>6</v>
      </c>
      <c r="G15" s="218">
        <f t="shared" si="2"/>
        <v>50</v>
      </c>
      <c r="H15" s="219"/>
      <c r="I15" s="913">
        <v>6</v>
      </c>
      <c r="J15" s="218">
        <f t="shared" si="0"/>
        <v>50</v>
      </c>
      <c r="K15" s="234"/>
      <c r="L15" s="913">
        <v>0</v>
      </c>
      <c r="M15" s="218">
        <f t="shared" si="3"/>
        <v>0</v>
      </c>
    </row>
    <row r="16" spans="1:14" ht="14" customHeight="1">
      <c r="A16" s="912" t="s">
        <v>1804</v>
      </c>
      <c r="B16" s="107"/>
      <c r="C16" s="217">
        <f t="shared" si="1"/>
        <v>8</v>
      </c>
      <c r="D16" s="218">
        <f>IF(C14&lt;&gt;0,C16/$C$12*100,"")</f>
        <v>1.6</v>
      </c>
      <c r="E16" s="219"/>
      <c r="F16" s="913">
        <v>4</v>
      </c>
      <c r="G16" s="218">
        <f t="shared" si="2"/>
        <v>50</v>
      </c>
      <c r="H16" s="219"/>
      <c r="I16" s="913">
        <v>4</v>
      </c>
      <c r="J16" s="218">
        <f t="shared" si="0"/>
        <v>50</v>
      </c>
      <c r="K16" s="234"/>
      <c r="L16" s="913">
        <v>0</v>
      </c>
      <c r="M16" s="218">
        <f t="shared" si="3"/>
        <v>0</v>
      </c>
    </row>
    <row r="17" spans="1:13" ht="14" customHeight="1">
      <c r="A17" s="912" t="s">
        <v>1505</v>
      </c>
      <c r="B17" s="107"/>
      <c r="C17" s="217">
        <f t="shared" si="1"/>
        <v>5</v>
      </c>
      <c r="D17" s="218">
        <f>IF(C17&lt;&gt;0,C17/$C$12*100,"")</f>
        <v>1</v>
      </c>
      <c r="E17" s="219"/>
      <c r="F17" s="913">
        <v>3</v>
      </c>
      <c r="G17" s="218">
        <f t="shared" si="2"/>
        <v>60</v>
      </c>
      <c r="H17" s="219"/>
      <c r="I17" s="913">
        <v>2</v>
      </c>
      <c r="J17" s="218">
        <f t="shared" si="0"/>
        <v>40</v>
      </c>
      <c r="K17" s="234"/>
      <c r="L17" s="913">
        <v>0</v>
      </c>
      <c r="M17" s="218">
        <f t="shared" si="3"/>
        <v>0</v>
      </c>
    </row>
    <row r="18" spans="1:13" ht="14" customHeight="1">
      <c r="A18" s="912" t="s">
        <v>2105</v>
      </c>
      <c r="B18" s="107"/>
      <c r="C18" s="217">
        <f t="shared" si="1"/>
        <v>2</v>
      </c>
      <c r="D18" s="218">
        <f>IF(C16&lt;&gt;0,C18/$C$12*100,"")</f>
        <v>0.4</v>
      </c>
      <c r="E18" s="219"/>
      <c r="F18" s="913">
        <v>1</v>
      </c>
      <c r="G18" s="218">
        <f t="shared" si="2"/>
        <v>50</v>
      </c>
      <c r="H18" s="219"/>
      <c r="I18" s="913">
        <v>1</v>
      </c>
      <c r="J18" s="218">
        <f t="shared" si="0"/>
        <v>50</v>
      </c>
      <c r="K18" s="234"/>
      <c r="L18" s="913">
        <v>0</v>
      </c>
      <c r="M18" s="218">
        <f t="shared" si="3"/>
        <v>0</v>
      </c>
    </row>
    <row r="19" spans="1:13" ht="14" customHeight="1">
      <c r="A19" s="912" t="s">
        <v>2106</v>
      </c>
      <c r="B19" s="107"/>
      <c r="C19" s="217">
        <f t="shared" si="1"/>
        <v>3</v>
      </c>
      <c r="D19" s="218">
        <f>IF(C18&lt;&gt;0,C19/$C$12*100,"")</f>
        <v>0.6</v>
      </c>
      <c r="E19" s="219"/>
      <c r="F19" s="913">
        <v>2</v>
      </c>
      <c r="G19" s="218">
        <f t="shared" si="2"/>
        <v>66.666666666666657</v>
      </c>
      <c r="H19" s="219"/>
      <c r="I19" s="913">
        <v>1</v>
      </c>
      <c r="J19" s="218">
        <f t="shared" si="0"/>
        <v>33.333333333333329</v>
      </c>
      <c r="K19" s="234"/>
      <c r="L19" s="913">
        <v>0</v>
      </c>
      <c r="M19" s="218">
        <f t="shared" si="3"/>
        <v>0</v>
      </c>
    </row>
    <row r="20" spans="1:13" ht="14" customHeight="1">
      <c r="A20" s="912" t="s">
        <v>1506</v>
      </c>
      <c r="B20" s="107"/>
      <c r="C20" s="217">
        <f t="shared" si="1"/>
        <v>19</v>
      </c>
      <c r="D20" s="218">
        <f>IF(C20&lt;&gt;0,C20/$C$12*100,"")</f>
        <v>3.8</v>
      </c>
      <c r="E20" s="219"/>
      <c r="F20" s="913">
        <v>10</v>
      </c>
      <c r="G20" s="218">
        <f t="shared" si="2"/>
        <v>52.631578947368418</v>
      </c>
      <c r="H20" s="219"/>
      <c r="I20" s="913">
        <v>9</v>
      </c>
      <c r="J20" s="218">
        <f t="shared" si="0"/>
        <v>47.368421052631575</v>
      </c>
      <c r="K20" s="234"/>
      <c r="L20" s="913">
        <v>0</v>
      </c>
      <c r="M20" s="218">
        <f t="shared" si="3"/>
        <v>0</v>
      </c>
    </row>
    <row r="21" spans="1:13" ht="24.75" customHeight="1">
      <c r="A21" s="912" t="s">
        <v>1507</v>
      </c>
      <c r="B21" s="107"/>
      <c r="C21" s="217">
        <f t="shared" si="1"/>
        <v>7</v>
      </c>
      <c r="D21" s="218">
        <f>IF(C21&lt;&gt;0,C21/$C$12*100,"")</f>
        <v>1.4000000000000001</v>
      </c>
      <c r="E21" s="219"/>
      <c r="F21" s="913">
        <v>0</v>
      </c>
      <c r="G21" s="218">
        <f t="shared" si="2"/>
        <v>0</v>
      </c>
      <c r="H21" s="219"/>
      <c r="I21" s="913">
        <v>7</v>
      </c>
      <c r="J21" s="218">
        <f t="shared" si="0"/>
        <v>100</v>
      </c>
      <c r="K21" s="234"/>
      <c r="L21" s="913">
        <v>0</v>
      </c>
      <c r="M21" s="218">
        <f t="shared" si="3"/>
        <v>0</v>
      </c>
    </row>
    <row r="22" spans="1:13" ht="14" customHeight="1">
      <c r="A22" s="912" t="s">
        <v>1508</v>
      </c>
      <c r="B22" s="107"/>
      <c r="C22" s="217">
        <f t="shared" si="1"/>
        <v>8</v>
      </c>
      <c r="D22" s="218">
        <f t="shared" ref="D22:D40" si="4">IF(C22&lt;&gt;0,C22/$C$12*100,"")</f>
        <v>1.6</v>
      </c>
      <c r="E22" s="219"/>
      <c r="F22" s="913">
        <v>6</v>
      </c>
      <c r="G22" s="218">
        <f t="shared" si="2"/>
        <v>75</v>
      </c>
      <c r="H22" s="219"/>
      <c r="I22" s="913">
        <v>2</v>
      </c>
      <c r="J22" s="218">
        <f t="shared" si="0"/>
        <v>25</v>
      </c>
      <c r="K22" s="234"/>
      <c r="L22" s="913">
        <v>0</v>
      </c>
      <c r="M22" s="218">
        <f t="shared" si="3"/>
        <v>0</v>
      </c>
    </row>
    <row r="23" spans="1:13" ht="14" customHeight="1">
      <c r="A23" s="912" t="s">
        <v>1597</v>
      </c>
      <c r="B23" s="107"/>
      <c r="C23" s="217">
        <f t="shared" si="1"/>
        <v>5</v>
      </c>
      <c r="D23" s="218">
        <f t="shared" si="4"/>
        <v>1</v>
      </c>
      <c r="E23" s="219"/>
      <c r="F23" s="913">
        <v>3</v>
      </c>
      <c r="G23" s="218">
        <f t="shared" si="2"/>
        <v>60</v>
      </c>
      <c r="H23" s="219"/>
      <c r="I23" s="913">
        <v>2</v>
      </c>
      <c r="J23" s="218">
        <f t="shared" si="0"/>
        <v>40</v>
      </c>
      <c r="K23" s="234"/>
      <c r="L23" s="913">
        <v>0</v>
      </c>
      <c r="M23" s="218">
        <f t="shared" si="3"/>
        <v>0</v>
      </c>
    </row>
    <row r="24" spans="1:13" ht="14" customHeight="1">
      <c r="A24" s="912" t="s">
        <v>1509</v>
      </c>
      <c r="B24" s="107"/>
      <c r="C24" s="217">
        <f t="shared" si="1"/>
        <v>7</v>
      </c>
      <c r="D24" s="218">
        <f t="shared" si="4"/>
        <v>1.4000000000000001</v>
      </c>
      <c r="E24" s="219"/>
      <c r="F24" s="913">
        <v>5</v>
      </c>
      <c r="G24" s="218">
        <f t="shared" si="2"/>
        <v>71.428571428571431</v>
      </c>
      <c r="H24" s="219"/>
      <c r="I24" s="913">
        <v>2</v>
      </c>
      <c r="J24" s="218">
        <f t="shared" si="0"/>
        <v>28.571428571428569</v>
      </c>
      <c r="K24" s="234"/>
      <c r="L24" s="913">
        <v>0</v>
      </c>
      <c r="M24" s="218">
        <f t="shared" si="3"/>
        <v>0</v>
      </c>
    </row>
    <row r="25" spans="1:13" ht="14" customHeight="1">
      <c r="A25" s="912" t="s">
        <v>1510</v>
      </c>
      <c r="B25" s="107"/>
      <c r="C25" s="217">
        <f t="shared" si="1"/>
        <v>4</v>
      </c>
      <c r="D25" s="218">
        <f t="shared" si="4"/>
        <v>0.8</v>
      </c>
      <c r="E25" s="219"/>
      <c r="F25" s="913">
        <v>2</v>
      </c>
      <c r="G25" s="218">
        <f t="shared" si="2"/>
        <v>50</v>
      </c>
      <c r="H25" s="219"/>
      <c r="I25" s="913">
        <v>2</v>
      </c>
      <c r="J25" s="218">
        <f t="shared" si="0"/>
        <v>50</v>
      </c>
      <c r="K25" s="234"/>
      <c r="L25" s="913">
        <v>0</v>
      </c>
      <c r="M25" s="218">
        <f t="shared" si="3"/>
        <v>0</v>
      </c>
    </row>
    <row r="26" spans="1:13" ht="14" customHeight="1">
      <c r="A26" s="912" t="s">
        <v>1511</v>
      </c>
      <c r="B26" s="107"/>
      <c r="C26" s="217">
        <f t="shared" si="1"/>
        <v>1</v>
      </c>
      <c r="D26" s="218">
        <f t="shared" si="4"/>
        <v>0.2</v>
      </c>
      <c r="E26" s="219"/>
      <c r="F26" s="913">
        <v>0</v>
      </c>
      <c r="G26" s="218">
        <f t="shared" si="2"/>
        <v>0</v>
      </c>
      <c r="H26" s="219"/>
      <c r="I26" s="913">
        <v>1</v>
      </c>
      <c r="J26" s="218">
        <f t="shared" si="0"/>
        <v>100</v>
      </c>
      <c r="K26" s="234"/>
      <c r="L26" s="913">
        <v>0</v>
      </c>
      <c r="M26" s="218">
        <f t="shared" si="3"/>
        <v>0</v>
      </c>
    </row>
    <row r="27" spans="1:13" ht="14" customHeight="1">
      <c r="A27" s="912" t="s">
        <v>1512</v>
      </c>
      <c r="B27" s="107"/>
      <c r="C27" s="217">
        <f t="shared" si="1"/>
        <v>7</v>
      </c>
      <c r="D27" s="218">
        <f t="shared" si="4"/>
        <v>1.4000000000000001</v>
      </c>
      <c r="E27" s="219"/>
      <c r="F27" s="913">
        <v>3</v>
      </c>
      <c r="G27" s="218">
        <f t="shared" si="2"/>
        <v>42.857142857142854</v>
      </c>
      <c r="H27" s="219"/>
      <c r="I27" s="913">
        <v>4</v>
      </c>
      <c r="J27" s="218">
        <f t="shared" si="0"/>
        <v>57.142857142857139</v>
      </c>
      <c r="K27" s="234"/>
      <c r="L27" s="913">
        <v>0</v>
      </c>
      <c r="M27" s="218">
        <f t="shared" si="3"/>
        <v>0</v>
      </c>
    </row>
    <row r="28" spans="1:13" ht="14" customHeight="1">
      <c r="A28" s="912" t="s">
        <v>1514</v>
      </c>
      <c r="B28" s="107"/>
      <c r="C28" s="217">
        <f t="shared" si="1"/>
        <v>6</v>
      </c>
      <c r="D28" s="218">
        <f t="shared" si="4"/>
        <v>1.2</v>
      </c>
      <c r="E28" s="219"/>
      <c r="F28" s="913">
        <v>3</v>
      </c>
      <c r="G28" s="218">
        <f t="shared" si="2"/>
        <v>50</v>
      </c>
      <c r="H28" s="219"/>
      <c r="I28" s="913">
        <v>3</v>
      </c>
      <c r="J28" s="218">
        <f t="shared" si="0"/>
        <v>50</v>
      </c>
      <c r="K28" s="234"/>
      <c r="L28" s="913">
        <v>0</v>
      </c>
      <c r="M28" s="218">
        <f t="shared" si="3"/>
        <v>0</v>
      </c>
    </row>
    <row r="29" spans="1:13" ht="14" customHeight="1">
      <c r="A29" s="912" t="s">
        <v>1600</v>
      </c>
      <c r="B29" s="107"/>
      <c r="C29" s="217">
        <f t="shared" si="1"/>
        <v>5</v>
      </c>
      <c r="D29" s="218">
        <f t="shared" si="4"/>
        <v>1</v>
      </c>
      <c r="E29" s="219"/>
      <c r="F29" s="913">
        <v>2</v>
      </c>
      <c r="G29" s="218">
        <f t="shared" si="2"/>
        <v>40</v>
      </c>
      <c r="H29" s="219"/>
      <c r="I29" s="913">
        <v>3</v>
      </c>
      <c r="J29" s="218">
        <f t="shared" si="0"/>
        <v>60</v>
      </c>
      <c r="K29" s="234"/>
      <c r="L29" s="913">
        <v>0</v>
      </c>
      <c r="M29" s="218">
        <f t="shared" si="3"/>
        <v>0</v>
      </c>
    </row>
    <row r="30" spans="1:13" ht="14" customHeight="1">
      <c r="A30" s="912" t="s">
        <v>1516</v>
      </c>
      <c r="B30" s="107"/>
      <c r="C30" s="217">
        <f t="shared" si="1"/>
        <v>3</v>
      </c>
      <c r="D30" s="218">
        <f t="shared" si="4"/>
        <v>0.6</v>
      </c>
      <c r="E30" s="219"/>
      <c r="F30" s="913">
        <v>2</v>
      </c>
      <c r="G30" s="218">
        <f t="shared" si="2"/>
        <v>66.666666666666657</v>
      </c>
      <c r="H30" s="219"/>
      <c r="I30" s="913">
        <v>1</v>
      </c>
      <c r="J30" s="218">
        <f t="shared" si="0"/>
        <v>33.333333333333329</v>
      </c>
      <c r="K30" s="234"/>
      <c r="L30" s="913">
        <v>0</v>
      </c>
      <c r="M30" s="218">
        <f t="shared" si="3"/>
        <v>0</v>
      </c>
    </row>
    <row r="31" spans="1:13" ht="14" customHeight="1">
      <c r="A31" s="912" t="s">
        <v>1504</v>
      </c>
      <c r="B31" s="107"/>
      <c r="C31" s="217">
        <f t="shared" si="1"/>
        <v>4</v>
      </c>
      <c r="D31" s="218">
        <f t="shared" si="4"/>
        <v>0.8</v>
      </c>
      <c r="E31" s="219"/>
      <c r="F31" s="913">
        <v>2</v>
      </c>
      <c r="G31" s="218">
        <f t="shared" si="2"/>
        <v>50</v>
      </c>
      <c r="H31" s="219"/>
      <c r="I31" s="913">
        <v>2</v>
      </c>
      <c r="J31" s="218">
        <f t="shared" si="0"/>
        <v>50</v>
      </c>
      <c r="K31" s="234"/>
      <c r="L31" s="913">
        <v>0</v>
      </c>
      <c r="M31" s="218">
        <f t="shared" si="3"/>
        <v>0</v>
      </c>
    </row>
    <row r="32" spans="1:13" ht="14" customHeight="1">
      <c r="A32" s="912" t="s">
        <v>1515</v>
      </c>
      <c r="B32" s="107"/>
      <c r="C32" s="217">
        <f t="shared" si="1"/>
        <v>1</v>
      </c>
      <c r="D32" s="218">
        <f t="shared" si="4"/>
        <v>0.2</v>
      </c>
      <c r="E32" s="219"/>
      <c r="F32" s="913">
        <v>0</v>
      </c>
      <c r="G32" s="218">
        <f t="shared" si="2"/>
        <v>0</v>
      </c>
      <c r="H32" s="219"/>
      <c r="I32" s="913">
        <v>1</v>
      </c>
      <c r="J32" s="218">
        <f t="shared" si="0"/>
        <v>100</v>
      </c>
      <c r="K32" s="234"/>
      <c r="L32" s="913">
        <v>0</v>
      </c>
      <c r="M32" s="218">
        <f t="shared" si="3"/>
        <v>0</v>
      </c>
    </row>
    <row r="33" spans="1:14" ht="14" customHeight="1">
      <c r="A33" s="912" t="s">
        <v>1601</v>
      </c>
      <c r="B33" s="107"/>
      <c r="C33" s="217">
        <f t="shared" si="1"/>
        <v>1</v>
      </c>
      <c r="D33" s="218">
        <f t="shared" si="4"/>
        <v>0.2</v>
      </c>
      <c r="E33" s="219"/>
      <c r="F33" s="913">
        <v>0</v>
      </c>
      <c r="G33" s="218">
        <f t="shared" si="2"/>
        <v>0</v>
      </c>
      <c r="H33" s="219"/>
      <c r="I33" s="913">
        <v>1</v>
      </c>
      <c r="J33" s="218">
        <f t="shared" si="0"/>
        <v>100</v>
      </c>
      <c r="K33" s="234"/>
      <c r="L33" s="913">
        <v>0</v>
      </c>
      <c r="M33" s="218">
        <f t="shared" si="3"/>
        <v>0</v>
      </c>
    </row>
    <row r="34" spans="1:14" ht="14" customHeight="1">
      <c r="A34" s="912" t="s">
        <v>1513</v>
      </c>
      <c r="B34" s="107"/>
      <c r="C34" s="217">
        <f t="shared" si="1"/>
        <v>6</v>
      </c>
      <c r="D34" s="218">
        <f t="shared" si="4"/>
        <v>1.2</v>
      </c>
      <c r="E34" s="219"/>
      <c r="F34" s="913">
        <v>5</v>
      </c>
      <c r="G34" s="218">
        <f t="shared" si="2"/>
        <v>83.333333333333343</v>
      </c>
      <c r="H34" s="219"/>
      <c r="I34" s="913">
        <v>1</v>
      </c>
      <c r="J34" s="218">
        <f t="shared" si="0"/>
        <v>16.666666666666664</v>
      </c>
      <c r="K34" s="234"/>
      <c r="L34" s="913">
        <v>0</v>
      </c>
      <c r="M34" s="218">
        <f t="shared" si="3"/>
        <v>0</v>
      </c>
    </row>
    <row r="35" spans="1:14" ht="14" customHeight="1">
      <c r="A35" s="912" t="s">
        <v>2107</v>
      </c>
      <c r="B35" s="107"/>
      <c r="C35" s="217">
        <f t="shared" si="1"/>
        <v>2</v>
      </c>
      <c r="D35" s="218">
        <f t="shared" si="4"/>
        <v>0.4</v>
      </c>
      <c r="E35" s="219"/>
      <c r="F35" s="913">
        <v>0</v>
      </c>
      <c r="G35" s="218">
        <f t="shared" si="2"/>
        <v>0</v>
      </c>
      <c r="H35" s="219"/>
      <c r="I35" s="913">
        <v>1</v>
      </c>
      <c r="J35" s="218">
        <f t="shared" si="0"/>
        <v>50</v>
      </c>
      <c r="K35" s="234"/>
      <c r="L35" s="913">
        <v>1</v>
      </c>
      <c r="M35" s="218">
        <f t="shared" si="3"/>
        <v>50</v>
      </c>
    </row>
    <row r="36" spans="1:14" ht="14" customHeight="1">
      <c r="A36" s="912" t="s">
        <v>2108</v>
      </c>
      <c r="B36" s="107"/>
      <c r="C36" s="217">
        <f t="shared" si="1"/>
        <v>1</v>
      </c>
      <c r="D36" s="218">
        <f t="shared" si="4"/>
        <v>0.2</v>
      </c>
      <c r="E36" s="219"/>
      <c r="F36" s="913">
        <v>1</v>
      </c>
      <c r="G36" s="218">
        <f t="shared" si="2"/>
        <v>100</v>
      </c>
      <c r="H36" s="219"/>
      <c r="I36" s="913">
        <v>0</v>
      </c>
      <c r="J36" s="218">
        <f t="shared" si="0"/>
        <v>0</v>
      </c>
      <c r="K36" s="234"/>
      <c r="L36" s="913">
        <v>0</v>
      </c>
      <c r="M36" s="218">
        <f t="shared" si="3"/>
        <v>0</v>
      </c>
    </row>
    <row r="37" spans="1:14" ht="14" customHeight="1">
      <c r="A37" s="912" t="s">
        <v>2109</v>
      </c>
      <c r="B37" s="107"/>
      <c r="C37" s="217">
        <f t="shared" si="1"/>
        <v>1</v>
      </c>
      <c r="D37" s="218">
        <f t="shared" si="4"/>
        <v>0.2</v>
      </c>
      <c r="E37" s="219"/>
      <c r="F37" s="913">
        <v>1</v>
      </c>
      <c r="G37" s="218">
        <f t="shared" si="2"/>
        <v>100</v>
      </c>
      <c r="H37" s="219"/>
      <c r="I37" s="913">
        <v>0</v>
      </c>
      <c r="J37" s="218">
        <f t="shared" si="0"/>
        <v>0</v>
      </c>
      <c r="K37" s="234"/>
      <c r="L37" s="913">
        <v>0</v>
      </c>
      <c r="M37" s="218">
        <f t="shared" si="3"/>
        <v>0</v>
      </c>
    </row>
    <row r="38" spans="1:14" ht="14" customHeight="1">
      <c r="A38" s="912" t="s">
        <v>1598</v>
      </c>
      <c r="B38" s="107"/>
      <c r="C38" s="217">
        <f t="shared" si="1"/>
        <v>1</v>
      </c>
      <c r="D38" s="218">
        <f t="shared" si="4"/>
        <v>0.2</v>
      </c>
      <c r="E38" s="219"/>
      <c r="F38" s="913">
        <v>1</v>
      </c>
      <c r="G38" s="218">
        <f t="shared" si="2"/>
        <v>100</v>
      </c>
      <c r="H38" s="219"/>
      <c r="I38" s="913">
        <v>0</v>
      </c>
      <c r="J38" s="218">
        <f t="shared" si="0"/>
        <v>0</v>
      </c>
      <c r="K38" s="234"/>
      <c r="L38" s="913">
        <v>0</v>
      </c>
      <c r="M38" s="218">
        <f t="shared" si="3"/>
        <v>0</v>
      </c>
    </row>
    <row r="39" spans="1:14" ht="24" customHeight="1">
      <c r="A39" s="912" t="s">
        <v>290</v>
      </c>
      <c r="B39" s="107"/>
      <c r="C39" s="217">
        <f t="shared" si="1"/>
        <v>2</v>
      </c>
      <c r="D39" s="218">
        <f t="shared" si="4"/>
        <v>0.4</v>
      </c>
      <c r="E39" s="219"/>
      <c r="F39" s="913">
        <v>1</v>
      </c>
      <c r="G39" s="218">
        <f t="shared" si="2"/>
        <v>50</v>
      </c>
      <c r="H39" s="219"/>
      <c r="I39" s="913">
        <v>1</v>
      </c>
      <c r="J39" s="218">
        <f t="shared" si="0"/>
        <v>50</v>
      </c>
      <c r="K39" s="234"/>
      <c r="L39" s="913">
        <v>0</v>
      </c>
      <c r="M39" s="218">
        <f t="shared" si="3"/>
        <v>0</v>
      </c>
    </row>
    <row r="40" spans="1:14" ht="26.25" customHeight="1">
      <c r="A40" s="912" t="s">
        <v>2110</v>
      </c>
      <c r="B40" s="107"/>
      <c r="C40" s="217">
        <f t="shared" si="1"/>
        <v>338</v>
      </c>
      <c r="D40" s="218">
        <f t="shared" si="4"/>
        <v>67.600000000000009</v>
      </c>
      <c r="E40" s="219"/>
      <c r="F40" s="913">
        <v>169</v>
      </c>
      <c r="G40" s="218">
        <f t="shared" si="2"/>
        <v>50</v>
      </c>
      <c r="H40" s="219"/>
      <c r="I40" s="913">
        <v>154</v>
      </c>
      <c r="J40" s="218">
        <f t="shared" si="0"/>
        <v>45.562130177514796</v>
      </c>
      <c r="K40" s="234"/>
      <c r="L40" s="913">
        <v>15</v>
      </c>
      <c r="M40" s="218">
        <f t="shared" si="3"/>
        <v>4.4378698224852071</v>
      </c>
    </row>
    <row r="41" spans="1:14" ht="14" customHeight="1" thickBot="1">
      <c r="A41" s="107"/>
      <c r="B41" s="107"/>
      <c r="C41" s="217"/>
      <c r="D41" s="129"/>
      <c r="E41" s="219"/>
      <c r="F41" s="217"/>
      <c r="G41" s="218"/>
      <c r="H41" s="219"/>
      <c r="I41" s="217"/>
      <c r="J41" s="218"/>
      <c r="L41" s="217"/>
      <c r="M41" s="217"/>
      <c r="N41" s="217"/>
    </row>
    <row r="42" spans="1:14" ht="13.25" customHeight="1">
      <c r="A42" s="97"/>
      <c r="B42" s="97"/>
      <c r="C42" s="144"/>
      <c r="D42" s="98"/>
      <c r="E42" s="97"/>
      <c r="F42" s="144"/>
      <c r="G42" s="99"/>
      <c r="H42" s="97"/>
      <c r="I42" s="144"/>
      <c r="J42" s="99"/>
      <c r="K42" s="99"/>
      <c r="L42" s="144"/>
      <c r="M42" s="144"/>
      <c r="N42" s="144"/>
    </row>
    <row r="43" spans="1:14" ht="13.25" customHeight="1">
      <c r="A43" s="203" t="s">
        <v>701</v>
      </c>
      <c r="B43" s="116"/>
      <c r="C43" s="154"/>
      <c r="D43" s="134"/>
      <c r="E43" s="116"/>
      <c r="F43" s="154"/>
      <c r="G43" s="135"/>
      <c r="H43" s="116"/>
      <c r="I43" s="154"/>
      <c r="J43" s="135"/>
      <c r="K43" s="135"/>
    </row>
    <row r="44" spans="1:14" ht="6.75" customHeight="1">
      <c r="A44" s="116"/>
      <c r="B44" s="116"/>
      <c r="C44" s="154"/>
      <c r="D44" s="134"/>
      <c r="E44" s="116"/>
      <c r="F44" s="154"/>
      <c r="G44" s="135"/>
      <c r="H44" s="116"/>
      <c r="I44" s="154"/>
      <c r="J44" s="135"/>
      <c r="K44" s="135"/>
    </row>
    <row r="45" spans="1:14">
      <c r="A45" s="95" t="s">
        <v>1472</v>
      </c>
    </row>
    <row r="46" spans="1:14">
      <c r="A46" s="95" t="s">
        <v>452</v>
      </c>
    </row>
  </sheetData>
  <mergeCells count="4">
    <mergeCell ref="C8:D8"/>
    <mergeCell ref="F8:G8"/>
    <mergeCell ref="I8:J8"/>
    <mergeCell ref="L8:M8"/>
  </mergeCells>
  <conditionalFormatting sqref="A1:XFD1048576">
    <cfRule type="cellIs" dxfId="11" priority="1" operator="equal">
      <formula>0</formula>
    </cfRule>
  </conditionalFormatting>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J32"/>
  <sheetViews>
    <sheetView workbookViewId="0">
      <selection activeCell="A2" sqref="A2"/>
    </sheetView>
  </sheetViews>
  <sheetFormatPr baseColWidth="10" defaultRowHeight="15"/>
  <cols>
    <col min="1" max="1" width="25.6640625" customWidth="1"/>
    <col min="2" max="2" width="7.83203125" customWidth="1"/>
    <col min="3" max="3" width="8.6640625" style="36" customWidth="1"/>
    <col min="4" max="4" width="3.6640625" style="36" customWidth="1"/>
    <col min="5" max="5" width="7.6640625" customWidth="1"/>
    <col min="6" max="6" width="8.6640625" style="36" customWidth="1"/>
    <col min="7" max="7" width="3.6640625" customWidth="1"/>
    <col min="257" max="257" width="25.6640625" customWidth="1"/>
    <col min="258" max="258" width="6.6640625" customWidth="1"/>
    <col min="259" max="259" width="8.6640625" customWidth="1"/>
    <col min="260" max="260" width="3.6640625" customWidth="1"/>
    <col min="261" max="261" width="6.6640625" customWidth="1"/>
    <col min="262" max="262" width="8.6640625" customWidth="1"/>
    <col min="263" max="263" width="3.6640625" customWidth="1"/>
    <col min="513" max="513" width="25.6640625" customWidth="1"/>
    <col min="514" max="514" width="6.6640625" customWidth="1"/>
    <col min="515" max="515" width="8.6640625" customWidth="1"/>
    <col min="516" max="516" width="3.6640625" customWidth="1"/>
    <col min="517" max="517" width="6.6640625" customWidth="1"/>
    <col min="518" max="518" width="8.6640625" customWidth="1"/>
    <col min="519" max="519" width="3.6640625" customWidth="1"/>
    <col min="769" max="769" width="25.6640625" customWidth="1"/>
    <col min="770" max="770" width="6.6640625" customWidth="1"/>
    <col min="771" max="771" width="8.6640625" customWidth="1"/>
    <col min="772" max="772" width="3.6640625" customWidth="1"/>
    <col min="773" max="773" width="6.6640625" customWidth="1"/>
    <col min="774" max="774" width="8.6640625" customWidth="1"/>
    <col min="775" max="775" width="3.6640625" customWidth="1"/>
    <col min="1025" max="1025" width="25.6640625" customWidth="1"/>
    <col min="1026" max="1026" width="6.6640625" customWidth="1"/>
    <col min="1027" max="1027" width="8.6640625" customWidth="1"/>
    <col min="1028" max="1028" width="3.6640625" customWidth="1"/>
    <col min="1029" max="1029" width="6.6640625" customWidth="1"/>
    <col min="1030" max="1030" width="8.6640625" customWidth="1"/>
    <col min="1031" max="1031" width="3.6640625" customWidth="1"/>
    <col min="1281" max="1281" width="25.6640625" customWidth="1"/>
    <col min="1282" max="1282" width="6.6640625" customWidth="1"/>
    <col min="1283" max="1283" width="8.6640625" customWidth="1"/>
    <col min="1284" max="1284" width="3.6640625" customWidth="1"/>
    <col min="1285" max="1285" width="6.6640625" customWidth="1"/>
    <col min="1286" max="1286" width="8.6640625" customWidth="1"/>
    <col min="1287" max="1287" width="3.6640625" customWidth="1"/>
    <col min="1537" max="1537" width="25.6640625" customWidth="1"/>
    <col min="1538" max="1538" width="6.6640625" customWidth="1"/>
    <col min="1539" max="1539" width="8.6640625" customWidth="1"/>
    <col min="1540" max="1540" width="3.6640625" customWidth="1"/>
    <col min="1541" max="1541" width="6.6640625" customWidth="1"/>
    <col min="1542" max="1542" width="8.6640625" customWidth="1"/>
    <col min="1543" max="1543" width="3.6640625" customWidth="1"/>
    <col min="1793" max="1793" width="25.6640625" customWidth="1"/>
    <col min="1794" max="1794" width="6.6640625" customWidth="1"/>
    <col min="1795" max="1795" width="8.6640625" customWidth="1"/>
    <col min="1796" max="1796" width="3.6640625" customWidth="1"/>
    <col min="1797" max="1797" width="6.6640625" customWidth="1"/>
    <col min="1798" max="1798" width="8.6640625" customWidth="1"/>
    <col min="1799" max="1799" width="3.6640625" customWidth="1"/>
    <col min="2049" max="2049" width="25.6640625" customWidth="1"/>
    <col min="2050" max="2050" width="6.6640625" customWidth="1"/>
    <col min="2051" max="2051" width="8.6640625" customWidth="1"/>
    <col min="2052" max="2052" width="3.6640625" customWidth="1"/>
    <col min="2053" max="2053" width="6.6640625" customWidth="1"/>
    <col min="2054" max="2054" width="8.6640625" customWidth="1"/>
    <col min="2055" max="2055" width="3.6640625" customWidth="1"/>
    <col min="2305" max="2305" width="25.6640625" customWidth="1"/>
    <col min="2306" max="2306" width="6.6640625" customWidth="1"/>
    <col min="2307" max="2307" width="8.6640625" customWidth="1"/>
    <col min="2308" max="2308" width="3.6640625" customWidth="1"/>
    <col min="2309" max="2309" width="6.6640625" customWidth="1"/>
    <col min="2310" max="2310" width="8.6640625" customWidth="1"/>
    <col min="2311" max="2311" width="3.6640625" customWidth="1"/>
    <col min="2561" max="2561" width="25.6640625" customWidth="1"/>
    <col min="2562" max="2562" width="6.6640625" customWidth="1"/>
    <col min="2563" max="2563" width="8.6640625" customWidth="1"/>
    <col min="2564" max="2564" width="3.6640625" customWidth="1"/>
    <col min="2565" max="2565" width="6.6640625" customWidth="1"/>
    <col min="2566" max="2566" width="8.6640625" customWidth="1"/>
    <col min="2567" max="2567" width="3.6640625" customWidth="1"/>
    <col min="2817" max="2817" width="25.6640625" customWidth="1"/>
    <col min="2818" max="2818" width="6.6640625" customWidth="1"/>
    <col min="2819" max="2819" width="8.6640625" customWidth="1"/>
    <col min="2820" max="2820" width="3.6640625" customWidth="1"/>
    <col min="2821" max="2821" width="6.6640625" customWidth="1"/>
    <col min="2822" max="2822" width="8.6640625" customWidth="1"/>
    <col min="2823" max="2823" width="3.6640625" customWidth="1"/>
    <col min="3073" max="3073" width="25.6640625" customWidth="1"/>
    <col min="3074" max="3074" width="6.6640625" customWidth="1"/>
    <col min="3075" max="3075" width="8.6640625" customWidth="1"/>
    <col min="3076" max="3076" width="3.6640625" customWidth="1"/>
    <col min="3077" max="3077" width="6.6640625" customWidth="1"/>
    <col min="3078" max="3078" width="8.6640625" customWidth="1"/>
    <col min="3079" max="3079" width="3.6640625" customWidth="1"/>
    <col min="3329" max="3329" width="25.6640625" customWidth="1"/>
    <col min="3330" max="3330" width="6.6640625" customWidth="1"/>
    <col min="3331" max="3331" width="8.6640625" customWidth="1"/>
    <col min="3332" max="3332" width="3.6640625" customWidth="1"/>
    <col min="3333" max="3333" width="6.6640625" customWidth="1"/>
    <col min="3334" max="3334" width="8.6640625" customWidth="1"/>
    <col min="3335" max="3335" width="3.6640625" customWidth="1"/>
    <col min="3585" max="3585" width="25.6640625" customWidth="1"/>
    <col min="3586" max="3586" width="6.6640625" customWidth="1"/>
    <col min="3587" max="3587" width="8.6640625" customWidth="1"/>
    <col min="3588" max="3588" width="3.6640625" customWidth="1"/>
    <col min="3589" max="3589" width="6.6640625" customWidth="1"/>
    <col min="3590" max="3590" width="8.6640625" customWidth="1"/>
    <col min="3591" max="3591" width="3.6640625" customWidth="1"/>
    <col min="3841" max="3841" width="25.6640625" customWidth="1"/>
    <col min="3842" max="3842" width="6.6640625" customWidth="1"/>
    <col min="3843" max="3843" width="8.6640625" customWidth="1"/>
    <col min="3844" max="3844" width="3.6640625" customWidth="1"/>
    <col min="3845" max="3845" width="6.6640625" customWidth="1"/>
    <col min="3846" max="3846" width="8.6640625" customWidth="1"/>
    <col min="3847" max="3847" width="3.6640625" customWidth="1"/>
    <col min="4097" max="4097" width="25.6640625" customWidth="1"/>
    <col min="4098" max="4098" width="6.6640625" customWidth="1"/>
    <col min="4099" max="4099" width="8.6640625" customWidth="1"/>
    <col min="4100" max="4100" width="3.6640625" customWidth="1"/>
    <col min="4101" max="4101" width="6.6640625" customWidth="1"/>
    <col min="4102" max="4102" width="8.6640625" customWidth="1"/>
    <col min="4103" max="4103" width="3.6640625" customWidth="1"/>
    <col min="4353" max="4353" width="25.6640625" customWidth="1"/>
    <col min="4354" max="4354" width="6.6640625" customWidth="1"/>
    <col min="4355" max="4355" width="8.6640625" customWidth="1"/>
    <col min="4356" max="4356" width="3.6640625" customWidth="1"/>
    <col min="4357" max="4357" width="6.6640625" customWidth="1"/>
    <col min="4358" max="4358" width="8.6640625" customWidth="1"/>
    <col min="4359" max="4359" width="3.6640625" customWidth="1"/>
    <col min="4609" max="4609" width="25.6640625" customWidth="1"/>
    <col min="4610" max="4610" width="6.6640625" customWidth="1"/>
    <col min="4611" max="4611" width="8.6640625" customWidth="1"/>
    <col min="4612" max="4612" width="3.6640625" customWidth="1"/>
    <col min="4613" max="4613" width="6.6640625" customWidth="1"/>
    <col min="4614" max="4614" width="8.6640625" customWidth="1"/>
    <col min="4615" max="4615" width="3.6640625" customWidth="1"/>
    <col min="4865" max="4865" width="25.6640625" customWidth="1"/>
    <col min="4866" max="4866" width="6.6640625" customWidth="1"/>
    <col min="4867" max="4867" width="8.6640625" customWidth="1"/>
    <col min="4868" max="4868" width="3.6640625" customWidth="1"/>
    <col min="4869" max="4869" width="6.6640625" customWidth="1"/>
    <col min="4870" max="4870" width="8.6640625" customWidth="1"/>
    <col min="4871" max="4871" width="3.6640625" customWidth="1"/>
    <col min="5121" max="5121" width="25.6640625" customWidth="1"/>
    <col min="5122" max="5122" width="6.6640625" customWidth="1"/>
    <col min="5123" max="5123" width="8.6640625" customWidth="1"/>
    <col min="5124" max="5124" width="3.6640625" customWidth="1"/>
    <col min="5125" max="5125" width="6.6640625" customWidth="1"/>
    <col min="5126" max="5126" width="8.6640625" customWidth="1"/>
    <col min="5127" max="5127" width="3.6640625" customWidth="1"/>
    <col min="5377" max="5377" width="25.6640625" customWidth="1"/>
    <col min="5378" max="5378" width="6.6640625" customWidth="1"/>
    <col min="5379" max="5379" width="8.6640625" customWidth="1"/>
    <col min="5380" max="5380" width="3.6640625" customWidth="1"/>
    <col min="5381" max="5381" width="6.6640625" customWidth="1"/>
    <col min="5382" max="5382" width="8.6640625" customWidth="1"/>
    <col min="5383" max="5383" width="3.6640625" customWidth="1"/>
    <col min="5633" max="5633" width="25.6640625" customWidth="1"/>
    <col min="5634" max="5634" width="6.6640625" customWidth="1"/>
    <col min="5635" max="5635" width="8.6640625" customWidth="1"/>
    <col min="5636" max="5636" width="3.6640625" customWidth="1"/>
    <col min="5637" max="5637" width="6.6640625" customWidth="1"/>
    <col min="5638" max="5638" width="8.6640625" customWidth="1"/>
    <col min="5639" max="5639" width="3.6640625" customWidth="1"/>
    <col min="5889" max="5889" width="25.6640625" customWidth="1"/>
    <col min="5890" max="5890" width="6.6640625" customWidth="1"/>
    <col min="5891" max="5891" width="8.6640625" customWidth="1"/>
    <col min="5892" max="5892" width="3.6640625" customWidth="1"/>
    <col min="5893" max="5893" width="6.6640625" customWidth="1"/>
    <col min="5894" max="5894" width="8.6640625" customWidth="1"/>
    <col min="5895" max="5895" width="3.6640625" customWidth="1"/>
    <col min="6145" max="6145" width="25.6640625" customWidth="1"/>
    <col min="6146" max="6146" width="6.6640625" customWidth="1"/>
    <col min="6147" max="6147" width="8.6640625" customWidth="1"/>
    <col min="6148" max="6148" width="3.6640625" customWidth="1"/>
    <col min="6149" max="6149" width="6.6640625" customWidth="1"/>
    <col min="6150" max="6150" width="8.6640625" customWidth="1"/>
    <col min="6151" max="6151" width="3.6640625" customWidth="1"/>
    <col min="6401" max="6401" width="25.6640625" customWidth="1"/>
    <col min="6402" max="6402" width="6.6640625" customWidth="1"/>
    <col min="6403" max="6403" width="8.6640625" customWidth="1"/>
    <col min="6404" max="6404" width="3.6640625" customWidth="1"/>
    <col min="6405" max="6405" width="6.6640625" customWidth="1"/>
    <col min="6406" max="6406" width="8.6640625" customWidth="1"/>
    <col min="6407" max="6407" width="3.6640625" customWidth="1"/>
    <col min="6657" max="6657" width="25.6640625" customWidth="1"/>
    <col min="6658" max="6658" width="6.6640625" customWidth="1"/>
    <col min="6659" max="6659" width="8.6640625" customWidth="1"/>
    <col min="6660" max="6660" width="3.6640625" customWidth="1"/>
    <col min="6661" max="6661" width="6.6640625" customWidth="1"/>
    <col min="6662" max="6662" width="8.6640625" customWidth="1"/>
    <col min="6663" max="6663" width="3.6640625" customWidth="1"/>
    <col min="6913" max="6913" width="25.6640625" customWidth="1"/>
    <col min="6914" max="6914" width="6.6640625" customWidth="1"/>
    <col min="6915" max="6915" width="8.6640625" customWidth="1"/>
    <col min="6916" max="6916" width="3.6640625" customWidth="1"/>
    <col min="6917" max="6917" width="6.6640625" customWidth="1"/>
    <col min="6918" max="6918" width="8.6640625" customWidth="1"/>
    <col min="6919" max="6919" width="3.6640625" customWidth="1"/>
    <col min="7169" max="7169" width="25.6640625" customWidth="1"/>
    <col min="7170" max="7170" width="6.6640625" customWidth="1"/>
    <col min="7171" max="7171" width="8.6640625" customWidth="1"/>
    <col min="7172" max="7172" width="3.6640625" customWidth="1"/>
    <col min="7173" max="7173" width="6.6640625" customWidth="1"/>
    <col min="7174" max="7174" width="8.6640625" customWidth="1"/>
    <col min="7175" max="7175" width="3.6640625" customWidth="1"/>
    <col min="7425" max="7425" width="25.6640625" customWidth="1"/>
    <col min="7426" max="7426" width="6.6640625" customWidth="1"/>
    <col min="7427" max="7427" width="8.6640625" customWidth="1"/>
    <col min="7428" max="7428" width="3.6640625" customWidth="1"/>
    <col min="7429" max="7429" width="6.6640625" customWidth="1"/>
    <col min="7430" max="7430" width="8.6640625" customWidth="1"/>
    <col min="7431" max="7431" width="3.6640625" customWidth="1"/>
    <col min="7681" max="7681" width="25.6640625" customWidth="1"/>
    <col min="7682" max="7682" width="6.6640625" customWidth="1"/>
    <col min="7683" max="7683" width="8.6640625" customWidth="1"/>
    <col min="7684" max="7684" width="3.6640625" customWidth="1"/>
    <col min="7685" max="7685" width="6.6640625" customWidth="1"/>
    <col min="7686" max="7686" width="8.6640625" customWidth="1"/>
    <col min="7687" max="7687" width="3.6640625" customWidth="1"/>
    <col min="7937" max="7937" width="25.6640625" customWidth="1"/>
    <col min="7938" max="7938" width="6.6640625" customWidth="1"/>
    <col min="7939" max="7939" width="8.6640625" customWidth="1"/>
    <col min="7940" max="7940" width="3.6640625" customWidth="1"/>
    <col min="7941" max="7941" width="6.6640625" customWidth="1"/>
    <col min="7942" max="7942" width="8.6640625" customWidth="1"/>
    <col min="7943" max="7943" width="3.6640625" customWidth="1"/>
    <col min="8193" max="8193" width="25.6640625" customWidth="1"/>
    <col min="8194" max="8194" width="6.6640625" customWidth="1"/>
    <col min="8195" max="8195" width="8.6640625" customWidth="1"/>
    <col min="8196" max="8196" width="3.6640625" customWidth="1"/>
    <col min="8197" max="8197" width="6.6640625" customWidth="1"/>
    <col min="8198" max="8198" width="8.6640625" customWidth="1"/>
    <col min="8199" max="8199" width="3.6640625" customWidth="1"/>
    <col min="8449" max="8449" width="25.6640625" customWidth="1"/>
    <col min="8450" max="8450" width="6.6640625" customWidth="1"/>
    <col min="8451" max="8451" width="8.6640625" customWidth="1"/>
    <col min="8452" max="8452" width="3.6640625" customWidth="1"/>
    <col min="8453" max="8453" width="6.6640625" customWidth="1"/>
    <col min="8454" max="8454" width="8.6640625" customWidth="1"/>
    <col min="8455" max="8455" width="3.6640625" customWidth="1"/>
    <col min="8705" max="8705" width="25.6640625" customWidth="1"/>
    <col min="8706" max="8706" width="6.6640625" customWidth="1"/>
    <col min="8707" max="8707" width="8.6640625" customWidth="1"/>
    <col min="8708" max="8708" width="3.6640625" customWidth="1"/>
    <col min="8709" max="8709" width="6.6640625" customWidth="1"/>
    <col min="8710" max="8710" width="8.6640625" customWidth="1"/>
    <col min="8711" max="8711" width="3.6640625" customWidth="1"/>
    <col min="8961" max="8961" width="25.6640625" customWidth="1"/>
    <col min="8962" max="8962" width="6.6640625" customWidth="1"/>
    <col min="8963" max="8963" width="8.6640625" customWidth="1"/>
    <col min="8964" max="8964" width="3.6640625" customWidth="1"/>
    <col min="8965" max="8965" width="6.6640625" customWidth="1"/>
    <col min="8966" max="8966" width="8.6640625" customWidth="1"/>
    <col min="8967" max="8967" width="3.6640625" customWidth="1"/>
    <col min="9217" max="9217" width="25.6640625" customWidth="1"/>
    <col min="9218" max="9218" width="6.6640625" customWidth="1"/>
    <col min="9219" max="9219" width="8.6640625" customWidth="1"/>
    <col min="9220" max="9220" width="3.6640625" customWidth="1"/>
    <col min="9221" max="9221" width="6.6640625" customWidth="1"/>
    <col min="9222" max="9222" width="8.6640625" customWidth="1"/>
    <col min="9223" max="9223" width="3.6640625" customWidth="1"/>
    <col min="9473" max="9473" width="25.6640625" customWidth="1"/>
    <col min="9474" max="9474" width="6.6640625" customWidth="1"/>
    <col min="9475" max="9475" width="8.6640625" customWidth="1"/>
    <col min="9476" max="9476" width="3.6640625" customWidth="1"/>
    <col min="9477" max="9477" width="6.6640625" customWidth="1"/>
    <col min="9478" max="9478" width="8.6640625" customWidth="1"/>
    <col min="9479" max="9479" width="3.6640625" customWidth="1"/>
    <col min="9729" max="9729" width="25.6640625" customWidth="1"/>
    <col min="9730" max="9730" width="6.6640625" customWidth="1"/>
    <col min="9731" max="9731" width="8.6640625" customWidth="1"/>
    <col min="9732" max="9732" width="3.6640625" customWidth="1"/>
    <col min="9733" max="9733" width="6.6640625" customWidth="1"/>
    <col min="9734" max="9734" width="8.6640625" customWidth="1"/>
    <col min="9735" max="9735" width="3.6640625" customWidth="1"/>
    <col min="9985" max="9985" width="25.6640625" customWidth="1"/>
    <col min="9986" max="9986" width="6.6640625" customWidth="1"/>
    <col min="9987" max="9987" width="8.6640625" customWidth="1"/>
    <col min="9988" max="9988" width="3.6640625" customWidth="1"/>
    <col min="9989" max="9989" width="6.6640625" customWidth="1"/>
    <col min="9990" max="9990" width="8.6640625" customWidth="1"/>
    <col min="9991" max="9991" width="3.6640625" customWidth="1"/>
    <col min="10241" max="10241" width="25.6640625" customWidth="1"/>
    <col min="10242" max="10242" width="6.6640625" customWidth="1"/>
    <col min="10243" max="10243" width="8.6640625" customWidth="1"/>
    <col min="10244" max="10244" width="3.6640625" customWidth="1"/>
    <col min="10245" max="10245" width="6.6640625" customWidth="1"/>
    <col min="10246" max="10246" width="8.6640625" customWidth="1"/>
    <col min="10247" max="10247" width="3.6640625" customWidth="1"/>
    <col min="10497" max="10497" width="25.6640625" customWidth="1"/>
    <col min="10498" max="10498" width="6.6640625" customWidth="1"/>
    <col min="10499" max="10499" width="8.6640625" customWidth="1"/>
    <col min="10500" max="10500" width="3.6640625" customWidth="1"/>
    <col min="10501" max="10501" width="6.6640625" customWidth="1"/>
    <col min="10502" max="10502" width="8.6640625" customWidth="1"/>
    <col min="10503" max="10503" width="3.6640625" customWidth="1"/>
    <col min="10753" max="10753" width="25.6640625" customWidth="1"/>
    <col min="10754" max="10754" width="6.6640625" customWidth="1"/>
    <col min="10755" max="10755" width="8.6640625" customWidth="1"/>
    <col min="10756" max="10756" width="3.6640625" customWidth="1"/>
    <col min="10757" max="10757" width="6.6640625" customWidth="1"/>
    <col min="10758" max="10758" width="8.6640625" customWidth="1"/>
    <col min="10759" max="10759" width="3.6640625" customWidth="1"/>
    <col min="11009" max="11009" width="25.6640625" customWidth="1"/>
    <col min="11010" max="11010" width="6.6640625" customWidth="1"/>
    <col min="11011" max="11011" width="8.6640625" customWidth="1"/>
    <col min="11012" max="11012" width="3.6640625" customWidth="1"/>
    <col min="11013" max="11013" width="6.6640625" customWidth="1"/>
    <col min="11014" max="11014" width="8.6640625" customWidth="1"/>
    <col min="11015" max="11015" width="3.6640625" customWidth="1"/>
    <col min="11265" max="11265" width="25.6640625" customWidth="1"/>
    <col min="11266" max="11266" width="6.6640625" customWidth="1"/>
    <col min="11267" max="11267" width="8.6640625" customWidth="1"/>
    <col min="11268" max="11268" width="3.6640625" customWidth="1"/>
    <col min="11269" max="11269" width="6.6640625" customWidth="1"/>
    <col min="11270" max="11270" width="8.6640625" customWidth="1"/>
    <col min="11271" max="11271" width="3.6640625" customWidth="1"/>
    <col min="11521" max="11521" width="25.6640625" customWidth="1"/>
    <col min="11522" max="11522" width="6.6640625" customWidth="1"/>
    <col min="11523" max="11523" width="8.6640625" customWidth="1"/>
    <col min="11524" max="11524" width="3.6640625" customWidth="1"/>
    <col min="11525" max="11525" width="6.6640625" customWidth="1"/>
    <col min="11526" max="11526" width="8.6640625" customWidth="1"/>
    <col min="11527" max="11527" width="3.6640625" customWidth="1"/>
    <col min="11777" max="11777" width="25.6640625" customWidth="1"/>
    <col min="11778" max="11778" width="6.6640625" customWidth="1"/>
    <col min="11779" max="11779" width="8.6640625" customWidth="1"/>
    <col min="11780" max="11780" width="3.6640625" customWidth="1"/>
    <col min="11781" max="11781" width="6.6640625" customWidth="1"/>
    <col min="11782" max="11782" width="8.6640625" customWidth="1"/>
    <col min="11783" max="11783" width="3.6640625" customWidth="1"/>
    <col min="12033" max="12033" width="25.6640625" customWidth="1"/>
    <col min="12034" max="12034" width="6.6640625" customWidth="1"/>
    <col min="12035" max="12035" width="8.6640625" customWidth="1"/>
    <col min="12036" max="12036" width="3.6640625" customWidth="1"/>
    <col min="12037" max="12037" width="6.6640625" customWidth="1"/>
    <col min="12038" max="12038" width="8.6640625" customWidth="1"/>
    <col min="12039" max="12039" width="3.6640625" customWidth="1"/>
    <col min="12289" max="12289" width="25.6640625" customWidth="1"/>
    <col min="12290" max="12290" width="6.6640625" customWidth="1"/>
    <col min="12291" max="12291" width="8.6640625" customWidth="1"/>
    <col min="12292" max="12292" width="3.6640625" customWidth="1"/>
    <col min="12293" max="12293" width="6.6640625" customWidth="1"/>
    <col min="12294" max="12294" width="8.6640625" customWidth="1"/>
    <col min="12295" max="12295" width="3.6640625" customWidth="1"/>
    <col min="12545" max="12545" width="25.6640625" customWidth="1"/>
    <col min="12546" max="12546" width="6.6640625" customWidth="1"/>
    <col min="12547" max="12547" width="8.6640625" customWidth="1"/>
    <col min="12548" max="12548" width="3.6640625" customWidth="1"/>
    <col min="12549" max="12549" width="6.6640625" customWidth="1"/>
    <col min="12550" max="12550" width="8.6640625" customWidth="1"/>
    <col min="12551" max="12551" width="3.6640625" customWidth="1"/>
    <col min="12801" max="12801" width="25.6640625" customWidth="1"/>
    <col min="12802" max="12802" width="6.6640625" customWidth="1"/>
    <col min="12803" max="12803" width="8.6640625" customWidth="1"/>
    <col min="12804" max="12804" width="3.6640625" customWidth="1"/>
    <col min="12805" max="12805" width="6.6640625" customWidth="1"/>
    <col min="12806" max="12806" width="8.6640625" customWidth="1"/>
    <col min="12807" max="12807" width="3.6640625" customWidth="1"/>
    <col min="13057" max="13057" width="25.6640625" customWidth="1"/>
    <col min="13058" max="13058" width="6.6640625" customWidth="1"/>
    <col min="13059" max="13059" width="8.6640625" customWidth="1"/>
    <col min="13060" max="13060" width="3.6640625" customWidth="1"/>
    <col min="13061" max="13061" width="6.6640625" customWidth="1"/>
    <col min="13062" max="13062" width="8.6640625" customWidth="1"/>
    <col min="13063" max="13063" width="3.6640625" customWidth="1"/>
    <col min="13313" max="13313" width="25.6640625" customWidth="1"/>
    <col min="13314" max="13314" width="6.6640625" customWidth="1"/>
    <col min="13315" max="13315" width="8.6640625" customWidth="1"/>
    <col min="13316" max="13316" width="3.6640625" customWidth="1"/>
    <col min="13317" max="13317" width="6.6640625" customWidth="1"/>
    <col min="13318" max="13318" width="8.6640625" customWidth="1"/>
    <col min="13319" max="13319" width="3.6640625" customWidth="1"/>
    <col min="13569" max="13569" width="25.6640625" customWidth="1"/>
    <col min="13570" max="13570" width="6.6640625" customWidth="1"/>
    <col min="13571" max="13571" width="8.6640625" customWidth="1"/>
    <col min="13572" max="13572" width="3.6640625" customWidth="1"/>
    <col min="13573" max="13573" width="6.6640625" customWidth="1"/>
    <col min="13574" max="13574" width="8.6640625" customWidth="1"/>
    <col min="13575" max="13575" width="3.6640625" customWidth="1"/>
    <col min="13825" max="13825" width="25.6640625" customWidth="1"/>
    <col min="13826" max="13826" width="6.6640625" customWidth="1"/>
    <col min="13827" max="13827" width="8.6640625" customWidth="1"/>
    <col min="13828" max="13828" width="3.6640625" customWidth="1"/>
    <col min="13829" max="13829" width="6.6640625" customWidth="1"/>
    <col min="13830" max="13830" width="8.6640625" customWidth="1"/>
    <col min="13831" max="13831" width="3.6640625" customWidth="1"/>
    <col min="14081" max="14081" width="25.6640625" customWidth="1"/>
    <col min="14082" max="14082" width="6.6640625" customWidth="1"/>
    <col min="14083" max="14083" width="8.6640625" customWidth="1"/>
    <col min="14084" max="14084" width="3.6640625" customWidth="1"/>
    <col min="14085" max="14085" width="6.6640625" customWidth="1"/>
    <col min="14086" max="14086" width="8.6640625" customWidth="1"/>
    <col min="14087" max="14087" width="3.6640625" customWidth="1"/>
    <col min="14337" max="14337" width="25.6640625" customWidth="1"/>
    <col min="14338" max="14338" width="6.6640625" customWidth="1"/>
    <col min="14339" max="14339" width="8.6640625" customWidth="1"/>
    <col min="14340" max="14340" width="3.6640625" customWidth="1"/>
    <col min="14341" max="14341" width="6.6640625" customWidth="1"/>
    <col min="14342" max="14342" width="8.6640625" customWidth="1"/>
    <col min="14343" max="14343" width="3.6640625" customWidth="1"/>
    <col min="14593" max="14593" width="25.6640625" customWidth="1"/>
    <col min="14594" max="14594" width="6.6640625" customWidth="1"/>
    <col min="14595" max="14595" width="8.6640625" customWidth="1"/>
    <col min="14596" max="14596" width="3.6640625" customWidth="1"/>
    <col min="14597" max="14597" width="6.6640625" customWidth="1"/>
    <col min="14598" max="14598" width="8.6640625" customWidth="1"/>
    <col min="14599" max="14599" width="3.6640625" customWidth="1"/>
    <col min="14849" max="14849" width="25.6640625" customWidth="1"/>
    <col min="14850" max="14850" width="6.6640625" customWidth="1"/>
    <col min="14851" max="14851" width="8.6640625" customWidth="1"/>
    <col min="14852" max="14852" width="3.6640625" customWidth="1"/>
    <col min="14853" max="14853" width="6.6640625" customWidth="1"/>
    <col min="14854" max="14854" width="8.6640625" customWidth="1"/>
    <col min="14855" max="14855" width="3.6640625" customWidth="1"/>
    <col min="15105" max="15105" width="25.6640625" customWidth="1"/>
    <col min="15106" max="15106" width="6.6640625" customWidth="1"/>
    <col min="15107" max="15107" width="8.6640625" customWidth="1"/>
    <col min="15108" max="15108" width="3.6640625" customWidth="1"/>
    <col min="15109" max="15109" width="6.6640625" customWidth="1"/>
    <col min="15110" max="15110" width="8.6640625" customWidth="1"/>
    <col min="15111" max="15111" width="3.6640625" customWidth="1"/>
    <col min="15361" max="15361" width="25.6640625" customWidth="1"/>
    <col min="15362" max="15362" width="6.6640625" customWidth="1"/>
    <col min="15363" max="15363" width="8.6640625" customWidth="1"/>
    <col min="15364" max="15364" width="3.6640625" customWidth="1"/>
    <col min="15365" max="15365" width="6.6640625" customWidth="1"/>
    <col min="15366" max="15366" width="8.6640625" customWidth="1"/>
    <col min="15367" max="15367" width="3.6640625" customWidth="1"/>
    <col min="15617" max="15617" width="25.6640625" customWidth="1"/>
    <col min="15618" max="15618" width="6.6640625" customWidth="1"/>
    <col min="15619" max="15619" width="8.6640625" customWidth="1"/>
    <col min="15620" max="15620" width="3.6640625" customWidth="1"/>
    <col min="15621" max="15621" width="6.6640625" customWidth="1"/>
    <col min="15622" max="15622" width="8.6640625" customWidth="1"/>
    <col min="15623" max="15623" width="3.6640625" customWidth="1"/>
    <col min="15873" max="15873" width="25.6640625" customWidth="1"/>
    <col min="15874" max="15874" width="6.6640625" customWidth="1"/>
    <col min="15875" max="15875" width="8.6640625" customWidth="1"/>
    <col min="15876" max="15876" width="3.6640625" customWidth="1"/>
    <col min="15877" max="15877" width="6.6640625" customWidth="1"/>
    <col min="15878" max="15878" width="8.6640625" customWidth="1"/>
    <col min="15879" max="15879" width="3.6640625" customWidth="1"/>
    <col min="16129" max="16129" width="25.6640625" customWidth="1"/>
    <col min="16130" max="16130" width="6.6640625" customWidth="1"/>
    <col min="16131" max="16131" width="8.6640625" customWidth="1"/>
    <col min="16132" max="16132" width="3.6640625" customWidth="1"/>
    <col min="16133" max="16133" width="6.6640625" customWidth="1"/>
    <col min="16134" max="16134" width="8.6640625" customWidth="1"/>
    <col min="16135" max="16135" width="3.6640625" customWidth="1"/>
  </cols>
  <sheetData>
    <row r="1" spans="1:10">
      <c r="A1" s="33" t="s">
        <v>453</v>
      </c>
      <c r="B1" s="33"/>
      <c r="C1" s="73"/>
      <c r="D1" s="73"/>
      <c r="E1" s="33"/>
      <c r="F1" s="73"/>
      <c r="G1" s="33"/>
    </row>
    <row r="2" spans="1:10">
      <c r="A2" s="33" t="s">
        <v>454</v>
      </c>
      <c r="B2" s="33"/>
      <c r="C2" s="73"/>
      <c r="D2" s="73"/>
      <c r="E2" s="33"/>
      <c r="F2" s="73"/>
      <c r="G2" s="33"/>
    </row>
    <row r="3" spans="1:10">
      <c r="A3" s="33"/>
      <c r="B3" s="33"/>
      <c r="C3" s="73"/>
      <c r="D3" s="73"/>
      <c r="E3" s="33"/>
      <c r="F3" s="73"/>
      <c r="G3" s="33"/>
    </row>
    <row r="4" spans="1:10">
      <c r="A4" s="33" t="s">
        <v>2111</v>
      </c>
      <c r="B4" s="33"/>
      <c r="C4" s="73"/>
      <c r="D4" s="73"/>
      <c r="E4" s="33"/>
      <c r="F4" s="73"/>
      <c r="G4" s="33"/>
    </row>
    <row r="5" spans="1:10">
      <c r="A5" s="33" t="s">
        <v>2112</v>
      </c>
      <c r="B5" s="33"/>
      <c r="C5" s="73"/>
      <c r="D5" s="73"/>
      <c r="E5" s="33"/>
      <c r="F5" s="73"/>
      <c r="G5" s="33"/>
    </row>
    <row r="6" spans="1:10">
      <c r="A6" s="33" t="s">
        <v>2113</v>
      </c>
      <c r="B6" s="33"/>
      <c r="C6" s="73"/>
      <c r="D6" s="73"/>
      <c r="E6" s="33"/>
      <c r="F6" s="73"/>
      <c r="G6" s="33"/>
    </row>
    <row r="7" spans="1:10" ht="15.75" customHeight="1" thickBot="1">
      <c r="A7" s="33"/>
      <c r="B7" s="33"/>
      <c r="C7" s="73"/>
      <c r="D7" s="73"/>
      <c r="E7" s="33"/>
      <c r="F7" s="73"/>
      <c r="G7" s="33"/>
      <c r="I7" s="41"/>
      <c r="J7" s="41"/>
    </row>
    <row r="8" spans="1:10" ht="12.75" customHeight="1">
      <c r="A8" s="188"/>
      <c r="B8" s="188"/>
      <c r="C8" s="187"/>
      <c r="D8" s="187"/>
      <c r="E8" s="188"/>
      <c r="F8" s="187"/>
      <c r="G8" s="188"/>
    </row>
    <row r="9" spans="1:10" ht="12.75" customHeight="1">
      <c r="A9" s="57" t="s">
        <v>1488</v>
      </c>
      <c r="B9" s="1037" t="s">
        <v>603</v>
      </c>
      <c r="C9" s="1037"/>
      <c r="D9" s="191"/>
      <c r="E9" s="1037" t="s">
        <v>604</v>
      </c>
      <c r="F9" s="1037"/>
      <c r="G9" s="836"/>
    </row>
    <row r="10" spans="1:10" ht="12.75" customHeight="1">
      <c r="A10" s="57"/>
      <c r="B10" s="531" t="s">
        <v>1026</v>
      </c>
      <c r="C10" s="532" t="s">
        <v>1489</v>
      </c>
      <c r="D10" s="192"/>
      <c r="E10" s="490" t="s">
        <v>1026</v>
      </c>
      <c r="F10" s="533" t="s">
        <v>1489</v>
      </c>
      <c r="G10" s="836"/>
    </row>
    <row r="11" spans="1:10" ht="12.75" customHeight="1" thickBot="1">
      <c r="A11" s="199"/>
      <c r="B11" s="199"/>
      <c r="C11" s="198"/>
      <c r="D11" s="198"/>
      <c r="E11" s="534"/>
      <c r="F11" s="535"/>
      <c r="G11" s="534"/>
    </row>
    <row r="12" spans="1:10" ht="12.75" customHeight="1">
      <c r="A12" s="57"/>
      <c r="B12" s="57"/>
      <c r="C12" s="191"/>
      <c r="D12" s="191"/>
      <c r="E12" s="836"/>
      <c r="F12" s="192"/>
      <c r="G12" s="836"/>
    </row>
    <row r="13" spans="1:10" ht="25" customHeight="1">
      <c r="A13" s="68" t="s">
        <v>593</v>
      </c>
      <c r="B13" s="536">
        <f>SUM(B14:B21)</f>
        <v>2666</v>
      </c>
      <c r="C13" s="191">
        <f>SUM(C14:C21)</f>
        <v>100</v>
      </c>
      <c r="E13" s="536">
        <f>SUM(E14:E21)</f>
        <v>2587</v>
      </c>
      <c r="F13" s="191">
        <f>SUM(F14:F21)</f>
        <v>99.999999999999986</v>
      </c>
      <c r="G13" s="836"/>
    </row>
    <row r="14" spans="1:10" ht="25" customHeight="1">
      <c r="A14" s="57" t="s">
        <v>1517</v>
      </c>
      <c r="B14" s="57">
        <v>80</v>
      </c>
      <c r="C14" s="191">
        <f>B14/$B$13*100</f>
        <v>3.0007501875468865</v>
      </c>
      <c r="E14" s="57">
        <v>67</v>
      </c>
      <c r="F14" s="537">
        <f>E14/$E$13*100</f>
        <v>2.58987243911867</v>
      </c>
      <c r="G14" s="836"/>
    </row>
    <row r="15" spans="1:10" ht="25" customHeight="1">
      <c r="A15" s="57" t="s">
        <v>1518</v>
      </c>
      <c r="B15" s="57">
        <v>119</v>
      </c>
      <c r="C15" s="191">
        <f t="shared" ref="C15:C21" si="0">B15/$B$13*100</f>
        <v>4.4636159039759944</v>
      </c>
      <c r="E15" s="57">
        <v>124</v>
      </c>
      <c r="F15" s="537">
        <f t="shared" ref="F15:F21" si="1">E15/$E$13*100</f>
        <v>4.7931967529957475</v>
      </c>
      <c r="G15" s="836"/>
    </row>
    <row r="16" spans="1:10" ht="25" customHeight="1">
      <c r="A16" s="57" t="s">
        <v>1519</v>
      </c>
      <c r="B16" s="57">
        <v>177</v>
      </c>
      <c r="C16" s="191">
        <f t="shared" si="0"/>
        <v>6.6391597899474863</v>
      </c>
      <c r="E16" s="57">
        <v>176</v>
      </c>
      <c r="F16" s="537">
        <f t="shared" si="1"/>
        <v>6.8032470042520288</v>
      </c>
      <c r="G16" s="836"/>
    </row>
    <row r="17" spans="1:7" ht="25" customHeight="1">
      <c r="A17" s="57" t="s">
        <v>1520</v>
      </c>
      <c r="B17" s="57">
        <v>364</v>
      </c>
      <c r="C17" s="191">
        <f t="shared" si="0"/>
        <v>13.653413353338333</v>
      </c>
      <c r="E17" s="57">
        <v>342</v>
      </c>
      <c r="F17" s="537">
        <f t="shared" si="1"/>
        <v>13.219945883262465</v>
      </c>
      <c r="G17" s="836"/>
    </row>
    <row r="18" spans="1:7" ht="25" customHeight="1">
      <c r="A18" s="57" t="s">
        <v>1521</v>
      </c>
      <c r="B18" s="57">
        <v>164</v>
      </c>
      <c r="C18" s="191">
        <f t="shared" si="0"/>
        <v>6.1515378844711179</v>
      </c>
      <c r="E18" s="57">
        <v>148</v>
      </c>
      <c r="F18" s="537">
        <f t="shared" si="1"/>
        <v>5.7209122535755705</v>
      </c>
      <c r="G18" s="836"/>
    </row>
    <row r="19" spans="1:7" ht="25" customHeight="1">
      <c r="A19" s="57" t="s">
        <v>1522</v>
      </c>
      <c r="B19" s="57">
        <v>410</v>
      </c>
      <c r="C19" s="191">
        <f t="shared" si="0"/>
        <v>15.378844711177795</v>
      </c>
      <c r="E19" s="57">
        <v>394</v>
      </c>
      <c r="F19" s="537">
        <f t="shared" si="1"/>
        <v>15.229996134518748</v>
      </c>
      <c r="G19" s="836"/>
    </row>
    <row r="20" spans="1:7" ht="25" customHeight="1">
      <c r="A20" s="57" t="s">
        <v>1523</v>
      </c>
      <c r="B20" s="57">
        <v>1321</v>
      </c>
      <c r="C20" s="191">
        <f t="shared" si="0"/>
        <v>49.549887471867962</v>
      </c>
      <c r="E20" s="57">
        <v>1310</v>
      </c>
      <c r="F20" s="537">
        <f t="shared" si="1"/>
        <v>50.637804406648627</v>
      </c>
      <c r="G20" s="836"/>
    </row>
    <row r="21" spans="1:7" ht="25" customHeight="1">
      <c r="A21" s="57" t="s">
        <v>1524</v>
      </c>
      <c r="B21" s="57">
        <v>31</v>
      </c>
      <c r="C21" s="191">
        <f t="shared" si="0"/>
        <v>1.1627906976744187</v>
      </c>
      <c r="E21" s="57">
        <v>26</v>
      </c>
      <c r="F21" s="537">
        <f t="shared" si="1"/>
        <v>1.0050251256281406</v>
      </c>
      <c r="G21" s="836"/>
    </row>
    <row r="22" spans="1:7" ht="12.75" customHeight="1" thickBot="1">
      <c r="A22" s="199"/>
      <c r="B22" s="199"/>
      <c r="C22" s="198"/>
      <c r="D22" s="198"/>
      <c r="E22" s="292"/>
      <c r="F22" s="291"/>
      <c r="G22" s="534"/>
    </row>
    <row r="23" spans="1:7" ht="12.75" customHeight="1">
      <c r="A23" s="57"/>
      <c r="B23" s="57"/>
      <c r="C23" s="191"/>
      <c r="D23" s="191"/>
      <c r="E23" s="301"/>
      <c r="F23" s="537"/>
      <c r="G23" s="836"/>
    </row>
    <row r="24" spans="1:7" ht="12.75" customHeight="1">
      <c r="A24" s="57" t="s">
        <v>1498</v>
      </c>
      <c r="B24" s="57"/>
      <c r="C24" s="191"/>
      <c r="D24" s="191"/>
      <c r="E24" s="301"/>
      <c r="F24" s="537"/>
      <c r="G24" s="836"/>
    </row>
    <row r="25" spans="1:7" ht="12.75" customHeight="1">
      <c r="A25" s="57" t="s">
        <v>452</v>
      </c>
      <c r="B25" s="57"/>
      <c r="C25" s="191"/>
      <c r="D25" s="191"/>
      <c r="E25" s="301"/>
      <c r="F25" s="537"/>
      <c r="G25" s="836"/>
    </row>
    <row r="26" spans="1:7">
      <c r="A26" s="538"/>
      <c r="B26" s="538"/>
      <c r="C26" s="539"/>
      <c r="D26" s="539"/>
      <c r="E26" s="836"/>
      <c r="F26" s="192"/>
      <c r="G26" s="836"/>
    </row>
    <row r="27" spans="1:7">
      <c r="A27" s="538"/>
      <c r="B27" s="538"/>
      <c r="C27" s="539"/>
      <c r="D27" s="539"/>
      <c r="E27" s="192"/>
      <c r="F27" s="192"/>
      <c r="G27" s="192"/>
    </row>
    <row r="28" spans="1:7">
      <c r="A28" s="33"/>
      <c r="B28" s="33"/>
      <c r="C28" s="73"/>
      <c r="D28" s="73"/>
      <c r="E28" s="540"/>
      <c r="F28" s="541"/>
      <c r="G28" s="540"/>
    </row>
    <row r="29" spans="1:7">
      <c r="A29" s="33"/>
      <c r="B29" s="33"/>
      <c r="C29" s="73"/>
      <c r="D29" s="73"/>
      <c r="E29" s="540"/>
      <c r="F29" s="541"/>
      <c r="G29" s="540"/>
    </row>
    <row r="30" spans="1:7">
      <c r="A30" s="542"/>
      <c r="B30" s="542"/>
      <c r="C30" s="543"/>
      <c r="D30" s="543"/>
      <c r="E30" s="544"/>
      <c r="F30" s="545"/>
      <c r="G30" s="544"/>
    </row>
    <row r="31" spans="1:7">
      <c r="A31" s="542"/>
      <c r="B31" s="542"/>
      <c r="C31" s="543"/>
      <c r="D31" s="543"/>
      <c r="E31" s="542"/>
      <c r="F31" s="543"/>
      <c r="G31" s="542"/>
    </row>
    <row r="32" spans="1:7">
      <c r="A32" s="542"/>
      <c r="B32" s="542"/>
      <c r="C32" s="543"/>
      <c r="D32" s="543"/>
      <c r="E32" s="542"/>
      <c r="F32" s="543"/>
      <c r="G32" s="542"/>
    </row>
  </sheetData>
  <mergeCells count="2">
    <mergeCell ref="B9:C9"/>
    <mergeCell ref="E9:F9"/>
  </mergeCells>
  <pageMargins left="0.7" right="0.7" top="0.75" bottom="0.75" header="0.3" footer="0.3"/>
  <pageSetup orientation="portrait" horizontalDpi="4294967293" verticalDpi="4294967293"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5" tint="-0.249977111117893"/>
  </sheetPr>
  <dimension ref="A1:D20"/>
  <sheetViews>
    <sheetView workbookViewId="0">
      <selection activeCell="A2" sqref="A2"/>
    </sheetView>
  </sheetViews>
  <sheetFormatPr baseColWidth="10" defaultColWidth="9.1640625" defaultRowHeight="15"/>
  <cols>
    <col min="1" max="1" width="21.33203125" customWidth="1"/>
    <col min="2" max="3" width="10.6640625" style="35" customWidth="1"/>
    <col min="4" max="4" width="3.5" customWidth="1"/>
    <col min="257" max="257" width="21.33203125" customWidth="1"/>
    <col min="258" max="259" width="10.6640625" customWidth="1"/>
    <col min="260" max="260" width="3.5" customWidth="1"/>
    <col min="513" max="513" width="21.33203125" customWidth="1"/>
    <col min="514" max="515" width="10.6640625" customWidth="1"/>
    <col min="516" max="516" width="3.5" customWidth="1"/>
    <col min="769" max="769" width="21.33203125" customWidth="1"/>
    <col min="770" max="771" width="10.6640625" customWidth="1"/>
    <col min="772" max="772" width="3.5" customWidth="1"/>
    <col min="1025" max="1025" width="21.33203125" customWidth="1"/>
    <col min="1026" max="1027" width="10.6640625" customWidth="1"/>
    <col min="1028" max="1028" width="3.5" customWidth="1"/>
    <col min="1281" max="1281" width="21.33203125" customWidth="1"/>
    <col min="1282" max="1283" width="10.6640625" customWidth="1"/>
    <col min="1284" max="1284" width="3.5" customWidth="1"/>
    <col min="1537" max="1537" width="21.33203125" customWidth="1"/>
    <col min="1538" max="1539" width="10.6640625" customWidth="1"/>
    <col min="1540" max="1540" width="3.5" customWidth="1"/>
    <col min="1793" max="1793" width="21.33203125" customWidth="1"/>
    <col min="1794" max="1795" width="10.6640625" customWidth="1"/>
    <col min="1796" max="1796" width="3.5" customWidth="1"/>
    <col min="2049" max="2049" width="21.33203125" customWidth="1"/>
    <col min="2050" max="2051" width="10.6640625" customWidth="1"/>
    <col min="2052" max="2052" width="3.5" customWidth="1"/>
    <col min="2305" max="2305" width="21.33203125" customWidth="1"/>
    <col min="2306" max="2307" width="10.6640625" customWidth="1"/>
    <col min="2308" max="2308" width="3.5" customWidth="1"/>
    <col min="2561" max="2561" width="21.33203125" customWidth="1"/>
    <col min="2562" max="2563" width="10.6640625" customWidth="1"/>
    <col min="2564" max="2564" width="3.5" customWidth="1"/>
    <col min="2817" max="2817" width="21.33203125" customWidth="1"/>
    <col min="2818" max="2819" width="10.6640625" customWidth="1"/>
    <col min="2820" max="2820" width="3.5" customWidth="1"/>
    <col min="3073" max="3073" width="21.33203125" customWidth="1"/>
    <col min="3074" max="3075" width="10.6640625" customWidth="1"/>
    <col min="3076" max="3076" width="3.5" customWidth="1"/>
    <col min="3329" max="3329" width="21.33203125" customWidth="1"/>
    <col min="3330" max="3331" width="10.6640625" customWidth="1"/>
    <col min="3332" max="3332" width="3.5" customWidth="1"/>
    <col min="3585" max="3585" width="21.33203125" customWidth="1"/>
    <col min="3586" max="3587" width="10.6640625" customWidth="1"/>
    <col min="3588" max="3588" width="3.5" customWidth="1"/>
    <col min="3841" max="3841" width="21.33203125" customWidth="1"/>
    <col min="3842" max="3843" width="10.6640625" customWidth="1"/>
    <col min="3844" max="3844" width="3.5" customWidth="1"/>
    <col min="4097" max="4097" width="21.33203125" customWidth="1"/>
    <col min="4098" max="4099" width="10.6640625" customWidth="1"/>
    <col min="4100" max="4100" width="3.5" customWidth="1"/>
    <col min="4353" max="4353" width="21.33203125" customWidth="1"/>
    <col min="4354" max="4355" width="10.6640625" customWidth="1"/>
    <col min="4356" max="4356" width="3.5" customWidth="1"/>
    <col min="4609" max="4609" width="21.33203125" customWidth="1"/>
    <col min="4610" max="4611" width="10.6640625" customWidth="1"/>
    <col min="4612" max="4612" width="3.5" customWidth="1"/>
    <col min="4865" max="4865" width="21.33203125" customWidth="1"/>
    <col min="4866" max="4867" width="10.6640625" customWidth="1"/>
    <col min="4868" max="4868" width="3.5" customWidth="1"/>
    <col min="5121" max="5121" width="21.33203125" customWidth="1"/>
    <col min="5122" max="5123" width="10.6640625" customWidth="1"/>
    <col min="5124" max="5124" width="3.5" customWidth="1"/>
    <col min="5377" max="5377" width="21.33203125" customWidth="1"/>
    <col min="5378" max="5379" width="10.6640625" customWidth="1"/>
    <col min="5380" max="5380" width="3.5" customWidth="1"/>
    <col min="5633" max="5633" width="21.33203125" customWidth="1"/>
    <col min="5634" max="5635" width="10.6640625" customWidth="1"/>
    <col min="5636" max="5636" width="3.5" customWidth="1"/>
    <col min="5889" max="5889" width="21.33203125" customWidth="1"/>
    <col min="5890" max="5891" width="10.6640625" customWidth="1"/>
    <col min="5892" max="5892" width="3.5" customWidth="1"/>
    <col min="6145" max="6145" width="21.33203125" customWidth="1"/>
    <col min="6146" max="6147" width="10.6640625" customWidth="1"/>
    <col min="6148" max="6148" width="3.5" customWidth="1"/>
    <col min="6401" max="6401" width="21.33203125" customWidth="1"/>
    <col min="6402" max="6403" width="10.6640625" customWidth="1"/>
    <col min="6404" max="6404" width="3.5" customWidth="1"/>
    <col min="6657" max="6657" width="21.33203125" customWidth="1"/>
    <col min="6658" max="6659" width="10.6640625" customWidth="1"/>
    <col min="6660" max="6660" width="3.5" customWidth="1"/>
    <col min="6913" max="6913" width="21.33203125" customWidth="1"/>
    <col min="6914" max="6915" width="10.6640625" customWidth="1"/>
    <col min="6916" max="6916" width="3.5" customWidth="1"/>
    <col min="7169" max="7169" width="21.33203125" customWidth="1"/>
    <col min="7170" max="7171" width="10.6640625" customWidth="1"/>
    <col min="7172" max="7172" width="3.5" customWidth="1"/>
    <col min="7425" max="7425" width="21.33203125" customWidth="1"/>
    <col min="7426" max="7427" width="10.6640625" customWidth="1"/>
    <col min="7428" max="7428" width="3.5" customWidth="1"/>
    <col min="7681" max="7681" width="21.33203125" customWidth="1"/>
    <col min="7682" max="7683" width="10.6640625" customWidth="1"/>
    <col min="7684" max="7684" width="3.5" customWidth="1"/>
    <col min="7937" max="7937" width="21.33203125" customWidth="1"/>
    <col min="7938" max="7939" width="10.6640625" customWidth="1"/>
    <col min="7940" max="7940" width="3.5" customWidth="1"/>
    <col min="8193" max="8193" width="21.33203125" customWidth="1"/>
    <col min="8194" max="8195" width="10.6640625" customWidth="1"/>
    <col min="8196" max="8196" width="3.5" customWidth="1"/>
    <col min="8449" max="8449" width="21.33203125" customWidth="1"/>
    <col min="8450" max="8451" width="10.6640625" customWidth="1"/>
    <col min="8452" max="8452" width="3.5" customWidth="1"/>
    <col min="8705" max="8705" width="21.33203125" customWidth="1"/>
    <col min="8706" max="8707" width="10.6640625" customWidth="1"/>
    <col min="8708" max="8708" width="3.5" customWidth="1"/>
    <col min="8961" max="8961" width="21.33203125" customWidth="1"/>
    <col min="8962" max="8963" width="10.6640625" customWidth="1"/>
    <col min="8964" max="8964" width="3.5" customWidth="1"/>
    <col min="9217" max="9217" width="21.33203125" customWidth="1"/>
    <col min="9218" max="9219" width="10.6640625" customWidth="1"/>
    <col min="9220" max="9220" width="3.5" customWidth="1"/>
    <col min="9473" max="9473" width="21.33203125" customWidth="1"/>
    <col min="9474" max="9475" width="10.6640625" customWidth="1"/>
    <col min="9476" max="9476" width="3.5" customWidth="1"/>
    <col min="9729" max="9729" width="21.33203125" customWidth="1"/>
    <col min="9730" max="9731" width="10.6640625" customWidth="1"/>
    <col min="9732" max="9732" width="3.5" customWidth="1"/>
    <col min="9985" max="9985" width="21.33203125" customWidth="1"/>
    <col min="9986" max="9987" width="10.6640625" customWidth="1"/>
    <col min="9988" max="9988" width="3.5" customWidth="1"/>
    <col min="10241" max="10241" width="21.33203125" customWidth="1"/>
    <col min="10242" max="10243" width="10.6640625" customWidth="1"/>
    <col min="10244" max="10244" width="3.5" customWidth="1"/>
    <col min="10497" max="10497" width="21.33203125" customWidth="1"/>
    <col min="10498" max="10499" width="10.6640625" customWidth="1"/>
    <col min="10500" max="10500" width="3.5" customWidth="1"/>
    <col min="10753" max="10753" width="21.33203125" customWidth="1"/>
    <col min="10754" max="10755" width="10.6640625" customWidth="1"/>
    <col min="10756" max="10756" width="3.5" customWidth="1"/>
    <col min="11009" max="11009" width="21.33203125" customWidth="1"/>
    <col min="11010" max="11011" width="10.6640625" customWidth="1"/>
    <col min="11012" max="11012" width="3.5" customWidth="1"/>
    <col min="11265" max="11265" width="21.33203125" customWidth="1"/>
    <col min="11266" max="11267" width="10.6640625" customWidth="1"/>
    <col min="11268" max="11268" width="3.5" customWidth="1"/>
    <col min="11521" max="11521" width="21.33203125" customWidth="1"/>
    <col min="11522" max="11523" width="10.6640625" customWidth="1"/>
    <col min="11524" max="11524" width="3.5" customWidth="1"/>
    <col min="11777" max="11777" width="21.33203125" customWidth="1"/>
    <col min="11778" max="11779" width="10.6640625" customWidth="1"/>
    <col min="11780" max="11780" width="3.5" customWidth="1"/>
    <col min="12033" max="12033" width="21.33203125" customWidth="1"/>
    <col min="12034" max="12035" width="10.6640625" customWidth="1"/>
    <col min="12036" max="12036" width="3.5" customWidth="1"/>
    <col min="12289" max="12289" width="21.33203125" customWidth="1"/>
    <col min="12290" max="12291" width="10.6640625" customWidth="1"/>
    <col min="12292" max="12292" width="3.5" customWidth="1"/>
    <col min="12545" max="12545" width="21.33203125" customWidth="1"/>
    <col min="12546" max="12547" width="10.6640625" customWidth="1"/>
    <col min="12548" max="12548" width="3.5" customWidth="1"/>
    <col min="12801" max="12801" width="21.33203125" customWidth="1"/>
    <col min="12802" max="12803" width="10.6640625" customWidth="1"/>
    <col min="12804" max="12804" width="3.5" customWidth="1"/>
    <col min="13057" max="13057" width="21.33203125" customWidth="1"/>
    <col min="13058" max="13059" width="10.6640625" customWidth="1"/>
    <col min="13060" max="13060" width="3.5" customWidth="1"/>
    <col min="13313" max="13313" width="21.33203125" customWidth="1"/>
    <col min="13314" max="13315" width="10.6640625" customWidth="1"/>
    <col min="13316" max="13316" width="3.5" customWidth="1"/>
    <col min="13569" max="13569" width="21.33203125" customWidth="1"/>
    <col min="13570" max="13571" width="10.6640625" customWidth="1"/>
    <col min="13572" max="13572" width="3.5" customWidth="1"/>
    <col min="13825" max="13825" width="21.33203125" customWidth="1"/>
    <col min="13826" max="13827" width="10.6640625" customWidth="1"/>
    <col min="13828" max="13828" width="3.5" customWidth="1"/>
    <col min="14081" max="14081" width="21.33203125" customWidth="1"/>
    <col min="14082" max="14083" width="10.6640625" customWidth="1"/>
    <col min="14084" max="14084" width="3.5" customWidth="1"/>
    <col min="14337" max="14337" width="21.33203125" customWidth="1"/>
    <col min="14338" max="14339" width="10.6640625" customWidth="1"/>
    <col min="14340" max="14340" width="3.5" customWidth="1"/>
    <col min="14593" max="14593" width="21.33203125" customWidth="1"/>
    <col min="14594" max="14595" width="10.6640625" customWidth="1"/>
    <col min="14596" max="14596" width="3.5" customWidth="1"/>
    <col min="14849" max="14849" width="21.33203125" customWidth="1"/>
    <col min="14850" max="14851" width="10.6640625" customWidth="1"/>
    <col min="14852" max="14852" width="3.5" customWidth="1"/>
    <col min="15105" max="15105" width="21.33203125" customWidth="1"/>
    <col min="15106" max="15107" width="10.6640625" customWidth="1"/>
    <col min="15108" max="15108" width="3.5" customWidth="1"/>
    <col min="15361" max="15361" width="21.33203125" customWidth="1"/>
    <col min="15362" max="15363" width="10.6640625" customWidth="1"/>
    <col min="15364" max="15364" width="3.5" customWidth="1"/>
    <col min="15617" max="15617" width="21.33203125" customWidth="1"/>
    <col min="15618" max="15619" width="10.6640625" customWidth="1"/>
    <col min="15620" max="15620" width="3.5" customWidth="1"/>
    <col min="15873" max="15873" width="21.33203125" customWidth="1"/>
    <col min="15874" max="15875" width="10.6640625" customWidth="1"/>
    <col min="15876" max="15876" width="3.5" customWidth="1"/>
    <col min="16129" max="16129" width="21.33203125" customWidth="1"/>
    <col min="16130" max="16131" width="10.6640625" customWidth="1"/>
    <col min="16132" max="16132" width="3.5" customWidth="1"/>
  </cols>
  <sheetData>
    <row r="1" spans="1:4">
      <c r="A1" s="41"/>
      <c r="B1" s="201"/>
      <c r="C1" s="201"/>
      <c r="D1" s="40"/>
    </row>
    <row r="2" spans="1:4">
      <c r="A2" s="57"/>
      <c r="B2" s="193"/>
      <c r="C2" s="193"/>
    </row>
    <row r="3" spans="1:4">
      <c r="A3" s="57"/>
      <c r="B3" s="193"/>
      <c r="C3" s="193"/>
    </row>
    <row r="4" spans="1:4">
      <c r="A4" s="57"/>
      <c r="B4" s="193"/>
      <c r="C4" s="193"/>
    </row>
    <row r="5" spans="1:4">
      <c r="A5" s="57"/>
      <c r="B5" s="193"/>
      <c r="C5" s="193"/>
    </row>
    <row r="6" spans="1:4">
      <c r="A6" s="57"/>
      <c r="B6" s="193"/>
      <c r="C6" s="193"/>
    </row>
    <row r="7" spans="1:4">
      <c r="A7" s="57"/>
      <c r="B7" s="193"/>
      <c r="C7" s="193"/>
    </row>
    <row r="8" spans="1:4">
      <c r="A8" s="57"/>
      <c r="B8" s="193"/>
      <c r="C8" s="193"/>
    </row>
    <row r="9" spans="1:4">
      <c r="A9" s="57"/>
      <c r="B9" s="193"/>
      <c r="C9" s="193"/>
    </row>
    <row r="10" spans="1:4">
      <c r="A10" s="61"/>
      <c r="B10" s="62"/>
      <c r="C10" s="62"/>
    </row>
    <row r="11" spans="1:4">
      <c r="A11" s="61"/>
      <c r="B11" s="62"/>
      <c r="C11" s="62"/>
    </row>
    <row r="12" spans="1:4">
      <c r="A12" s="61"/>
      <c r="B12" s="391"/>
      <c r="C12" s="391"/>
    </row>
    <row r="13" spans="1:4">
      <c r="A13" s="57"/>
      <c r="B13" s="193"/>
      <c r="C13" s="193"/>
    </row>
    <row r="14" spans="1:4">
      <c r="A14" s="57"/>
      <c r="B14" s="193"/>
      <c r="C14" s="193"/>
    </row>
    <row r="15" spans="1:4">
      <c r="A15" s="57"/>
      <c r="B15" s="193"/>
      <c r="C15" s="193"/>
    </row>
    <row r="16" spans="1:4">
      <c r="A16" s="57"/>
      <c r="B16" s="193"/>
      <c r="C16" s="193"/>
    </row>
    <row r="17" spans="1:3">
      <c r="A17" s="57"/>
      <c r="B17" s="193"/>
      <c r="C17" s="193"/>
    </row>
    <row r="18" spans="1:3">
      <c r="A18" s="57"/>
      <c r="B18" s="193"/>
      <c r="C18" s="193"/>
    </row>
    <row r="19" spans="1:3">
      <c r="A19" s="57"/>
      <c r="B19" s="193"/>
      <c r="C19" s="193"/>
    </row>
    <row r="20" spans="1:3">
      <c r="A20" s="57"/>
      <c r="B20" s="193"/>
      <c r="C20" s="19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145</vt:i4>
      </vt:variant>
      <vt:variant>
        <vt:lpstr>Rangos con nombre</vt:lpstr>
      </vt:variant>
      <vt:variant>
        <vt:i4>9</vt:i4>
      </vt:variant>
    </vt:vector>
  </HeadingPairs>
  <TitlesOfParts>
    <vt:vector size="154" baseType="lpstr">
      <vt:lpstr>DEFINICIONES</vt:lpstr>
      <vt:lpstr>SIMBOLOGIA</vt:lpstr>
      <vt:lpstr>INDICE RECURSOS HUMANOS</vt:lpstr>
      <vt:lpstr>CUADRO RH1</vt:lpstr>
      <vt:lpstr>GRAFICO RH1</vt:lpstr>
      <vt:lpstr>CUADRO RH2</vt:lpstr>
      <vt:lpstr>CUADRO RH3</vt:lpstr>
      <vt:lpstr>GRAFICO RH2</vt:lpstr>
      <vt:lpstr>CUADRO RH4</vt:lpstr>
      <vt:lpstr>CUADRO RH5</vt:lpstr>
      <vt:lpstr>GRAFICO RH3</vt:lpstr>
      <vt:lpstr>CUADRO RH6</vt:lpstr>
      <vt:lpstr>CUADRO RH7</vt:lpstr>
      <vt:lpstr>GRAFICO RH4</vt:lpstr>
      <vt:lpstr>CUADRO RH8</vt:lpstr>
      <vt:lpstr>CUADRO RH9</vt:lpstr>
      <vt:lpstr>GRAFICO RH5</vt:lpstr>
      <vt:lpstr>CUADRO RH10</vt:lpstr>
      <vt:lpstr>CUADRO RH11</vt:lpstr>
      <vt:lpstr>GRAFICO RH6</vt:lpstr>
      <vt:lpstr>CUADRO RH12</vt:lpstr>
      <vt:lpstr>CUADRO RH13</vt:lpstr>
      <vt:lpstr>GRAFICO RH7</vt:lpstr>
      <vt:lpstr>CUADRO RH14</vt:lpstr>
      <vt:lpstr>CUADRO RH15</vt:lpstr>
      <vt:lpstr>GRAFICO RH8</vt:lpstr>
      <vt:lpstr>INDICE RECURSOS FINANCIEROS</vt:lpstr>
      <vt:lpstr>CUADRO RF1</vt:lpstr>
      <vt:lpstr>GRAFICO RF1</vt:lpstr>
      <vt:lpstr>CUADRO RF2</vt:lpstr>
      <vt:lpstr>CUADRO RF3</vt:lpstr>
      <vt:lpstr>CUADRO RF4</vt:lpstr>
      <vt:lpstr>INDICE DE DOCENCIA</vt:lpstr>
      <vt:lpstr>CUADRO D1</vt:lpstr>
      <vt:lpstr>GRAFICO D1</vt:lpstr>
      <vt:lpstr>CUADRO D2</vt:lpstr>
      <vt:lpstr>GRAFICO D2</vt:lpstr>
      <vt:lpstr>CUADRO D3</vt:lpstr>
      <vt:lpstr>GRAFICO D3</vt:lpstr>
      <vt:lpstr>CUADRO D4</vt:lpstr>
      <vt:lpstr>CUADRO D5</vt:lpstr>
      <vt:lpstr>CUADRO D6</vt:lpstr>
      <vt:lpstr>CUADRO D7</vt:lpstr>
      <vt:lpstr>GRAFICO D4</vt:lpstr>
      <vt:lpstr>CUADR0 D8</vt:lpstr>
      <vt:lpstr>CUADRO D9</vt:lpstr>
      <vt:lpstr>CUADRO D10</vt:lpstr>
      <vt:lpstr>CUADRO D11</vt:lpstr>
      <vt:lpstr>GRAFICO D5</vt:lpstr>
      <vt:lpstr>CUADRO D12</vt:lpstr>
      <vt:lpstr>CUADRO D13</vt:lpstr>
      <vt:lpstr>CUADRO D14</vt:lpstr>
      <vt:lpstr>CUADRO D15</vt:lpstr>
      <vt:lpstr>CUADRO D16</vt:lpstr>
      <vt:lpstr>GRAFICO D6</vt:lpstr>
      <vt:lpstr>CUADRO D17</vt:lpstr>
      <vt:lpstr>GRAFICO D7</vt:lpstr>
      <vt:lpstr>GRAFICO D7.1</vt:lpstr>
      <vt:lpstr>CUADRO D18</vt:lpstr>
      <vt:lpstr>GRAFICO D8</vt:lpstr>
      <vt:lpstr>GRAFICO D 8.1</vt:lpstr>
      <vt:lpstr>CUADR0 D19</vt:lpstr>
      <vt:lpstr>GRAFICO D9</vt:lpstr>
      <vt:lpstr>INDICE INVESTIGACION</vt:lpstr>
      <vt:lpstr>CUADRO I-1</vt:lpstr>
      <vt:lpstr>GRAFICO I-1</vt:lpstr>
      <vt:lpstr>CUADRO I-2</vt:lpstr>
      <vt:lpstr>GRAFICO I-2</vt:lpstr>
      <vt:lpstr>CUADRO I-3</vt:lpstr>
      <vt:lpstr>CUADRO I-4</vt:lpstr>
      <vt:lpstr>GRAFICO 1-3</vt:lpstr>
      <vt:lpstr>CUADRO I-5</vt:lpstr>
      <vt:lpstr>GRGAFICO I-4</vt:lpstr>
      <vt:lpstr>CUADRO I-6</vt:lpstr>
      <vt:lpstr>CUADRO I-7</vt:lpstr>
      <vt:lpstr>CUADRO I-8</vt:lpstr>
      <vt:lpstr>GRAFICO I-5</vt:lpstr>
      <vt:lpstr>CUADRO I-9</vt:lpstr>
      <vt:lpstr>CUADRO I-10</vt:lpstr>
      <vt:lpstr>CUADRO I-11</vt:lpstr>
      <vt:lpstr>CUADRO I-12</vt:lpstr>
      <vt:lpstr>CUADRO I-13</vt:lpstr>
      <vt:lpstr>INDICE ACCIÓN SOCIAL</vt:lpstr>
      <vt:lpstr>CUADRO AS1</vt:lpstr>
      <vt:lpstr>GRAFICO AS1</vt:lpstr>
      <vt:lpstr>CUADRO AS2</vt:lpstr>
      <vt:lpstr>GRAFICO AS2</vt:lpstr>
      <vt:lpstr>CUADRO AS3</vt:lpstr>
      <vt:lpstr>CUADRO AS4</vt:lpstr>
      <vt:lpstr>GRAFICO AS3</vt:lpstr>
      <vt:lpstr>CUADRO AS5</vt:lpstr>
      <vt:lpstr>CUADRO AS6</vt:lpstr>
      <vt:lpstr>GRAFICO AS4</vt:lpstr>
      <vt:lpstr>CUADRO AS7</vt:lpstr>
      <vt:lpstr>CUADRO AS8</vt:lpstr>
      <vt:lpstr>CUADRO AS9</vt:lpstr>
      <vt:lpstr>CUADRO AS10</vt:lpstr>
      <vt:lpstr>CUADRO AS11</vt:lpstr>
      <vt:lpstr>GRAFICO AS5</vt:lpstr>
      <vt:lpstr>INDICE DE VIDA ESTUDIANTIL</vt:lpstr>
      <vt:lpstr>CUADRO VE1</vt:lpstr>
      <vt:lpstr>GRAFICO VE1</vt:lpstr>
      <vt:lpstr>CUADRO VE2</vt:lpstr>
      <vt:lpstr>CUADRO VE3</vt:lpstr>
      <vt:lpstr>GRAFICO VE2</vt:lpstr>
      <vt:lpstr>CUADRO VE4</vt:lpstr>
      <vt:lpstr>CUADRO VE5</vt:lpstr>
      <vt:lpstr>GRAFICO VE3</vt:lpstr>
      <vt:lpstr>CUADRO VE6</vt:lpstr>
      <vt:lpstr>CUADRO VE7</vt:lpstr>
      <vt:lpstr>GRAFICO VE4</vt:lpstr>
      <vt:lpstr>CUADRO VE8</vt:lpstr>
      <vt:lpstr>CUADRO VE9</vt:lpstr>
      <vt:lpstr>GRAFICO VE5</vt:lpstr>
      <vt:lpstr>CUADRO VE10</vt:lpstr>
      <vt:lpstr>CUADRO VE11</vt:lpstr>
      <vt:lpstr>GRAFICO VE6</vt:lpstr>
      <vt:lpstr>CUADRO VE12</vt:lpstr>
      <vt:lpstr>CUADRO VE13</vt:lpstr>
      <vt:lpstr>CUADRO VE 14</vt:lpstr>
      <vt:lpstr>GRAFICO VE7</vt:lpstr>
      <vt:lpstr>CUADRO VE15</vt:lpstr>
      <vt:lpstr>CUADRO VE16</vt:lpstr>
      <vt:lpstr>GRAFICO VE8</vt:lpstr>
      <vt:lpstr>CUADRO VE17</vt:lpstr>
      <vt:lpstr>CUADRO VE18</vt:lpstr>
      <vt:lpstr>GRAFICO VE9</vt:lpstr>
      <vt:lpstr>CUADRO VE19</vt:lpstr>
      <vt:lpstr>CUADRO VE20</vt:lpstr>
      <vt:lpstr>CUADRO VE21</vt:lpstr>
      <vt:lpstr>CUADRO VE22</vt:lpstr>
      <vt:lpstr>CUADRO VE23</vt:lpstr>
      <vt:lpstr>CUADRO VE24</vt:lpstr>
      <vt:lpstr>CUADRO VE25</vt:lpstr>
      <vt:lpstr>CUADRO VE26</vt:lpstr>
      <vt:lpstr>GRAFICO VE10</vt:lpstr>
      <vt:lpstr>INDICE DE ADMINISTRACIÓN</vt:lpstr>
      <vt:lpstr>CUADRO AD1</vt:lpstr>
      <vt:lpstr>GRAFICO AD1</vt:lpstr>
      <vt:lpstr>INDICE DE DIRECCIÓN SUPERIOR</vt:lpstr>
      <vt:lpstr>CUADRO DS1</vt:lpstr>
      <vt:lpstr>GRAFICO DS1</vt:lpstr>
      <vt:lpstr>CUADRO AI-1</vt:lpstr>
      <vt:lpstr>CUADRO AI-2</vt:lpstr>
      <vt:lpstr>GRAFICO AI-1</vt:lpstr>
      <vt:lpstr>'CUADRO D4'!Área_de_impresión</vt:lpstr>
      <vt:lpstr>'CUADR0 D8'!Títulos_a_imprimir</vt:lpstr>
      <vt:lpstr>'CUADRO D4'!Títulos_a_imprimir</vt:lpstr>
      <vt:lpstr>'CUADRO D9'!Títulos_a_imprimir</vt:lpstr>
      <vt:lpstr>'CUADRO I-1'!Títulos_a_imprimir</vt:lpstr>
      <vt:lpstr>'CUADRO I-2'!Títulos_a_imprimir</vt:lpstr>
      <vt:lpstr>'CUADRO I-4'!Títulos_a_imprimir</vt:lpstr>
      <vt:lpstr>'CUADRO I-5'!Títulos_a_imprimir</vt:lpstr>
      <vt:lpstr>'CUADRO VE2'!Títulos_a_imprimir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Mainor</dc:creator>
  <cp:lastModifiedBy>Microsoft Office User</cp:lastModifiedBy>
  <cp:lastPrinted>2020-08-06T14:56:14Z</cp:lastPrinted>
  <dcterms:created xsi:type="dcterms:W3CDTF">2019-06-21T20:01:44Z</dcterms:created>
  <dcterms:modified xsi:type="dcterms:W3CDTF">2020-09-10T18:06:20Z</dcterms:modified>
</cp:coreProperties>
</file>